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drawings/drawing4.xml" ContentType="application/vnd.openxmlformats-officedocument.drawing+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6.xml" ContentType="application/vnd.openxmlformats-officedocument.drawing+xml"/>
  <Override PartName="/xl/charts/chart14.xml" ContentType="application/vnd.openxmlformats-officedocument.drawingml.chart+xml"/>
  <Override PartName="/xl/drawings/drawing7.xml" ContentType="application/vnd.openxmlformats-officedocument.drawing+xml"/>
  <Override PartName="/xl/charts/chart15.xml" ContentType="application/vnd.openxmlformats-officedocument.drawingml.chart+xml"/>
  <Override PartName="/xl/drawings/drawing8.xml" ContentType="application/vnd.openxmlformats-officedocument.drawing+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drawings/drawing10.xml" ContentType="application/vnd.openxmlformats-officedocument.drawing+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drawings/drawing12.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13.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4.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5.xml" ContentType="application/vnd.openxmlformats-officedocument.drawing+xml"/>
  <Override PartName="/xl/charts/chart3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R:\Applications\2026 Cost of Service\1 - Final for Filing\Models_Attachments\"/>
    </mc:Choice>
  </mc:AlternateContent>
  <xr:revisionPtr revIDLastSave="0" documentId="13_ncr:1_{D311F90E-1721-49FF-8295-0BBAFD8F61D8}" xr6:coauthVersionLast="47" xr6:coauthVersionMax="47" xr10:uidLastSave="{00000000-0000-0000-0000-000000000000}"/>
  <bookViews>
    <workbookView xWindow="-108" yWindow="-108" windowWidth="23256" windowHeight="12456" tabRatio="879" firstSheet="19" activeTab="25" xr2:uid="{00000000-000D-0000-FFFF-FFFF00000000}"/>
  </bookViews>
  <sheets>
    <sheet name="Monthly Data" sheetId="67" r:id="rId1"/>
    <sheet name="Economic" sheetId="65" r:id="rId2"/>
    <sheet name="Weather" sheetId="4" r:id="rId3"/>
    <sheet name="CDM" sheetId="148" r:id="rId4"/>
    <sheet name="Res Predicted Monthly" sheetId="28" r:id="rId5"/>
    <sheet name="GS&lt;50 Predicted Monthly" sheetId="30" r:id="rId6"/>
    <sheet name="GS&gt;50 Predicted Monthly" sheetId="32" r:id="rId7"/>
    <sheet name="EV Data" sheetId="68" r:id="rId8"/>
    <sheet name="EV Forecast" sheetId="69" r:id="rId9"/>
    <sheet name="Heating" sheetId="70" r:id="rId10"/>
    <sheet name="Total Additional-Lost Loads" sheetId="71" r:id="rId11"/>
    <sheet name="Model Summary" sheetId="15" r:id="rId12"/>
    <sheet name="Res Normalized Monthly" sheetId="38" r:id="rId13"/>
    <sheet name="GS&lt;50 Normalized Monthly" sheetId="34" r:id="rId14"/>
    <sheet name="GS&gt;50 Normalized Monthly" sheetId="36" r:id="rId15"/>
    <sheet name="Res Normalized Monthly WN" sheetId="75" r:id="rId16"/>
    <sheet name="GS&lt;50 Normalized Monthly WN" sheetId="76" r:id="rId17"/>
    <sheet name="GS&gt;50 Normalized Monthly WN" sheetId="77" r:id="rId18"/>
    <sheet name="Normalized Annual Summary" sheetId="17" r:id="rId19"/>
    <sheet name="Customer Count" sheetId="23" r:id="rId20"/>
    <sheet name="kW Forecast" sheetId="24" r:id="rId21"/>
    <sheet name="kW Forecast (Weather Normal)" sheetId="57" r:id="rId22"/>
    <sheet name="CDM Framework" sheetId="72" r:id="rId23"/>
    <sheet name="CDM Adjustment" sheetId="73" r:id="rId24"/>
    <sheet name="Summary Tables" sheetId="25" r:id="rId25"/>
    <sheet name="Summary Tables (Weather Normal)" sheetId="74" r:id="rId26"/>
  </sheets>
  <definedNames>
    <definedName name="_Fill" hidden="1">#REF!</definedName>
    <definedName name="_Order1" hidden="1">255</definedName>
    <definedName name="_Order2" hidden="1">0</definedName>
    <definedName name="_Sort"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1" i="69" l="1"/>
  <c r="M102" i="69"/>
  <c r="M103" i="69"/>
  <c r="M104" i="69"/>
  <c r="M105" i="69"/>
  <c r="M106" i="69"/>
  <c r="M107" i="69"/>
  <c r="M109" i="69" s="1"/>
  <c r="M108" i="69"/>
  <c r="F8" i="70"/>
  <c r="D25" i="70"/>
  <c r="J35" i="69"/>
  <c r="M112" i="69" l="1"/>
  <c r="M111" i="69"/>
  <c r="M110" i="69"/>
  <c r="AE37" i="68"/>
  <c r="AD37" i="68"/>
  <c r="AE36" i="68"/>
  <c r="AD36" i="68"/>
  <c r="AE35" i="68"/>
  <c r="AD35" i="68"/>
  <c r="D35" i="68"/>
  <c r="C35" i="68"/>
  <c r="D34" i="68"/>
  <c r="C34" i="68"/>
  <c r="AD18" i="65" l="1"/>
  <c r="AD17" i="65"/>
  <c r="AD16" i="65"/>
  <c r="AD15" i="65"/>
  <c r="AD9" i="65"/>
  <c r="AD10" i="65"/>
  <c r="AD11" i="65"/>
  <c r="AD8" i="65"/>
  <c r="B31" i="72" l="1"/>
  <c r="V23" i="4"/>
  <c r="V25" i="4" s="1"/>
  <c r="V26" i="4" s="1"/>
  <c r="AG26" i="4"/>
  <c r="AD26" i="4"/>
  <c r="AC26" i="4"/>
  <c r="AB26" i="4"/>
  <c r="AA26" i="4"/>
  <c r="Z26" i="4"/>
  <c r="AG25" i="4"/>
  <c r="AF25" i="4"/>
  <c r="AF26" i="4" s="1"/>
  <c r="AE25" i="4"/>
  <c r="AE26" i="4" s="1"/>
  <c r="AD25" i="4"/>
  <c r="AC25" i="4"/>
  <c r="AB25" i="4"/>
  <c r="AA25" i="4"/>
  <c r="Z25" i="4"/>
  <c r="Y25" i="4"/>
  <c r="Y26" i="4" s="1"/>
  <c r="X25" i="4"/>
  <c r="X26" i="4" s="1"/>
  <c r="W25" i="4"/>
  <c r="W26" i="4" s="1"/>
  <c r="U25" i="4"/>
  <c r="U26" i="4" s="1"/>
  <c r="AG51" i="4"/>
  <c r="AF51" i="4"/>
  <c r="AD51" i="4"/>
  <c r="AC51" i="4"/>
  <c r="AB51" i="4"/>
  <c r="AA51" i="4"/>
  <c r="Z51" i="4"/>
  <c r="Y51" i="4"/>
  <c r="X51" i="4"/>
  <c r="AG50" i="4"/>
  <c r="AF50" i="4"/>
  <c r="AE50" i="4"/>
  <c r="AE51" i="4" s="1"/>
  <c r="AD50" i="4"/>
  <c r="AC50" i="4"/>
  <c r="AB50" i="4"/>
  <c r="AA50" i="4"/>
  <c r="Z50" i="4"/>
  <c r="Y50" i="4"/>
  <c r="X50" i="4"/>
  <c r="W50" i="4"/>
  <c r="W51" i="4" s="1"/>
  <c r="V50" i="4"/>
  <c r="V51" i="4" s="1"/>
  <c r="U50" i="4"/>
  <c r="U51" i="4" s="1"/>
  <c r="AT51" i="4"/>
  <c r="AS51" i="4"/>
  <c r="AR51" i="4"/>
  <c r="AQ51" i="4"/>
  <c r="AP51" i="4"/>
  <c r="AO51" i="4"/>
  <c r="AN51" i="4"/>
  <c r="AM51" i="4"/>
  <c r="AV50" i="4"/>
  <c r="AV51" i="4" s="1"/>
  <c r="AU50" i="4"/>
  <c r="AU51" i="4" s="1"/>
  <c r="AT50" i="4"/>
  <c r="AS50" i="4"/>
  <c r="AR50" i="4"/>
  <c r="AQ50" i="4"/>
  <c r="AP50" i="4"/>
  <c r="AO50" i="4"/>
  <c r="AN50" i="4"/>
  <c r="AM50" i="4"/>
  <c r="AL50" i="4"/>
  <c r="AL51" i="4" s="1"/>
  <c r="AK50" i="4"/>
  <c r="AK51" i="4" s="1"/>
  <c r="AJ50" i="4"/>
  <c r="AJ51" i="4" s="1"/>
  <c r="AV26" i="4"/>
  <c r="AU26" i="4"/>
  <c r="AR26" i="4"/>
  <c r="AP26" i="4"/>
  <c r="AN26" i="4"/>
  <c r="AJ26" i="4"/>
  <c r="AV25" i="4"/>
  <c r="AU25" i="4"/>
  <c r="AT25" i="4"/>
  <c r="AT26" i="4" s="1"/>
  <c r="AS25" i="4"/>
  <c r="AS26" i="4" s="1"/>
  <c r="AR25" i="4"/>
  <c r="AQ25" i="4"/>
  <c r="AQ26" i="4" s="1"/>
  <c r="AP25" i="4"/>
  <c r="AO25" i="4"/>
  <c r="AO26" i="4" s="1"/>
  <c r="AN25" i="4"/>
  <c r="AM25" i="4"/>
  <c r="AM26" i="4" s="1"/>
  <c r="AL25" i="4"/>
  <c r="AL26" i="4" s="1"/>
  <c r="AK25" i="4"/>
  <c r="AK26" i="4" s="1"/>
  <c r="AJ25" i="4"/>
  <c r="BJ51" i="4"/>
  <c r="BI51" i="4"/>
  <c r="BH51" i="4"/>
  <c r="BG51" i="4"/>
  <c r="BF51" i="4"/>
  <c r="BE51" i="4"/>
  <c r="BD51" i="4"/>
  <c r="BC51" i="4"/>
  <c r="BB51" i="4"/>
  <c r="BA51" i="4"/>
  <c r="BJ50" i="4"/>
  <c r="BI50" i="4"/>
  <c r="BH50" i="4"/>
  <c r="BG50" i="4"/>
  <c r="BF50" i="4"/>
  <c r="BE50" i="4"/>
  <c r="BD50" i="4"/>
  <c r="BC50" i="4"/>
  <c r="BB50" i="4"/>
  <c r="BA50" i="4"/>
  <c r="AZ50" i="4"/>
  <c r="AZ51" i="4" s="1"/>
  <c r="AY50" i="4"/>
  <c r="AY51" i="4" s="1"/>
  <c r="AX50" i="4"/>
  <c r="AX51" i="4" s="1"/>
  <c r="BI26" i="4"/>
  <c r="BH26" i="4"/>
  <c r="BG26" i="4"/>
  <c r="BF26" i="4"/>
  <c r="BE26" i="4"/>
  <c r="BD26" i="4"/>
  <c r="BC26" i="4"/>
  <c r="BB26" i="4"/>
  <c r="BA26" i="4"/>
  <c r="BJ25" i="4"/>
  <c r="BJ26" i="4" s="1"/>
  <c r="BI25" i="4"/>
  <c r="BH25" i="4"/>
  <c r="BG25" i="4"/>
  <c r="BF25" i="4"/>
  <c r="BE25" i="4"/>
  <c r="BD25" i="4"/>
  <c r="BC25" i="4"/>
  <c r="BB25" i="4"/>
  <c r="BA25" i="4"/>
  <c r="AZ25" i="4"/>
  <c r="AZ26" i="4" s="1"/>
  <c r="AY25" i="4"/>
  <c r="AY26" i="4" s="1"/>
  <c r="AX25" i="4"/>
  <c r="AX26" i="4" s="1"/>
  <c r="BX26" i="4"/>
  <c r="BT26" i="4"/>
  <c r="BS26" i="4"/>
  <c r="BQ26" i="4"/>
  <c r="BM26" i="4"/>
  <c r="BX25" i="4"/>
  <c r="BW25" i="4"/>
  <c r="BW26" i="4" s="1"/>
  <c r="BV25" i="4"/>
  <c r="BV26" i="4" s="1"/>
  <c r="BU25" i="4"/>
  <c r="BU26" i="4" s="1"/>
  <c r="BT25" i="4"/>
  <c r="BS25" i="4"/>
  <c r="BR25" i="4"/>
  <c r="BR26" i="4" s="1"/>
  <c r="BQ25" i="4"/>
  <c r="BP25" i="4"/>
  <c r="BP26" i="4" s="1"/>
  <c r="BO25" i="4"/>
  <c r="BO26" i="4" s="1"/>
  <c r="BN25" i="4"/>
  <c r="BN26" i="4" s="1"/>
  <c r="BM25" i="4"/>
  <c r="BL25" i="4"/>
  <c r="BL26" i="4" s="1"/>
  <c r="BX51" i="4"/>
  <c r="BU51" i="4"/>
  <c r="BT51" i="4"/>
  <c r="BS51" i="4"/>
  <c r="BP51" i="4"/>
  <c r="BL51" i="4"/>
  <c r="BX50" i="4"/>
  <c r="BW50" i="4"/>
  <c r="BW51" i="4" s="1"/>
  <c r="BV50" i="4"/>
  <c r="BV51" i="4" s="1"/>
  <c r="BU50" i="4"/>
  <c r="BT50" i="4"/>
  <c r="BS50" i="4"/>
  <c r="BR50" i="4"/>
  <c r="BR51" i="4" s="1"/>
  <c r="BQ50" i="4"/>
  <c r="BQ51" i="4" s="1"/>
  <c r="BP50" i="4"/>
  <c r="BO50" i="4"/>
  <c r="BO51" i="4" s="1"/>
  <c r="BN50" i="4"/>
  <c r="BN51" i="4" s="1"/>
  <c r="BM50" i="4"/>
  <c r="BM51" i="4" s="1"/>
  <c r="BL50" i="4"/>
  <c r="CK51" i="4"/>
  <c r="CJ51" i="4"/>
  <c r="CI51" i="4"/>
  <c r="CH51" i="4"/>
  <c r="CG51" i="4"/>
  <c r="CF51" i="4"/>
  <c r="CE51" i="4"/>
  <c r="CD51" i="4"/>
  <c r="BZ51" i="4"/>
  <c r="CL50" i="4"/>
  <c r="CL51" i="4" s="1"/>
  <c r="CK50" i="4"/>
  <c r="CJ50" i="4"/>
  <c r="CI50" i="4"/>
  <c r="CH50" i="4"/>
  <c r="CG50" i="4"/>
  <c r="CF50" i="4"/>
  <c r="CE50" i="4"/>
  <c r="CD50" i="4"/>
  <c r="CC50" i="4"/>
  <c r="CC51" i="4" s="1"/>
  <c r="CB50" i="4"/>
  <c r="CB51" i="4" s="1"/>
  <c r="CA50" i="4"/>
  <c r="CA51" i="4" s="1"/>
  <c r="BZ50" i="4"/>
  <c r="CZ51" i="4"/>
  <c r="CX51" i="4"/>
  <c r="CW51" i="4"/>
  <c r="CV51" i="4"/>
  <c r="CU51" i="4"/>
  <c r="CT51" i="4"/>
  <c r="CS51" i="4"/>
  <c r="CZ50" i="4"/>
  <c r="CY50" i="4"/>
  <c r="CY51" i="4" s="1"/>
  <c r="CX50" i="4"/>
  <c r="CW50" i="4"/>
  <c r="CV50" i="4"/>
  <c r="CU50" i="4"/>
  <c r="CT50" i="4"/>
  <c r="CS50" i="4"/>
  <c r="CR50" i="4"/>
  <c r="CR51" i="4" s="1"/>
  <c r="CQ50" i="4"/>
  <c r="CQ51" i="4" s="1"/>
  <c r="CP50" i="4"/>
  <c r="CP51" i="4" s="1"/>
  <c r="CO50" i="4"/>
  <c r="CO51" i="4" s="1"/>
  <c r="CN50" i="4"/>
  <c r="CN51" i="4" s="1"/>
  <c r="DN51" i="4"/>
  <c r="DL51" i="4"/>
  <c r="DJ51" i="4"/>
  <c r="DI51" i="4"/>
  <c r="DG51" i="4"/>
  <c r="DB51" i="4"/>
  <c r="DN50" i="4"/>
  <c r="DM50" i="4"/>
  <c r="DM51" i="4" s="1"/>
  <c r="DL50" i="4"/>
  <c r="DK50" i="4"/>
  <c r="DK51" i="4" s="1"/>
  <c r="DJ50" i="4"/>
  <c r="DI50" i="4"/>
  <c r="DH50" i="4"/>
  <c r="DH51" i="4" s="1"/>
  <c r="DG50" i="4"/>
  <c r="DF50" i="4"/>
  <c r="DF51" i="4" s="1"/>
  <c r="DE50" i="4"/>
  <c r="DE51" i="4" s="1"/>
  <c r="DD50" i="4"/>
  <c r="DD51" i="4" s="1"/>
  <c r="DC50" i="4"/>
  <c r="DC51" i="4" s="1"/>
  <c r="DB50" i="4"/>
  <c r="DL26" i="4"/>
  <c r="DK26" i="4"/>
  <c r="DJ26" i="4"/>
  <c r="DI26" i="4"/>
  <c r="DH26" i="4"/>
  <c r="DN25" i="4"/>
  <c r="DN26" i="4" s="1"/>
  <c r="DM25" i="4"/>
  <c r="DM26" i="4" s="1"/>
  <c r="DL25" i="4"/>
  <c r="DK25" i="4"/>
  <c r="DJ25" i="4"/>
  <c r="DI25" i="4"/>
  <c r="DH25" i="4"/>
  <c r="DG25" i="4"/>
  <c r="DG26" i="4" s="1"/>
  <c r="DF25" i="4"/>
  <c r="DF26" i="4" s="1"/>
  <c r="DE25" i="4"/>
  <c r="DE26" i="4" s="1"/>
  <c r="DD25" i="4"/>
  <c r="DD26" i="4" s="1"/>
  <c r="DC25" i="4"/>
  <c r="DC26" i="4" s="1"/>
  <c r="DB25" i="4"/>
  <c r="DB26" i="4" s="1"/>
  <c r="CQ25" i="4"/>
  <c r="CO25" i="4"/>
  <c r="CO26" i="4" s="1"/>
  <c r="CT56" i="4" s="1"/>
  <c r="CN48" i="4" l="1"/>
  <c r="CN49" i="4" s="1"/>
  <c r="BZ48" i="4"/>
  <c r="BZ49" i="4"/>
  <c r="CD49" i="4" s="1"/>
  <c r="AJ48" i="4"/>
  <c r="AJ49" i="4" s="1"/>
  <c r="U49" i="4"/>
  <c r="Z48" i="4"/>
  <c r="AA48" i="4"/>
  <c r="AB48" i="4"/>
  <c r="AC48" i="4"/>
  <c r="AD48" i="4"/>
  <c r="AE48" i="4"/>
  <c r="AF48" i="4"/>
  <c r="AG48" i="4"/>
  <c r="Z49" i="4"/>
  <c r="AA49" i="4"/>
  <c r="AB49" i="4"/>
  <c r="AC49" i="4"/>
  <c r="AD49" i="4"/>
  <c r="AE49" i="4"/>
  <c r="AF49" i="4"/>
  <c r="AG49" i="4"/>
  <c r="AQ48" i="4"/>
  <c r="AT48" i="4"/>
  <c r="AU48" i="4"/>
  <c r="AV48" i="4"/>
  <c r="AX48" i="4"/>
  <c r="AX49" i="4" s="1"/>
  <c r="BL48" i="4"/>
  <c r="BL49" i="4" s="1"/>
  <c r="BA47" i="4"/>
  <c r="BB47" i="4"/>
  <c r="BC47" i="4"/>
  <c r="BD47" i="4"/>
  <c r="BE47" i="4"/>
  <c r="BF47" i="4"/>
  <c r="BG47" i="4"/>
  <c r="BH47" i="4"/>
  <c r="BI47" i="4"/>
  <c r="BJ47" i="4"/>
  <c r="BA48" i="4"/>
  <c r="BB48" i="4"/>
  <c r="BR48" i="4"/>
  <c r="BW48" i="4"/>
  <c r="BX48" i="4"/>
  <c r="CC48" i="4"/>
  <c r="CD48" i="4"/>
  <c r="CE48" i="4"/>
  <c r="CF48" i="4"/>
  <c r="CG48" i="4"/>
  <c r="CH48" i="4"/>
  <c r="CI48" i="4"/>
  <c r="CJ48" i="4"/>
  <c r="CK48" i="4"/>
  <c r="CL48" i="4"/>
  <c r="CC49" i="4"/>
  <c r="CE49" i="4"/>
  <c r="CF49" i="4"/>
  <c r="CG49" i="4"/>
  <c r="CH49" i="4"/>
  <c r="CI49" i="4"/>
  <c r="CJ49" i="4"/>
  <c r="CK49" i="4"/>
  <c r="CL49" i="4"/>
  <c r="DB49" i="4"/>
  <c r="DC49" i="4" s="1"/>
  <c r="CS47" i="4"/>
  <c r="CT47" i="4"/>
  <c r="CU47" i="4"/>
  <c r="CV47" i="4"/>
  <c r="CW47" i="4"/>
  <c r="CX47" i="4"/>
  <c r="CY47" i="4"/>
  <c r="CZ47" i="4"/>
  <c r="CS48" i="4"/>
  <c r="CT48" i="4"/>
  <c r="CU48" i="4"/>
  <c r="CV48" i="4"/>
  <c r="CW48" i="4"/>
  <c r="CX48" i="4"/>
  <c r="CY48" i="4"/>
  <c r="DC47" i="4"/>
  <c r="DD47" i="4"/>
  <c r="DE47" i="4"/>
  <c r="DF47" i="4"/>
  <c r="DG47" i="4"/>
  <c r="DH47" i="4"/>
  <c r="DI47" i="4"/>
  <c r="DJ47" i="4"/>
  <c r="DK47" i="4"/>
  <c r="DL47" i="4"/>
  <c r="DM47" i="4"/>
  <c r="DN47" i="4"/>
  <c r="DC48" i="4"/>
  <c r="DD48" i="4"/>
  <c r="DE48" i="4"/>
  <c r="DF48" i="4"/>
  <c r="DG48" i="4"/>
  <c r="DH48" i="4"/>
  <c r="DI48" i="4"/>
  <c r="DJ48" i="4"/>
  <c r="DK48" i="4"/>
  <c r="DL48" i="4"/>
  <c r="DM48" i="4"/>
  <c r="DN48" i="4"/>
  <c r="DD49" i="4"/>
  <c r="DE49" i="4"/>
  <c r="DG49" i="4"/>
  <c r="DH49" i="4"/>
  <c r="DC21" i="4"/>
  <c r="DD21" i="4"/>
  <c r="DE21" i="4"/>
  <c r="DF21" i="4"/>
  <c r="DG21" i="4"/>
  <c r="DH21" i="4"/>
  <c r="DI21" i="4"/>
  <c r="DJ21" i="4"/>
  <c r="DK21" i="4"/>
  <c r="DL21" i="4"/>
  <c r="DM21" i="4"/>
  <c r="DN21" i="4"/>
  <c r="DC22" i="4"/>
  <c r="DD22" i="4"/>
  <c r="DE22" i="4"/>
  <c r="DF22" i="4"/>
  <c r="DG22" i="4"/>
  <c r="DH22" i="4"/>
  <c r="DI22" i="4"/>
  <c r="DJ22" i="4"/>
  <c r="DK22" i="4"/>
  <c r="DL22" i="4"/>
  <c r="DM22" i="4"/>
  <c r="DN22" i="4"/>
  <c r="DC23" i="4"/>
  <c r="DD23" i="4"/>
  <c r="DE23" i="4"/>
  <c r="DF23" i="4"/>
  <c r="DG23" i="4"/>
  <c r="DH23" i="4"/>
  <c r="DI23" i="4"/>
  <c r="DJ23" i="4"/>
  <c r="DK23" i="4"/>
  <c r="DL23" i="4"/>
  <c r="DM23" i="4"/>
  <c r="DN23" i="4"/>
  <c r="DC24" i="4"/>
  <c r="DD24" i="4"/>
  <c r="DE24" i="4"/>
  <c r="DF24" i="4"/>
  <c r="DG24" i="4"/>
  <c r="DH24" i="4"/>
  <c r="DI24" i="4"/>
  <c r="DJ24" i="4"/>
  <c r="DK24" i="4"/>
  <c r="DL24" i="4"/>
  <c r="DM24" i="4"/>
  <c r="DN24" i="4"/>
  <c r="CR25" i="4"/>
  <c r="CS25" i="4"/>
  <c r="CT25" i="4"/>
  <c r="CU25" i="4"/>
  <c r="CV25" i="4"/>
  <c r="CW25" i="4"/>
  <c r="CX25" i="4"/>
  <c r="CY25" i="4"/>
  <c r="CZ25" i="4"/>
  <c r="CT22" i="4"/>
  <c r="CU22" i="4"/>
  <c r="CV22" i="4"/>
  <c r="CW22" i="4"/>
  <c r="CX22" i="4"/>
  <c r="CY22" i="4"/>
  <c r="CZ22" i="4"/>
  <c r="CT23" i="4"/>
  <c r="CU23" i="4"/>
  <c r="CV23" i="4"/>
  <c r="CW23" i="4"/>
  <c r="CX23" i="4"/>
  <c r="CY23" i="4"/>
  <c r="CZ23" i="4"/>
  <c r="CT24" i="4"/>
  <c r="CU24" i="4"/>
  <c r="CV24" i="4"/>
  <c r="CW24" i="4"/>
  <c r="CX24" i="4"/>
  <c r="CY24" i="4"/>
  <c r="CZ24" i="4"/>
  <c r="CN24" i="4"/>
  <c r="CC25" i="4"/>
  <c r="CD25" i="4"/>
  <c r="CE25" i="4"/>
  <c r="CF25" i="4"/>
  <c r="CG25" i="4"/>
  <c r="CH25" i="4"/>
  <c r="CI25" i="4"/>
  <c r="CJ25" i="4"/>
  <c r="CK25" i="4"/>
  <c r="CL25" i="4"/>
  <c r="BZ24" i="4"/>
  <c r="CF24" i="4" s="1"/>
  <c r="CI24" i="4"/>
  <c r="CJ24" i="4"/>
  <c r="CK24" i="4"/>
  <c r="CL24" i="4"/>
  <c r="BR24" i="4"/>
  <c r="BS24" i="4"/>
  <c r="BT24" i="4"/>
  <c r="BU24" i="4"/>
  <c r="BV24" i="4"/>
  <c r="BW24" i="4"/>
  <c r="BX24" i="4"/>
  <c r="AJ24" i="4"/>
  <c r="AK24" i="4" s="1"/>
  <c r="AN24" i="4"/>
  <c r="AO24" i="4"/>
  <c r="AP24" i="4"/>
  <c r="AQ24" i="4"/>
  <c r="AR24" i="4"/>
  <c r="AX24" i="4"/>
  <c r="BA24" i="4" s="1"/>
  <c r="AZ24" i="4"/>
  <c r="BC24" i="4"/>
  <c r="BD24" i="4"/>
  <c r="BE24" i="4"/>
  <c r="BF24" i="4"/>
  <c r="BG24" i="4"/>
  <c r="BH24" i="4"/>
  <c r="U24" i="4"/>
  <c r="AB24" i="4"/>
  <c r="AC24" i="4"/>
  <c r="AD24" i="4"/>
  <c r="AE24" i="4"/>
  <c r="AF24" i="4"/>
  <c r="AG24" i="4"/>
  <c r="DS308" i="4"/>
  <c r="DT308" i="4"/>
  <c r="DU308" i="4"/>
  <c r="DS309" i="4"/>
  <c r="DT309" i="4"/>
  <c r="DU309" i="4"/>
  <c r="DS310" i="4"/>
  <c r="DT310" i="4"/>
  <c r="DU310" i="4"/>
  <c r="DS311" i="4"/>
  <c r="DT311" i="4"/>
  <c r="DU311" i="4"/>
  <c r="DS312" i="4"/>
  <c r="DT312" i="4"/>
  <c r="DU312" i="4"/>
  <c r="DS313" i="4"/>
  <c r="DT313" i="4"/>
  <c r="DU313" i="4"/>
  <c r="W308" i="4"/>
  <c r="W309" i="4"/>
  <c r="W310" i="4"/>
  <c r="W311" i="4"/>
  <c r="W312" i="4"/>
  <c r="W313" i="4"/>
  <c r="G35" i="23"/>
  <c r="K37" i="148"/>
  <c r="L37" i="148"/>
  <c r="J37" i="148"/>
  <c r="D91" i="148"/>
  <c r="E91" i="148"/>
  <c r="C91" i="148"/>
  <c r="D87" i="148"/>
  <c r="E87" i="148"/>
  <c r="D88" i="148"/>
  <c r="E88" i="148"/>
  <c r="C88" i="148"/>
  <c r="C87" i="148"/>
  <c r="D82" i="148"/>
  <c r="E82" i="148"/>
  <c r="D83" i="148"/>
  <c r="E83" i="148"/>
  <c r="D84" i="148"/>
  <c r="E84" i="148"/>
  <c r="C83" i="148"/>
  <c r="C84" i="148"/>
  <c r="C82" i="148"/>
  <c r="D76" i="148"/>
  <c r="D77" i="148" s="1"/>
  <c r="D78" i="148" s="1"/>
  <c r="D79" i="148" s="1"/>
  <c r="E76" i="148"/>
  <c r="E77" i="148"/>
  <c r="E78" i="148" s="1"/>
  <c r="E79" i="148" s="1"/>
  <c r="C77" i="148"/>
  <c r="C78" i="148" s="1"/>
  <c r="C79" i="148" s="1"/>
  <c r="C76" i="148"/>
  <c r="C70" i="148"/>
  <c r="D70" i="148"/>
  <c r="E70" i="148"/>
  <c r="C71" i="148"/>
  <c r="D71" i="148"/>
  <c r="E71" i="148"/>
  <c r="C72" i="148"/>
  <c r="D72" i="148"/>
  <c r="D73" i="148" s="1"/>
  <c r="E72" i="148"/>
  <c r="E73" i="148" s="1"/>
  <c r="C73" i="148"/>
  <c r="D69" i="148"/>
  <c r="E69" i="148"/>
  <c r="C69" i="148"/>
  <c r="C62" i="148"/>
  <c r="D62" i="148"/>
  <c r="E62" i="148"/>
  <c r="C63" i="148"/>
  <c r="D63" i="148"/>
  <c r="E63" i="148"/>
  <c r="C64" i="148"/>
  <c r="C65" i="148" s="1"/>
  <c r="C66" i="148" s="1"/>
  <c r="D64" i="148"/>
  <c r="D65" i="148" s="1"/>
  <c r="D66" i="148" s="1"/>
  <c r="E64" i="148"/>
  <c r="E65" i="148" s="1"/>
  <c r="E66" i="148" s="1"/>
  <c r="E61" i="148"/>
  <c r="D61" i="148"/>
  <c r="C61" i="148"/>
  <c r="CZ49" i="4" l="1"/>
  <c r="CS49" i="4"/>
  <c r="CT49" i="4"/>
  <c r="CY49" i="4"/>
  <c r="CU49" i="4"/>
  <c r="CX49" i="4"/>
  <c r="CV49" i="4"/>
  <c r="CW49" i="4"/>
  <c r="CZ48" i="4"/>
  <c r="AP49" i="4"/>
  <c r="AO49" i="4"/>
  <c r="AQ49" i="4"/>
  <c r="AR49" i="4"/>
  <c r="AS49" i="4"/>
  <c r="AT49" i="4"/>
  <c r="AU49" i="4"/>
  <c r="AV49" i="4"/>
  <c r="AO48" i="4"/>
  <c r="AP48" i="4"/>
  <c r="AS48" i="4"/>
  <c r="AR48" i="4"/>
  <c r="BA49" i="4"/>
  <c r="BB49" i="4"/>
  <c r="BC49" i="4"/>
  <c r="BD49" i="4"/>
  <c r="BE49" i="4"/>
  <c r="BH49" i="4"/>
  <c r="BI49" i="4"/>
  <c r="BJ49" i="4"/>
  <c r="BG49" i="4"/>
  <c r="BF49" i="4"/>
  <c r="BI48" i="4"/>
  <c r="BH48" i="4"/>
  <c r="BG48" i="4"/>
  <c r="BJ48" i="4"/>
  <c r="BF48" i="4"/>
  <c r="BE48" i="4"/>
  <c r="BD48" i="4"/>
  <c r="BC48" i="4"/>
  <c r="BP49" i="4"/>
  <c r="BQ49" i="4"/>
  <c r="BR49" i="4"/>
  <c r="BS49" i="4"/>
  <c r="BT49" i="4"/>
  <c r="BU49" i="4"/>
  <c r="BV49" i="4"/>
  <c r="BW49" i="4"/>
  <c r="BX49" i="4"/>
  <c r="BV48" i="4"/>
  <c r="BU48" i="4"/>
  <c r="BT48" i="4"/>
  <c r="BS48" i="4"/>
  <c r="BQ48" i="4"/>
  <c r="BP48" i="4"/>
  <c r="DN49" i="4"/>
  <c r="DM49" i="4"/>
  <c r="DL49" i="4"/>
  <c r="DJ49" i="4"/>
  <c r="DK49" i="4"/>
  <c r="DI49" i="4"/>
  <c r="DF49" i="4"/>
  <c r="CH24" i="4"/>
  <c r="CG24" i="4"/>
  <c r="AY24" i="4"/>
  <c r="AV24" i="4"/>
  <c r="AU24" i="4"/>
  <c r="BJ24" i="4"/>
  <c r="AT24" i="4"/>
  <c r="BI24" i="4"/>
  <c r="AS24" i="4"/>
  <c r="AM24" i="4"/>
  <c r="BB24" i="4"/>
  <c r="AL24" i="4"/>
  <c r="AW24" i="4" s="1"/>
  <c r="E50" i="72" l="1"/>
  <c r="F50" i="72"/>
  <c r="E61" i="72"/>
  <c r="E51" i="72"/>
  <c r="E52" i="72"/>
  <c r="E53" i="72"/>
  <c r="E54" i="72"/>
  <c r="E55" i="72"/>
  <c r="E56" i="72"/>
  <c r="E57" i="72"/>
  <c r="E58" i="72"/>
  <c r="E59" i="72"/>
  <c r="G9" i="73"/>
  <c r="G10" i="73" s="1"/>
  <c r="G11" i="73" s="1"/>
  <c r="G8" i="73"/>
  <c r="F7" i="73"/>
  <c r="F8" i="73"/>
  <c r="F9" i="73"/>
  <c r="C30" i="23"/>
  <c r="G30" i="23"/>
  <c r="K30" i="23"/>
  <c r="O30" i="23"/>
  <c r="S30" i="23"/>
  <c r="C31" i="23"/>
  <c r="G31" i="23"/>
  <c r="K31" i="23"/>
  <c r="O31" i="23"/>
  <c r="S31" i="23"/>
  <c r="C32" i="23"/>
  <c r="G32" i="23"/>
  <c r="K32" i="23"/>
  <c r="L32" i="23" s="1"/>
  <c r="O32" i="23"/>
  <c r="S32" i="23"/>
  <c r="C33" i="23"/>
  <c r="G33" i="23"/>
  <c r="K33" i="23"/>
  <c r="O33" i="23"/>
  <c r="S33" i="23"/>
  <c r="C34" i="23"/>
  <c r="G34" i="23"/>
  <c r="K34" i="23"/>
  <c r="O34" i="23"/>
  <c r="S34" i="23"/>
  <c r="C35" i="23"/>
  <c r="K35" i="23"/>
  <c r="O35" i="23"/>
  <c r="S35" i="23"/>
  <c r="T35" i="23" s="1"/>
  <c r="J116" i="76"/>
  <c r="J117" i="76"/>
  <c r="J118" i="76"/>
  <c r="J119" i="76"/>
  <c r="J120" i="76"/>
  <c r="J121" i="76"/>
  <c r="L115" i="36"/>
  <c r="L116" i="36"/>
  <c r="L117" i="36"/>
  <c r="L118" i="36"/>
  <c r="L119" i="36"/>
  <c r="L120" i="36"/>
  <c r="L121" i="36"/>
  <c r="H116" i="34"/>
  <c r="P116" i="34" s="1"/>
  <c r="L116" i="34"/>
  <c r="H117" i="34"/>
  <c r="P117" i="34" s="1"/>
  <c r="L117" i="34"/>
  <c r="H118" i="34"/>
  <c r="P118" i="34" s="1"/>
  <c r="L118" i="34"/>
  <c r="H119" i="34"/>
  <c r="P119" i="34" s="1"/>
  <c r="L119" i="34"/>
  <c r="H120" i="34"/>
  <c r="P120" i="34" s="1"/>
  <c r="L120" i="34"/>
  <c r="H121" i="34"/>
  <c r="P121" i="34" s="1"/>
  <c r="L121" i="34"/>
  <c r="K116" i="38"/>
  <c r="K117" i="38"/>
  <c r="K118" i="38"/>
  <c r="K119" i="38"/>
  <c r="G120" i="38"/>
  <c r="N120" i="38" s="1"/>
  <c r="K120" i="38"/>
  <c r="K121" i="38"/>
  <c r="A116" i="32"/>
  <c r="B116" i="32" s="1"/>
  <c r="L116" i="32"/>
  <c r="A117" i="32"/>
  <c r="B117" i="32" s="1"/>
  <c r="L117" i="32"/>
  <c r="A118" i="32"/>
  <c r="C118" i="32" s="1"/>
  <c r="B118" i="32"/>
  <c r="L118" i="32"/>
  <c r="A119" i="32"/>
  <c r="B119" i="32" s="1"/>
  <c r="L119" i="32"/>
  <c r="A120" i="32"/>
  <c r="B120" i="32" s="1"/>
  <c r="L120" i="32"/>
  <c r="A121" i="32"/>
  <c r="B121" i="32" s="1"/>
  <c r="C121" i="32"/>
  <c r="L121" i="32"/>
  <c r="A116" i="30"/>
  <c r="B116" i="30" s="1"/>
  <c r="H116" i="30"/>
  <c r="P116" i="30" s="1"/>
  <c r="L116" i="30"/>
  <c r="A117" i="30"/>
  <c r="C117" i="30" s="1"/>
  <c r="H117" i="30"/>
  <c r="P117" i="30" s="1"/>
  <c r="L117" i="30"/>
  <c r="A118" i="30"/>
  <c r="C118" i="30" s="1"/>
  <c r="H118" i="30"/>
  <c r="P118" i="30" s="1"/>
  <c r="L118" i="30"/>
  <c r="A119" i="30"/>
  <c r="C119" i="30" s="1"/>
  <c r="H119" i="30"/>
  <c r="P119" i="30" s="1"/>
  <c r="L119" i="30"/>
  <c r="A120" i="30"/>
  <c r="B120" i="30" s="1"/>
  <c r="H120" i="30"/>
  <c r="P120" i="30" s="1"/>
  <c r="L120" i="30"/>
  <c r="A121" i="30"/>
  <c r="B121" i="30" s="1"/>
  <c r="H121" i="30"/>
  <c r="P121" i="30" s="1"/>
  <c r="L121" i="30"/>
  <c r="A116" i="28"/>
  <c r="B116" i="28" s="1"/>
  <c r="K116" i="28"/>
  <c r="A117" i="28"/>
  <c r="C117" i="28" s="1"/>
  <c r="K117" i="28"/>
  <c r="A118" i="28"/>
  <c r="B118" i="28" s="1"/>
  <c r="G118" i="28"/>
  <c r="N118" i="28" s="1"/>
  <c r="K118" i="28"/>
  <c r="A119" i="28"/>
  <c r="B119" i="28" s="1"/>
  <c r="K119" i="28"/>
  <c r="A120" i="28"/>
  <c r="B120" i="28" s="1"/>
  <c r="C120" i="28"/>
  <c r="K120" i="28"/>
  <c r="A121" i="28"/>
  <c r="B121" i="28" s="1"/>
  <c r="K121" i="28"/>
  <c r="M116" i="69"/>
  <c r="M83" i="69"/>
  <c r="M84" i="69"/>
  <c r="M85" i="69"/>
  <c r="M86" i="69"/>
  <c r="M87" i="69"/>
  <c r="F84" i="69"/>
  <c r="G84" i="69"/>
  <c r="H84" i="69"/>
  <c r="I84" i="69"/>
  <c r="J84" i="69"/>
  <c r="K84" i="69"/>
  <c r="F85" i="69"/>
  <c r="G85" i="69"/>
  <c r="H85" i="69"/>
  <c r="I85" i="69"/>
  <c r="J85" i="69"/>
  <c r="K85" i="69"/>
  <c r="F86" i="69"/>
  <c r="G86" i="69"/>
  <c r="H86" i="69"/>
  <c r="I86" i="69"/>
  <c r="J86" i="69"/>
  <c r="K86" i="69"/>
  <c r="F87" i="69"/>
  <c r="G87" i="69"/>
  <c r="H87" i="69"/>
  <c r="I87" i="69"/>
  <c r="J87" i="69"/>
  <c r="K87" i="69"/>
  <c r="L86" i="69"/>
  <c r="L85" i="69"/>
  <c r="L87" i="69"/>
  <c r="L84" i="69"/>
  <c r="L83" i="69"/>
  <c r="F124" i="69" s="1"/>
  <c r="F83" i="69"/>
  <c r="G83" i="69"/>
  <c r="H83" i="69"/>
  <c r="I83" i="69"/>
  <c r="J83" i="69"/>
  <c r="K83" i="69"/>
  <c r="L69" i="69"/>
  <c r="Q82" i="69"/>
  <c r="R82" i="69"/>
  <c r="M73" i="69"/>
  <c r="M72" i="69"/>
  <c r="M71" i="69"/>
  <c r="M70" i="69"/>
  <c r="M69" i="69"/>
  <c r="M36" i="69"/>
  <c r="M35" i="69"/>
  <c r="M34" i="69"/>
  <c r="L36" i="69"/>
  <c r="L35" i="69"/>
  <c r="L34" i="69"/>
  <c r="L33" i="69"/>
  <c r="M33" i="69"/>
  <c r="M32" i="69"/>
  <c r="L32" i="69"/>
  <c r="AD7" i="68"/>
  <c r="AD8" i="68"/>
  <c r="AD9" i="68"/>
  <c r="AD10" i="68"/>
  <c r="AD11" i="68"/>
  <c r="AD12" i="68"/>
  <c r="AD13" i="68"/>
  <c r="AD14" i="68"/>
  <c r="AD15" i="68"/>
  <c r="AD16" i="68"/>
  <c r="AD17" i="68"/>
  <c r="AD18" i="68"/>
  <c r="AD19" i="68"/>
  <c r="AD20" i="68"/>
  <c r="AD21" i="68"/>
  <c r="AD22" i="68"/>
  <c r="AD23" i="68"/>
  <c r="AD24" i="68"/>
  <c r="AD25" i="68"/>
  <c r="AD26" i="68"/>
  <c r="AD27" i="68"/>
  <c r="AD28" i="68"/>
  <c r="AD29" i="68"/>
  <c r="AD30" i="68"/>
  <c r="AD31" i="68"/>
  <c r="AD32" i="68"/>
  <c r="AD33" i="68"/>
  <c r="AD34" i="68"/>
  <c r="AD6" i="68"/>
  <c r="M97" i="68"/>
  <c r="M98" i="68"/>
  <c r="M99" i="68"/>
  <c r="C5" i="68"/>
  <c r="C6" i="68"/>
  <c r="C7" i="68"/>
  <c r="C8" i="68"/>
  <c r="C9" i="68"/>
  <c r="C10" i="68"/>
  <c r="C11" i="68"/>
  <c r="C12" i="68"/>
  <c r="C13" i="68"/>
  <c r="C14" i="68"/>
  <c r="C15" i="68"/>
  <c r="C16" i="68"/>
  <c r="C17" i="68"/>
  <c r="C18" i="68"/>
  <c r="C19" i="68"/>
  <c r="C20" i="68"/>
  <c r="C21" i="68"/>
  <c r="C22" i="68"/>
  <c r="C23" i="68"/>
  <c r="C24" i="68"/>
  <c r="C25" i="68"/>
  <c r="C26" i="68"/>
  <c r="C27" i="68"/>
  <c r="C28" i="68"/>
  <c r="C29" i="68"/>
  <c r="C30" i="68"/>
  <c r="C31" i="68"/>
  <c r="C32" i="68"/>
  <c r="C33" i="68"/>
  <c r="C4" i="68"/>
  <c r="M94" i="68"/>
  <c r="O94" i="68"/>
  <c r="P94" i="68"/>
  <c r="Q94" i="68"/>
  <c r="R94" i="68"/>
  <c r="S94" i="68"/>
  <c r="T94" i="68"/>
  <c r="M95" i="68"/>
  <c r="O95" i="68"/>
  <c r="P95" i="68"/>
  <c r="Q95" i="68"/>
  <c r="R95" i="68"/>
  <c r="S95" i="68"/>
  <c r="T95" i="68"/>
  <c r="M96" i="68"/>
  <c r="O96" i="68"/>
  <c r="P96" i="68"/>
  <c r="Q96" i="68"/>
  <c r="R96" i="68"/>
  <c r="S96" i="68"/>
  <c r="T96" i="68"/>
  <c r="AB116" i="67"/>
  <c r="AA116" i="67"/>
  <c r="AA117" i="67"/>
  <c r="AA121" i="67"/>
  <c r="Z119" i="67"/>
  <c r="I119" i="75" s="1"/>
  <c r="Z120" i="67"/>
  <c r="I120" i="75" s="1"/>
  <c r="Z121" i="67"/>
  <c r="G121" i="38" s="1"/>
  <c r="N121" i="38" s="1"/>
  <c r="Z118" i="67"/>
  <c r="I118" i="75" s="1"/>
  <c r="AO116" i="67"/>
  <c r="AP116" i="67"/>
  <c r="CN116" i="67" s="1"/>
  <c r="AQ116" i="67"/>
  <c r="CA116" i="67" s="1"/>
  <c r="AR116" i="67"/>
  <c r="CB116" i="67" s="1"/>
  <c r="AS116" i="67"/>
  <c r="CQ116" i="67" s="1"/>
  <c r="AT116" i="67"/>
  <c r="CR116" i="67" s="1"/>
  <c r="AU116" i="67"/>
  <c r="CS116" i="67" s="1"/>
  <c r="AV116" i="67"/>
  <c r="CT116" i="67" s="1"/>
  <c r="AW116" i="67"/>
  <c r="CG116" i="67" s="1"/>
  <c r="AX116" i="67"/>
  <c r="CV116" i="67" s="1"/>
  <c r="AY116" i="67"/>
  <c r="CI116" i="67" s="1"/>
  <c r="AZ116" i="67"/>
  <c r="G116" i="77" s="1"/>
  <c r="BA116" i="67"/>
  <c r="CK116" i="67" s="1"/>
  <c r="BB116" i="67"/>
  <c r="CZ116" i="67" s="1"/>
  <c r="BC116" i="67"/>
  <c r="DA116" i="67" s="1"/>
  <c r="CJ116" i="67"/>
  <c r="CL116" i="67"/>
  <c r="AO117" i="67"/>
  <c r="AP117" i="67"/>
  <c r="BZ117" i="67" s="1"/>
  <c r="AQ117" i="67"/>
  <c r="CO117" i="67" s="1"/>
  <c r="AR117" i="67"/>
  <c r="CB117" i="67" s="1"/>
  <c r="AS117" i="67"/>
  <c r="CC117" i="67" s="1"/>
  <c r="AT117" i="67"/>
  <c r="CD117" i="67" s="1"/>
  <c r="AU117" i="67"/>
  <c r="AV117" i="67"/>
  <c r="G117" i="75" s="1"/>
  <c r="AW117" i="67"/>
  <c r="H117" i="77" s="1"/>
  <c r="AX117" i="67"/>
  <c r="CV117" i="67" s="1"/>
  <c r="AY117" i="67"/>
  <c r="AZ117" i="67"/>
  <c r="G117" i="77" s="1"/>
  <c r="BA117" i="67"/>
  <c r="CK117" i="67" s="1"/>
  <c r="BB117" i="67"/>
  <c r="CZ117" i="67" s="1"/>
  <c r="BC117" i="67"/>
  <c r="DA117" i="67" s="1"/>
  <c r="CP117" i="67"/>
  <c r="CU117" i="67"/>
  <c r="CX117" i="67"/>
  <c r="AO118" i="67"/>
  <c r="AP118" i="67"/>
  <c r="BZ118" i="67" s="1"/>
  <c r="AQ118" i="67"/>
  <c r="CO118" i="67" s="1"/>
  <c r="AR118" i="67"/>
  <c r="CP118" i="67" s="1"/>
  <c r="AS118" i="67"/>
  <c r="CC118" i="67" s="1"/>
  <c r="AT118" i="67"/>
  <c r="CD118" i="67" s="1"/>
  <c r="AU118" i="67"/>
  <c r="CS118" i="67" s="1"/>
  <c r="AV118" i="67"/>
  <c r="CT118" i="67" s="1"/>
  <c r="AW118" i="67"/>
  <c r="CU118" i="67" s="1"/>
  <c r="AX118" i="67"/>
  <c r="CV118" i="67" s="1"/>
  <c r="AY118" i="67"/>
  <c r="CI118" i="67" s="1"/>
  <c r="AZ118" i="67"/>
  <c r="G118" i="77" s="1"/>
  <c r="BA118" i="67"/>
  <c r="CY118" i="67" s="1"/>
  <c r="BB118" i="67"/>
  <c r="CZ118" i="67" s="1"/>
  <c r="BC118" i="67"/>
  <c r="CM118" i="67" s="1"/>
  <c r="AO119" i="67"/>
  <c r="AP119" i="67"/>
  <c r="BZ119" i="67" s="1"/>
  <c r="AQ119" i="67"/>
  <c r="CO119" i="67" s="1"/>
  <c r="AR119" i="67"/>
  <c r="CB119" i="67" s="1"/>
  <c r="AS119" i="67"/>
  <c r="CC119" i="67" s="1"/>
  <c r="AT119" i="67"/>
  <c r="CR119" i="67" s="1"/>
  <c r="AU119" i="67"/>
  <c r="CE119" i="67" s="1"/>
  <c r="AV119" i="67"/>
  <c r="AW119" i="67"/>
  <c r="H119" i="75" s="1"/>
  <c r="AX119" i="67"/>
  <c r="CH119" i="67" s="1"/>
  <c r="AY119" i="67"/>
  <c r="CI119" i="67" s="1"/>
  <c r="AZ119" i="67"/>
  <c r="BA119" i="67"/>
  <c r="CY119" i="67" s="1"/>
  <c r="BB119" i="67"/>
  <c r="CL119" i="67" s="1"/>
  <c r="BC119" i="67"/>
  <c r="CM119" i="67" s="1"/>
  <c r="CW119" i="67"/>
  <c r="AO120" i="67"/>
  <c r="AP120" i="67"/>
  <c r="CN120" i="67" s="1"/>
  <c r="AQ120" i="67"/>
  <c r="CO120" i="67" s="1"/>
  <c r="AR120" i="67"/>
  <c r="CB120" i="67" s="1"/>
  <c r="AS120" i="67"/>
  <c r="CQ120" i="67" s="1"/>
  <c r="AT120" i="67"/>
  <c r="CR120" i="67" s="1"/>
  <c r="AU120" i="67"/>
  <c r="AV120" i="67"/>
  <c r="CF120" i="67" s="1"/>
  <c r="AW120" i="67"/>
  <c r="CU120" i="67" s="1"/>
  <c r="AX120" i="67"/>
  <c r="CV120" i="67" s="1"/>
  <c r="AY120" i="67"/>
  <c r="CW120" i="67" s="1"/>
  <c r="AZ120" i="67"/>
  <c r="CX120" i="67" s="1"/>
  <c r="BA120" i="67"/>
  <c r="CY120" i="67" s="1"/>
  <c r="BB120" i="67"/>
  <c r="CL120" i="67" s="1"/>
  <c r="BC120" i="67"/>
  <c r="CM120" i="67" s="1"/>
  <c r="CD120" i="67"/>
  <c r="AO121" i="67"/>
  <c r="AP121" i="67"/>
  <c r="CN121" i="67" s="1"/>
  <c r="AQ121" i="67"/>
  <c r="CO121" i="67" s="1"/>
  <c r="AR121" i="67"/>
  <c r="CB121" i="67" s="1"/>
  <c r="AS121" i="67"/>
  <c r="CC121" i="67" s="1"/>
  <c r="AT121" i="67"/>
  <c r="CR121" i="67" s="1"/>
  <c r="AU121" i="67"/>
  <c r="CE121" i="67" s="1"/>
  <c r="AV121" i="67"/>
  <c r="G121" i="75" s="1"/>
  <c r="AW121" i="67"/>
  <c r="F121" i="30" s="1"/>
  <c r="N121" i="30" s="1"/>
  <c r="AX121" i="67"/>
  <c r="CH121" i="67" s="1"/>
  <c r="AY121" i="67"/>
  <c r="AZ121" i="67"/>
  <c r="CX121" i="67" s="1"/>
  <c r="BA121" i="67"/>
  <c r="CK121" i="67" s="1"/>
  <c r="BB121" i="67"/>
  <c r="CZ121" i="67" s="1"/>
  <c r="BC121" i="67"/>
  <c r="DA121" i="67" s="1"/>
  <c r="W116" i="67"/>
  <c r="Y116" i="67"/>
  <c r="Z116" i="67"/>
  <c r="AC116" i="67"/>
  <c r="AD116" i="67"/>
  <c r="AE116" i="67"/>
  <c r="AF116" i="67"/>
  <c r="AG116" i="67"/>
  <c r="AH116" i="67"/>
  <c r="W117" i="67"/>
  <c r="Y117" i="67"/>
  <c r="Z117" i="67"/>
  <c r="G117" i="28" s="1"/>
  <c r="N117" i="28" s="1"/>
  <c r="AB117" i="67"/>
  <c r="AC117" i="67"/>
  <c r="AD117" i="67"/>
  <c r="AE117" i="67"/>
  <c r="AF117" i="67"/>
  <c r="AG117" i="67"/>
  <c r="AH117" i="67"/>
  <c r="W118" i="67"/>
  <c r="Y118" i="67"/>
  <c r="AA118" i="67"/>
  <c r="AB118" i="67"/>
  <c r="AC118" i="67"/>
  <c r="AD118" i="67"/>
  <c r="AE118" i="67"/>
  <c r="AF118" i="67"/>
  <c r="AG118" i="67"/>
  <c r="AH118" i="67"/>
  <c r="W119" i="67"/>
  <c r="Y119" i="67"/>
  <c r="AA119" i="67"/>
  <c r="AB119" i="67"/>
  <c r="AC119" i="67"/>
  <c r="AD119" i="67"/>
  <c r="AE119" i="67"/>
  <c r="AF119" i="67"/>
  <c r="AG119" i="67"/>
  <c r="AH119" i="67"/>
  <c r="W120" i="67"/>
  <c r="Y120" i="67"/>
  <c r="AA120" i="67"/>
  <c r="AB120" i="67"/>
  <c r="AC120" i="67"/>
  <c r="AD120" i="67"/>
  <c r="AE120" i="67"/>
  <c r="AF120" i="67"/>
  <c r="AG120" i="67"/>
  <c r="AH120" i="67"/>
  <c r="W121" i="67"/>
  <c r="Y121" i="67"/>
  <c r="AB121" i="67"/>
  <c r="AC121" i="67"/>
  <c r="AD121" i="67"/>
  <c r="AE121" i="67"/>
  <c r="AF121" i="67"/>
  <c r="AG121" i="67"/>
  <c r="AH121" i="67"/>
  <c r="M41" i="69" l="1"/>
  <c r="M82" i="69"/>
  <c r="G118" i="38"/>
  <c r="N118" i="38" s="1"/>
  <c r="G120" i="28"/>
  <c r="N120" i="28" s="1"/>
  <c r="I121" i="75"/>
  <c r="G121" i="28"/>
  <c r="N121" i="28" s="1"/>
  <c r="L35" i="23"/>
  <c r="T33" i="23"/>
  <c r="G116" i="75"/>
  <c r="H120" i="76"/>
  <c r="F120" i="28"/>
  <c r="M120" i="28" s="1"/>
  <c r="CF121" i="67"/>
  <c r="CP120" i="67"/>
  <c r="F120" i="32"/>
  <c r="N120" i="32" s="1"/>
  <c r="CZ119" i="67"/>
  <c r="CX116" i="67"/>
  <c r="F116" i="28"/>
  <c r="M116" i="28" s="1"/>
  <c r="CD119" i="67"/>
  <c r="CB118" i="67"/>
  <c r="E120" i="28"/>
  <c r="L120" i="28" s="1"/>
  <c r="G120" i="76"/>
  <c r="CQ117" i="67"/>
  <c r="E121" i="30"/>
  <c r="M121" i="30" s="1"/>
  <c r="CW116" i="67"/>
  <c r="H118" i="76"/>
  <c r="F116" i="30"/>
  <c r="N116" i="30" s="1"/>
  <c r="F117" i="32"/>
  <c r="N117" i="32" s="1"/>
  <c r="G118" i="76"/>
  <c r="E116" i="30"/>
  <c r="M116" i="30" s="1"/>
  <c r="F120" i="30"/>
  <c r="N120" i="30" s="1"/>
  <c r="F118" i="28"/>
  <c r="M118" i="28" s="1"/>
  <c r="E120" i="30"/>
  <c r="M120" i="30" s="1"/>
  <c r="F116" i="32"/>
  <c r="N116" i="32" s="1"/>
  <c r="H116" i="76"/>
  <c r="E118" i="28"/>
  <c r="L118" i="28" s="1"/>
  <c r="E121" i="32"/>
  <c r="M121" i="32" s="1"/>
  <c r="E116" i="32"/>
  <c r="M116" i="32" s="1"/>
  <c r="H120" i="75"/>
  <c r="G116" i="76"/>
  <c r="G120" i="75"/>
  <c r="H120" i="77"/>
  <c r="CY121" i="67"/>
  <c r="DA120" i="67"/>
  <c r="D31" i="23"/>
  <c r="L34" i="23"/>
  <c r="D32" i="23"/>
  <c r="H33" i="23"/>
  <c r="T32" i="23"/>
  <c r="P32" i="23"/>
  <c r="T34" i="23"/>
  <c r="P33" i="23"/>
  <c r="C121" i="30"/>
  <c r="B117" i="30"/>
  <c r="C120" i="30"/>
  <c r="B119" i="30"/>
  <c r="CG121" i="67"/>
  <c r="H121" i="75"/>
  <c r="H121" i="77"/>
  <c r="G116" i="38"/>
  <c r="N116" i="38" s="1"/>
  <c r="I116" i="75"/>
  <c r="CT121" i="67"/>
  <c r="CW121" i="67"/>
  <c r="CI121" i="67"/>
  <c r="BZ120" i="67"/>
  <c r="E117" i="28"/>
  <c r="L117" i="28" s="1"/>
  <c r="G117" i="76"/>
  <c r="E117" i="30"/>
  <c r="M117" i="30" s="1"/>
  <c r="CF117" i="67"/>
  <c r="G121" i="76"/>
  <c r="CE120" i="67"/>
  <c r="CS120" i="67"/>
  <c r="G117" i="38"/>
  <c r="N117" i="38" s="1"/>
  <c r="F121" i="32"/>
  <c r="N121" i="32" s="1"/>
  <c r="I117" i="75"/>
  <c r="H117" i="75"/>
  <c r="H34" i="23"/>
  <c r="H35" i="23"/>
  <c r="CU119" i="67"/>
  <c r="H119" i="76"/>
  <c r="F119" i="30"/>
  <c r="N119" i="30" s="1"/>
  <c r="F119" i="32"/>
  <c r="N119" i="32" s="1"/>
  <c r="F119" i="28"/>
  <c r="M119" i="28" s="1"/>
  <c r="CG119" i="67"/>
  <c r="H119" i="77"/>
  <c r="CV119" i="67"/>
  <c r="CL118" i="67"/>
  <c r="CX118" i="67"/>
  <c r="E118" i="32"/>
  <c r="M118" i="32" s="1"/>
  <c r="CJ117" i="67"/>
  <c r="E117" i="32"/>
  <c r="M117" i="32" s="1"/>
  <c r="G120" i="77"/>
  <c r="CF119" i="67"/>
  <c r="G119" i="76"/>
  <c r="E119" i="30"/>
  <c r="M119" i="30" s="1"/>
  <c r="E119" i="28"/>
  <c r="L119" i="28" s="1"/>
  <c r="G119" i="75"/>
  <c r="E121" i="28"/>
  <c r="L121" i="28" s="1"/>
  <c r="DA118" i="67"/>
  <c r="CT117" i="67"/>
  <c r="CM116" i="67"/>
  <c r="CN118" i="67"/>
  <c r="CR117" i="67"/>
  <c r="CT119" i="67"/>
  <c r="CS117" i="67"/>
  <c r="CE117" i="67"/>
  <c r="G119" i="28"/>
  <c r="N119" i="28" s="1"/>
  <c r="G119" i="38"/>
  <c r="N119" i="38" s="1"/>
  <c r="F121" i="28"/>
  <c r="M121" i="28" s="1"/>
  <c r="CK118" i="67"/>
  <c r="CW117" i="67"/>
  <c r="CI117" i="67"/>
  <c r="CV121" i="67"/>
  <c r="CS119" i="67"/>
  <c r="CX119" i="67"/>
  <c r="G119" i="77"/>
  <c r="E119" i="32"/>
  <c r="M119" i="32" s="1"/>
  <c r="BZ116" i="67"/>
  <c r="E120" i="32"/>
  <c r="M120" i="32" s="1"/>
  <c r="G116" i="28"/>
  <c r="N116" i="28" s="1"/>
  <c r="CU121" i="67"/>
  <c r="G121" i="77"/>
  <c r="CJ121" i="67"/>
  <c r="CA120" i="67"/>
  <c r="CG117" i="67"/>
  <c r="F117" i="28"/>
  <c r="M117" i="28" s="1"/>
  <c r="H117" i="76"/>
  <c r="F117" i="30"/>
  <c r="N117" i="30" s="1"/>
  <c r="B118" i="30"/>
  <c r="H121" i="76"/>
  <c r="C116" i="30"/>
  <c r="F118" i="32"/>
  <c r="N118" i="32" s="1"/>
  <c r="C117" i="32"/>
  <c r="P35" i="23"/>
  <c r="P31" i="23"/>
  <c r="H118" i="75"/>
  <c r="H116" i="77"/>
  <c r="F118" i="30"/>
  <c r="N118" i="30" s="1"/>
  <c r="G118" i="75"/>
  <c r="CQ118" i="67"/>
  <c r="CY116" i="67"/>
  <c r="E118" i="30"/>
  <c r="M118" i="30" s="1"/>
  <c r="H118" i="77"/>
  <c r="H31" i="23"/>
  <c r="H32" i="23"/>
  <c r="D34" i="23"/>
  <c r="CM121" i="67"/>
  <c r="CK119" i="67"/>
  <c r="E116" i="28"/>
  <c r="L116" i="28" s="1"/>
  <c r="H116" i="75"/>
  <c r="L33" i="23"/>
  <c r="P34" i="23"/>
  <c r="D33" i="23"/>
  <c r="L31" i="23"/>
  <c r="T31" i="23"/>
  <c r="D35" i="23"/>
  <c r="C119" i="32"/>
  <c r="C120" i="32"/>
  <c r="C116" i="32"/>
  <c r="B117" i="28"/>
  <c r="C121" i="28"/>
  <c r="C116" i="28"/>
  <c r="C119" i="28"/>
  <c r="C118" i="28"/>
  <c r="CA117" i="67"/>
  <c r="CD121" i="67"/>
  <c r="CK120" i="67"/>
  <c r="CZ120" i="67"/>
  <c r="CQ119" i="67"/>
  <c r="CH118" i="67"/>
  <c r="CF116" i="67"/>
  <c r="CI120" i="67"/>
  <c r="CE116" i="67"/>
  <c r="CQ121" i="67"/>
  <c r="CH120" i="67"/>
  <c r="CF118" i="67"/>
  <c r="CM117" i="67"/>
  <c r="CE118" i="67"/>
  <c r="CT120" i="67"/>
  <c r="CC120" i="67"/>
  <c r="CJ119" i="67"/>
  <c r="CA118" i="67"/>
  <c r="CH117" i="67"/>
  <c r="CO116" i="67"/>
  <c r="CS121" i="67"/>
  <c r="CA119" i="67"/>
  <c r="CP119" i="67"/>
  <c r="CW118" i="67"/>
  <c r="CU116" i="67"/>
  <c r="CP121" i="67"/>
  <c r="CN119" i="67"/>
  <c r="CR118" i="67"/>
  <c r="CY117" i="67"/>
  <c r="CP116" i="67"/>
  <c r="CL121" i="67"/>
  <c r="CJ118" i="67"/>
  <c r="CH116" i="67"/>
  <c r="CJ120" i="67"/>
  <c r="CL117" i="67"/>
  <c r="CG118" i="67"/>
  <c r="CN117" i="67"/>
  <c r="CA121" i="67"/>
  <c r="CD116" i="67"/>
  <c r="BZ121" i="67"/>
  <c r="CG120" i="67"/>
  <c r="DA119" i="67"/>
  <c r="CC116" i="67"/>
  <c r="R98" i="68" l="1"/>
  <c r="R99" i="68"/>
  <c r="R97" i="68"/>
  <c r="O98" i="68" l="1"/>
  <c r="O99" i="68"/>
  <c r="O97" i="68"/>
  <c r="T98" i="68"/>
  <c r="T97" i="68"/>
  <c r="T99" i="68"/>
  <c r="S98" i="68"/>
  <c r="S99" i="68"/>
  <c r="S97" i="68"/>
  <c r="P98" i="68" l="1"/>
  <c r="P97" i="68"/>
  <c r="P99" i="68"/>
  <c r="Q99" i="68"/>
  <c r="Q98" i="68"/>
  <c r="Q97" i="68"/>
  <c r="B116" i="67" l="1"/>
  <c r="C116" i="67"/>
  <c r="B117" i="67"/>
  <c r="C117" i="67"/>
  <c r="B118" i="67"/>
  <c r="C118" i="67"/>
  <c r="B119" i="67"/>
  <c r="C119" i="67"/>
  <c r="B120" i="67"/>
  <c r="C120" i="67"/>
  <c r="B121" i="67"/>
  <c r="C121" i="67"/>
  <c r="B308" i="4"/>
  <c r="C308" i="4"/>
  <c r="B309" i="4"/>
  <c r="C309" i="4"/>
  <c r="B310" i="4"/>
  <c r="C310" i="4"/>
  <c r="B311" i="4"/>
  <c r="C311" i="4"/>
  <c r="B312" i="4"/>
  <c r="C312" i="4"/>
  <c r="B313" i="4"/>
  <c r="C313" i="4"/>
  <c r="Q14" i="72"/>
  <c r="R14" i="72"/>
  <c r="S14" i="72"/>
  <c r="T14" i="72"/>
  <c r="U14" i="72"/>
  <c r="P14" i="72"/>
  <c r="P36" i="72" l="1"/>
  <c r="N82" i="69" l="1"/>
  <c r="O82" i="69" s="1"/>
  <c r="P82" i="69" s="1"/>
  <c r="K33" i="71" l="1"/>
  <c r="K26" i="71" s="1"/>
  <c r="R16" i="65"/>
  <c r="U12" i="65"/>
  <c r="DR1" i="4" l="1"/>
  <c r="DQ1" i="4"/>
  <c r="DP1" i="4"/>
  <c r="U193" i="4"/>
  <c r="T193" i="4"/>
  <c r="S193" i="4"/>
  <c r="S24" i="23"/>
  <c r="S25" i="23"/>
  <c r="S26" i="23"/>
  <c r="S27" i="23"/>
  <c r="S28" i="23"/>
  <c r="S29" i="23"/>
  <c r="T30" i="23" s="1"/>
  <c r="O24" i="23"/>
  <c r="O25" i="23"/>
  <c r="O26" i="23"/>
  <c r="O27" i="23"/>
  <c r="O28" i="23"/>
  <c r="O29" i="23"/>
  <c r="P30" i="23" s="1"/>
  <c r="K24" i="23"/>
  <c r="K25" i="23"/>
  <c r="K26" i="23"/>
  <c r="K27" i="23"/>
  <c r="K28" i="23"/>
  <c r="K29" i="23"/>
  <c r="L30" i="23" s="1"/>
  <c r="G24" i="23"/>
  <c r="G25" i="23"/>
  <c r="G26" i="23"/>
  <c r="G27" i="23"/>
  <c r="G28" i="23"/>
  <c r="G29" i="23"/>
  <c r="H30" i="23" s="1"/>
  <c r="C24" i="23"/>
  <c r="C25" i="23"/>
  <c r="C26" i="23"/>
  <c r="C27" i="23"/>
  <c r="C28" i="23"/>
  <c r="C29" i="23"/>
  <c r="D30" i="23" s="1"/>
  <c r="A2" i="77"/>
  <c r="B2" i="77" s="1"/>
  <c r="A3" i="77"/>
  <c r="C3" i="77" s="1"/>
  <c r="A4" i="77"/>
  <c r="C4" i="77" s="1"/>
  <c r="A5" i="77"/>
  <c r="B5" i="77" s="1"/>
  <c r="A6" i="77"/>
  <c r="B6" i="77" s="1"/>
  <c r="A7" i="77"/>
  <c r="B7" i="77" s="1"/>
  <c r="A8" i="77"/>
  <c r="B8" i="77" s="1"/>
  <c r="A9" i="77"/>
  <c r="A10" i="77"/>
  <c r="B10" i="77" s="1"/>
  <c r="A11" i="77"/>
  <c r="C11" i="77" s="1"/>
  <c r="A12" i="77"/>
  <c r="A13" i="77"/>
  <c r="B13" i="77" s="1"/>
  <c r="A14" i="77"/>
  <c r="B14" i="77" s="1"/>
  <c r="A15" i="77"/>
  <c r="C15" i="77" s="1"/>
  <c r="A16" i="77"/>
  <c r="C16" i="77" s="1"/>
  <c r="A17" i="77"/>
  <c r="B17" i="77" s="1"/>
  <c r="A18" i="77"/>
  <c r="B18" i="77" s="1"/>
  <c r="A19" i="77"/>
  <c r="B19" i="77" s="1"/>
  <c r="A20" i="77"/>
  <c r="B20" i="77" s="1"/>
  <c r="A21" i="77"/>
  <c r="B21" i="77" s="1"/>
  <c r="A22" i="77"/>
  <c r="B22" i="77" s="1"/>
  <c r="A23" i="77"/>
  <c r="C23" i="77" s="1"/>
  <c r="A24" i="77"/>
  <c r="B24" i="77" s="1"/>
  <c r="A25" i="77"/>
  <c r="B25" i="77" s="1"/>
  <c r="A26" i="77"/>
  <c r="A27" i="77"/>
  <c r="B27" i="77" s="1"/>
  <c r="A28" i="77"/>
  <c r="C28" i="77" s="1"/>
  <c r="A29" i="77"/>
  <c r="A30" i="77"/>
  <c r="B30" i="77" s="1"/>
  <c r="A31" i="77"/>
  <c r="C31" i="77" s="1"/>
  <c r="A32" i="77"/>
  <c r="B32" i="77" s="1"/>
  <c r="A33" i="77"/>
  <c r="C33" i="77" s="1"/>
  <c r="A34" i="77"/>
  <c r="B34" i="77" s="1"/>
  <c r="A35" i="77"/>
  <c r="B35" i="77" s="1"/>
  <c r="A36" i="77"/>
  <c r="A37" i="77"/>
  <c r="B37" i="77" s="1"/>
  <c r="A38" i="77"/>
  <c r="B38" i="77" s="1"/>
  <c r="A39" i="77"/>
  <c r="A40" i="77"/>
  <c r="C40" i="77" s="1"/>
  <c r="A41" i="77"/>
  <c r="B41" i="77" s="1"/>
  <c r="A42" i="77"/>
  <c r="B42" i="77" s="1"/>
  <c r="A43" i="77"/>
  <c r="B43" i="77" s="1"/>
  <c r="A44" i="77"/>
  <c r="B44" i="77" s="1"/>
  <c r="A45" i="77"/>
  <c r="C45" i="77" s="1"/>
  <c r="A46" i="77"/>
  <c r="A47" i="77"/>
  <c r="B47" i="77" s="1"/>
  <c r="A48" i="77"/>
  <c r="B48" i="77" s="1"/>
  <c r="A49" i="77"/>
  <c r="C49" i="77" s="1"/>
  <c r="A50" i="77"/>
  <c r="B50" i="77" s="1"/>
  <c r="A51" i="77"/>
  <c r="B51" i="77" s="1"/>
  <c r="A52" i="77"/>
  <c r="A53" i="77"/>
  <c r="C53" i="77" s="1"/>
  <c r="A54" i="77"/>
  <c r="B54" i="77" s="1"/>
  <c r="A55" i="77"/>
  <c r="B55" i="77" s="1"/>
  <c r="A56" i="77"/>
  <c r="B56" i="77" s="1"/>
  <c r="A57" i="77"/>
  <c r="C57" i="77" s="1"/>
  <c r="A58" i="77"/>
  <c r="B58" i="77" s="1"/>
  <c r="A59" i="77"/>
  <c r="A60" i="77"/>
  <c r="B60" i="77" s="1"/>
  <c r="A61" i="77"/>
  <c r="A62" i="77"/>
  <c r="A63" i="77"/>
  <c r="A64" i="77"/>
  <c r="A65" i="77"/>
  <c r="A66" i="77"/>
  <c r="B66" i="77" s="1"/>
  <c r="A67" i="77"/>
  <c r="B67" i="77" s="1"/>
  <c r="A68" i="77"/>
  <c r="C68" i="77" s="1"/>
  <c r="A69" i="77"/>
  <c r="B69" i="77" s="1"/>
  <c r="A70" i="77"/>
  <c r="B70" i="77" s="1"/>
  <c r="A71" i="77"/>
  <c r="B71" i="77" s="1"/>
  <c r="A72" i="77"/>
  <c r="C72" i="77" s="1"/>
  <c r="A73" i="77"/>
  <c r="C73" i="77" s="1"/>
  <c r="A74" i="77"/>
  <c r="A75" i="77"/>
  <c r="A76" i="77"/>
  <c r="A77" i="77"/>
  <c r="A78" i="77"/>
  <c r="B78" i="77" s="1"/>
  <c r="A79" i="77"/>
  <c r="C79" i="77" s="1"/>
  <c r="A80" i="77"/>
  <c r="B80" i="77" s="1"/>
  <c r="A81" i="77"/>
  <c r="C81" i="77" s="1"/>
  <c r="A82" i="77"/>
  <c r="B82" i="77" s="1"/>
  <c r="A83" i="77"/>
  <c r="C83" i="77" s="1"/>
  <c r="A84" i="77"/>
  <c r="B84" i="77" s="1"/>
  <c r="A85" i="77"/>
  <c r="A86" i="77"/>
  <c r="B86" i="77" s="1"/>
  <c r="A87" i="77"/>
  <c r="A88" i="77"/>
  <c r="B88" i="77" s="1"/>
  <c r="A89" i="77"/>
  <c r="B89" i="77" s="1"/>
  <c r="A90" i="77"/>
  <c r="B90" i="77" s="1"/>
  <c r="A91" i="77"/>
  <c r="C91" i="77" s="1"/>
  <c r="A92" i="77"/>
  <c r="A93" i="77"/>
  <c r="B93" i="77" s="1"/>
  <c r="A94" i="77"/>
  <c r="B94" i="77" s="1"/>
  <c r="A95" i="77"/>
  <c r="B95" i="77" s="1"/>
  <c r="A96" i="77"/>
  <c r="C96" i="77" s="1"/>
  <c r="A97" i="77"/>
  <c r="A98" i="77"/>
  <c r="A99" i="77"/>
  <c r="A100" i="77"/>
  <c r="B100" i="77" s="1"/>
  <c r="A101" i="77"/>
  <c r="B101" i="77" s="1"/>
  <c r="A102" i="77"/>
  <c r="B102" i="77" s="1"/>
  <c r="A103" i="77"/>
  <c r="A104" i="77"/>
  <c r="C104" i="77" s="1"/>
  <c r="A105" i="77"/>
  <c r="B105" i="77" s="1"/>
  <c r="A106" i="77"/>
  <c r="B106" i="77" s="1"/>
  <c r="A107" i="77"/>
  <c r="B107" i="77" s="1"/>
  <c r="A108" i="77"/>
  <c r="B108" i="77" s="1"/>
  <c r="A109" i="77"/>
  <c r="A110" i="77"/>
  <c r="B110" i="77" s="1"/>
  <c r="A111" i="77"/>
  <c r="A112" i="77"/>
  <c r="B112" i="77" s="1"/>
  <c r="A113" i="77"/>
  <c r="C113" i="77" s="1"/>
  <c r="A114" i="77"/>
  <c r="B114" i="77" s="1"/>
  <c r="A115" i="77"/>
  <c r="B115" i="77" s="1"/>
  <c r="J2" i="77"/>
  <c r="K2" i="77"/>
  <c r="J3" i="77"/>
  <c r="K3" i="77"/>
  <c r="J4" i="77"/>
  <c r="K4" i="77"/>
  <c r="J5" i="77"/>
  <c r="K5" i="77"/>
  <c r="J6" i="77"/>
  <c r="K6" i="77"/>
  <c r="J7" i="77"/>
  <c r="K7" i="77"/>
  <c r="J8" i="77"/>
  <c r="K8" i="77"/>
  <c r="J9" i="77"/>
  <c r="K9" i="77"/>
  <c r="J10" i="77"/>
  <c r="K10" i="77"/>
  <c r="J11" i="77"/>
  <c r="K11" i="77"/>
  <c r="J12" i="77"/>
  <c r="K12" i="77"/>
  <c r="J13" i="77"/>
  <c r="K13" i="77"/>
  <c r="J14" i="77"/>
  <c r="K14" i="77"/>
  <c r="J15" i="77"/>
  <c r="K15" i="77"/>
  <c r="J16" i="77"/>
  <c r="K16" i="77"/>
  <c r="J17" i="77"/>
  <c r="K17" i="77"/>
  <c r="J18" i="77"/>
  <c r="K18" i="77"/>
  <c r="J19" i="77"/>
  <c r="K19" i="77"/>
  <c r="J20" i="77"/>
  <c r="K20" i="77"/>
  <c r="J21" i="77"/>
  <c r="K21" i="77"/>
  <c r="J22" i="77"/>
  <c r="K22" i="77"/>
  <c r="J23" i="77"/>
  <c r="K23" i="77"/>
  <c r="J24" i="77"/>
  <c r="K24" i="77"/>
  <c r="J25" i="77"/>
  <c r="K25" i="77"/>
  <c r="J26" i="77"/>
  <c r="K26" i="77"/>
  <c r="J27" i="77"/>
  <c r="K27" i="77"/>
  <c r="J28" i="77"/>
  <c r="K28" i="77"/>
  <c r="J29" i="77"/>
  <c r="K29" i="77"/>
  <c r="J30" i="77"/>
  <c r="K30" i="77"/>
  <c r="J31" i="77"/>
  <c r="K31" i="77"/>
  <c r="J32" i="77"/>
  <c r="K32" i="77"/>
  <c r="J33" i="77"/>
  <c r="K33" i="77"/>
  <c r="J34" i="77"/>
  <c r="K34" i="77"/>
  <c r="J35" i="77"/>
  <c r="K35" i="77"/>
  <c r="J36" i="77"/>
  <c r="K36" i="77"/>
  <c r="J37" i="77"/>
  <c r="K37" i="77"/>
  <c r="J38" i="77"/>
  <c r="K38" i="77"/>
  <c r="J39" i="77"/>
  <c r="K39" i="77"/>
  <c r="J40" i="77"/>
  <c r="K40" i="77"/>
  <c r="J41" i="77"/>
  <c r="K41" i="77"/>
  <c r="J42" i="77"/>
  <c r="K42" i="77"/>
  <c r="J43" i="77"/>
  <c r="K43" i="77"/>
  <c r="J44" i="77"/>
  <c r="K44" i="77"/>
  <c r="J45" i="77"/>
  <c r="K45" i="77"/>
  <c r="J46" i="77"/>
  <c r="K46" i="77"/>
  <c r="J47" i="77"/>
  <c r="K47" i="77"/>
  <c r="J48" i="77"/>
  <c r="K48" i="77"/>
  <c r="J49" i="77"/>
  <c r="K49" i="77"/>
  <c r="J50" i="77"/>
  <c r="J51" i="77"/>
  <c r="J52" i="77"/>
  <c r="J53" i="77"/>
  <c r="J54" i="77"/>
  <c r="J55" i="77"/>
  <c r="J56" i="77"/>
  <c r="J57" i="77"/>
  <c r="J58" i="77"/>
  <c r="J59" i="77"/>
  <c r="J60" i="77"/>
  <c r="J61" i="77"/>
  <c r="L1" i="77"/>
  <c r="K1" i="77"/>
  <c r="J1" i="77"/>
  <c r="I1" i="77"/>
  <c r="H1" i="77"/>
  <c r="F1" i="77" s="1"/>
  <c r="G1" i="77"/>
  <c r="E1" i="77" s="1"/>
  <c r="D1" i="77"/>
  <c r="A1" i="77"/>
  <c r="A2" i="76"/>
  <c r="B2" i="76" s="1"/>
  <c r="A3" i="76"/>
  <c r="B3" i="76" s="1"/>
  <c r="A4" i="76"/>
  <c r="B4" i="76" s="1"/>
  <c r="A5" i="76"/>
  <c r="B5" i="76" s="1"/>
  <c r="A6" i="76"/>
  <c r="B6" i="76" s="1"/>
  <c r="A7" i="76"/>
  <c r="A8" i="76"/>
  <c r="B8" i="76" s="1"/>
  <c r="A9" i="76"/>
  <c r="B9" i="76" s="1"/>
  <c r="A10" i="76"/>
  <c r="B10" i="76" s="1"/>
  <c r="A11" i="76"/>
  <c r="B11" i="76" s="1"/>
  <c r="A12" i="76"/>
  <c r="B12" i="76" s="1"/>
  <c r="A13" i="76"/>
  <c r="B13" i="76" s="1"/>
  <c r="A14" i="76"/>
  <c r="B14" i="76" s="1"/>
  <c r="A15" i="76"/>
  <c r="B15" i="76" s="1"/>
  <c r="A16" i="76"/>
  <c r="B16" i="76" s="1"/>
  <c r="A17" i="76"/>
  <c r="B17" i="76" s="1"/>
  <c r="A18" i="76"/>
  <c r="B18" i="76" s="1"/>
  <c r="A19" i="76"/>
  <c r="B19" i="76" s="1"/>
  <c r="A20" i="76"/>
  <c r="B20" i="76" s="1"/>
  <c r="A21" i="76"/>
  <c r="B21" i="76" s="1"/>
  <c r="A22" i="76"/>
  <c r="B22" i="76" s="1"/>
  <c r="A23" i="76"/>
  <c r="B23" i="76" s="1"/>
  <c r="A24" i="76"/>
  <c r="B24" i="76" s="1"/>
  <c r="A25" i="76"/>
  <c r="B25" i="76" s="1"/>
  <c r="A26" i="76"/>
  <c r="B26" i="76" s="1"/>
  <c r="A27" i="76"/>
  <c r="A28" i="76"/>
  <c r="B28" i="76" s="1"/>
  <c r="A29" i="76"/>
  <c r="B29" i="76" s="1"/>
  <c r="A30" i="76"/>
  <c r="B30" i="76" s="1"/>
  <c r="A31" i="76"/>
  <c r="B31" i="76" s="1"/>
  <c r="A32" i="76"/>
  <c r="B32" i="76" s="1"/>
  <c r="A33" i="76"/>
  <c r="A34" i="76"/>
  <c r="B34" i="76" s="1"/>
  <c r="A35" i="76"/>
  <c r="B35" i="76" s="1"/>
  <c r="A36" i="76"/>
  <c r="B36" i="76" s="1"/>
  <c r="A37" i="76"/>
  <c r="B37" i="76" s="1"/>
  <c r="A38" i="76"/>
  <c r="B38" i="76" s="1"/>
  <c r="A39" i="76"/>
  <c r="A40" i="76"/>
  <c r="B40" i="76" s="1"/>
  <c r="A41" i="76"/>
  <c r="B41" i="76" s="1"/>
  <c r="A42" i="76"/>
  <c r="B42" i="76" s="1"/>
  <c r="A43" i="76"/>
  <c r="B43" i="76" s="1"/>
  <c r="A44" i="76"/>
  <c r="B44" i="76" s="1"/>
  <c r="A45" i="76"/>
  <c r="B45" i="76" s="1"/>
  <c r="A46" i="76"/>
  <c r="B46" i="76" s="1"/>
  <c r="A47" i="76"/>
  <c r="B47" i="76" s="1"/>
  <c r="A48" i="76"/>
  <c r="B48" i="76" s="1"/>
  <c r="A49" i="76"/>
  <c r="B49" i="76" s="1"/>
  <c r="A50" i="76"/>
  <c r="B50" i="76" s="1"/>
  <c r="A51" i="76"/>
  <c r="A52" i="76"/>
  <c r="B52" i="76" s="1"/>
  <c r="A53" i="76"/>
  <c r="B53" i="76" s="1"/>
  <c r="A54" i="76"/>
  <c r="B54" i="76" s="1"/>
  <c r="A55" i="76"/>
  <c r="B55" i="76" s="1"/>
  <c r="A56" i="76"/>
  <c r="B56" i="76" s="1"/>
  <c r="A57" i="76"/>
  <c r="A58" i="76"/>
  <c r="B58" i="76" s="1"/>
  <c r="A59" i="76"/>
  <c r="C59" i="76" s="1"/>
  <c r="A60" i="76"/>
  <c r="B60" i="76" s="1"/>
  <c r="A61" i="76"/>
  <c r="B61" i="76" s="1"/>
  <c r="A62" i="76"/>
  <c r="B62" i="76" s="1"/>
  <c r="A63" i="76"/>
  <c r="A64" i="76"/>
  <c r="B64" i="76" s="1"/>
  <c r="A65" i="76"/>
  <c r="B65" i="76" s="1"/>
  <c r="A66" i="76"/>
  <c r="B66" i="76" s="1"/>
  <c r="A67" i="76"/>
  <c r="C67" i="76" s="1"/>
  <c r="A68" i="76"/>
  <c r="B68" i="76" s="1"/>
  <c r="A69" i="76"/>
  <c r="B69" i="76" s="1"/>
  <c r="A70" i="76"/>
  <c r="B70" i="76" s="1"/>
  <c r="A71" i="76"/>
  <c r="B71" i="76" s="1"/>
  <c r="A72" i="76"/>
  <c r="B72" i="76" s="1"/>
  <c r="A73" i="76"/>
  <c r="A74" i="76"/>
  <c r="B74" i="76" s="1"/>
  <c r="A75" i="76"/>
  <c r="B75" i="76" s="1"/>
  <c r="A76" i="76"/>
  <c r="B76" i="76" s="1"/>
  <c r="A77" i="76"/>
  <c r="B77" i="76" s="1"/>
  <c r="A78" i="76"/>
  <c r="B78" i="76" s="1"/>
  <c r="A79" i="76"/>
  <c r="C79" i="76" s="1"/>
  <c r="A80" i="76"/>
  <c r="B80" i="76" s="1"/>
  <c r="A81" i="76"/>
  <c r="B81" i="76" s="1"/>
  <c r="A82" i="76"/>
  <c r="B82" i="76" s="1"/>
  <c r="A83" i="76"/>
  <c r="A84" i="76"/>
  <c r="B84" i="76" s="1"/>
  <c r="A85" i="76"/>
  <c r="B85" i="76" s="1"/>
  <c r="A86" i="76"/>
  <c r="B86" i="76" s="1"/>
  <c r="A87" i="76"/>
  <c r="B87" i="76" s="1"/>
  <c r="A88" i="76"/>
  <c r="B88" i="76" s="1"/>
  <c r="A89" i="76"/>
  <c r="A90" i="76"/>
  <c r="B90" i="76" s="1"/>
  <c r="A91" i="76"/>
  <c r="A92" i="76"/>
  <c r="B92" i="76" s="1"/>
  <c r="A93" i="76"/>
  <c r="B93" i="76" s="1"/>
  <c r="A94" i="76"/>
  <c r="B94" i="76" s="1"/>
  <c r="A95" i="76"/>
  <c r="B95" i="76" s="1"/>
  <c r="A96" i="76"/>
  <c r="B96" i="76" s="1"/>
  <c r="A97" i="76"/>
  <c r="A98" i="76"/>
  <c r="B98" i="76" s="1"/>
  <c r="A99" i="76"/>
  <c r="B99" i="76" s="1"/>
  <c r="A100" i="76"/>
  <c r="B100" i="76" s="1"/>
  <c r="A101" i="76"/>
  <c r="B101" i="76" s="1"/>
  <c r="A102" i="76"/>
  <c r="B102" i="76" s="1"/>
  <c r="A103" i="76"/>
  <c r="C103" i="76" s="1"/>
  <c r="A104" i="76"/>
  <c r="B104" i="76" s="1"/>
  <c r="A105" i="76"/>
  <c r="B105" i="76" s="1"/>
  <c r="A106" i="76"/>
  <c r="B106" i="76" s="1"/>
  <c r="A107" i="76"/>
  <c r="B107" i="76" s="1"/>
  <c r="A108" i="76"/>
  <c r="B108" i="76" s="1"/>
  <c r="A109" i="76"/>
  <c r="A110" i="76"/>
  <c r="B110" i="76" s="1"/>
  <c r="A111" i="76"/>
  <c r="B111" i="76" s="1"/>
  <c r="A112" i="76"/>
  <c r="B112" i="76" s="1"/>
  <c r="A113" i="76"/>
  <c r="A114" i="76"/>
  <c r="B114" i="76" s="1"/>
  <c r="A115" i="76"/>
  <c r="J2" i="76"/>
  <c r="K2" i="76"/>
  <c r="L2" i="76"/>
  <c r="J3" i="76"/>
  <c r="K3" i="76"/>
  <c r="L3" i="76"/>
  <c r="J4" i="76"/>
  <c r="K4" i="76"/>
  <c r="L4" i="76"/>
  <c r="J5" i="76"/>
  <c r="K5" i="76"/>
  <c r="L5" i="76"/>
  <c r="J6" i="76"/>
  <c r="K6" i="76"/>
  <c r="L6" i="76"/>
  <c r="J7" i="76"/>
  <c r="K7" i="76"/>
  <c r="L7" i="76"/>
  <c r="J8" i="76"/>
  <c r="K8" i="76"/>
  <c r="L8" i="76"/>
  <c r="J9" i="76"/>
  <c r="K9" i="76"/>
  <c r="L9" i="76"/>
  <c r="J10" i="76"/>
  <c r="K10" i="76"/>
  <c r="L10" i="76"/>
  <c r="J11" i="76"/>
  <c r="K11" i="76"/>
  <c r="L11" i="76"/>
  <c r="J12" i="76"/>
  <c r="K12" i="76"/>
  <c r="L12" i="76"/>
  <c r="J13" i="76"/>
  <c r="K13" i="76"/>
  <c r="L13" i="76"/>
  <c r="J14" i="76"/>
  <c r="K14" i="76"/>
  <c r="L14" i="76"/>
  <c r="J15" i="76"/>
  <c r="K15" i="76"/>
  <c r="L15" i="76"/>
  <c r="J16" i="76"/>
  <c r="K16" i="76"/>
  <c r="L16" i="76"/>
  <c r="J17" i="76"/>
  <c r="K17" i="76"/>
  <c r="L17" i="76"/>
  <c r="J18" i="76"/>
  <c r="K18" i="76"/>
  <c r="L18" i="76"/>
  <c r="J19" i="76"/>
  <c r="K19" i="76"/>
  <c r="L19" i="76"/>
  <c r="J20" i="76"/>
  <c r="K20" i="76"/>
  <c r="L20" i="76"/>
  <c r="J21" i="76"/>
  <c r="K21" i="76"/>
  <c r="L21" i="76"/>
  <c r="J22" i="76"/>
  <c r="K22" i="76"/>
  <c r="L22" i="76"/>
  <c r="J23" i="76"/>
  <c r="K23" i="76"/>
  <c r="L23" i="76"/>
  <c r="J24" i="76"/>
  <c r="K24" i="76"/>
  <c r="L24" i="76"/>
  <c r="J25" i="76"/>
  <c r="K25" i="76"/>
  <c r="L25" i="76"/>
  <c r="J26" i="76"/>
  <c r="K26" i="76"/>
  <c r="L26" i="76"/>
  <c r="J27" i="76"/>
  <c r="K27" i="76"/>
  <c r="L27" i="76"/>
  <c r="J28" i="76"/>
  <c r="K28" i="76"/>
  <c r="L28" i="76"/>
  <c r="J29" i="76"/>
  <c r="K29" i="76"/>
  <c r="L29" i="76"/>
  <c r="J30" i="76"/>
  <c r="K30" i="76"/>
  <c r="L30" i="76"/>
  <c r="J31" i="76"/>
  <c r="K31" i="76"/>
  <c r="L31" i="76"/>
  <c r="J32" i="76"/>
  <c r="K32" i="76"/>
  <c r="L32" i="76"/>
  <c r="J33" i="76"/>
  <c r="K33" i="76"/>
  <c r="L33" i="76"/>
  <c r="J34" i="76"/>
  <c r="K34" i="76"/>
  <c r="L34" i="76"/>
  <c r="J35" i="76"/>
  <c r="K35" i="76"/>
  <c r="L35" i="76"/>
  <c r="J36" i="76"/>
  <c r="K36" i="76"/>
  <c r="L36" i="76"/>
  <c r="J37" i="76"/>
  <c r="K37" i="76"/>
  <c r="L37" i="76"/>
  <c r="J38" i="76"/>
  <c r="K38" i="76"/>
  <c r="L38" i="76"/>
  <c r="J39" i="76"/>
  <c r="K39" i="76"/>
  <c r="L39" i="76"/>
  <c r="J40" i="76"/>
  <c r="K40" i="76"/>
  <c r="L40" i="76"/>
  <c r="J41" i="76"/>
  <c r="K41" i="76"/>
  <c r="L41" i="76"/>
  <c r="J42" i="76"/>
  <c r="K42" i="76"/>
  <c r="L42" i="76"/>
  <c r="J43" i="76"/>
  <c r="K43" i="76"/>
  <c r="L43" i="76"/>
  <c r="J44" i="76"/>
  <c r="K44" i="76"/>
  <c r="L44" i="76"/>
  <c r="J45" i="76"/>
  <c r="K45" i="76"/>
  <c r="L45" i="76"/>
  <c r="J46" i="76"/>
  <c r="K46" i="76"/>
  <c r="L46" i="76"/>
  <c r="J47" i="76"/>
  <c r="K47" i="76"/>
  <c r="L47" i="76"/>
  <c r="J48" i="76"/>
  <c r="K48" i="76"/>
  <c r="L48" i="76"/>
  <c r="J49" i="76"/>
  <c r="K49" i="76"/>
  <c r="L49" i="76"/>
  <c r="J50" i="76"/>
  <c r="J51" i="76"/>
  <c r="J52" i="76"/>
  <c r="J53" i="76"/>
  <c r="J54" i="76"/>
  <c r="J55" i="76"/>
  <c r="J56" i="76"/>
  <c r="J57" i="76"/>
  <c r="J58" i="76"/>
  <c r="J59" i="76"/>
  <c r="J60" i="76"/>
  <c r="J61" i="76"/>
  <c r="J62" i="76"/>
  <c r="J63" i="76"/>
  <c r="J64" i="76"/>
  <c r="J65" i="76"/>
  <c r="J66" i="76"/>
  <c r="J67" i="76"/>
  <c r="J68" i="76"/>
  <c r="J69" i="76"/>
  <c r="J70" i="76"/>
  <c r="J71" i="76"/>
  <c r="J72" i="76"/>
  <c r="J73" i="76"/>
  <c r="J74" i="76"/>
  <c r="J75" i="76"/>
  <c r="J76" i="76"/>
  <c r="J77" i="76"/>
  <c r="J78" i="76"/>
  <c r="J79" i="76"/>
  <c r="J80" i="76"/>
  <c r="J81" i="76"/>
  <c r="J82" i="76"/>
  <c r="J83" i="76"/>
  <c r="J84" i="76"/>
  <c r="J85" i="76"/>
  <c r="J86" i="76"/>
  <c r="J87" i="76"/>
  <c r="J88" i="76"/>
  <c r="J89" i="76"/>
  <c r="J90" i="76"/>
  <c r="J91" i="76"/>
  <c r="J92" i="76"/>
  <c r="J93" i="76"/>
  <c r="J94" i="76"/>
  <c r="J95" i="76"/>
  <c r="J96" i="76"/>
  <c r="J97" i="76"/>
  <c r="J98" i="76"/>
  <c r="J99" i="76"/>
  <c r="J100" i="76"/>
  <c r="J101" i="76"/>
  <c r="J102" i="76"/>
  <c r="J103" i="76"/>
  <c r="J104" i="76"/>
  <c r="J105" i="76"/>
  <c r="J106" i="76"/>
  <c r="J107" i="76"/>
  <c r="J108" i="76"/>
  <c r="J109" i="76"/>
  <c r="J110" i="76"/>
  <c r="J111" i="76"/>
  <c r="J112" i="76"/>
  <c r="J113" i="76"/>
  <c r="J114" i="76"/>
  <c r="J115" i="76"/>
  <c r="L1" i="76"/>
  <c r="K1" i="76"/>
  <c r="J1" i="76"/>
  <c r="I1" i="76"/>
  <c r="H1" i="76"/>
  <c r="F1" i="76" s="1"/>
  <c r="G1" i="76"/>
  <c r="E1" i="76" s="1"/>
  <c r="D1" i="76"/>
  <c r="A1" i="76"/>
  <c r="J2" i="75"/>
  <c r="K2" i="75"/>
  <c r="J3" i="75"/>
  <c r="K3" i="75"/>
  <c r="J4" i="75"/>
  <c r="K4" i="75"/>
  <c r="J5" i="75"/>
  <c r="K5" i="75"/>
  <c r="J6" i="75"/>
  <c r="K6" i="75"/>
  <c r="J7" i="75"/>
  <c r="K7" i="75"/>
  <c r="J8" i="75"/>
  <c r="K8" i="75"/>
  <c r="J9" i="75"/>
  <c r="K9" i="75"/>
  <c r="J10" i="75"/>
  <c r="K10" i="75"/>
  <c r="J11" i="75"/>
  <c r="K11" i="75"/>
  <c r="J12" i="75"/>
  <c r="K12" i="75"/>
  <c r="J13" i="75"/>
  <c r="K13" i="75"/>
  <c r="J14" i="75"/>
  <c r="K14" i="75"/>
  <c r="J15" i="75"/>
  <c r="K15" i="75"/>
  <c r="J16" i="75"/>
  <c r="K16" i="75"/>
  <c r="J17" i="75"/>
  <c r="K17" i="75"/>
  <c r="J18" i="75"/>
  <c r="K18" i="75"/>
  <c r="J19" i="75"/>
  <c r="K19" i="75"/>
  <c r="J20" i="75"/>
  <c r="K20" i="75"/>
  <c r="J21" i="75"/>
  <c r="K21" i="75"/>
  <c r="J22" i="75"/>
  <c r="K22" i="75"/>
  <c r="J23" i="75"/>
  <c r="K23" i="75"/>
  <c r="J24" i="75"/>
  <c r="K24" i="75"/>
  <c r="J25" i="75"/>
  <c r="K25" i="75"/>
  <c r="J26" i="75"/>
  <c r="K26" i="75"/>
  <c r="J27" i="75"/>
  <c r="K27" i="75"/>
  <c r="J28" i="75"/>
  <c r="K28" i="75"/>
  <c r="J29" i="75"/>
  <c r="K29" i="75"/>
  <c r="J30" i="75"/>
  <c r="K30" i="75"/>
  <c r="J31" i="75"/>
  <c r="K31" i="75"/>
  <c r="J32" i="75"/>
  <c r="K32" i="75"/>
  <c r="J33" i="75"/>
  <c r="K33" i="75"/>
  <c r="J34" i="75"/>
  <c r="K34" i="75"/>
  <c r="J35" i="75"/>
  <c r="K35" i="75"/>
  <c r="J36" i="75"/>
  <c r="K36" i="75"/>
  <c r="J37" i="75"/>
  <c r="K37" i="75"/>
  <c r="J38" i="75"/>
  <c r="K38" i="75"/>
  <c r="J39" i="75"/>
  <c r="K39" i="75"/>
  <c r="J40" i="75"/>
  <c r="K40" i="75"/>
  <c r="J41" i="75"/>
  <c r="K41" i="75"/>
  <c r="J42" i="75"/>
  <c r="K42" i="75"/>
  <c r="J43" i="75"/>
  <c r="K43" i="75"/>
  <c r="J44" i="75"/>
  <c r="K44" i="75"/>
  <c r="J45" i="75"/>
  <c r="K45" i="75"/>
  <c r="J46" i="75"/>
  <c r="K46" i="75"/>
  <c r="J47" i="75"/>
  <c r="K47" i="75"/>
  <c r="J48" i="75"/>
  <c r="K48" i="75"/>
  <c r="J49" i="75"/>
  <c r="K49" i="75"/>
  <c r="A2" i="75"/>
  <c r="B2" i="75" s="1"/>
  <c r="A3" i="75"/>
  <c r="C3" i="75" s="1"/>
  <c r="A4" i="75"/>
  <c r="B4" i="75" s="1"/>
  <c r="A5" i="75"/>
  <c r="B5" i="75" s="1"/>
  <c r="A6" i="75"/>
  <c r="C6" i="75" s="1"/>
  <c r="A7" i="75"/>
  <c r="B7" i="75" s="1"/>
  <c r="A8" i="75"/>
  <c r="B8" i="75" s="1"/>
  <c r="A9" i="75"/>
  <c r="B9" i="75" s="1"/>
  <c r="A10" i="75"/>
  <c r="B10" i="75" s="1"/>
  <c r="A11" i="75"/>
  <c r="A12" i="75"/>
  <c r="B12" i="75" s="1"/>
  <c r="A13" i="75"/>
  <c r="B13" i="75" s="1"/>
  <c r="A14" i="75"/>
  <c r="B14" i="75" s="1"/>
  <c r="A15" i="75"/>
  <c r="B15" i="75" s="1"/>
  <c r="A16" i="75"/>
  <c r="B16" i="75" s="1"/>
  <c r="A17" i="75"/>
  <c r="B17" i="75" s="1"/>
  <c r="A18" i="75"/>
  <c r="C18" i="75" s="1"/>
  <c r="A19" i="75"/>
  <c r="B19" i="75" s="1"/>
  <c r="A20" i="75"/>
  <c r="B20" i="75" s="1"/>
  <c r="A21" i="75"/>
  <c r="A22" i="75"/>
  <c r="B22" i="75" s="1"/>
  <c r="A23" i="75"/>
  <c r="A24" i="75"/>
  <c r="B24" i="75" s="1"/>
  <c r="A25" i="75"/>
  <c r="B25" i="75" s="1"/>
  <c r="A26" i="75"/>
  <c r="A27" i="75"/>
  <c r="B27" i="75" s="1"/>
  <c r="A28" i="75"/>
  <c r="B28" i="75" s="1"/>
  <c r="A29" i="75"/>
  <c r="A30" i="75"/>
  <c r="B30" i="75" s="1"/>
  <c r="A31" i="75"/>
  <c r="C31" i="75" s="1"/>
  <c r="A32" i="75"/>
  <c r="B32" i="75" s="1"/>
  <c r="A33" i="75"/>
  <c r="A34" i="75"/>
  <c r="B34" i="75" s="1"/>
  <c r="A35" i="75"/>
  <c r="A36" i="75"/>
  <c r="B36" i="75" s="1"/>
  <c r="A37" i="75"/>
  <c r="B37" i="75" s="1"/>
  <c r="A38" i="75"/>
  <c r="A39" i="75"/>
  <c r="B39" i="75" s="1"/>
  <c r="A40" i="75"/>
  <c r="B40" i="75" s="1"/>
  <c r="A41" i="75"/>
  <c r="B41" i="75" s="1"/>
  <c r="A42" i="75"/>
  <c r="B42" i="75" s="1"/>
  <c r="A43" i="75"/>
  <c r="C43" i="75" s="1"/>
  <c r="B43" i="75"/>
  <c r="A44" i="75"/>
  <c r="B44" i="75" s="1"/>
  <c r="A45" i="75"/>
  <c r="B45" i="75" s="1"/>
  <c r="A46" i="75"/>
  <c r="C46" i="75" s="1"/>
  <c r="A47" i="75"/>
  <c r="B47" i="75" s="1"/>
  <c r="A48" i="75"/>
  <c r="B48" i="75" s="1"/>
  <c r="A49" i="75"/>
  <c r="B49" i="75" s="1"/>
  <c r="A50" i="75"/>
  <c r="B50" i="75" s="1"/>
  <c r="A51" i="75"/>
  <c r="B51" i="75" s="1"/>
  <c r="A52" i="75"/>
  <c r="B52" i="75" s="1"/>
  <c r="A53" i="75"/>
  <c r="B53" i="75" s="1"/>
  <c r="A54" i="75"/>
  <c r="A55" i="75"/>
  <c r="A56" i="75"/>
  <c r="B56" i="75" s="1"/>
  <c r="A57" i="75"/>
  <c r="B57" i="75" s="1"/>
  <c r="A58" i="75"/>
  <c r="B58" i="75" s="1"/>
  <c r="A59" i="75"/>
  <c r="C59" i="75" s="1"/>
  <c r="A60" i="75"/>
  <c r="B60" i="75" s="1"/>
  <c r="A61" i="75"/>
  <c r="B61" i="75" s="1"/>
  <c r="A62" i="75"/>
  <c r="B62" i="75" s="1"/>
  <c r="A63" i="75"/>
  <c r="B63" i="75" s="1"/>
  <c r="A64" i="75"/>
  <c r="B64" i="75" s="1"/>
  <c r="A65" i="75"/>
  <c r="B65" i="75" s="1"/>
  <c r="A66" i="75"/>
  <c r="B66" i="75" s="1"/>
  <c r="A67" i="75"/>
  <c r="C67" i="75" s="1"/>
  <c r="A68" i="75"/>
  <c r="B68" i="75" s="1"/>
  <c r="A69" i="75"/>
  <c r="B69" i="75" s="1"/>
  <c r="A70" i="75"/>
  <c r="C70" i="75" s="1"/>
  <c r="A71" i="75"/>
  <c r="B71" i="75" s="1"/>
  <c r="A72" i="75"/>
  <c r="B72" i="75" s="1"/>
  <c r="A73" i="75"/>
  <c r="B73" i="75" s="1"/>
  <c r="A74" i="75"/>
  <c r="C74" i="75" s="1"/>
  <c r="A75" i="75"/>
  <c r="A76" i="75"/>
  <c r="B76" i="75" s="1"/>
  <c r="A77" i="75"/>
  <c r="B77" i="75" s="1"/>
  <c r="A78" i="75"/>
  <c r="B78" i="75" s="1"/>
  <c r="A79" i="75"/>
  <c r="B79" i="75" s="1"/>
  <c r="A80" i="75"/>
  <c r="B80" i="75" s="1"/>
  <c r="A81" i="75"/>
  <c r="B81" i="75" s="1"/>
  <c r="A82" i="75"/>
  <c r="A83" i="75"/>
  <c r="A84" i="75"/>
  <c r="B84" i="75" s="1"/>
  <c r="A85" i="75"/>
  <c r="B85" i="75" s="1"/>
  <c r="A86" i="75"/>
  <c r="B86" i="75" s="1"/>
  <c r="A87" i="75"/>
  <c r="A88" i="75"/>
  <c r="B88" i="75" s="1"/>
  <c r="A89" i="75"/>
  <c r="B89" i="75" s="1"/>
  <c r="A90" i="75"/>
  <c r="C90" i="75" s="1"/>
  <c r="A91" i="75"/>
  <c r="B91" i="75" s="1"/>
  <c r="A92" i="75"/>
  <c r="B92" i="75" s="1"/>
  <c r="A93" i="75"/>
  <c r="A94" i="75"/>
  <c r="B94" i="75" s="1"/>
  <c r="A95" i="75"/>
  <c r="A96" i="75"/>
  <c r="B96" i="75" s="1"/>
  <c r="A97" i="75"/>
  <c r="B97" i="75" s="1"/>
  <c r="A98" i="75"/>
  <c r="B98" i="75" s="1"/>
  <c r="A99" i="75"/>
  <c r="A100" i="75"/>
  <c r="B100" i="75" s="1"/>
  <c r="A101" i="75"/>
  <c r="B101" i="75" s="1"/>
  <c r="A102" i="75"/>
  <c r="B102" i="75" s="1"/>
  <c r="A103" i="75"/>
  <c r="B103" i="75" s="1"/>
  <c r="A104" i="75"/>
  <c r="B104" i="75" s="1"/>
  <c r="A105" i="75"/>
  <c r="A106" i="75"/>
  <c r="B106" i="75" s="1"/>
  <c r="A107" i="75"/>
  <c r="A108" i="75"/>
  <c r="B108" i="75" s="1"/>
  <c r="A109" i="75"/>
  <c r="B109" i="75" s="1"/>
  <c r="A110" i="75"/>
  <c r="A111" i="75"/>
  <c r="B111" i="75" s="1"/>
  <c r="A112" i="75"/>
  <c r="B112" i="75" s="1"/>
  <c r="A113" i="75"/>
  <c r="B113" i="75" s="1"/>
  <c r="A114" i="75"/>
  <c r="B114" i="75" s="1"/>
  <c r="A115" i="75"/>
  <c r="B115" i="75" s="1"/>
  <c r="K1" i="75"/>
  <c r="J1" i="75"/>
  <c r="I1" i="75"/>
  <c r="H1" i="75"/>
  <c r="F1" i="75" s="1"/>
  <c r="G1" i="75"/>
  <c r="E1" i="75" s="1"/>
  <c r="D1" i="75"/>
  <c r="A1" i="75"/>
  <c r="H2" i="36"/>
  <c r="I2" i="36"/>
  <c r="H3" i="36"/>
  <c r="I3" i="36"/>
  <c r="H4" i="36"/>
  <c r="I4" i="36"/>
  <c r="H5" i="36"/>
  <c r="I5" i="36"/>
  <c r="H6" i="36"/>
  <c r="I6" i="36"/>
  <c r="H7" i="36"/>
  <c r="I7" i="36"/>
  <c r="H8" i="36"/>
  <c r="I8" i="36"/>
  <c r="H9" i="36"/>
  <c r="I9" i="36"/>
  <c r="H10" i="36"/>
  <c r="I10" i="36"/>
  <c r="H11" i="36"/>
  <c r="I11" i="36"/>
  <c r="H12" i="36"/>
  <c r="I12" i="36"/>
  <c r="H13" i="36"/>
  <c r="I13" i="36"/>
  <c r="H14" i="36"/>
  <c r="I14" i="36"/>
  <c r="H15" i="36"/>
  <c r="I15" i="36"/>
  <c r="H16" i="36"/>
  <c r="I16" i="36"/>
  <c r="H17" i="36"/>
  <c r="I17" i="36"/>
  <c r="H18" i="36"/>
  <c r="I18" i="36"/>
  <c r="H19" i="36"/>
  <c r="I19" i="36"/>
  <c r="H20" i="36"/>
  <c r="I20" i="36"/>
  <c r="H21" i="36"/>
  <c r="I21" i="36"/>
  <c r="H22" i="36"/>
  <c r="I22" i="36"/>
  <c r="H23" i="36"/>
  <c r="I23" i="36"/>
  <c r="H24" i="36"/>
  <c r="I24" i="36"/>
  <c r="H25" i="36"/>
  <c r="I25" i="36"/>
  <c r="H26" i="36"/>
  <c r="I26" i="36"/>
  <c r="H27" i="36"/>
  <c r="I27" i="36"/>
  <c r="H28" i="36"/>
  <c r="I28" i="36"/>
  <c r="H29" i="36"/>
  <c r="I29" i="36"/>
  <c r="H30" i="36"/>
  <c r="I30" i="36"/>
  <c r="H31" i="36"/>
  <c r="I31" i="36"/>
  <c r="H32" i="36"/>
  <c r="I32" i="36"/>
  <c r="H33" i="36"/>
  <c r="I33" i="36"/>
  <c r="H34" i="36"/>
  <c r="I34" i="36"/>
  <c r="H35" i="36"/>
  <c r="I35" i="36"/>
  <c r="H36" i="36"/>
  <c r="I36" i="36"/>
  <c r="H37" i="36"/>
  <c r="I37" i="36"/>
  <c r="H38" i="36"/>
  <c r="I38" i="36"/>
  <c r="H39" i="36"/>
  <c r="I39" i="36"/>
  <c r="H40" i="36"/>
  <c r="I40" i="36"/>
  <c r="H41" i="36"/>
  <c r="I41" i="36"/>
  <c r="H42" i="36"/>
  <c r="I42" i="36"/>
  <c r="H43" i="36"/>
  <c r="I43" i="36"/>
  <c r="H44" i="36"/>
  <c r="I44" i="36"/>
  <c r="H45" i="36"/>
  <c r="I45" i="36"/>
  <c r="H46" i="36"/>
  <c r="I46" i="36"/>
  <c r="H47" i="36"/>
  <c r="I47" i="36"/>
  <c r="H48" i="36"/>
  <c r="I48" i="36"/>
  <c r="H49" i="36"/>
  <c r="I49" i="36"/>
  <c r="H50" i="36"/>
  <c r="H51" i="36"/>
  <c r="H52" i="36"/>
  <c r="H53" i="36"/>
  <c r="H54" i="36"/>
  <c r="H55" i="36"/>
  <c r="H56" i="36"/>
  <c r="H57" i="36"/>
  <c r="H58" i="36"/>
  <c r="H59" i="36"/>
  <c r="H60" i="36"/>
  <c r="H61" i="36"/>
  <c r="A2" i="36"/>
  <c r="B2" i="36" s="1"/>
  <c r="A3" i="36"/>
  <c r="B3" i="36" s="1"/>
  <c r="A4" i="36"/>
  <c r="B4" i="36" s="1"/>
  <c r="A5" i="36"/>
  <c r="B5" i="36" s="1"/>
  <c r="A6" i="36"/>
  <c r="B6" i="36" s="1"/>
  <c r="A7" i="36"/>
  <c r="B7" i="36" s="1"/>
  <c r="A8" i="36"/>
  <c r="B8" i="36" s="1"/>
  <c r="A9" i="36"/>
  <c r="C9" i="36" s="1"/>
  <c r="A10" i="36"/>
  <c r="B10" i="36" s="1"/>
  <c r="A11" i="36"/>
  <c r="B11" i="36" s="1"/>
  <c r="A12" i="36"/>
  <c r="B12" i="36" s="1"/>
  <c r="A13" i="36"/>
  <c r="B13" i="36" s="1"/>
  <c r="A14" i="36"/>
  <c r="A15" i="36"/>
  <c r="B15" i="36" s="1"/>
  <c r="A16" i="36"/>
  <c r="C16" i="36" s="1"/>
  <c r="A17" i="36"/>
  <c r="B17" i="36" s="1"/>
  <c r="A18" i="36"/>
  <c r="B18" i="36" s="1"/>
  <c r="A19" i="36"/>
  <c r="B19" i="36" s="1"/>
  <c r="A20" i="36"/>
  <c r="C20" i="36" s="1"/>
  <c r="A21" i="36"/>
  <c r="A22" i="36"/>
  <c r="B22" i="36" s="1"/>
  <c r="A23" i="36"/>
  <c r="B23" i="36" s="1"/>
  <c r="A24" i="36"/>
  <c r="C24" i="36" s="1"/>
  <c r="A25" i="36"/>
  <c r="B25" i="36" s="1"/>
  <c r="A26" i="36"/>
  <c r="B26" i="36" s="1"/>
  <c r="A27" i="36"/>
  <c r="B27" i="36" s="1"/>
  <c r="A28" i="36"/>
  <c r="B28" i="36" s="1"/>
  <c r="A29" i="36"/>
  <c r="A30" i="36"/>
  <c r="B30" i="36" s="1"/>
  <c r="A31" i="36"/>
  <c r="B31" i="36" s="1"/>
  <c r="A32" i="36"/>
  <c r="B32" i="36" s="1"/>
  <c r="A33" i="36"/>
  <c r="B33" i="36" s="1"/>
  <c r="A34" i="36"/>
  <c r="B34" i="36" s="1"/>
  <c r="A35" i="36"/>
  <c r="B35" i="36" s="1"/>
  <c r="A36" i="36"/>
  <c r="A37" i="36"/>
  <c r="B37" i="36" s="1"/>
  <c r="A38" i="36"/>
  <c r="B38" i="36" s="1"/>
  <c r="A39" i="36"/>
  <c r="B39" i="36" s="1"/>
  <c r="A40" i="36"/>
  <c r="B40" i="36" s="1"/>
  <c r="A41" i="36"/>
  <c r="B41" i="36" s="1"/>
  <c r="A42" i="36"/>
  <c r="B42" i="36" s="1"/>
  <c r="A43" i="36"/>
  <c r="B43" i="36" s="1"/>
  <c r="A44" i="36"/>
  <c r="A45" i="36"/>
  <c r="C45" i="36" s="1"/>
  <c r="A46" i="36"/>
  <c r="B46" i="36" s="1"/>
  <c r="A47" i="36"/>
  <c r="B47" i="36" s="1"/>
  <c r="A48" i="36"/>
  <c r="C48" i="36" s="1"/>
  <c r="A49" i="36"/>
  <c r="C49" i="36" s="1"/>
  <c r="A50" i="36"/>
  <c r="B50" i="36" s="1"/>
  <c r="A51" i="36"/>
  <c r="B51" i="36" s="1"/>
  <c r="A52" i="36"/>
  <c r="A53" i="36"/>
  <c r="C53" i="36" s="1"/>
  <c r="A54" i="36"/>
  <c r="A55" i="36"/>
  <c r="B55" i="36" s="1"/>
  <c r="A56" i="36"/>
  <c r="A57" i="36"/>
  <c r="B57" i="36" s="1"/>
  <c r="A58" i="36"/>
  <c r="B58" i="36" s="1"/>
  <c r="A59" i="36"/>
  <c r="B59" i="36" s="1"/>
  <c r="A60" i="36"/>
  <c r="B60" i="36" s="1"/>
  <c r="A61" i="36"/>
  <c r="C61" i="36" s="1"/>
  <c r="A62" i="36"/>
  <c r="B62" i="36" s="1"/>
  <c r="A63" i="36"/>
  <c r="B63" i="36" s="1"/>
  <c r="A64" i="36"/>
  <c r="C64" i="36" s="1"/>
  <c r="A65" i="36"/>
  <c r="B65" i="36" s="1"/>
  <c r="A66" i="36"/>
  <c r="B66" i="36" s="1"/>
  <c r="A67" i="36"/>
  <c r="B67" i="36" s="1"/>
  <c r="A68" i="36"/>
  <c r="B68" i="36" s="1"/>
  <c r="A69" i="36"/>
  <c r="A70" i="36"/>
  <c r="B70" i="36" s="1"/>
  <c r="A71" i="36"/>
  <c r="B71" i="36" s="1"/>
  <c r="A72" i="36"/>
  <c r="A73" i="36"/>
  <c r="B73" i="36" s="1"/>
  <c r="A74" i="36"/>
  <c r="B74" i="36" s="1"/>
  <c r="A75" i="36"/>
  <c r="B75" i="36" s="1"/>
  <c r="A76" i="36"/>
  <c r="B76" i="36" s="1"/>
  <c r="A77" i="36"/>
  <c r="C77" i="36" s="1"/>
  <c r="A78" i="36"/>
  <c r="B78" i="36" s="1"/>
  <c r="A79" i="36"/>
  <c r="B79" i="36" s="1"/>
  <c r="A80" i="36"/>
  <c r="B80" i="36" s="1"/>
  <c r="A81" i="36"/>
  <c r="B81" i="36" s="1"/>
  <c r="A82" i="36"/>
  <c r="A83" i="36"/>
  <c r="B83" i="36" s="1"/>
  <c r="A84" i="36"/>
  <c r="A85" i="36"/>
  <c r="B85" i="36" s="1"/>
  <c r="A86" i="36"/>
  <c r="B86" i="36" s="1"/>
  <c r="A87" i="36"/>
  <c r="B87" i="36" s="1"/>
  <c r="A88" i="36"/>
  <c r="A89" i="36"/>
  <c r="B89" i="36" s="1"/>
  <c r="A90" i="36"/>
  <c r="B90" i="36" s="1"/>
  <c r="A91" i="36"/>
  <c r="B91" i="36" s="1"/>
  <c r="A92" i="36"/>
  <c r="A93" i="36"/>
  <c r="B93" i="36" s="1"/>
  <c r="A94" i="36"/>
  <c r="B94" i="36" s="1"/>
  <c r="A95" i="36"/>
  <c r="B95" i="36" s="1"/>
  <c r="A96" i="36"/>
  <c r="B96" i="36" s="1"/>
  <c r="A97" i="36"/>
  <c r="A98" i="36"/>
  <c r="B98" i="36" s="1"/>
  <c r="A99" i="36"/>
  <c r="B99" i="36" s="1"/>
  <c r="A100" i="36"/>
  <c r="B100" i="36" s="1"/>
  <c r="A101" i="36"/>
  <c r="B101" i="36" s="1"/>
  <c r="A102" i="36"/>
  <c r="B102" i="36" s="1"/>
  <c r="A103" i="36"/>
  <c r="B103" i="36" s="1"/>
  <c r="A104" i="36"/>
  <c r="B104" i="36" s="1"/>
  <c r="A105" i="36"/>
  <c r="B105" i="36" s="1"/>
  <c r="A106" i="36"/>
  <c r="B106" i="36" s="1"/>
  <c r="A107" i="36"/>
  <c r="B107" i="36" s="1"/>
  <c r="A108" i="36"/>
  <c r="A109" i="36"/>
  <c r="B109" i="36" s="1"/>
  <c r="A110" i="36"/>
  <c r="A111" i="36"/>
  <c r="B111" i="36" s="1"/>
  <c r="A112" i="36"/>
  <c r="B112" i="36" s="1"/>
  <c r="A113" i="36"/>
  <c r="C113" i="36" s="1"/>
  <c r="A114" i="36"/>
  <c r="B114" i="36" s="1"/>
  <c r="A115" i="36"/>
  <c r="B115" i="36" s="1"/>
  <c r="J1" i="36"/>
  <c r="I1" i="36"/>
  <c r="H1" i="36"/>
  <c r="G1" i="36"/>
  <c r="F1" i="36"/>
  <c r="E1" i="36"/>
  <c r="D1" i="36"/>
  <c r="A1" i="36"/>
  <c r="A2" i="34"/>
  <c r="A3" i="34"/>
  <c r="A4" i="34"/>
  <c r="A5" i="34"/>
  <c r="A6" i="34"/>
  <c r="A7" i="34"/>
  <c r="A8" i="34"/>
  <c r="A9" i="34"/>
  <c r="A10" i="34"/>
  <c r="A11" i="34"/>
  <c r="A12" i="34"/>
  <c r="A13" i="34"/>
  <c r="A14" i="34"/>
  <c r="A15" i="34"/>
  <c r="A16" i="34"/>
  <c r="A17" i="34"/>
  <c r="A18" i="34"/>
  <c r="A19" i="34"/>
  <c r="A20" i="34"/>
  <c r="A21" i="34"/>
  <c r="A22" i="34"/>
  <c r="A23" i="34"/>
  <c r="A24" i="34"/>
  <c r="A25" i="34"/>
  <c r="A26" i="34"/>
  <c r="A27" i="34"/>
  <c r="A28" i="34"/>
  <c r="A29" i="34"/>
  <c r="A30" i="34"/>
  <c r="A31" i="34"/>
  <c r="A32" i="34"/>
  <c r="A33" i="34"/>
  <c r="A34" i="34"/>
  <c r="A35" i="34"/>
  <c r="A36" i="34"/>
  <c r="A37" i="34"/>
  <c r="A38" i="34"/>
  <c r="A39" i="34"/>
  <c r="A40" i="34"/>
  <c r="A41" i="34"/>
  <c r="A42" i="34"/>
  <c r="A43" i="34"/>
  <c r="A44" i="34"/>
  <c r="A45" i="34"/>
  <c r="A46" i="34"/>
  <c r="A47" i="34"/>
  <c r="A48" i="34"/>
  <c r="A49" i="34"/>
  <c r="A50" i="34"/>
  <c r="A51" i="34"/>
  <c r="A52" i="34"/>
  <c r="A53" i="34"/>
  <c r="A54" i="34"/>
  <c r="A55" i="34"/>
  <c r="A56" i="34"/>
  <c r="A57" i="34"/>
  <c r="A58" i="34"/>
  <c r="A59" i="34"/>
  <c r="A60" i="34"/>
  <c r="A61" i="34"/>
  <c r="A62" i="34"/>
  <c r="A63" i="34"/>
  <c r="A64" i="34"/>
  <c r="A65" i="34"/>
  <c r="A66" i="34"/>
  <c r="A67" i="34"/>
  <c r="A68" i="34"/>
  <c r="A69" i="34"/>
  <c r="A70" i="34"/>
  <c r="A71" i="34"/>
  <c r="A72" i="34"/>
  <c r="A73" i="34"/>
  <c r="A74" i="34"/>
  <c r="A75" i="34"/>
  <c r="A76" i="34"/>
  <c r="A77" i="34"/>
  <c r="A78" i="34"/>
  <c r="A79" i="34"/>
  <c r="A80" i="34"/>
  <c r="A81" i="34"/>
  <c r="A82" i="34"/>
  <c r="A83" i="34"/>
  <c r="A84" i="34"/>
  <c r="A85" i="34"/>
  <c r="A86" i="34"/>
  <c r="A87" i="34"/>
  <c r="A88" i="34"/>
  <c r="A89" i="34"/>
  <c r="A90" i="34"/>
  <c r="A91" i="34"/>
  <c r="A92" i="34"/>
  <c r="A93" i="34"/>
  <c r="A94" i="34"/>
  <c r="A95" i="34"/>
  <c r="A96" i="34"/>
  <c r="A97" i="34"/>
  <c r="A98" i="34"/>
  <c r="A99" i="34"/>
  <c r="A100" i="34"/>
  <c r="A101" i="34"/>
  <c r="A102" i="34"/>
  <c r="A103" i="34"/>
  <c r="A104" i="34"/>
  <c r="A105" i="34"/>
  <c r="A106" i="34"/>
  <c r="A107" i="34"/>
  <c r="A108" i="34"/>
  <c r="A109" i="34"/>
  <c r="A110" i="34"/>
  <c r="A111" i="34"/>
  <c r="A112" i="34"/>
  <c r="A113" i="34"/>
  <c r="A114" i="34"/>
  <c r="A115" i="34"/>
  <c r="H2" i="34"/>
  <c r="I2" i="34"/>
  <c r="J2" i="34"/>
  <c r="H3" i="34"/>
  <c r="I3" i="34"/>
  <c r="J3" i="34"/>
  <c r="H4" i="34"/>
  <c r="I4" i="34"/>
  <c r="J4" i="34"/>
  <c r="H5" i="34"/>
  <c r="I5" i="34"/>
  <c r="J5" i="34"/>
  <c r="H6" i="34"/>
  <c r="I6" i="34"/>
  <c r="J6" i="34"/>
  <c r="H7" i="34"/>
  <c r="I7" i="34"/>
  <c r="J7" i="34"/>
  <c r="H8" i="34"/>
  <c r="I8" i="34"/>
  <c r="J8" i="34"/>
  <c r="H9" i="34"/>
  <c r="I9" i="34"/>
  <c r="J9" i="34"/>
  <c r="H10" i="34"/>
  <c r="I10" i="34"/>
  <c r="J10" i="34"/>
  <c r="H11" i="34"/>
  <c r="I11" i="34"/>
  <c r="J11" i="34"/>
  <c r="H12" i="34"/>
  <c r="I12" i="34"/>
  <c r="J12" i="34"/>
  <c r="H13" i="34"/>
  <c r="I13" i="34"/>
  <c r="J13" i="34"/>
  <c r="H14" i="34"/>
  <c r="I14" i="34"/>
  <c r="J14" i="34"/>
  <c r="H15" i="34"/>
  <c r="I15" i="34"/>
  <c r="J15" i="34"/>
  <c r="H16" i="34"/>
  <c r="I16" i="34"/>
  <c r="J16" i="34"/>
  <c r="H17" i="34"/>
  <c r="I17" i="34"/>
  <c r="J17" i="34"/>
  <c r="H18" i="34"/>
  <c r="I18" i="34"/>
  <c r="J18" i="34"/>
  <c r="H19" i="34"/>
  <c r="I19" i="34"/>
  <c r="J19" i="34"/>
  <c r="H20" i="34"/>
  <c r="I20" i="34"/>
  <c r="J20" i="34"/>
  <c r="H21" i="34"/>
  <c r="I21" i="34"/>
  <c r="J21" i="34"/>
  <c r="H22" i="34"/>
  <c r="I22" i="34"/>
  <c r="J22" i="34"/>
  <c r="H23" i="34"/>
  <c r="I23" i="34"/>
  <c r="J23" i="34"/>
  <c r="H24" i="34"/>
  <c r="I24" i="34"/>
  <c r="J24" i="34"/>
  <c r="H25" i="34"/>
  <c r="I25" i="34"/>
  <c r="J25" i="34"/>
  <c r="H26" i="34"/>
  <c r="I26" i="34"/>
  <c r="J26" i="34"/>
  <c r="H27" i="34"/>
  <c r="I27" i="34"/>
  <c r="J27" i="34"/>
  <c r="H28" i="34"/>
  <c r="I28" i="34"/>
  <c r="J28" i="34"/>
  <c r="H29" i="34"/>
  <c r="I29" i="34"/>
  <c r="J29" i="34"/>
  <c r="H30" i="34"/>
  <c r="I30" i="34"/>
  <c r="J30" i="34"/>
  <c r="H31" i="34"/>
  <c r="I31" i="34"/>
  <c r="J31" i="34"/>
  <c r="H32" i="34"/>
  <c r="I32" i="34"/>
  <c r="J32" i="34"/>
  <c r="H33" i="34"/>
  <c r="I33" i="34"/>
  <c r="J33" i="34"/>
  <c r="H34" i="34"/>
  <c r="I34" i="34"/>
  <c r="J34" i="34"/>
  <c r="H35" i="34"/>
  <c r="I35" i="34"/>
  <c r="J35" i="34"/>
  <c r="H36" i="34"/>
  <c r="I36" i="34"/>
  <c r="J36" i="34"/>
  <c r="H37" i="34"/>
  <c r="I37" i="34"/>
  <c r="J37" i="34"/>
  <c r="H38" i="34"/>
  <c r="I38" i="34"/>
  <c r="J38" i="34"/>
  <c r="H39" i="34"/>
  <c r="I39" i="34"/>
  <c r="J39" i="34"/>
  <c r="H40" i="34"/>
  <c r="I40" i="34"/>
  <c r="J40" i="34"/>
  <c r="H41" i="34"/>
  <c r="I41" i="34"/>
  <c r="J41" i="34"/>
  <c r="H42" i="34"/>
  <c r="I42" i="34"/>
  <c r="J42" i="34"/>
  <c r="H43" i="34"/>
  <c r="I43" i="34"/>
  <c r="J43" i="34"/>
  <c r="H44" i="34"/>
  <c r="I44" i="34"/>
  <c r="J44" i="34"/>
  <c r="H45" i="34"/>
  <c r="I45" i="34"/>
  <c r="J45" i="34"/>
  <c r="H46" i="34"/>
  <c r="I46" i="34"/>
  <c r="J46" i="34"/>
  <c r="H47" i="34"/>
  <c r="I47" i="34"/>
  <c r="J47" i="34"/>
  <c r="H48" i="34"/>
  <c r="I48" i="34"/>
  <c r="J48" i="34"/>
  <c r="H49" i="34"/>
  <c r="I49" i="34"/>
  <c r="J49" i="34"/>
  <c r="H50" i="34"/>
  <c r="H51" i="34"/>
  <c r="H52" i="34"/>
  <c r="H53" i="34"/>
  <c r="H54" i="34"/>
  <c r="H55" i="34"/>
  <c r="H56" i="34"/>
  <c r="H57" i="34"/>
  <c r="H58" i="34"/>
  <c r="H59" i="34"/>
  <c r="H60" i="34"/>
  <c r="H61" i="34"/>
  <c r="H62" i="34"/>
  <c r="H63" i="34"/>
  <c r="H64" i="34"/>
  <c r="H65" i="34"/>
  <c r="H66" i="34"/>
  <c r="H67" i="34"/>
  <c r="H68" i="34"/>
  <c r="H69" i="34"/>
  <c r="H70" i="34"/>
  <c r="H71" i="34"/>
  <c r="H72" i="34"/>
  <c r="H73" i="34"/>
  <c r="H74" i="34"/>
  <c r="H75" i="34"/>
  <c r="H76" i="34"/>
  <c r="H77" i="34"/>
  <c r="H78" i="34"/>
  <c r="H79" i="34"/>
  <c r="H80" i="34"/>
  <c r="H81" i="34"/>
  <c r="H82" i="34"/>
  <c r="H83" i="34"/>
  <c r="H84" i="34"/>
  <c r="H85" i="34"/>
  <c r="H86" i="34"/>
  <c r="H87" i="34"/>
  <c r="H88" i="34"/>
  <c r="H89" i="34"/>
  <c r="H90" i="34"/>
  <c r="H91" i="34"/>
  <c r="H92" i="34"/>
  <c r="H93" i="34"/>
  <c r="H94" i="34"/>
  <c r="H95" i="34"/>
  <c r="H96" i="34"/>
  <c r="H97" i="34"/>
  <c r="H98" i="34"/>
  <c r="H99" i="34"/>
  <c r="H100" i="34"/>
  <c r="H101" i="34"/>
  <c r="H102" i="34"/>
  <c r="H103" i="34"/>
  <c r="H104" i="34"/>
  <c r="H105" i="34"/>
  <c r="H106" i="34"/>
  <c r="H107" i="34"/>
  <c r="H108" i="34"/>
  <c r="H109" i="34"/>
  <c r="H110" i="34"/>
  <c r="H111" i="34"/>
  <c r="H112" i="34"/>
  <c r="H113" i="34"/>
  <c r="H114" i="34"/>
  <c r="H115" i="34"/>
  <c r="J1" i="34"/>
  <c r="I1" i="34"/>
  <c r="H1" i="34"/>
  <c r="G1" i="34"/>
  <c r="F1" i="34"/>
  <c r="E1" i="34"/>
  <c r="D1" i="34"/>
  <c r="A1" i="34"/>
  <c r="H2" i="38"/>
  <c r="I2" i="38"/>
  <c r="H3" i="38"/>
  <c r="I3" i="38"/>
  <c r="H4" i="38"/>
  <c r="I4" i="38"/>
  <c r="H5" i="38"/>
  <c r="I5" i="38"/>
  <c r="H6" i="38"/>
  <c r="I6" i="38"/>
  <c r="H7" i="38"/>
  <c r="I7" i="38"/>
  <c r="H8" i="38"/>
  <c r="I8" i="38"/>
  <c r="H9" i="38"/>
  <c r="I9" i="38"/>
  <c r="H10" i="38"/>
  <c r="I10" i="38"/>
  <c r="H11" i="38"/>
  <c r="I11" i="38"/>
  <c r="H12" i="38"/>
  <c r="I12" i="38"/>
  <c r="H13" i="38"/>
  <c r="I13" i="38"/>
  <c r="H14" i="38"/>
  <c r="I14" i="38"/>
  <c r="H15" i="38"/>
  <c r="I15" i="38"/>
  <c r="H16" i="38"/>
  <c r="I16" i="38"/>
  <c r="H17" i="38"/>
  <c r="I17" i="38"/>
  <c r="H18" i="38"/>
  <c r="I18" i="38"/>
  <c r="H19" i="38"/>
  <c r="I19" i="38"/>
  <c r="H20" i="38"/>
  <c r="I20" i="38"/>
  <c r="H21" i="38"/>
  <c r="I21" i="38"/>
  <c r="H22" i="38"/>
  <c r="I22" i="38"/>
  <c r="H23" i="38"/>
  <c r="I23" i="38"/>
  <c r="H24" i="38"/>
  <c r="I24" i="38"/>
  <c r="H25" i="38"/>
  <c r="I25" i="38"/>
  <c r="H26" i="38"/>
  <c r="I26" i="38"/>
  <c r="H27" i="38"/>
  <c r="I27" i="38"/>
  <c r="H28" i="38"/>
  <c r="I28" i="38"/>
  <c r="H29" i="38"/>
  <c r="I29" i="38"/>
  <c r="H30" i="38"/>
  <c r="I30" i="38"/>
  <c r="H31" i="38"/>
  <c r="I31" i="38"/>
  <c r="H32" i="38"/>
  <c r="I32" i="38"/>
  <c r="H33" i="38"/>
  <c r="I33" i="38"/>
  <c r="H34" i="38"/>
  <c r="I34" i="38"/>
  <c r="H35" i="38"/>
  <c r="I35" i="38"/>
  <c r="H36" i="38"/>
  <c r="I36" i="38"/>
  <c r="H37" i="38"/>
  <c r="I37" i="38"/>
  <c r="H38" i="38"/>
  <c r="I38" i="38"/>
  <c r="H39" i="38"/>
  <c r="I39" i="38"/>
  <c r="H40" i="38"/>
  <c r="I40" i="38"/>
  <c r="H41" i="38"/>
  <c r="I41" i="38"/>
  <c r="H42" i="38"/>
  <c r="I42" i="38"/>
  <c r="H43" i="38"/>
  <c r="I43" i="38"/>
  <c r="H44" i="38"/>
  <c r="I44" i="38"/>
  <c r="H45" i="38"/>
  <c r="I45" i="38"/>
  <c r="H46" i="38"/>
  <c r="I46" i="38"/>
  <c r="H47" i="38"/>
  <c r="I47" i="38"/>
  <c r="H48" i="38"/>
  <c r="I48" i="38"/>
  <c r="H49" i="38"/>
  <c r="I49" i="38"/>
  <c r="A2" i="38"/>
  <c r="A3" i="38"/>
  <c r="A4" i="38"/>
  <c r="A5" i="38"/>
  <c r="A6" i="38"/>
  <c r="A7" i="38"/>
  <c r="A8" i="38"/>
  <c r="A9" i="38"/>
  <c r="A10" i="38"/>
  <c r="A11" i="38"/>
  <c r="A12" i="38"/>
  <c r="A13" i="38"/>
  <c r="A14" i="38"/>
  <c r="A15" i="38"/>
  <c r="A16" i="38"/>
  <c r="A17" i="38"/>
  <c r="A18" i="38"/>
  <c r="A19" i="38"/>
  <c r="A20" i="38"/>
  <c r="A21" i="38"/>
  <c r="A22" i="38"/>
  <c r="A23" i="38"/>
  <c r="A24" i="38"/>
  <c r="A25" i="38"/>
  <c r="A26" i="38"/>
  <c r="A27" i="38"/>
  <c r="A28" i="38"/>
  <c r="A29" i="38"/>
  <c r="A30" i="38"/>
  <c r="A31" i="38"/>
  <c r="A32" i="38"/>
  <c r="A33" i="38"/>
  <c r="A34" i="38"/>
  <c r="A35" i="38"/>
  <c r="A36" i="38"/>
  <c r="A37" i="38"/>
  <c r="A38" i="38"/>
  <c r="A39" i="38"/>
  <c r="A40" i="38"/>
  <c r="A41" i="38"/>
  <c r="A42" i="38"/>
  <c r="A43" i="38"/>
  <c r="A44" i="38"/>
  <c r="A45" i="38"/>
  <c r="A46" i="38"/>
  <c r="A47" i="38"/>
  <c r="A48" i="38"/>
  <c r="A49" i="38"/>
  <c r="A50" i="38"/>
  <c r="A51" i="38"/>
  <c r="A52" i="38"/>
  <c r="A53" i="38"/>
  <c r="A54" i="38"/>
  <c r="A55" i="38"/>
  <c r="A56" i="38"/>
  <c r="A57" i="38"/>
  <c r="A58" i="38"/>
  <c r="A59" i="38"/>
  <c r="A60" i="38"/>
  <c r="A61" i="38"/>
  <c r="A62" i="38"/>
  <c r="A63" i="38"/>
  <c r="A64" i="38"/>
  <c r="A65" i="38"/>
  <c r="A66" i="38"/>
  <c r="A67" i="38"/>
  <c r="A68" i="38"/>
  <c r="A69" i="38"/>
  <c r="A70" i="38"/>
  <c r="A71" i="38"/>
  <c r="A72" i="38"/>
  <c r="A73" i="38"/>
  <c r="A74" i="38"/>
  <c r="A75" i="38"/>
  <c r="A76" i="38"/>
  <c r="A77" i="38"/>
  <c r="A78" i="38"/>
  <c r="A79" i="38"/>
  <c r="A80" i="38"/>
  <c r="A81" i="38"/>
  <c r="A82" i="38"/>
  <c r="A83" i="38"/>
  <c r="A84" i="38"/>
  <c r="A85" i="38"/>
  <c r="A86" i="38"/>
  <c r="A87" i="38"/>
  <c r="A88" i="38"/>
  <c r="A89" i="38"/>
  <c r="A90" i="38"/>
  <c r="A91" i="38"/>
  <c r="A92" i="38"/>
  <c r="A93" i="38"/>
  <c r="A94" i="38"/>
  <c r="A95" i="38"/>
  <c r="A96" i="38"/>
  <c r="A97" i="38"/>
  <c r="A98" i="38"/>
  <c r="A99" i="38"/>
  <c r="A100" i="38"/>
  <c r="A101" i="38"/>
  <c r="A102" i="38"/>
  <c r="A103" i="38"/>
  <c r="A104" i="38"/>
  <c r="A105" i="38"/>
  <c r="A106" i="38"/>
  <c r="A107" i="38"/>
  <c r="A108" i="38"/>
  <c r="A109" i="38"/>
  <c r="A110" i="38"/>
  <c r="A111" i="38"/>
  <c r="A112" i="38"/>
  <c r="A113" i="38"/>
  <c r="A114" i="38"/>
  <c r="A115" i="38"/>
  <c r="A116" i="38" s="1"/>
  <c r="A117" i="38" s="1"/>
  <c r="A118" i="38" s="1"/>
  <c r="A119" i="38" s="1"/>
  <c r="A120" i="38" s="1"/>
  <c r="A121" i="38" s="1"/>
  <c r="A122" i="38" s="1"/>
  <c r="A123" i="38" s="1"/>
  <c r="A124" i="38" s="1"/>
  <c r="A125" i="38" s="1"/>
  <c r="A126" i="38" s="1"/>
  <c r="A127" i="38" s="1"/>
  <c r="A128" i="38" s="1"/>
  <c r="A129" i="38" s="1"/>
  <c r="A130" i="38" s="1"/>
  <c r="A131" i="38" s="1"/>
  <c r="A132" i="38" s="1"/>
  <c r="A133" i="38" s="1"/>
  <c r="A134" i="38" s="1"/>
  <c r="A135" i="38" s="1"/>
  <c r="A136" i="38" s="1"/>
  <c r="A137" i="38" s="1"/>
  <c r="A138" i="38" s="1"/>
  <c r="A139" i="38" s="1"/>
  <c r="A140" i="38" s="1"/>
  <c r="A141" i="38" s="1"/>
  <c r="A142" i="38" s="1"/>
  <c r="A143" i="38" s="1"/>
  <c r="A144" i="38" s="1"/>
  <c r="A145" i="38" s="1"/>
  <c r="I1" i="38"/>
  <c r="H1" i="38"/>
  <c r="G1" i="38"/>
  <c r="F1" i="38"/>
  <c r="E1" i="38"/>
  <c r="D1" i="38"/>
  <c r="A1" i="38"/>
  <c r="A2" i="32"/>
  <c r="C2" i="32" s="1"/>
  <c r="H2" i="32"/>
  <c r="I2" i="32"/>
  <c r="A3" i="32"/>
  <c r="C3" i="32" s="1"/>
  <c r="H3" i="32"/>
  <c r="I3" i="32"/>
  <c r="A4" i="32"/>
  <c r="C4" i="32" s="1"/>
  <c r="H4" i="32"/>
  <c r="I4" i="32"/>
  <c r="A5" i="32"/>
  <c r="B5" i="32" s="1"/>
  <c r="H5" i="32"/>
  <c r="I5" i="32"/>
  <c r="A6" i="32"/>
  <c r="H6" i="32"/>
  <c r="I6" i="32"/>
  <c r="A7" i="32"/>
  <c r="B7" i="32" s="1"/>
  <c r="H7" i="32"/>
  <c r="I7" i="32"/>
  <c r="A8" i="32"/>
  <c r="B8" i="32" s="1"/>
  <c r="H8" i="32"/>
  <c r="I8" i="32"/>
  <c r="A9" i="32"/>
  <c r="B9" i="32" s="1"/>
  <c r="H9" i="32"/>
  <c r="I9" i="32"/>
  <c r="A10" i="32"/>
  <c r="C10" i="32" s="1"/>
  <c r="H10" i="32"/>
  <c r="I10" i="32"/>
  <c r="A11" i="32"/>
  <c r="B11" i="32" s="1"/>
  <c r="H11" i="32"/>
  <c r="I11" i="32"/>
  <c r="A12" i="32"/>
  <c r="B12" i="32" s="1"/>
  <c r="H12" i="32"/>
  <c r="I12" i="32"/>
  <c r="A13" i="32"/>
  <c r="B13" i="32" s="1"/>
  <c r="H13" i="32"/>
  <c r="I13" i="32"/>
  <c r="A14" i="32"/>
  <c r="H14" i="32"/>
  <c r="I14" i="32"/>
  <c r="A15" i="32"/>
  <c r="C15" i="32" s="1"/>
  <c r="H15" i="32"/>
  <c r="I15" i="32"/>
  <c r="A16" i="32"/>
  <c r="B16" i="32" s="1"/>
  <c r="H16" i="32"/>
  <c r="I16" i="32"/>
  <c r="A17" i="32"/>
  <c r="H17" i="32"/>
  <c r="I17" i="32"/>
  <c r="A18" i="32"/>
  <c r="C18" i="32" s="1"/>
  <c r="H18" i="32"/>
  <c r="I18" i="32"/>
  <c r="A19" i="32"/>
  <c r="H19" i="32"/>
  <c r="I19" i="32"/>
  <c r="A20" i="32"/>
  <c r="B20" i="32" s="1"/>
  <c r="H20" i="32"/>
  <c r="I20" i="32"/>
  <c r="A21" i="32"/>
  <c r="C21" i="32" s="1"/>
  <c r="H21" i="32"/>
  <c r="I21" i="32"/>
  <c r="A22" i="32"/>
  <c r="B22" i="32" s="1"/>
  <c r="H22" i="32"/>
  <c r="I22" i="32"/>
  <c r="A23" i="32"/>
  <c r="B23" i="32" s="1"/>
  <c r="H23" i="32"/>
  <c r="I23" i="32"/>
  <c r="A24" i="32"/>
  <c r="B24" i="32" s="1"/>
  <c r="H24" i="32"/>
  <c r="I24" i="32"/>
  <c r="A25" i="32"/>
  <c r="C25" i="32" s="1"/>
  <c r="H25" i="32"/>
  <c r="I25" i="32"/>
  <c r="A26" i="32"/>
  <c r="C26" i="32" s="1"/>
  <c r="H26" i="32"/>
  <c r="I26" i="32"/>
  <c r="A27" i="32"/>
  <c r="C27" i="32" s="1"/>
  <c r="H27" i="32"/>
  <c r="I27" i="32"/>
  <c r="A28" i="32"/>
  <c r="B28" i="32" s="1"/>
  <c r="H28" i="32"/>
  <c r="I28" i="32"/>
  <c r="A29" i="32"/>
  <c r="B29" i="32" s="1"/>
  <c r="H29" i="32"/>
  <c r="I29" i="32"/>
  <c r="A30" i="32"/>
  <c r="B30" i="32" s="1"/>
  <c r="H30" i="32"/>
  <c r="I30" i="32"/>
  <c r="A31" i="32"/>
  <c r="H31" i="32"/>
  <c r="I31" i="32"/>
  <c r="A32" i="32"/>
  <c r="B32" i="32" s="1"/>
  <c r="H32" i="32"/>
  <c r="I32" i="32"/>
  <c r="A33" i="32"/>
  <c r="B33" i="32" s="1"/>
  <c r="H33" i="32"/>
  <c r="I33" i="32"/>
  <c r="A34" i="32"/>
  <c r="C34" i="32" s="1"/>
  <c r="H34" i="32"/>
  <c r="I34" i="32"/>
  <c r="A35" i="32"/>
  <c r="B35" i="32" s="1"/>
  <c r="H35" i="32"/>
  <c r="I35" i="32"/>
  <c r="A36" i="32"/>
  <c r="B36" i="32" s="1"/>
  <c r="H36" i="32"/>
  <c r="I36" i="32"/>
  <c r="A37" i="32"/>
  <c r="B37" i="32" s="1"/>
  <c r="H37" i="32"/>
  <c r="I37" i="32"/>
  <c r="A38" i="32"/>
  <c r="B38" i="32" s="1"/>
  <c r="H38" i="32"/>
  <c r="I38" i="32"/>
  <c r="A39" i="32"/>
  <c r="B39" i="32" s="1"/>
  <c r="H39" i="32"/>
  <c r="I39" i="32"/>
  <c r="A40" i="32"/>
  <c r="C40" i="32" s="1"/>
  <c r="H40" i="32"/>
  <c r="I40" i="32"/>
  <c r="A41" i="32"/>
  <c r="C41" i="32" s="1"/>
  <c r="H41" i="32"/>
  <c r="I41" i="32"/>
  <c r="A42" i="32"/>
  <c r="C42" i="32" s="1"/>
  <c r="H42" i="32"/>
  <c r="I42" i="32"/>
  <c r="A43" i="32"/>
  <c r="C43" i="32" s="1"/>
  <c r="H43" i="32"/>
  <c r="I43" i="32"/>
  <c r="A44" i="32"/>
  <c r="B44" i="32" s="1"/>
  <c r="H44" i="32"/>
  <c r="I44" i="32"/>
  <c r="A45" i="32"/>
  <c r="C45" i="32" s="1"/>
  <c r="H45" i="32"/>
  <c r="I45" i="32"/>
  <c r="A46" i="32"/>
  <c r="C46" i="32" s="1"/>
  <c r="H46" i="32"/>
  <c r="I46" i="32"/>
  <c r="A47" i="32"/>
  <c r="B47" i="32" s="1"/>
  <c r="H47" i="32"/>
  <c r="I47" i="32"/>
  <c r="A48" i="32"/>
  <c r="B48" i="32" s="1"/>
  <c r="H48" i="32"/>
  <c r="I48" i="32"/>
  <c r="A49" i="32"/>
  <c r="H49" i="32"/>
  <c r="I49" i="32"/>
  <c r="A50" i="32"/>
  <c r="C50" i="32" s="1"/>
  <c r="H50" i="32"/>
  <c r="A51" i="32"/>
  <c r="C51" i="32" s="1"/>
  <c r="H51" i="32"/>
  <c r="A52" i="32"/>
  <c r="B52" i="32" s="1"/>
  <c r="H52" i="32"/>
  <c r="A53" i="32"/>
  <c r="B53" i="32" s="1"/>
  <c r="H53" i="32"/>
  <c r="A54" i="32"/>
  <c r="C54" i="32" s="1"/>
  <c r="H54" i="32"/>
  <c r="A55" i="32"/>
  <c r="H55" i="32"/>
  <c r="A56" i="32"/>
  <c r="B56" i="32" s="1"/>
  <c r="H56" i="32"/>
  <c r="A57" i="32"/>
  <c r="B57" i="32" s="1"/>
  <c r="H57" i="32"/>
  <c r="A58" i="32"/>
  <c r="H58" i="32"/>
  <c r="A59" i="32"/>
  <c r="H59" i="32"/>
  <c r="A60" i="32"/>
  <c r="B60" i="32" s="1"/>
  <c r="H60" i="32"/>
  <c r="A61" i="32"/>
  <c r="B61" i="32" s="1"/>
  <c r="H61" i="32"/>
  <c r="A62" i="32"/>
  <c r="C62" i="32" s="1"/>
  <c r="A63" i="32"/>
  <c r="C63" i="32" s="1"/>
  <c r="A64" i="32"/>
  <c r="B64" i="32" s="1"/>
  <c r="A65" i="32"/>
  <c r="B65" i="32" s="1"/>
  <c r="A66" i="32"/>
  <c r="A67" i="32"/>
  <c r="B67" i="32" s="1"/>
  <c r="A68" i="32"/>
  <c r="A69" i="32"/>
  <c r="C69" i="32" s="1"/>
  <c r="A70" i="32"/>
  <c r="B70" i="32" s="1"/>
  <c r="A71" i="32"/>
  <c r="B71" i="32" s="1"/>
  <c r="A72" i="32"/>
  <c r="C72" i="32" s="1"/>
  <c r="A73" i="32"/>
  <c r="A74" i="32"/>
  <c r="A75" i="32"/>
  <c r="B75" i="32" s="1"/>
  <c r="A76" i="32"/>
  <c r="B76" i="32" s="1"/>
  <c r="A77" i="32"/>
  <c r="C77" i="32" s="1"/>
  <c r="A78" i="32"/>
  <c r="A79" i="32"/>
  <c r="A80" i="32"/>
  <c r="C80" i="32" s="1"/>
  <c r="A81" i="32"/>
  <c r="B81" i="32" s="1"/>
  <c r="A82" i="32"/>
  <c r="C82" i="32" s="1"/>
  <c r="A83" i="32"/>
  <c r="B83" i="32" s="1"/>
  <c r="A84" i="32"/>
  <c r="B84" i="32" s="1"/>
  <c r="A85" i="32"/>
  <c r="C85" i="32" s="1"/>
  <c r="A86" i="32"/>
  <c r="C86" i="32" s="1"/>
  <c r="A87" i="32"/>
  <c r="C87" i="32" s="1"/>
  <c r="A88" i="32"/>
  <c r="B88" i="32" s="1"/>
  <c r="A89" i="32"/>
  <c r="B89" i="32" s="1"/>
  <c r="A90" i="32"/>
  <c r="C90" i="32" s="1"/>
  <c r="A91" i="32"/>
  <c r="B91" i="32" s="1"/>
  <c r="A92" i="32"/>
  <c r="B92" i="32" s="1"/>
  <c r="A93" i="32"/>
  <c r="B93" i="32" s="1"/>
  <c r="A94" i="32"/>
  <c r="B94" i="32" s="1"/>
  <c r="A95" i="32"/>
  <c r="C95" i="32" s="1"/>
  <c r="A96" i="32"/>
  <c r="A97" i="32"/>
  <c r="A98" i="32"/>
  <c r="C98" i="32" s="1"/>
  <c r="A99" i="32"/>
  <c r="B99" i="32" s="1"/>
  <c r="A100" i="32"/>
  <c r="A101" i="32"/>
  <c r="A102" i="32"/>
  <c r="A103" i="32"/>
  <c r="B103" i="32" s="1"/>
  <c r="A104" i="32"/>
  <c r="C104" i="32" s="1"/>
  <c r="A105" i="32"/>
  <c r="C105" i="32" s="1"/>
  <c r="A106" i="32"/>
  <c r="C106" i="32" s="1"/>
  <c r="A107" i="32"/>
  <c r="C107" i="32" s="1"/>
  <c r="A108" i="32"/>
  <c r="B108" i="32" s="1"/>
  <c r="A109" i="32"/>
  <c r="B109" i="32" s="1"/>
  <c r="A110" i="32"/>
  <c r="B110" i="32" s="1"/>
  <c r="A111" i="32"/>
  <c r="B111" i="32" s="1"/>
  <c r="A112" i="32"/>
  <c r="B112" i="32" s="1"/>
  <c r="A113" i="32"/>
  <c r="C113" i="32" s="1"/>
  <c r="A114" i="32"/>
  <c r="A115" i="32"/>
  <c r="C115" i="32" s="1"/>
  <c r="J1" i="32"/>
  <c r="I1" i="32"/>
  <c r="H1" i="32"/>
  <c r="G1" i="32"/>
  <c r="F1" i="32"/>
  <c r="E1" i="32"/>
  <c r="D1" i="32"/>
  <c r="A1" i="32"/>
  <c r="A2" i="30"/>
  <c r="C2" i="30" s="1"/>
  <c r="H2" i="30"/>
  <c r="I2" i="30"/>
  <c r="J2" i="30"/>
  <c r="A3" i="30"/>
  <c r="B3" i="30" s="1"/>
  <c r="H3" i="30"/>
  <c r="I3" i="30"/>
  <c r="J3" i="30"/>
  <c r="A4" i="30"/>
  <c r="B4" i="30" s="1"/>
  <c r="H4" i="30"/>
  <c r="I4" i="30"/>
  <c r="J4" i="30"/>
  <c r="A5" i="30"/>
  <c r="B5" i="30" s="1"/>
  <c r="H5" i="30"/>
  <c r="I5" i="30"/>
  <c r="J5" i="30"/>
  <c r="A6" i="30"/>
  <c r="B6" i="30" s="1"/>
  <c r="H6" i="30"/>
  <c r="I6" i="30"/>
  <c r="J6" i="30"/>
  <c r="A7" i="30"/>
  <c r="H7" i="30"/>
  <c r="I7" i="30"/>
  <c r="J7" i="30"/>
  <c r="A8" i="30"/>
  <c r="C8" i="30" s="1"/>
  <c r="H8" i="30"/>
  <c r="I8" i="30"/>
  <c r="J8" i="30"/>
  <c r="A9" i="30"/>
  <c r="B9" i="30" s="1"/>
  <c r="H9" i="30"/>
  <c r="I9" i="30"/>
  <c r="J9" i="30"/>
  <c r="A10" i="30"/>
  <c r="B10" i="30" s="1"/>
  <c r="H10" i="30"/>
  <c r="I10" i="30"/>
  <c r="J10" i="30"/>
  <c r="A11" i="30"/>
  <c r="B11" i="30" s="1"/>
  <c r="H11" i="30"/>
  <c r="I11" i="30"/>
  <c r="J11" i="30"/>
  <c r="A12" i="30"/>
  <c r="H12" i="30"/>
  <c r="I12" i="30"/>
  <c r="J12" i="30"/>
  <c r="A13" i="30"/>
  <c r="H13" i="30"/>
  <c r="I13" i="30"/>
  <c r="J13" i="30"/>
  <c r="A14" i="30"/>
  <c r="B14" i="30" s="1"/>
  <c r="H14" i="30"/>
  <c r="I14" i="30"/>
  <c r="J14" i="30"/>
  <c r="A15" i="30"/>
  <c r="C15" i="30" s="1"/>
  <c r="H15" i="30"/>
  <c r="I15" i="30"/>
  <c r="J15" i="30"/>
  <c r="A16" i="30"/>
  <c r="B16" i="30" s="1"/>
  <c r="H16" i="30"/>
  <c r="I16" i="30"/>
  <c r="J16" i="30"/>
  <c r="A17" i="30"/>
  <c r="B17" i="30" s="1"/>
  <c r="H17" i="30"/>
  <c r="I17" i="30"/>
  <c r="J17" i="30"/>
  <c r="A18" i="30"/>
  <c r="H18" i="30"/>
  <c r="I18" i="30"/>
  <c r="J18" i="30"/>
  <c r="A19" i="30"/>
  <c r="C19" i="30" s="1"/>
  <c r="H19" i="30"/>
  <c r="I19" i="30"/>
  <c r="J19" i="30"/>
  <c r="A20" i="30"/>
  <c r="C20" i="30" s="1"/>
  <c r="H20" i="30"/>
  <c r="I20" i="30"/>
  <c r="J20" i="30"/>
  <c r="A21" i="30"/>
  <c r="B21" i="30" s="1"/>
  <c r="H21" i="30"/>
  <c r="I21" i="30"/>
  <c r="J21" i="30"/>
  <c r="A22" i="30"/>
  <c r="C22" i="30" s="1"/>
  <c r="H22" i="30"/>
  <c r="I22" i="30"/>
  <c r="J22" i="30"/>
  <c r="A23" i="30"/>
  <c r="C23" i="30" s="1"/>
  <c r="H23" i="30"/>
  <c r="I23" i="30"/>
  <c r="J23" i="30"/>
  <c r="A24" i="30"/>
  <c r="B24" i="30" s="1"/>
  <c r="H24" i="30"/>
  <c r="I24" i="30"/>
  <c r="J24" i="30"/>
  <c r="A25" i="30"/>
  <c r="B25" i="30" s="1"/>
  <c r="H25" i="30"/>
  <c r="I25" i="30"/>
  <c r="J25" i="30"/>
  <c r="A26" i="30"/>
  <c r="B26" i="30" s="1"/>
  <c r="H26" i="30"/>
  <c r="I26" i="30"/>
  <c r="J26" i="30"/>
  <c r="A27" i="30"/>
  <c r="B27" i="30" s="1"/>
  <c r="H27" i="30"/>
  <c r="I27" i="30"/>
  <c r="J27" i="30"/>
  <c r="A28" i="30"/>
  <c r="B28" i="30" s="1"/>
  <c r="H28" i="30"/>
  <c r="I28" i="30"/>
  <c r="J28" i="30"/>
  <c r="A29" i="30"/>
  <c r="B29" i="30" s="1"/>
  <c r="H29" i="30"/>
  <c r="I29" i="30"/>
  <c r="J29" i="30"/>
  <c r="A30" i="30"/>
  <c r="H30" i="30"/>
  <c r="I30" i="30"/>
  <c r="J30" i="30"/>
  <c r="A31" i="30"/>
  <c r="H31" i="30"/>
  <c r="I31" i="30"/>
  <c r="J31" i="30"/>
  <c r="A32" i="30"/>
  <c r="C32" i="30" s="1"/>
  <c r="H32" i="30"/>
  <c r="I32" i="30"/>
  <c r="J32" i="30"/>
  <c r="A33" i="30"/>
  <c r="B33" i="30" s="1"/>
  <c r="H33" i="30"/>
  <c r="I33" i="30"/>
  <c r="J33" i="30"/>
  <c r="A34" i="30"/>
  <c r="B34" i="30" s="1"/>
  <c r="H34" i="30"/>
  <c r="I34" i="30"/>
  <c r="J34" i="30"/>
  <c r="A35" i="30"/>
  <c r="H35" i="30"/>
  <c r="I35" i="30"/>
  <c r="J35" i="30"/>
  <c r="A36" i="30"/>
  <c r="H36" i="30"/>
  <c r="I36" i="30"/>
  <c r="J36" i="30"/>
  <c r="A37" i="30"/>
  <c r="B37" i="30" s="1"/>
  <c r="H37" i="30"/>
  <c r="I37" i="30"/>
  <c r="J37" i="30"/>
  <c r="A38" i="30"/>
  <c r="B38" i="30" s="1"/>
  <c r="H38" i="30"/>
  <c r="I38" i="30"/>
  <c r="J38" i="30"/>
  <c r="A39" i="30"/>
  <c r="C39" i="30" s="1"/>
  <c r="H39" i="30"/>
  <c r="I39" i="30"/>
  <c r="J39" i="30"/>
  <c r="A40" i="30"/>
  <c r="B40" i="30" s="1"/>
  <c r="H40" i="30"/>
  <c r="I40" i="30"/>
  <c r="J40" i="30"/>
  <c r="A41" i="30"/>
  <c r="B41" i="30" s="1"/>
  <c r="H41" i="30"/>
  <c r="I41" i="30"/>
  <c r="J41" i="30"/>
  <c r="A42" i="30"/>
  <c r="B42" i="30" s="1"/>
  <c r="H42" i="30"/>
  <c r="I42" i="30"/>
  <c r="J42" i="30"/>
  <c r="A43" i="30"/>
  <c r="B43" i="30" s="1"/>
  <c r="H43" i="30"/>
  <c r="I43" i="30"/>
  <c r="J43" i="30"/>
  <c r="A44" i="30"/>
  <c r="B44" i="30" s="1"/>
  <c r="H44" i="30"/>
  <c r="I44" i="30"/>
  <c r="J44" i="30"/>
  <c r="A45" i="30"/>
  <c r="C45" i="30" s="1"/>
  <c r="H45" i="30"/>
  <c r="I45" i="30"/>
  <c r="J45" i="30"/>
  <c r="A46" i="30"/>
  <c r="B46" i="30" s="1"/>
  <c r="H46" i="30"/>
  <c r="I46" i="30"/>
  <c r="J46" i="30"/>
  <c r="A47" i="30"/>
  <c r="C47" i="30" s="1"/>
  <c r="H47" i="30"/>
  <c r="I47" i="30"/>
  <c r="J47" i="30"/>
  <c r="A48" i="30"/>
  <c r="B48" i="30" s="1"/>
  <c r="H48" i="30"/>
  <c r="I48" i="30"/>
  <c r="J48" i="30"/>
  <c r="A49" i="30"/>
  <c r="B49" i="30" s="1"/>
  <c r="H49" i="30"/>
  <c r="I49" i="30"/>
  <c r="J49" i="30"/>
  <c r="A50" i="30"/>
  <c r="B50" i="30" s="1"/>
  <c r="H50" i="30"/>
  <c r="A51" i="30"/>
  <c r="B51" i="30" s="1"/>
  <c r="H51" i="30"/>
  <c r="A52" i="30"/>
  <c r="C52" i="30" s="1"/>
  <c r="H52" i="30"/>
  <c r="A53" i="30"/>
  <c r="H53" i="30"/>
  <c r="A54" i="30"/>
  <c r="H54" i="30"/>
  <c r="A55" i="30"/>
  <c r="C55" i="30" s="1"/>
  <c r="H55" i="30"/>
  <c r="A56" i="30"/>
  <c r="B56" i="30" s="1"/>
  <c r="H56" i="30"/>
  <c r="A57" i="30"/>
  <c r="B57" i="30" s="1"/>
  <c r="H57" i="30"/>
  <c r="A58" i="30"/>
  <c r="H58" i="30"/>
  <c r="A59" i="30"/>
  <c r="H59" i="30"/>
  <c r="A60" i="30"/>
  <c r="B60" i="30" s="1"/>
  <c r="H60" i="30"/>
  <c r="A61" i="30"/>
  <c r="B61" i="30" s="1"/>
  <c r="H61" i="30"/>
  <c r="A62" i="30"/>
  <c r="C62" i="30" s="1"/>
  <c r="H62" i="30"/>
  <c r="A63" i="30"/>
  <c r="C63" i="30" s="1"/>
  <c r="H63" i="30"/>
  <c r="A64" i="30"/>
  <c r="C64" i="30" s="1"/>
  <c r="H64" i="30"/>
  <c r="A65" i="30"/>
  <c r="B65" i="30" s="1"/>
  <c r="H65" i="30"/>
  <c r="A66" i="30"/>
  <c r="B66" i="30" s="1"/>
  <c r="H66" i="30"/>
  <c r="A67" i="30"/>
  <c r="B67" i="30" s="1"/>
  <c r="H67" i="30"/>
  <c r="A68" i="30"/>
  <c r="C68" i="30" s="1"/>
  <c r="H68" i="30"/>
  <c r="A69" i="30"/>
  <c r="B69" i="30" s="1"/>
  <c r="H69" i="30"/>
  <c r="A70" i="30"/>
  <c r="B70" i="30" s="1"/>
  <c r="H70" i="30"/>
  <c r="A71" i="30"/>
  <c r="H71" i="30"/>
  <c r="A72" i="30"/>
  <c r="C72" i="30" s="1"/>
  <c r="H72" i="30"/>
  <c r="A73" i="30"/>
  <c r="B73" i="30" s="1"/>
  <c r="H73" i="30"/>
  <c r="A74" i="30"/>
  <c r="B74" i="30" s="1"/>
  <c r="H74" i="30"/>
  <c r="A75" i="30"/>
  <c r="B75" i="30" s="1"/>
  <c r="H75" i="30"/>
  <c r="A76" i="30"/>
  <c r="H76" i="30"/>
  <c r="A77" i="30"/>
  <c r="H77" i="30"/>
  <c r="A78" i="30"/>
  <c r="B78" i="30" s="1"/>
  <c r="H78" i="30"/>
  <c r="A79" i="30"/>
  <c r="C79" i="30" s="1"/>
  <c r="H79" i="30"/>
  <c r="A80" i="30"/>
  <c r="C80" i="30" s="1"/>
  <c r="H80" i="30"/>
  <c r="A81" i="30"/>
  <c r="B81" i="30" s="1"/>
  <c r="H81" i="30"/>
  <c r="A82" i="30"/>
  <c r="H82" i="30"/>
  <c r="A83" i="30"/>
  <c r="B83" i="30" s="1"/>
  <c r="H83" i="30"/>
  <c r="A84" i="30"/>
  <c r="C84" i="30" s="1"/>
  <c r="H84" i="30"/>
  <c r="A85" i="30"/>
  <c r="B85" i="30" s="1"/>
  <c r="H85" i="30"/>
  <c r="A86" i="30"/>
  <c r="B86" i="30" s="1"/>
  <c r="H86" i="30"/>
  <c r="A87" i="30"/>
  <c r="C87" i="30" s="1"/>
  <c r="H87" i="30"/>
  <c r="A88" i="30"/>
  <c r="B88" i="30" s="1"/>
  <c r="H88" i="30"/>
  <c r="A89" i="30"/>
  <c r="B89" i="30" s="1"/>
  <c r="H89" i="30"/>
  <c r="A90" i="30"/>
  <c r="B90" i="30" s="1"/>
  <c r="H90" i="30"/>
  <c r="A91" i="30"/>
  <c r="B91" i="30" s="1"/>
  <c r="H91" i="30"/>
  <c r="A92" i="30"/>
  <c r="B92" i="30" s="1"/>
  <c r="H92" i="30"/>
  <c r="A93" i="30"/>
  <c r="C93" i="30" s="1"/>
  <c r="H93" i="30"/>
  <c r="A94" i="30"/>
  <c r="H94" i="30"/>
  <c r="A95" i="30"/>
  <c r="H95" i="30"/>
  <c r="A96" i="30"/>
  <c r="B96" i="30" s="1"/>
  <c r="H96" i="30"/>
  <c r="A97" i="30"/>
  <c r="B97" i="30" s="1"/>
  <c r="H97" i="30"/>
  <c r="A98" i="30"/>
  <c r="B98" i="30" s="1"/>
  <c r="H98" i="30"/>
  <c r="A99" i="30"/>
  <c r="C99" i="30" s="1"/>
  <c r="H99" i="30"/>
  <c r="A100" i="30"/>
  <c r="C100" i="30" s="1"/>
  <c r="H100" i="30"/>
  <c r="A101" i="30"/>
  <c r="C101" i="30" s="1"/>
  <c r="H101" i="30"/>
  <c r="A102" i="30"/>
  <c r="C102" i="30" s="1"/>
  <c r="H102" i="30"/>
  <c r="A103" i="30"/>
  <c r="C103" i="30" s="1"/>
  <c r="H103" i="30"/>
  <c r="A104" i="30"/>
  <c r="B104" i="30" s="1"/>
  <c r="H104" i="30"/>
  <c r="A105" i="30"/>
  <c r="H105" i="30"/>
  <c r="A106" i="30"/>
  <c r="B106" i="30" s="1"/>
  <c r="H106" i="30"/>
  <c r="A107" i="30"/>
  <c r="B107" i="30" s="1"/>
  <c r="H107" i="30"/>
  <c r="A108" i="30"/>
  <c r="C108" i="30" s="1"/>
  <c r="H108" i="30"/>
  <c r="A109" i="30"/>
  <c r="C109" i="30" s="1"/>
  <c r="H109" i="30"/>
  <c r="A110" i="30"/>
  <c r="B110" i="30" s="1"/>
  <c r="H110" i="30"/>
  <c r="A111" i="30"/>
  <c r="C111" i="30" s="1"/>
  <c r="H111" i="30"/>
  <c r="A112" i="30"/>
  <c r="B112" i="30" s="1"/>
  <c r="H112" i="30"/>
  <c r="A113" i="30"/>
  <c r="B113" i="30" s="1"/>
  <c r="H113" i="30"/>
  <c r="A114" i="30"/>
  <c r="B114" i="30" s="1"/>
  <c r="H114" i="30"/>
  <c r="A115" i="30"/>
  <c r="B115" i="30" s="1"/>
  <c r="H115" i="30"/>
  <c r="J1" i="30"/>
  <c r="I1" i="30"/>
  <c r="H1" i="30"/>
  <c r="G1" i="30"/>
  <c r="F1" i="30"/>
  <c r="E1" i="30"/>
  <c r="D1" i="30"/>
  <c r="A1" i="30"/>
  <c r="A2" i="28"/>
  <c r="B2" i="28" s="1"/>
  <c r="H2" i="28"/>
  <c r="I2" i="28"/>
  <c r="A3" i="28"/>
  <c r="C3" i="28" s="1"/>
  <c r="H3" i="28"/>
  <c r="I3" i="28"/>
  <c r="A4" i="28"/>
  <c r="H4" i="28"/>
  <c r="I4" i="28"/>
  <c r="A5" i="28"/>
  <c r="C5" i="28" s="1"/>
  <c r="H5" i="28"/>
  <c r="I5" i="28"/>
  <c r="A6" i="28"/>
  <c r="H6" i="28"/>
  <c r="I6" i="28"/>
  <c r="A7" i="28"/>
  <c r="C7" i="28" s="1"/>
  <c r="H7" i="28"/>
  <c r="I7" i="28"/>
  <c r="A8" i="28"/>
  <c r="C8" i="28" s="1"/>
  <c r="H8" i="28"/>
  <c r="I8" i="28"/>
  <c r="A9" i="28"/>
  <c r="B9" i="28" s="1"/>
  <c r="H9" i="28"/>
  <c r="I9" i="28"/>
  <c r="A10" i="28"/>
  <c r="H10" i="28"/>
  <c r="I10" i="28"/>
  <c r="A11" i="28"/>
  <c r="B11" i="28" s="1"/>
  <c r="H11" i="28"/>
  <c r="I11" i="28"/>
  <c r="A12" i="28"/>
  <c r="B12" i="28" s="1"/>
  <c r="H12" i="28"/>
  <c r="I12" i="28"/>
  <c r="A13" i="28"/>
  <c r="B13" i="28" s="1"/>
  <c r="H13" i="28"/>
  <c r="I13" i="28"/>
  <c r="A14" i="28"/>
  <c r="B14" i="28" s="1"/>
  <c r="H14" i="28"/>
  <c r="I14" i="28"/>
  <c r="A15" i="28"/>
  <c r="B15" i="28" s="1"/>
  <c r="H15" i="28"/>
  <c r="I15" i="28"/>
  <c r="A16" i="28"/>
  <c r="B16" i="28" s="1"/>
  <c r="H16" i="28"/>
  <c r="I16" i="28"/>
  <c r="A17" i="28"/>
  <c r="B17" i="28" s="1"/>
  <c r="H17" i="28"/>
  <c r="I17" i="28"/>
  <c r="A18" i="28"/>
  <c r="B18" i="28" s="1"/>
  <c r="H18" i="28"/>
  <c r="I18" i="28"/>
  <c r="A19" i="28"/>
  <c r="B19" i="28" s="1"/>
  <c r="H19" i="28"/>
  <c r="I19" i="28"/>
  <c r="A20" i="28"/>
  <c r="B20" i="28" s="1"/>
  <c r="H20" i="28"/>
  <c r="I20" i="28"/>
  <c r="A21" i="28"/>
  <c r="C21" i="28" s="1"/>
  <c r="H21" i="28"/>
  <c r="I21" i="28"/>
  <c r="A22" i="28"/>
  <c r="C22" i="28" s="1"/>
  <c r="H22" i="28"/>
  <c r="I22" i="28"/>
  <c r="A23" i="28"/>
  <c r="C23" i="28" s="1"/>
  <c r="H23" i="28"/>
  <c r="I23" i="28"/>
  <c r="A24" i="28"/>
  <c r="C24" i="28" s="1"/>
  <c r="H24" i="28"/>
  <c r="I24" i="28"/>
  <c r="A25" i="28"/>
  <c r="B25" i="28" s="1"/>
  <c r="H25" i="28"/>
  <c r="I25" i="28"/>
  <c r="A26" i="28"/>
  <c r="C26" i="28" s="1"/>
  <c r="H26" i="28"/>
  <c r="I26" i="28"/>
  <c r="A27" i="28"/>
  <c r="C27" i="28" s="1"/>
  <c r="H27" i="28"/>
  <c r="I27" i="28"/>
  <c r="A28" i="28"/>
  <c r="B28" i="28" s="1"/>
  <c r="H28" i="28"/>
  <c r="I28" i="28"/>
  <c r="A29" i="28"/>
  <c r="C29" i="28" s="1"/>
  <c r="H29" i="28"/>
  <c r="I29" i="28"/>
  <c r="A30" i="28"/>
  <c r="B30" i="28" s="1"/>
  <c r="H30" i="28"/>
  <c r="I30" i="28"/>
  <c r="A31" i="28"/>
  <c r="C31" i="28" s="1"/>
  <c r="H31" i="28"/>
  <c r="I31" i="28"/>
  <c r="A32" i="28"/>
  <c r="B32" i="28" s="1"/>
  <c r="H32" i="28"/>
  <c r="I32" i="28"/>
  <c r="A33" i="28"/>
  <c r="B33" i="28" s="1"/>
  <c r="H33" i="28"/>
  <c r="I33" i="28"/>
  <c r="A34" i="28"/>
  <c r="B34" i="28" s="1"/>
  <c r="H34" i="28"/>
  <c r="I34" i="28"/>
  <c r="A35" i="28"/>
  <c r="H35" i="28"/>
  <c r="I35" i="28"/>
  <c r="A36" i="28"/>
  <c r="C36" i="28" s="1"/>
  <c r="H36" i="28"/>
  <c r="I36" i="28"/>
  <c r="A37" i="28"/>
  <c r="C37" i="28" s="1"/>
  <c r="H37" i="28"/>
  <c r="I37" i="28"/>
  <c r="A38" i="28"/>
  <c r="H38" i="28"/>
  <c r="I38" i="28"/>
  <c r="A39" i="28"/>
  <c r="H39" i="28"/>
  <c r="I39" i="28"/>
  <c r="A40" i="28"/>
  <c r="C40" i="28" s="1"/>
  <c r="H40" i="28"/>
  <c r="I40" i="28"/>
  <c r="A41" i="28"/>
  <c r="B41" i="28" s="1"/>
  <c r="H41" i="28"/>
  <c r="I41" i="28"/>
  <c r="A42" i="28"/>
  <c r="H42" i="28"/>
  <c r="I42" i="28"/>
  <c r="A43" i="28"/>
  <c r="H43" i="28"/>
  <c r="I43" i="28"/>
  <c r="A44" i="28"/>
  <c r="C44" i="28" s="1"/>
  <c r="H44" i="28"/>
  <c r="I44" i="28"/>
  <c r="A45" i="28"/>
  <c r="B45" i="28" s="1"/>
  <c r="H45" i="28"/>
  <c r="I45" i="28"/>
  <c r="A46" i="28"/>
  <c r="B46" i="28" s="1"/>
  <c r="H46" i="28"/>
  <c r="I46" i="28"/>
  <c r="A47" i="28"/>
  <c r="B47" i="28" s="1"/>
  <c r="H47" i="28"/>
  <c r="I47" i="28"/>
  <c r="A48" i="28"/>
  <c r="B48" i="28" s="1"/>
  <c r="H48" i="28"/>
  <c r="I48" i="28"/>
  <c r="A49" i="28"/>
  <c r="B49" i="28" s="1"/>
  <c r="H49" i="28"/>
  <c r="I49" i="28"/>
  <c r="A50" i="28"/>
  <c r="B50" i="28" s="1"/>
  <c r="A51" i="28"/>
  <c r="B51" i="28" s="1"/>
  <c r="A52" i="28"/>
  <c r="C52" i="28" s="1"/>
  <c r="A53" i="28"/>
  <c r="C53" i="28" s="1"/>
  <c r="A54" i="28"/>
  <c r="A55" i="28"/>
  <c r="C55" i="28" s="1"/>
  <c r="A56" i="28"/>
  <c r="C56" i="28" s="1"/>
  <c r="A57" i="28"/>
  <c r="B57" i="28" s="1"/>
  <c r="A58" i="28"/>
  <c r="A59" i="28"/>
  <c r="B59" i="28" s="1"/>
  <c r="A60" i="28"/>
  <c r="C60" i="28" s="1"/>
  <c r="A61" i="28"/>
  <c r="B61" i="28" s="1"/>
  <c r="A62" i="28"/>
  <c r="B62" i="28" s="1"/>
  <c r="A63" i="28"/>
  <c r="C63" i="28" s="1"/>
  <c r="A64" i="28"/>
  <c r="B64" i="28" s="1"/>
  <c r="A65" i="28"/>
  <c r="B65" i="28" s="1"/>
  <c r="A66" i="28"/>
  <c r="B66" i="28" s="1"/>
  <c r="A67" i="28"/>
  <c r="B67" i="28" s="1"/>
  <c r="A68" i="28"/>
  <c r="A69" i="28"/>
  <c r="C69" i="28" s="1"/>
  <c r="A70" i="28"/>
  <c r="B70" i="28" s="1"/>
  <c r="A71" i="28"/>
  <c r="C71" i="28" s="1"/>
  <c r="A72" i="28"/>
  <c r="C72" i="28" s="1"/>
  <c r="A73" i="28"/>
  <c r="B73" i="28" s="1"/>
  <c r="A74" i="28"/>
  <c r="B74" i="28" s="1"/>
  <c r="A75" i="28"/>
  <c r="B75" i="28" s="1"/>
  <c r="A76" i="28"/>
  <c r="B76" i="28" s="1"/>
  <c r="A77" i="28"/>
  <c r="C77" i="28" s="1"/>
  <c r="A78" i="28"/>
  <c r="B78" i="28" s="1"/>
  <c r="A79" i="28"/>
  <c r="C79" i="28" s="1"/>
  <c r="A80" i="28"/>
  <c r="B80" i="28" s="1"/>
  <c r="A81" i="28"/>
  <c r="B81" i="28" s="1"/>
  <c r="A82" i="28"/>
  <c r="B82" i="28" s="1"/>
  <c r="A83" i="28"/>
  <c r="C83" i="28" s="1"/>
  <c r="A84" i="28"/>
  <c r="B84" i="28" s="1"/>
  <c r="A85" i="28"/>
  <c r="C85" i="28" s="1"/>
  <c r="A86" i="28"/>
  <c r="B86" i="28" s="1"/>
  <c r="A87" i="28"/>
  <c r="C87" i="28" s="1"/>
  <c r="A88" i="28"/>
  <c r="C88" i="28" s="1"/>
  <c r="A89" i="28"/>
  <c r="B89" i="28" s="1"/>
  <c r="A90" i="28"/>
  <c r="C90" i="28" s="1"/>
  <c r="A91" i="28"/>
  <c r="B91" i="28" s="1"/>
  <c r="A92" i="28"/>
  <c r="C92" i="28" s="1"/>
  <c r="A93" i="28"/>
  <c r="B93" i="28" s="1"/>
  <c r="A94" i="28"/>
  <c r="B94" i="28" s="1"/>
  <c r="A95" i="28"/>
  <c r="B95" i="28" s="1"/>
  <c r="A96" i="28"/>
  <c r="B96" i="28" s="1"/>
  <c r="A97" i="28"/>
  <c r="B97" i="28" s="1"/>
  <c r="A98" i="28"/>
  <c r="B98" i="28" s="1"/>
  <c r="A99" i="28"/>
  <c r="B99" i="28" s="1"/>
  <c r="A100" i="28"/>
  <c r="C100" i="28" s="1"/>
  <c r="A101" i="28"/>
  <c r="C101" i="28" s="1"/>
  <c r="A102" i="28"/>
  <c r="B102" i="28" s="1"/>
  <c r="A103" i="28"/>
  <c r="C103" i="28" s="1"/>
  <c r="A104" i="28"/>
  <c r="C104" i="28" s="1"/>
  <c r="A105" i="28"/>
  <c r="B105" i="28" s="1"/>
  <c r="A106" i="28"/>
  <c r="B106" i="28" s="1"/>
  <c r="A107" i="28"/>
  <c r="B107" i="28" s="1"/>
  <c r="A108" i="28"/>
  <c r="B108" i="28" s="1"/>
  <c r="A109" i="28"/>
  <c r="B109" i="28" s="1"/>
  <c r="A110" i="28"/>
  <c r="B110" i="28" s="1"/>
  <c r="A111" i="28"/>
  <c r="C111" i="28" s="1"/>
  <c r="A112" i="28"/>
  <c r="B112" i="28" s="1"/>
  <c r="A113" i="28"/>
  <c r="B113" i="28" s="1"/>
  <c r="A114" i="28"/>
  <c r="C114" i="28" s="1"/>
  <c r="A115" i="28"/>
  <c r="B115" i="28" s="1"/>
  <c r="I1" i="28"/>
  <c r="H1" i="28"/>
  <c r="G1" i="28"/>
  <c r="F1" i="28"/>
  <c r="E1" i="28"/>
  <c r="D1" i="28"/>
  <c r="A1" i="28"/>
  <c r="DT194" i="4"/>
  <c r="DT195" i="4"/>
  <c r="DT196" i="4"/>
  <c r="DT197" i="4"/>
  <c r="DT198" i="4"/>
  <c r="DT199" i="4"/>
  <c r="DT200" i="4"/>
  <c r="DT201" i="4"/>
  <c r="DT202" i="4"/>
  <c r="DT203" i="4"/>
  <c r="DT204" i="4"/>
  <c r="DT205" i="4"/>
  <c r="DT206" i="4"/>
  <c r="DT207" i="4"/>
  <c r="DT208" i="4"/>
  <c r="DT209" i="4"/>
  <c r="DT210" i="4"/>
  <c r="DT211" i="4"/>
  <c r="DT212" i="4"/>
  <c r="DT213" i="4"/>
  <c r="DT214" i="4"/>
  <c r="DT215" i="4"/>
  <c r="DT216" i="4"/>
  <c r="DT217" i="4"/>
  <c r="DT218" i="4"/>
  <c r="DT219" i="4"/>
  <c r="DT220" i="4"/>
  <c r="DT221" i="4"/>
  <c r="DT222" i="4"/>
  <c r="DT223" i="4"/>
  <c r="DT224" i="4"/>
  <c r="DT225" i="4"/>
  <c r="DT226" i="4"/>
  <c r="DT227" i="4"/>
  <c r="DT228" i="4"/>
  <c r="DT229" i="4"/>
  <c r="DT230" i="4"/>
  <c r="DT231" i="4"/>
  <c r="DT232" i="4"/>
  <c r="DT233" i="4"/>
  <c r="DT234" i="4"/>
  <c r="DT235" i="4"/>
  <c r="DT236" i="4"/>
  <c r="DT237" i="4"/>
  <c r="DT238" i="4"/>
  <c r="DT239" i="4"/>
  <c r="DT240" i="4"/>
  <c r="DT241" i="4"/>
  <c r="DT242" i="4"/>
  <c r="DT243" i="4"/>
  <c r="DT244" i="4"/>
  <c r="DT245" i="4"/>
  <c r="DT246" i="4"/>
  <c r="DT247" i="4"/>
  <c r="DT248" i="4"/>
  <c r="DT249" i="4"/>
  <c r="DT250" i="4"/>
  <c r="DT251" i="4"/>
  <c r="DT252" i="4"/>
  <c r="DT253" i="4"/>
  <c r="DT254" i="4"/>
  <c r="DT255" i="4"/>
  <c r="DT256" i="4"/>
  <c r="DT257" i="4"/>
  <c r="DT258" i="4"/>
  <c r="DT259" i="4"/>
  <c r="DT260" i="4"/>
  <c r="DT261" i="4"/>
  <c r="DT262" i="4"/>
  <c r="DT263" i="4"/>
  <c r="DT264" i="4"/>
  <c r="DT265" i="4"/>
  <c r="DT266" i="4"/>
  <c r="DT267" i="4"/>
  <c r="DT268" i="4"/>
  <c r="DT269" i="4"/>
  <c r="DT270" i="4"/>
  <c r="DT271" i="4"/>
  <c r="DT272" i="4"/>
  <c r="DT273" i="4"/>
  <c r="DT274" i="4"/>
  <c r="DT275" i="4"/>
  <c r="DT276" i="4"/>
  <c r="DT277" i="4"/>
  <c r="DT278" i="4"/>
  <c r="DT279" i="4"/>
  <c r="DT280" i="4"/>
  <c r="DT281" i="4"/>
  <c r="DT282" i="4"/>
  <c r="DT283" i="4"/>
  <c r="DT284" i="4"/>
  <c r="DT285" i="4"/>
  <c r="DT286" i="4"/>
  <c r="DT287" i="4"/>
  <c r="DT288" i="4"/>
  <c r="DT289" i="4"/>
  <c r="DT290" i="4"/>
  <c r="DT291" i="4"/>
  <c r="DT292" i="4"/>
  <c r="DT293" i="4"/>
  <c r="DT294" i="4"/>
  <c r="DT295" i="4"/>
  <c r="DT296" i="4"/>
  <c r="DT297" i="4"/>
  <c r="DT298" i="4"/>
  <c r="DT299" i="4"/>
  <c r="DT300" i="4"/>
  <c r="DT301" i="4"/>
  <c r="DT302" i="4"/>
  <c r="DT303" i="4"/>
  <c r="DT304" i="4"/>
  <c r="DT305" i="4"/>
  <c r="DT306" i="4"/>
  <c r="DT307" i="4"/>
  <c r="DU194" i="4"/>
  <c r="DU195" i="4"/>
  <c r="DU196" i="4"/>
  <c r="DU197" i="4"/>
  <c r="DU198" i="4"/>
  <c r="DU199" i="4"/>
  <c r="DU200" i="4"/>
  <c r="DU201" i="4"/>
  <c r="DU202" i="4"/>
  <c r="DU203" i="4"/>
  <c r="DU204" i="4"/>
  <c r="DU205" i="4"/>
  <c r="DU206" i="4"/>
  <c r="DU207" i="4"/>
  <c r="DU208" i="4"/>
  <c r="DU209" i="4"/>
  <c r="DU210" i="4"/>
  <c r="DU211" i="4"/>
  <c r="DU212" i="4"/>
  <c r="DU213" i="4"/>
  <c r="DU214" i="4"/>
  <c r="DU215" i="4"/>
  <c r="DU216" i="4"/>
  <c r="DU217" i="4"/>
  <c r="DU218" i="4"/>
  <c r="DU219" i="4"/>
  <c r="DU220" i="4"/>
  <c r="DU221" i="4"/>
  <c r="DU222" i="4"/>
  <c r="DU223" i="4"/>
  <c r="DU224" i="4"/>
  <c r="DU225" i="4"/>
  <c r="DU226" i="4"/>
  <c r="DU227" i="4"/>
  <c r="DU228" i="4"/>
  <c r="DU229" i="4"/>
  <c r="DU230" i="4"/>
  <c r="DU231" i="4"/>
  <c r="DU232" i="4"/>
  <c r="DU233" i="4"/>
  <c r="DU234" i="4"/>
  <c r="DU235" i="4"/>
  <c r="DU236" i="4"/>
  <c r="DU237" i="4"/>
  <c r="DU238" i="4"/>
  <c r="DU239" i="4"/>
  <c r="DU240" i="4"/>
  <c r="DU241" i="4"/>
  <c r="DU242" i="4"/>
  <c r="DU243" i="4"/>
  <c r="DU244" i="4"/>
  <c r="DU245" i="4"/>
  <c r="DU246" i="4"/>
  <c r="DU247" i="4"/>
  <c r="DU248" i="4"/>
  <c r="DU249" i="4"/>
  <c r="DU250" i="4"/>
  <c r="DU251" i="4"/>
  <c r="DU252" i="4"/>
  <c r="DU253" i="4"/>
  <c r="DU254" i="4"/>
  <c r="DU255" i="4"/>
  <c r="DU256" i="4"/>
  <c r="DU257" i="4"/>
  <c r="DU258" i="4"/>
  <c r="DU259" i="4"/>
  <c r="DU260" i="4"/>
  <c r="DU261" i="4"/>
  <c r="DU262" i="4"/>
  <c r="DU263" i="4"/>
  <c r="DU264" i="4"/>
  <c r="DU265" i="4"/>
  <c r="DU266" i="4"/>
  <c r="DU267" i="4"/>
  <c r="DU268" i="4"/>
  <c r="DU269" i="4"/>
  <c r="DU270" i="4"/>
  <c r="DU271" i="4"/>
  <c r="DU272" i="4"/>
  <c r="DU273" i="4"/>
  <c r="DU274" i="4"/>
  <c r="DU275" i="4"/>
  <c r="DU276" i="4"/>
  <c r="DU277" i="4"/>
  <c r="DU278" i="4"/>
  <c r="DU279" i="4"/>
  <c r="DU280" i="4"/>
  <c r="DU281" i="4"/>
  <c r="DU282" i="4"/>
  <c r="DU283" i="4"/>
  <c r="DU284" i="4"/>
  <c r="DU285" i="4"/>
  <c r="DU286" i="4"/>
  <c r="DU287" i="4"/>
  <c r="DU288" i="4"/>
  <c r="DU289" i="4"/>
  <c r="DU290" i="4"/>
  <c r="DU291" i="4"/>
  <c r="DU292" i="4"/>
  <c r="DU293" i="4"/>
  <c r="DU294" i="4"/>
  <c r="DU295" i="4"/>
  <c r="DU296" i="4"/>
  <c r="DU297" i="4"/>
  <c r="DU298" i="4"/>
  <c r="DU299" i="4"/>
  <c r="DU300" i="4"/>
  <c r="DU301" i="4"/>
  <c r="DU302" i="4"/>
  <c r="DU303" i="4"/>
  <c r="DU304" i="4"/>
  <c r="DU305" i="4"/>
  <c r="DU306" i="4"/>
  <c r="DU307" i="4"/>
  <c r="DS194" i="4"/>
  <c r="DS195" i="4"/>
  <c r="DS196" i="4"/>
  <c r="DS197" i="4"/>
  <c r="DS198" i="4"/>
  <c r="DS199" i="4"/>
  <c r="DS200" i="4"/>
  <c r="DS201" i="4"/>
  <c r="DS202" i="4"/>
  <c r="DS203" i="4"/>
  <c r="DS204" i="4"/>
  <c r="DS205" i="4"/>
  <c r="DS206" i="4"/>
  <c r="DS207" i="4"/>
  <c r="DS208" i="4"/>
  <c r="DS209" i="4"/>
  <c r="DS210" i="4"/>
  <c r="DS211" i="4"/>
  <c r="DS212" i="4"/>
  <c r="DS213" i="4"/>
  <c r="DS214" i="4"/>
  <c r="DS215" i="4"/>
  <c r="DS216" i="4"/>
  <c r="DS217" i="4"/>
  <c r="DS218" i="4"/>
  <c r="DS219" i="4"/>
  <c r="DS220" i="4"/>
  <c r="DS221" i="4"/>
  <c r="DS222" i="4"/>
  <c r="DS223" i="4"/>
  <c r="DS224" i="4"/>
  <c r="DS225" i="4"/>
  <c r="DS226" i="4"/>
  <c r="DS227" i="4"/>
  <c r="DS228" i="4"/>
  <c r="DS229" i="4"/>
  <c r="DS230" i="4"/>
  <c r="DS231" i="4"/>
  <c r="DS232" i="4"/>
  <c r="DS233" i="4"/>
  <c r="DS234" i="4"/>
  <c r="DS235" i="4"/>
  <c r="DS236" i="4"/>
  <c r="DS237" i="4"/>
  <c r="DS238" i="4"/>
  <c r="DS239" i="4"/>
  <c r="DS240" i="4"/>
  <c r="DS241" i="4"/>
  <c r="DS242" i="4"/>
  <c r="DS243" i="4"/>
  <c r="DS244" i="4"/>
  <c r="DS245" i="4"/>
  <c r="DS246" i="4"/>
  <c r="DS247" i="4"/>
  <c r="DS248" i="4"/>
  <c r="DS249" i="4"/>
  <c r="DS250" i="4"/>
  <c r="DS251" i="4"/>
  <c r="DS252" i="4"/>
  <c r="DS253" i="4"/>
  <c r="DS254" i="4"/>
  <c r="DS255" i="4"/>
  <c r="DS256" i="4"/>
  <c r="DS257" i="4"/>
  <c r="DS258" i="4"/>
  <c r="DS259" i="4"/>
  <c r="DS260" i="4"/>
  <c r="DS261" i="4"/>
  <c r="DS262" i="4"/>
  <c r="DS263" i="4"/>
  <c r="DS264" i="4"/>
  <c r="DS265" i="4"/>
  <c r="DS266" i="4"/>
  <c r="DS267" i="4"/>
  <c r="DS268" i="4"/>
  <c r="DS269" i="4"/>
  <c r="DS270" i="4"/>
  <c r="DS271" i="4"/>
  <c r="DS272" i="4"/>
  <c r="DS273" i="4"/>
  <c r="DS274" i="4"/>
  <c r="DS275" i="4"/>
  <c r="DS276" i="4"/>
  <c r="DS277" i="4"/>
  <c r="DS278" i="4"/>
  <c r="DS279" i="4"/>
  <c r="DS280" i="4"/>
  <c r="DS281" i="4"/>
  <c r="DS282" i="4"/>
  <c r="DS283" i="4"/>
  <c r="DS284" i="4"/>
  <c r="DS285" i="4"/>
  <c r="DS286" i="4"/>
  <c r="DS287" i="4"/>
  <c r="DS288" i="4"/>
  <c r="DS289" i="4"/>
  <c r="DS290" i="4"/>
  <c r="DS291" i="4"/>
  <c r="DS292" i="4"/>
  <c r="DS293" i="4"/>
  <c r="DS294" i="4"/>
  <c r="DS295" i="4"/>
  <c r="DS296" i="4"/>
  <c r="DS297" i="4"/>
  <c r="DS298" i="4"/>
  <c r="DS299" i="4"/>
  <c r="DS300" i="4"/>
  <c r="DS301" i="4"/>
  <c r="DS302" i="4"/>
  <c r="DS303" i="4"/>
  <c r="DS304" i="4"/>
  <c r="DS305" i="4"/>
  <c r="DS306" i="4"/>
  <c r="DS307" i="4"/>
  <c r="G18" i="23" l="1"/>
  <c r="B40" i="28"/>
  <c r="B53" i="28"/>
  <c r="B104" i="32"/>
  <c r="B84" i="30"/>
  <c r="B15" i="77"/>
  <c r="B69" i="32"/>
  <c r="C113" i="30"/>
  <c r="B21" i="32"/>
  <c r="C5" i="32"/>
  <c r="B90" i="28"/>
  <c r="C50" i="30"/>
  <c r="C39" i="32"/>
  <c r="C28" i="32"/>
  <c r="B79" i="76"/>
  <c r="C107" i="30"/>
  <c r="B44" i="28"/>
  <c r="C34" i="28"/>
  <c r="B86" i="32"/>
  <c r="B51" i="32"/>
  <c r="C55" i="76"/>
  <c r="C67" i="30"/>
  <c r="B81" i="77"/>
  <c r="B46" i="32"/>
  <c r="B87" i="28"/>
  <c r="C62" i="75"/>
  <c r="C9" i="32"/>
  <c r="C78" i="36"/>
  <c r="C29" i="30"/>
  <c r="B45" i="36"/>
  <c r="C57" i="75"/>
  <c r="C9" i="76"/>
  <c r="B3" i="28"/>
  <c r="B100" i="30"/>
  <c r="C48" i="30"/>
  <c r="C12" i="32"/>
  <c r="B72" i="30"/>
  <c r="C75" i="32"/>
  <c r="B62" i="32"/>
  <c r="C47" i="77"/>
  <c r="B63" i="28"/>
  <c r="B104" i="77"/>
  <c r="B91" i="77"/>
  <c r="C26" i="30"/>
  <c r="C44" i="77"/>
  <c r="B60" i="28"/>
  <c r="C111" i="76"/>
  <c r="C89" i="75"/>
  <c r="C14" i="75"/>
  <c r="B100" i="28"/>
  <c r="B71" i="28"/>
  <c r="C90" i="30"/>
  <c r="C70" i="36"/>
  <c r="C41" i="36"/>
  <c r="C40" i="30"/>
  <c r="C35" i="32"/>
  <c r="C30" i="32"/>
  <c r="C107" i="76"/>
  <c r="B68" i="77"/>
  <c r="B111" i="28"/>
  <c r="B59" i="76"/>
  <c r="C13" i="76"/>
  <c r="C37" i="36"/>
  <c r="C107" i="77"/>
  <c r="C93" i="77"/>
  <c r="C65" i="36"/>
  <c r="B20" i="30"/>
  <c r="C109" i="32"/>
  <c r="B3" i="77"/>
  <c r="C38" i="77"/>
  <c r="C13" i="32"/>
  <c r="C21" i="30"/>
  <c r="B2" i="30"/>
  <c r="C53" i="32"/>
  <c r="C101" i="36"/>
  <c r="C20" i="77"/>
  <c r="B36" i="28"/>
  <c r="B33" i="77"/>
  <c r="B47" i="30"/>
  <c r="C9" i="30"/>
  <c r="C43" i="77"/>
  <c r="B31" i="77"/>
  <c r="C18" i="77"/>
  <c r="C31" i="76"/>
  <c r="B37" i="28"/>
  <c r="C33" i="28"/>
  <c r="B23" i="28"/>
  <c r="B102" i="30"/>
  <c r="B62" i="30"/>
  <c r="C43" i="30"/>
  <c r="B32" i="30"/>
  <c r="B22" i="30"/>
  <c r="C111" i="32"/>
  <c r="C93" i="36"/>
  <c r="C80" i="36"/>
  <c r="C25" i="36"/>
  <c r="C109" i="75"/>
  <c r="C76" i="28"/>
  <c r="B7" i="28"/>
  <c r="C25" i="30"/>
  <c r="B19" i="30"/>
  <c r="C4" i="30"/>
  <c r="C88" i="32"/>
  <c r="C65" i="75"/>
  <c r="C70" i="77"/>
  <c r="B57" i="77"/>
  <c r="C22" i="77"/>
  <c r="B101" i="30"/>
  <c r="C61" i="30"/>
  <c r="C49" i="30"/>
  <c r="B39" i="30"/>
  <c r="C11" i="30"/>
  <c r="B26" i="32"/>
  <c r="B3" i="32"/>
  <c r="C35" i="76"/>
  <c r="C49" i="76"/>
  <c r="C21" i="76"/>
  <c r="C10" i="77"/>
  <c r="C109" i="28"/>
  <c r="C106" i="30"/>
  <c r="C86" i="30"/>
  <c r="C91" i="75"/>
  <c r="C84" i="28"/>
  <c r="C66" i="30"/>
  <c r="C60" i="30"/>
  <c r="C24" i="30"/>
  <c r="C14" i="30"/>
  <c r="C108" i="32"/>
  <c r="B34" i="32"/>
  <c r="B53" i="77"/>
  <c r="B31" i="28"/>
  <c r="B45" i="30"/>
  <c r="C61" i="32"/>
  <c r="B25" i="32"/>
  <c r="B15" i="32"/>
  <c r="B20" i="36"/>
  <c r="C5" i="36"/>
  <c r="C30" i="77"/>
  <c r="B52" i="30"/>
  <c r="B107" i="32"/>
  <c r="B43" i="32"/>
  <c r="C102" i="75"/>
  <c r="C106" i="28"/>
  <c r="C59" i="28"/>
  <c r="C4" i="36"/>
  <c r="C17" i="76"/>
  <c r="C115" i="77"/>
  <c r="B40" i="77"/>
  <c r="C93" i="28"/>
  <c r="C82" i="28"/>
  <c r="B69" i="28"/>
  <c r="B106" i="32"/>
  <c r="C93" i="32"/>
  <c r="B82" i="32"/>
  <c r="C33" i="32"/>
  <c r="C98" i="36"/>
  <c r="C85" i="36"/>
  <c r="C58" i="36"/>
  <c r="C85" i="76"/>
  <c r="C90" i="77"/>
  <c r="C17" i="77"/>
  <c r="C5" i="77"/>
  <c r="C113" i="75"/>
  <c r="C30" i="75"/>
  <c r="C115" i="28"/>
  <c r="B104" i="28"/>
  <c r="C67" i="28"/>
  <c r="C91" i="32"/>
  <c r="B55" i="28"/>
  <c r="B108" i="30"/>
  <c r="C96" i="30"/>
  <c r="C75" i="30"/>
  <c r="B68" i="30"/>
  <c r="B27" i="32"/>
  <c r="C41" i="75"/>
  <c r="C27" i="75"/>
  <c r="C95" i="76"/>
  <c r="C25" i="76"/>
  <c r="C86" i="77"/>
  <c r="B23" i="77"/>
  <c r="C14" i="77"/>
  <c r="C99" i="28"/>
  <c r="C70" i="28"/>
  <c r="B52" i="28"/>
  <c r="B105" i="32"/>
  <c r="B87" i="32"/>
  <c r="B45" i="32"/>
  <c r="B41" i="32"/>
  <c r="B4" i="32"/>
  <c r="C81" i="28"/>
  <c r="B79" i="28"/>
  <c r="C18" i="28"/>
  <c r="B74" i="75"/>
  <c r="C49" i="75"/>
  <c r="B18" i="75"/>
  <c r="B113" i="77"/>
  <c r="C82" i="77"/>
  <c r="B72" i="77"/>
  <c r="B77" i="36"/>
  <c r="C33" i="36"/>
  <c r="C22" i="36"/>
  <c r="C10" i="36"/>
  <c r="C50" i="28"/>
  <c r="B27" i="28"/>
  <c r="C89" i="30"/>
  <c r="C16" i="30"/>
  <c r="C110" i="32"/>
  <c r="C20" i="32"/>
  <c r="C7" i="32"/>
  <c r="C98" i="75"/>
  <c r="C73" i="75"/>
  <c r="B6" i="75"/>
  <c r="B77" i="28"/>
  <c r="C12" i="28"/>
  <c r="B64" i="30"/>
  <c r="C42" i="30"/>
  <c r="C92" i="32"/>
  <c r="C67" i="32"/>
  <c r="C48" i="32"/>
  <c r="C44" i="32"/>
  <c r="B40" i="32"/>
  <c r="C76" i="36"/>
  <c r="B53" i="36"/>
  <c r="C47" i="75"/>
  <c r="C39" i="75"/>
  <c r="C21" i="77"/>
  <c r="B114" i="28"/>
  <c r="C95" i="28"/>
  <c r="B85" i="28"/>
  <c r="B85" i="32"/>
  <c r="B64" i="36"/>
  <c r="C15" i="75"/>
  <c r="C19" i="76"/>
  <c r="C80" i="77"/>
  <c r="B45" i="77"/>
  <c r="C37" i="77"/>
  <c r="B4" i="77"/>
  <c r="C40" i="36"/>
  <c r="C97" i="75"/>
  <c r="B103" i="76"/>
  <c r="C53" i="76"/>
  <c r="C41" i="76"/>
  <c r="C29" i="76"/>
  <c r="C89" i="77"/>
  <c r="C56" i="77"/>
  <c r="C13" i="77"/>
  <c r="C113" i="28"/>
  <c r="B21" i="28"/>
  <c r="C2" i="28"/>
  <c r="B63" i="30"/>
  <c r="C84" i="32"/>
  <c r="B46" i="75"/>
  <c r="C25" i="75"/>
  <c r="B3" i="75"/>
  <c r="B96" i="77"/>
  <c r="B79" i="77"/>
  <c r="B28" i="77"/>
  <c r="C11" i="28"/>
  <c r="C38" i="30"/>
  <c r="C102" i="28"/>
  <c r="C74" i="28"/>
  <c r="C66" i="28"/>
  <c r="C57" i="30"/>
  <c r="C41" i="30"/>
  <c r="C27" i="30"/>
  <c r="B15" i="30"/>
  <c r="B90" i="32"/>
  <c r="C83" i="32"/>
  <c r="C64" i="32"/>
  <c r="C22" i="32"/>
  <c r="B2" i="32"/>
  <c r="C45" i="75"/>
  <c r="C101" i="76"/>
  <c r="C61" i="76"/>
  <c r="C3" i="76"/>
  <c r="C95" i="77"/>
  <c r="C78" i="77"/>
  <c r="C35" i="77"/>
  <c r="C27" i="77"/>
  <c r="B92" i="28"/>
  <c r="B83" i="28"/>
  <c r="C115" i="30"/>
  <c r="B109" i="30"/>
  <c r="B80" i="30"/>
  <c r="B8" i="30"/>
  <c r="B115" i="32"/>
  <c r="B98" i="32"/>
  <c r="B72" i="32"/>
  <c r="C57" i="32"/>
  <c r="C106" i="36"/>
  <c r="C81" i="36"/>
  <c r="B48" i="36"/>
  <c r="C38" i="36"/>
  <c r="C26" i="36"/>
  <c r="C103" i="75"/>
  <c r="B67" i="75"/>
  <c r="C13" i="75"/>
  <c r="C106" i="77"/>
  <c r="B11" i="77"/>
  <c r="C2" i="77"/>
  <c r="B16" i="36"/>
  <c r="C91" i="30"/>
  <c r="C114" i="30"/>
  <c r="B103" i="30"/>
  <c r="B79" i="30"/>
  <c r="B113" i="32"/>
  <c r="C81" i="32"/>
  <c r="C70" i="32"/>
  <c r="C56" i="32"/>
  <c r="C38" i="32"/>
  <c r="C71" i="76"/>
  <c r="C42" i="77"/>
  <c r="C25" i="77"/>
  <c r="B95" i="32"/>
  <c r="C57" i="36"/>
  <c r="B31" i="75"/>
  <c r="C19" i="75"/>
  <c r="C47" i="76"/>
  <c r="C23" i="76"/>
  <c r="C32" i="77"/>
  <c r="C68" i="36"/>
  <c r="B24" i="36"/>
  <c r="B90" i="75"/>
  <c r="C42" i="75"/>
  <c r="C9" i="75"/>
  <c r="B83" i="77"/>
  <c r="B73" i="77"/>
  <c r="B16" i="77"/>
  <c r="C8" i="77"/>
  <c r="B101" i="28"/>
  <c r="B43" i="28"/>
  <c r="C43" i="28"/>
  <c r="B6" i="28"/>
  <c r="C6" i="28"/>
  <c r="C97" i="28"/>
  <c r="C68" i="28"/>
  <c r="B68" i="28"/>
  <c r="C65" i="28"/>
  <c r="C91" i="28"/>
  <c r="B10" i="28"/>
  <c r="C10" i="28"/>
  <c r="C108" i="28"/>
  <c r="C86" i="28"/>
  <c r="C75" i="28"/>
  <c r="C61" i="28"/>
  <c r="B58" i="28"/>
  <c r="C58" i="28"/>
  <c r="C39" i="28"/>
  <c r="B39" i="28"/>
  <c r="B4" i="28"/>
  <c r="C4" i="28"/>
  <c r="B54" i="28"/>
  <c r="C54" i="28"/>
  <c r="B42" i="28"/>
  <c r="C42" i="28"/>
  <c r="B105" i="30"/>
  <c r="C105" i="30"/>
  <c r="C98" i="28"/>
  <c r="B88" i="28"/>
  <c r="B29" i="28"/>
  <c r="B35" i="28"/>
  <c r="C35" i="28"/>
  <c r="B38" i="28"/>
  <c r="C38" i="28"/>
  <c r="C107" i="28"/>
  <c r="B103" i="28"/>
  <c r="B26" i="28"/>
  <c r="B22" i="28"/>
  <c r="C20" i="28"/>
  <c r="C112" i="30"/>
  <c r="B99" i="30"/>
  <c r="B93" i="30"/>
  <c r="C88" i="30"/>
  <c r="C44" i="30"/>
  <c r="B36" i="30"/>
  <c r="C36" i="30"/>
  <c r="B100" i="32"/>
  <c r="C100" i="32"/>
  <c r="B80" i="32"/>
  <c r="B63" i="32"/>
  <c r="B12" i="30"/>
  <c r="C12" i="30"/>
  <c r="B96" i="32"/>
  <c r="C96" i="32"/>
  <c r="B54" i="32"/>
  <c r="B76" i="30"/>
  <c r="C76" i="30"/>
  <c r="C58" i="32"/>
  <c r="B58" i="32"/>
  <c r="B56" i="28"/>
  <c r="C110" i="30"/>
  <c r="C97" i="30"/>
  <c r="C95" i="30"/>
  <c r="B95" i="30"/>
  <c r="C85" i="30"/>
  <c r="C83" i="30"/>
  <c r="C70" i="30"/>
  <c r="B53" i="30"/>
  <c r="C53" i="30"/>
  <c r="C31" i="30"/>
  <c r="B31" i="30"/>
  <c r="C7" i="30"/>
  <c r="B7" i="30"/>
  <c r="C103" i="32"/>
  <c r="B79" i="32"/>
  <c r="C79" i="32"/>
  <c r="B68" i="32"/>
  <c r="C68" i="32"/>
  <c r="B8" i="28"/>
  <c r="C78" i="30"/>
  <c r="C73" i="30"/>
  <c r="B18" i="30"/>
  <c r="C18" i="30"/>
  <c r="C65" i="30"/>
  <c r="B58" i="30"/>
  <c r="C58" i="30"/>
  <c r="B55" i="30"/>
  <c r="B102" i="32"/>
  <c r="C102" i="32"/>
  <c r="C74" i="32"/>
  <c r="B74" i="32"/>
  <c r="B35" i="30"/>
  <c r="C35" i="30"/>
  <c r="C114" i="32"/>
  <c r="B114" i="32"/>
  <c r="B78" i="32"/>
  <c r="C78" i="32"/>
  <c r="B19" i="32"/>
  <c r="C19" i="32"/>
  <c r="C19" i="28"/>
  <c r="C15" i="28"/>
  <c r="C13" i="28"/>
  <c r="C98" i="30"/>
  <c r="B82" i="30"/>
  <c r="C82" i="30"/>
  <c r="C37" i="30"/>
  <c r="B13" i="30"/>
  <c r="C13" i="30"/>
  <c r="C6" i="30"/>
  <c r="C66" i="32"/>
  <c r="B66" i="32"/>
  <c r="C17" i="28"/>
  <c r="B111" i="30"/>
  <c r="B77" i="30"/>
  <c r="C77" i="30"/>
  <c r="B77" i="32"/>
  <c r="B94" i="30"/>
  <c r="C94" i="30"/>
  <c r="B54" i="30"/>
  <c r="C54" i="30"/>
  <c r="B30" i="30"/>
  <c r="C30" i="30"/>
  <c r="C14" i="32"/>
  <c r="B14" i="32"/>
  <c r="B97" i="32"/>
  <c r="C97" i="32"/>
  <c r="B73" i="32"/>
  <c r="C73" i="32"/>
  <c r="C51" i="28"/>
  <c r="C28" i="28"/>
  <c r="B5" i="28"/>
  <c r="B59" i="30"/>
  <c r="C59" i="30"/>
  <c r="B101" i="32"/>
  <c r="C101" i="32"/>
  <c r="B72" i="28"/>
  <c r="C47" i="28"/>
  <c r="C45" i="28"/>
  <c r="C104" i="30"/>
  <c r="C34" i="30"/>
  <c r="C3" i="30"/>
  <c r="C49" i="28"/>
  <c r="B24" i="28"/>
  <c r="C71" i="30"/>
  <c r="B71" i="30"/>
  <c r="B17" i="32"/>
  <c r="C17" i="32"/>
  <c r="C56" i="30"/>
  <c r="C99" i="32"/>
  <c r="B59" i="32"/>
  <c r="C59" i="32"/>
  <c r="C92" i="30"/>
  <c r="C74" i="30"/>
  <c r="C69" i="30"/>
  <c r="C51" i="30"/>
  <c r="C46" i="30"/>
  <c r="C33" i="30"/>
  <c r="C28" i="30"/>
  <c r="C10" i="30"/>
  <c r="C5" i="30"/>
  <c r="C112" i="32"/>
  <c r="C94" i="32"/>
  <c r="C89" i="32"/>
  <c r="C76" i="32"/>
  <c r="C71" i="32"/>
  <c r="B87" i="30"/>
  <c r="B23" i="30"/>
  <c r="C108" i="36"/>
  <c r="B108" i="36"/>
  <c r="B55" i="32"/>
  <c r="C55" i="32"/>
  <c r="C49" i="32"/>
  <c r="B49" i="32"/>
  <c r="C31" i="32"/>
  <c r="B31" i="32"/>
  <c r="B6" i="32"/>
  <c r="C6" i="32"/>
  <c r="B36" i="36"/>
  <c r="C36" i="36"/>
  <c r="C81" i="30"/>
  <c r="C17" i="30"/>
  <c r="B18" i="32"/>
  <c r="C35" i="75"/>
  <c r="B35" i="75"/>
  <c r="C8" i="32"/>
  <c r="C30" i="36"/>
  <c r="C65" i="32"/>
  <c r="C52" i="32"/>
  <c r="C47" i="32"/>
  <c r="C29" i="32"/>
  <c r="C16" i="32"/>
  <c r="B92" i="36"/>
  <c r="C92" i="36"/>
  <c r="B82" i="36"/>
  <c r="C82" i="36"/>
  <c r="B21" i="36"/>
  <c r="C21" i="36"/>
  <c r="B42" i="32"/>
  <c r="C24" i="32"/>
  <c r="B29" i="36"/>
  <c r="C29" i="36"/>
  <c r="C60" i="32"/>
  <c r="C37" i="32"/>
  <c r="C32" i="32"/>
  <c r="C11" i="32"/>
  <c r="B50" i="32"/>
  <c r="B44" i="36"/>
  <c r="C44" i="36"/>
  <c r="B9" i="36"/>
  <c r="C72" i="36"/>
  <c r="B72" i="36"/>
  <c r="C88" i="36"/>
  <c r="B88" i="36"/>
  <c r="B52" i="36"/>
  <c r="C52" i="36"/>
  <c r="B29" i="75"/>
  <c r="C29" i="75"/>
  <c r="B97" i="36"/>
  <c r="C97" i="36"/>
  <c r="C23" i="32"/>
  <c r="C36" i="32"/>
  <c r="B10" i="32"/>
  <c r="B14" i="36"/>
  <c r="C14" i="36"/>
  <c r="B21" i="75"/>
  <c r="C21" i="75"/>
  <c r="B113" i="36"/>
  <c r="C96" i="36"/>
  <c r="C28" i="36"/>
  <c r="C18" i="36"/>
  <c r="C13" i="36"/>
  <c r="C73" i="36"/>
  <c r="C8" i="36"/>
  <c r="C78" i="75"/>
  <c r="C34" i="75"/>
  <c r="C90" i="36"/>
  <c r="C42" i="36"/>
  <c r="B70" i="75"/>
  <c r="C5" i="75"/>
  <c r="C112" i="36"/>
  <c r="C100" i="36"/>
  <c r="C32" i="36"/>
  <c r="C17" i="36"/>
  <c r="B54" i="75"/>
  <c r="C54" i="75"/>
  <c r="C12" i="36"/>
  <c r="C2" i="36"/>
  <c r="B33" i="75"/>
  <c r="C33" i="75"/>
  <c r="B26" i="75"/>
  <c r="C26" i="75"/>
  <c r="B11" i="75"/>
  <c r="C11" i="75"/>
  <c r="B89" i="76"/>
  <c r="C89" i="76"/>
  <c r="C46" i="36"/>
  <c r="C10" i="75"/>
  <c r="C6" i="36"/>
  <c r="C27" i="76"/>
  <c r="B27" i="76"/>
  <c r="B107" i="75"/>
  <c r="C107" i="75"/>
  <c r="B99" i="75"/>
  <c r="C99" i="75"/>
  <c r="B73" i="76"/>
  <c r="C73" i="76"/>
  <c r="B83" i="75"/>
  <c r="C83" i="75"/>
  <c r="B59" i="75"/>
  <c r="B38" i="75"/>
  <c r="C38" i="75"/>
  <c r="B97" i="76"/>
  <c r="C97" i="76"/>
  <c r="B23" i="75"/>
  <c r="C23" i="75"/>
  <c r="C102" i="36"/>
  <c r="C86" i="36"/>
  <c r="C34" i="36"/>
  <c r="B113" i="76"/>
  <c r="C113" i="76"/>
  <c r="C106" i="75"/>
  <c r="C53" i="75"/>
  <c r="C37" i="75"/>
  <c r="C22" i="75"/>
  <c r="C7" i="75"/>
  <c r="C111" i="75"/>
  <c r="C69" i="75"/>
  <c r="C63" i="75"/>
  <c r="C58" i="75"/>
  <c r="C17" i="75"/>
  <c r="C2" i="75"/>
  <c r="B29" i="77"/>
  <c r="C29" i="77"/>
  <c r="C94" i="75"/>
  <c r="B33" i="76"/>
  <c r="C33" i="76"/>
  <c r="B7" i="76"/>
  <c r="C7" i="76"/>
  <c r="B36" i="77"/>
  <c r="C36" i="77"/>
  <c r="B91" i="76"/>
  <c r="C91" i="76"/>
  <c r="C15" i="76"/>
  <c r="B109" i="76"/>
  <c r="C109" i="76"/>
  <c r="B65" i="77"/>
  <c r="C65" i="77"/>
  <c r="B67" i="76"/>
  <c r="B74" i="77"/>
  <c r="C74" i="77"/>
  <c r="B39" i="76"/>
  <c r="C39" i="76"/>
  <c r="C115" i="76"/>
  <c r="B115" i="76"/>
  <c r="B99" i="77"/>
  <c r="C99" i="77"/>
  <c r="B76" i="77"/>
  <c r="C76" i="77"/>
  <c r="C43" i="76"/>
  <c r="B63" i="77"/>
  <c r="C63" i="77"/>
  <c r="C37" i="76"/>
  <c r="B52" i="77"/>
  <c r="C52" i="77"/>
  <c r="B97" i="77"/>
  <c r="C97" i="77"/>
  <c r="C60" i="77"/>
  <c r="B12" i="77"/>
  <c r="C12" i="77"/>
  <c r="B59" i="77"/>
  <c r="C59" i="77"/>
  <c r="B26" i="77"/>
  <c r="C26" i="77"/>
  <c r="C105" i="76"/>
  <c r="C99" i="76"/>
  <c r="C11" i="76"/>
  <c r="B39" i="77"/>
  <c r="C39" i="77"/>
  <c r="C5" i="76"/>
  <c r="B46" i="77"/>
  <c r="C46" i="77"/>
  <c r="B9" i="77"/>
  <c r="C9" i="77"/>
  <c r="C45" i="76"/>
  <c r="B111" i="77"/>
  <c r="C111" i="77"/>
  <c r="B85" i="77"/>
  <c r="C85" i="77"/>
  <c r="C110" i="77"/>
  <c r="C66" i="77"/>
  <c r="C102" i="77"/>
  <c r="C34" i="77"/>
  <c r="C100" i="77"/>
  <c r="C41" i="77"/>
  <c r="C24" i="77"/>
  <c r="C7" i="77"/>
  <c r="C51" i="77"/>
  <c r="C19" i="77"/>
  <c r="C6" i="77"/>
  <c r="B110" i="36"/>
  <c r="C110" i="36"/>
  <c r="B62" i="77"/>
  <c r="C62" i="77"/>
  <c r="B87" i="77"/>
  <c r="C87" i="77"/>
  <c r="C48" i="77"/>
  <c r="C87" i="75"/>
  <c r="B87" i="75"/>
  <c r="B55" i="75"/>
  <c r="C55" i="75"/>
  <c r="B77" i="77"/>
  <c r="C77" i="77"/>
  <c r="B54" i="36"/>
  <c r="C54" i="36"/>
  <c r="B93" i="75"/>
  <c r="C93" i="75"/>
  <c r="B83" i="76"/>
  <c r="C83" i="76"/>
  <c r="B61" i="77"/>
  <c r="C61" i="77"/>
  <c r="B69" i="36"/>
  <c r="C69" i="36"/>
  <c r="B98" i="77"/>
  <c r="C98" i="77"/>
  <c r="C66" i="36"/>
  <c r="B95" i="75"/>
  <c r="C95" i="75"/>
  <c r="B82" i="75"/>
  <c r="C82" i="75"/>
  <c r="C75" i="75"/>
  <c r="B75" i="75"/>
  <c r="B64" i="77"/>
  <c r="C64" i="77"/>
  <c r="B103" i="77"/>
  <c r="C103" i="77"/>
  <c r="B92" i="77"/>
  <c r="C92" i="77"/>
  <c r="B56" i="36"/>
  <c r="C56" i="36"/>
  <c r="C114" i="75"/>
  <c r="C79" i="75"/>
  <c r="C51" i="76"/>
  <c r="B51" i="76"/>
  <c r="C112" i="77"/>
  <c r="B61" i="36"/>
  <c r="B49" i="36"/>
  <c r="C85" i="75"/>
  <c r="B57" i="76"/>
  <c r="C57" i="76"/>
  <c r="B49" i="77"/>
  <c r="B63" i="76"/>
  <c r="C63" i="76"/>
  <c r="B75" i="77"/>
  <c r="C75" i="77"/>
  <c r="C62" i="36"/>
  <c r="B105" i="75"/>
  <c r="C105" i="75"/>
  <c r="C65" i="76"/>
  <c r="C94" i="77"/>
  <c r="C105" i="36"/>
  <c r="B84" i="36"/>
  <c r="C84" i="36"/>
  <c r="C50" i="75"/>
  <c r="C108" i="77"/>
  <c r="C69" i="77"/>
  <c r="C55" i="77"/>
  <c r="B109" i="77"/>
  <c r="C109" i="77"/>
  <c r="B110" i="75"/>
  <c r="C110" i="75"/>
  <c r="C77" i="75"/>
  <c r="C77" i="76"/>
  <c r="C114" i="36"/>
  <c r="C109" i="36"/>
  <c r="C60" i="36"/>
  <c r="C50" i="36"/>
  <c r="C101" i="75"/>
  <c r="C86" i="75"/>
  <c r="C71" i="75"/>
  <c r="C93" i="76"/>
  <c r="C87" i="76"/>
  <c r="C114" i="77"/>
  <c r="C101" i="77"/>
  <c r="C84" i="77"/>
  <c r="C67" i="77"/>
  <c r="C50" i="77"/>
  <c r="C104" i="36"/>
  <c r="C94" i="36"/>
  <c r="C89" i="36"/>
  <c r="C115" i="75"/>
  <c r="C81" i="75"/>
  <c r="C66" i="75"/>
  <c r="C51" i="75"/>
  <c r="C81" i="76"/>
  <c r="C75" i="76"/>
  <c r="C105" i="77"/>
  <c r="C88" i="77"/>
  <c r="C71" i="77"/>
  <c r="C54" i="77"/>
  <c r="C74" i="36"/>
  <c r="C61" i="75"/>
  <c r="C69" i="76"/>
  <c r="C58" i="77"/>
  <c r="C114" i="76"/>
  <c r="C110" i="76"/>
  <c r="C106" i="76"/>
  <c r="C102" i="76"/>
  <c r="C98" i="76"/>
  <c r="C94" i="76"/>
  <c r="C90" i="76"/>
  <c r="C86" i="76"/>
  <c r="C82" i="76"/>
  <c r="C78" i="76"/>
  <c r="C74" i="76"/>
  <c r="C70" i="76"/>
  <c r="C66" i="76"/>
  <c r="C62" i="76"/>
  <c r="C58" i="76"/>
  <c r="C54" i="76"/>
  <c r="C50" i="76"/>
  <c r="C46" i="76"/>
  <c r="C42" i="76"/>
  <c r="C38" i="76"/>
  <c r="C34" i="76"/>
  <c r="C30" i="76"/>
  <c r="C26" i="76"/>
  <c r="C22" i="76"/>
  <c r="C18" i="76"/>
  <c r="C14" i="76"/>
  <c r="C10" i="76"/>
  <c r="C6" i="76"/>
  <c r="C2" i="76"/>
  <c r="C112" i="76"/>
  <c r="C108" i="76"/>
  <c r="C104" i="76"/>
  <c r="C100" i="76"/>
  <c r="C96" i="76"/>
  <c r="C92" i="76"/>
  <c r="C88" i="76"/>
  <c r="C84" i="76"/>
  <c r="C80" i="76"/>
  <c r="C76" i="76"/>
  <c r="C72" i="76"/>
  <c r="C68" i="76"/>
  <c r="C64" i="76"/>
  <c r="C60" i="76"/>
  <c r="C56" i="76"/>
  <c r="C52" i="76"/>
  <c r="C48" i="76"/>
  <c r="C44" i="76"/>
  <c r="C40" i="76"/>
  <c r="C36" i="76"/>
  <c r="C32" i="76"/>
  <c r="C28" i="76"/>
  <c r="C24" i="76"/>
  <c r="C20" i="76"/>
  <c r="C16" i="76"/>
  <c r="C12" i="76"/>
  <c r="C8" i="76"/>
  <c r="C4" i="76"/>
  <c r="C112" i="75"/>
  <c r="C108" i="75"/>
  <c r="C104" i="75"/>
  <c r="C100" i="75"/>
  <c r="C96" i="75"/>
  <c r="C92" i="75"/>
  <c r="C88" i="75"/>
  <c r="C84" i="75"/>
  <c r="C80" i="75"/>
  <c r="C76" i="75"/>
  <c r="C72" i="75"/>
  <c r="C68" i="75"/>
  <c r="C64" i="75"/>
  <c r="C60" i="75"/>
  <c r="C56" i="75"/>
  <c r="C52" i="75"/>
  <c r="C48" i="75"/>
  <c r="C44" i="75"/>
  <c r="C40" i="75"/>
  <c r="C36" i="75"/>
  <c r="C32" i="75"/>
  <c r="C28" i="75"/>
  <c r="C24" i="75"/>
  <c r="C20" i="75"/>
  <c r="C16" i="75"/>
  <c r="C12" i="75"/>
  <c r="C8" i="75"/>
  <c r="C4" i="75"/>
  <c r="C115" i="36"/>
  <c r="C111" i="36"/>
  <c r="C107" i="36"/>
  <c r="C103" i="36"/>
  <c r="C99" i="36"/>
  <c r="C95" i="36"/>
  <c r="C91" i="36"/>
  <c r="C87" i="36"/>
  <c r="C83" i="36"/>
  <c r="C79" i="36"/>
  <c r="C75" i="36"/>
  <c r="C71" i="36"/>
  <c r="C67" i="36"/>
  <c r="C63" i="36"/>
  <c r="C59" i="36"/>
  <c r="C55" i="36"/>
  <c r="C51" i="36"/>
  <c r="C47" i="36"/>
  <c r="C43" i="36"/>
  <c r="C39" i="36"/>
  <c r="C35" i="36"/>
  <c r="C31" i="36"/>
  <c r="C27" i="36"/>
  <c r="C23" i="36"/>
  <c r="C19" i="36"/>
  <c r="C15" i="36"/>
  <c r="C11" i="36"/>
  <c r="C7" i="36"/>
  <c r="C3" i="36"/>
  <c r="C110" i="28"/>
  <c r="C94" i="28"/>
  <c r="C78" i="28"/>
  <c r="C62" i="28"/>
  <c r="C46" i="28"/>
  <c r="C30" i="28"/>
  <c r="C14" i="28"/>
  <c r="C105" i="28"/>
  <c r="C89" i="28"/>
  <c r="C73" i="28"/>
  <c r="C57" i="28"/>
  <c r="C41" i="28"/>
  <c r="C25" i="28"/>
  <c r="C9" i="28"/>
  <c r="C112" i="28"/>
  <c r="C96" i="28"/>
  <c r="C80" i="28"/>
  <c r="C64" i="28"/>
  <c r="C48" i="28"/>
  <c r="C32" i="28"/>
  <c r="C16" i="28"/>
  <c r="S2" i="25" l="1"/>
  <c r="T2" i="25"/>
  <c r="U2" i="25"/>
  <c r="I34" i="72"/>
  <c r="E34" i="72"/>
  <c r="E31" i="72"/>
  <c r="P194" i="65"/>
  <c r="AI120" i="67" s="1"/>
  <c r="S1" i="76"/>
  <c r="R1" i="76"/>
  <c r="T1" i="76"/>
  <c r="Q1" i="76"/>
  <c r="V2" i="65"/>
  <c r="W2" i="65"/>
  <c r="T16" i="65"/>
  <c r="P17" i="65"/>
  <c r="Q17" i="65"/>
  <c r="R17" i="65"/>
  <c r="S17" i="65"/>
  <c r="P18" i="65"/>
  <c r="Q18" i="65"/>
  <c r="R18" i="65"/>
  <c r="S18" i="65"/>
  <c r="P19" i="65"/>
  <c r="Q19" i="65"/>
  <c r="R19" i="65"/>
  <c r="S19" i="65"/>
  <c r="P20" i="65"/>
  <c r="Q20" i="65"/>
  <c r="R20" i="65"/>
  <c r="S20" i="65"/>
  <c r="P21" i="65"/>
  <c r="Q21" i="65"/>
  <c r="R21" i="65"/>
  <c r="S21" i="65"/>
  <c r="P22" i="65"/>
  <c r="Q22" i="65"/>
  <c r="R22" i="65"/>
  <c r="S22" i="65"/>
  <c r="P23" i="65"/>
  <c r="Q23" i="65"/>
  <c r="R23" i="65"/>
  <c r="S23" i="65"/>
  <c r="P24" i="65"/>
  <c r="Q24" i="65"/>
  <c r="R24" i="65"/>
  <c r="S24" i="65"/>
  <c r="P25" i="65"/>
  <c r="Q25" i="65"/>
  <c r="R25" i="65"/>
  <c r="S25" i="65"/>
  <c r="P26" i="65"/>
  <c r="Q26" i="65"/>
  <c r="R26" i="65"/>
  <c r="S26" i="65"/>
  <c r="P27" i="65"/>
  <c r="Q27" i="65"/>
  <c r="R27" i="65"/>
  <c r="S27" i="65"/>
  <c r="P28" i="65"/>
  <c r="Q28" i="65"/>
  <c r="R28" i="65"/>
  <c r="S28" i="65"/>
  <c r="P29" i="65"/>
  <c r="Q29" i="65"/>
  <c r="R29" i="65"/>
  <c r="S29" i="65"/>
  <c r="P30" i="65"/>
  <c r="Q30" i="65"/>
  <c r="R30" i="65"/>
  <c r="S30" i="65"/>
  <c r="P31" i="65"/>
  <c r="Q31" i="65"/>
  <c r="R31" i="65"/>
  <c r="S31" i="65"/>
  <c r="P32" i="65"/>
  <c r="Q32" i="65"/>
  <c r="R32" i="65"/>
  <c r="S32" i="65"/>
  <c r="P33" i="65"/>
  <c r="Q33" i="65"/>
  <c r="R33" i="65"/>
  <c r="S33" i="65"/>
  <c r="P34" i="65"/>
  <c r="Q34" i="65"/>
  <c r="R34" i="65"/>
  <c r="S34" i="65"/>
  <c r="P35" i="65"/>
  <c r="Q35" i="65"/>
  <c r="R35" i="65"/>
  <c r="S35" i="65"/>
  <c r="P36" i="65"/>
  <c r="Q36" i="65"/>
  <c r="R36" i="65"/>
  <c r="S36" i="65"/>
  <c r="P37" i="65"/>
  <c r="Q37" i="65"/>
  <c r="R37" i="65"/>
  <c r="S37" i="65"/>
  <c r="P38" i="65"/>
  <c r="Q38" i="65"/>
  <c r="R38" i="65"/>
  <c r="S38" i="65"/>
  <c r="P39" i="65"/>
  <c r="Q39" i="65"/>
  <c r="R39" i="65"/>
  <c r="S39" i="65"/>
  <c r="P40" i="65"/>
  <c r="Q40" i="65"/>
  <c r="R40" i="65"/>
  <c r="S40" i="65"/>
  <c r="P41" i="65"/>
  <c r="Q41" i="65"/>
  <c r="R41" i="65"/>
  <c r="S41" i="65"/>
  <c r="P42" i="65"/>
  <c r="Q42" i="65"/>
  <c r="R42" i="65"/>
  <c r="S42" i="65"/>
  <c r="P43" i="65"/>
  <c r="Q43" i="65"/>
  <c r="R43" i="65"/>
  <c r="S43" i="65"/>
  <c r="P44" i="65"/>
  <c r="Q44" i="65"/>
  <c r="R44" i="65"/>
  <c r="S44" i="65"/>
  <c r="P45" i="65"/>
  <c r="Q45" i="65"/>
  <c r="R45" i="65"/>
  <c r="S45" i="65"/>
  <c r="P46" i="65"/>
  <c r="Q46" i="65"/>
  <c r="R46" i="65"/>
  <c r="S46" i="65"/>
  <c r="P47" i="65"/>
  <c r="Q47" i="65"/>
  <c r="R47" i="65"/>
  <c r="S47" i="65"/>
  <c r="P48" i="65"/>
  <c r="Q48" i="65"/>
  <c r="R48" i="65"/>
  <c r="S48" i="65"/>
  <c r="P49" i="65"/>
  <c r="Q49" i="65"/>
  <c r="R49" i="65"/>
  <c r="S49" i="65"/>
  <c r="P50" i="65"/>
  <c r="Q50" i="65"/>
  <c r="R50" i="65"/>
  <c r="S50" i="65"/>
  <c r="P51" i="65"/>
  <c r="Q51" i="65"/>
  <c r="R51" i="65"/>
  <c r="S51" i="65"/>
  <c r="P52" i="65"/>
  <c r="Q52" i="65"/>
  <c r="R52" i="65"/>
  <c r="S52" i="65"/>
  <c r="P53" i="65"/>
  <c r="Q53" i="65"/>
  <c r="R53" i="65"/>
  <c r="S53" i="65"/>
  <c r="P54" i="65"/>
  <c r="Q54" i="65"/>
  <c r="R54" i="65"/>
  <c r="S54" i="65"/>
  <c r="P55" i="65"/>
  <c r="Q55" i="65"/>
  <c r="R55" i="65"/>
  <c r="S55" i="65"/>
  <c r="P56" i="65"/>
  <c r="Q56" i="65"/>
  <c r="R56" i="65"/>
  <c r="S56" i="65"/>
  <c r="P57" i="65"/>
  <c r="Q57" i="65"/>
  <c r="R57" i="65"/>
  <c r="S57" i="65"/>
  <c r="P58" i="65"/>
  <c r="Q58" i="65"/>
  <c r="R58" i="65"/>
  <c r="S58" i="65"/>
  <c r="P59" i="65"/>
  <c r="Q59" i="65"/>
  <c r="R59" i="65"/>
  <c r="S59" i="65"/>
  <c r="P60" i="65"/>
  <c r="Q60" i="65"/>
  <c r="R60" i="65"/>
  <c r="S60" i="65"/>
  <c r="P61" i="65"/>
  <c r="Q61" i="65"/>
  <c r="R61" i="65"/>
  <c r="S61" i="65"/>
  <c r="P62" i="65"/>
  <c r="Q62" i="65"/>
  <c r="R62" i="65"/>
  <c r="S62" i="65"/>
  <c r="P63" i="65"/>
  <c r="Q63" i="65"/>
  <c r="R63" i="65"/>
  <c r="S63" i="65"/>
  <c r="P64" i="65"/>
  <c r="Q64" i="65"/>
  <c r="R64" i="65"/>
  <c r="S64" i="65"/>
  <c r="P65" i="65"/>
  <c r="Q65" i="65"/>
  <c r="R65" i="65"/>
  <c r="S65" i="65"/>
  <c r="P66" i="65"/>
  <c r="Q66" i="65"/>
  <c r="R66" i="65"/>
  <c r="S66" i="65"/>
  <c r="P67" i="65"/>
  <c r="Q67" i="65"/>
  <c r="R67" i="65"/>
  <c r="S67" i="65"/>
  <c r="P68" i="65"/>
  <c r="Q68" i="65"/>
  <c r="R68" i="65"/>
  <c r="S68" i="65"/>
  <c r="P69" i="65"/>
  <c r="Q69" i="65"/>
  <c r="R69" i="65"/>
  <c r="S69" i="65"/>
  <c r="P70" i="65"/>
  <c r="Q70" i="65"/>
  <c r="R70" i="65"/>
  <c r="S70" i="65"/>
  <c r="P71" i="65"/>
  <c r="Q71" i="65"/>
  <c r="R71" i="65"/>
  <c r="S71" i="65"/>
  <c r="P72" i="65"/>
  <c r="Q72" i="65"/>
  <c r="R72" i="65"/>
  <c r="S72" i="65"/>
  <c r="P73" i="65"/>
  <c r="Q73" i="65"/>
  <c r="R73" i="65"/>
  <c r="S73" i="65"/>
  <c r="P74" i="65"/>
  <c r="Q74" i="65"/>
  <c r="R74" i="65"/>
  <c r="S74" i="65"/>
  <c r="P75" i="65"/>
  <c r="Q75" i="65"/>
  <c r="R75" i="65"/>
  <c r="S75" i="65"/>
  <c r="P76" i="65"/>
  <c r="Q76" i="65"/>
  <c r="R76" i="65"/>
  <c r="S76" i="65"/>
  <c r="P77" i="65"/>
  <c r="Q77" i="65"/>
  <c r="R77" i="65"/>
  <c r="S77" i="65"/>
  <c r="P78" i="65"/>
  <c r="Q78" i="65"/>
  <c r="R78" i="65"/>
  <c r="S78" i="65"/>
  <c r="P79" i="65"/>
  <c r="Q79" i="65"/>
  <c r="R79" i="65"/>
  <c r="S79" i="65"/>
  <c r="P80" i="65"/>
  <c r="Q80" i="65"/>
  <c r="R80" i="65"/>
  <c r="S80" i="65"/>
  <c r="P81" i="65"/>
  <c r="Q81" i="65"/>
  <c r="R81" i="65"/>
  <c r="S81" i="65"/>
  <c r="P82" i="65"/>
  <c r="Q82" i="65"/>
  <c r="R82" i="65"/>
  <c r="S82" i="65"/>
  <c r="P83" i="65"/>
  <c r="Q83" i="65"/>
  <c r="R83" i="65"/>
  <c r="S83" i="65"/>
  <c r="P84" i="65"/>
  <c r="Q84" i="65"/>
  <c r="R84" i="65"/>
  <c r="S84" i="65"/>
  <c r="P85" i="65"/>
  <c r="Q85" i="65"/>
  <c r="R85" i="65"/>
  <c r="S85" i="65"/>
  <c r="P86" i="65"/>
  <c r="Q86" i="65"/>
  <c r="R86" i="65"/>
  <c r="S86" i="65"/>
  <c r="P87" i="65"/>
  <c r="Q87" i="65"/>
  <c r="R87" i="65"/>
  <c r="S87" i="65"/>
  <c r="P88" i="65"/>
  <c r="Q88" i="65"/>
  <c r="R88" i="65"/>
  <c r="S88" i="65"/>
  <c r="P89" i="65"/>
  <c r="Q89" i="65"/>
  <c r="R89" i="65"/>
  <c r="S89" i="65"/>
  <c r="P90" i="65"/>
  <c r="Q90" i="65"/>
  <c r="R90" i="65"/>
  <c r="S90" i="65"/>
  <c r="P91" i="65"/>
  <c r="Q91" i="65"/>
  <c r="R91" i="65"/>
  <c r="S91" i="65"/>
  <c r="P92" i="65"/>
  <c r="Q92" i="65"/>
  <c r="R92" i="65"/>
  <c r="S92" i="65"/>
  <c r="P93" i="65"/>
  <c r="Q93" i="65"/>
  <c r="R93" i="65"/>
  <c r="S93" i="65"/>
  <c r="P94" i="65"/>
  <c r="Q94" i="65"/>
  <c r="R94" i="65"/>
  <c r="S94" i="65"/>
  <c r="P95" i="65"/>
  <c r="Q95" i="65"/>
  <c r="R95" i="65"/>
  <c r="S95" i="65"/>
  <c r="P96" i="65"/>
  <c r="Q96" i="65"/>
  <c r="R96" i="65"/>
  <c r="S96" i="65"/>
  <c r="P97" i="65"/>
  <c r="Q97" i="65"/>
  <c r="R97" i="65"/>
  <c r="S97" i="65"/>
  <c r="P98" i="65"/>
  <c r="Q98" i="65"/>
  <c r="R98" i="65"/>
  <c r="S98" i="65"/>
  <c r="P99" i="65"/>
  <c r="Q99" i="65"/>
  <c r="R99" i="65"/>
  <c r="S99" i="65"/>
  <c r="P100" i="65"/>
  <c r="Q100" i="65"/>
  <c r="R100" i="65"/>
  <c r="S100" i="65"/>
  <c r="P101" i="65"/>
  <c r="Q101" i="65"/>
  <c r="R101" i="65"/>
  <c r="S101" i="65"/>
  <c r="P102" i="65"/>
  <c r="Q102" i="65"/>
  <c r="R102" i="65"/>
  <c r="S102" i="65"/>
  <c r="P103" i="65"/>
  <c r="Q103" i="65"/>
  <c r="R103" i="65"/>
  <c r="S103" i="65"/>
  <c r="P104" i="65"/>
  <c r="Q104" i="65"/>
  <c r="R104" i="65"/>
  <c r="S104" i="65"/>
  <c r="P105" i="65"/>
  <c r="Q105" i="65"/>
  <c r="R105" i="65"/>
  <c r="S105" i="65"/>
  <c r="P106" i="65"/>
  <c r="Q106" i="65"/>
  <c r="R106" i="65"/>
  <c r="S106" i="65"/>
  <c r="P107" i="65"/>
  <c r="Q107" i="65"/>
  <c r="R107" i="65"/>
  <c r="S107" i="65"/>
  <c r="P108" i="65"/>
  <c r="Q108" i="65"/>
  <c r="R108" i="65"/>
  <c r="S108" i="65"/>
  <c r="P109" i="65"/>
  <c r="Q109" i="65"/>
  <c r="R109" i="65"/>
  <c r="S109" i="65"/>
  <c r="P110" i="65"/>
  <c r="Q110" i="65"/>
  <c r="R110" i="65"/>
  <c r="S110" i="65"/>
  <c r="P111" i="65"/>
  <c r="Q111" i="65"/>
  <c r="R111" i="65"/>
  <c r="S111" i="65"/>
  <c r="P112" i="65"/>
  <c r="Q112" i="65"/>
  <c r="R112" i="65"/>
  <c r="S112" i="65"/>
  <c r="P113" i="65"/>
  <c r="Q113" i="65"/>
  <c r="R113" i="65"/>
  <c r="S113" i="65"/>
  <c r="P114" i="65"/>
  <c r="Q114" i="65"/>
  <c r="R114" i="65"/>
  <c r="S114" i="65"/>
  <c r="P115" i="65"/>
  <c r="Q115" i="65"/>
  <c r="R115" i="65"/>
  <c r="S115" i="65"/>
  <c r="P116" i="65"/>
  <c r="Q116" i="65"/>
  <c r="R116" i="65"/>
  <c r="S116" i="65"/>
  <c r="P117" i="65"/>
  <c r="Q117" i="65"/>
  <c r="R117" i="65"/>
  <c r="S117" i="65"/>
  <c r="P118" i="65"/>
  <c r="Q118" i="65"/>
  <c r="R118" i="65"/>
  <c r="S118" i="65"/>
  <c r="P119" i="65"/>
  <c r="Q119" i="65"/>
  <c r="R119" i="65"/>
  <c r="S119" i="65"/>
  <c r="P120" i="65"/>
  <c r="Q120" i="65"/>
  <c r="R120" i="65"/>
  <c r="S120" i="65"/>
  <c r="P121" i="65"/>
  <c r="Q121" i="65"/>
  <c r="R121" i="65"/>
  <c r="S121" i="65"/>
  <c r="P122" i="65"/>
  <c r="Q122" i="65"/>
  <c r="R122" i="65"/>
  <c r="S122" i="65"/>
  <c r="P123" i="65"/>
  <c r="Q123" i="65"/>
  <c r="R123" i="65"/>
  <c r="S123" i="65"/>
  <c r="P124" i="65"/>
  <c r="Q124" i="65"/>
  <c r="R124" i="65"/>
  <c r="S124" i="65"/>
  <c r="P125" i="65"/>
  <c r="Q125" i="65"/>
  <c r="R125" i="65"/>
  <c r="S125" i="65"/>
  <c r="P126" i="65"/>
  <c r="Q126" i="65"/>
  <c r="R126" i="65"/>
  <c r="S126" i="65"/>
  <c r="P127" i="65"/>
  <c r="Q127" i="65"/>
  <c r="R127" i="65"/>
  <c r="S127" i="65"/>
  <c r="P128" i="65"/>
  <c r="Q128" i="65"/>
  <c r="R128" i="65"/>
  <c r="S128" i="65"/>
  <c r="P129" i="65"/>
  <c r="Q129" i="65"/>
  <c r="R129" i="65"/>
  <c r="S129" i="65"/>
  <c r="P130" i="65"/>
  <c r="Q130" i="65"/>
  <c r="R130" i="65"/>
  <c r="S130" i="65"/>
  <c r="P131" i="65"/>
  <c r="Q131" i="65"/>
  <c r="R131" i="65"/>
  <c r="S131" i="65"/>
  <c r="P132" i="65"/>
  <c r="Q132" i="65"/>
  <c r="R132" i="65"/>
  <c r="S132" i="65"/>
  <c r="P133" i="65"/>
  <c r="Q133" i="65"/>
  <c r="R133" i="65"/>
  <c r="S133" i="65"/>
  <c r="P134" i="65"/>
  <c r="Q134" i="65"/>
  <c r="R134" i="65"/>
  <c r="S134" i="65"/>
  <c r="P135" i="65"/>
  <c r="Q135" i="65"/>
  <c r="R135" i="65"/>
  <c r="S135" i="65"/>
  <c r="P136" i="65"/>
  <c r="Q136" i="65"/>
  <c r="R136" i="65"/>
  <c r="S136" i="65"/>
  <c r="P137" i="65"/>
  <c r="Q137" i="65"/>
  <c r="R137" i="65"/>
  <c r="S137" i="65"/>
  <c r="P138" i="65"/>
  <c r="Q138" i="65"/>
  <c r="R138" i="65"/>
  <c r="S138" i="65"/>
  <c r="P139" i="65"/>
  <c r="Q139" i="65"/>
  <c r="R139" i="65"/>
  <c r="S139" i="65"/>
  <c r="P140" i="65"/>
  <c r="Q140" i="65"/>
  <c r="R140" i="65"/>
  <c r="S140" i="65"/>
  <c r="P141" i="65"/>
  <c r="Q141" i="65"/>
  <c r="R141" i="65"/>
  <c r="S141" i="65"/>
  <c r="P142" i="65"/>
  <c r="Q142" i="65"/>
  <c r="R142" i="65"/>
  <c r="S142" i="65"/>
  <c r="P143" i="65"/>
  <c r="Q143" i="65"/>
  <c r="R143" i="65"/>
  <c r="S143" i="65"/>
  <c r="P144" i="65"/>
  <c r="Q144" i="65"/>
  <c r="R144" i="65"/>
  <c r="S144" i="65"/>
  <c r="P145" i="65"/>
  <c r="Q145" i="65"/>
  <c r="R145" i="65"/>
  <c r="S145" i="65"/>
  <c r="P146" i="65"/>
  <c r="Q146" i="65"/>
  <c r="R146" i="65"/>
  <c r="S146" i="65"/>
  <c r="P147" i="65"/>
  <c r="Q147" i="65"/>
  <c r="R147" i="65"/>
  <c r="S147" i="65"/>
  <c r="P148" i="65"/>
  <c r="Q148" i="65"/>
  <c r="R148" i="65"/>
  <c r="S148" i="65"/>
  <c r="P149" i="65"/>
  <c r="Q149" i="65"/>
  <c r="R149" i="65"/>
  <c r="S149" i="65"/>
  <c r="P150" i="65"/>
  <c r="Q150" i="65"/>
  <c r="R150" i="65"/>
  <c r="S150" i="65"/>
  <c r="P151" i="65"/>
  <c r="Q151" i="65"/>
  <c r="R151" i="65"/>
  <c r="S151" i="65"/>
  <c r="P152" i="65"/>
  <c r="Q152" i="65"/>
  <c r="R152" i="65"/>
  <c r="S152" i="65"/>
  <c r="P153" i="65"/>
  <c r="Q153" i="65"/>
  <c r="R153" i="65"/>
  <c r="S153" i="65"/>
  <c r="P154" i="65"/>
  <c r="Q154" i="65"/>
  <c r="R154" i="65"/>
  <c r="S154" i="65"/>
  <c r="P155" i="65"/>
  <c r="Q155" i="65"/>
  <c r="R155" i="65"/>
  <c r="S155" i="65"/>
  <c r="P156" i="65"/>
  <c r="Q156" i="65"/>
  <c r="R156" i="65"/>
  <c r="S156" i="65"/>
  <c r="P157" i="65"/>
  <c r="Q157" i="65"/>
  <c r="R157" i="65"/>
  <c r="S157" i="65"/>
  <c r="P158" i="65"/>
  <c r="Q158" i="65"/>
  <c r="R158" i="65"/>
  <c r="S158" i="65"/>
  <c r="P159" i="65"/>
  <c r="Q159" i="65"/>
  <c r="R159" i="65"/>
  <c r="S159" i="65"/>
  <c r="P160" i="65"/>
  <c r="Q160" i="65"/>
  <c r="R160" i="65"/>
  <c r="S160" i="65"/>
  <c r="P161" i="65"/>
  <c r="Q161" i="65"/>
  <c r="R161" i="65"/>
  <c r="S161" i="65"/>
  <c r="P162" i="65"/>
  <c r="Q162" i="65"/>
  <c r="R162" i="65"/>
  <c r="S162" i="65"/>
  <c r="P163" i="65"/>
  <c r="Q163" i="65"/>
  <c r="R163" i="65"/>
  <c r="S163" i="65"/>
  <c r="P164" i="65"/>
  <c r="Q164" i="65"/>
  <c r="R164" i="65"/>
  <c r="S164" i="65"/>
  <c r="P165" i="65"/>
  <c r="Q165" i="65"/>
  <c r="R165" i="65"/>
  <c r="S165" i="65"/>
  <c r="P166" i="65"/>
  <c r="Q166" i="65"/>
  <c r="R166" i="65"/>
  <c r="S166" i="65"/>
  <c r="P167" i="65"/>
  <c r="Q167" i="65"/>
  <c r="R167" i="65"/>
  <c r="S167" i="65"/>
  <c r="P168" i="65"/>
  <c r="Q168" i="65"/>
  <c r="R168" i="65"/>
  <c r="S168" i="65"/>
  <c r="P169" i="65"/>
  <c r="Q169" i="65"/>
  <c r="R169" i="65"/>
  <c r="S169" i="65"/>
  <c r="P170" i="65"/>
  <c r="Q170" i="65"/>
  <c r="R170" i="65"/>
  <c r="S170" i="65"/>
  <c r="P171" i="65"/>
  <c r="Q171" i="65"/>
  <c r="R171" i="65"/>
  <c r="S171" i="65"/>
  <c r="P172" i="65"/>
  <c r="Q172" i="65"/>
  <c r="R172" i="65"/>
  <c r="S172" i="65"/>
  <c r="P173" i="65"/>
  <c r="Q173" i="65"/>
  <c r="R173" i="65"/>
  <c r="S173" i="65"/>
  <c r="P174" i="65"/>
  <c r="Q174" i="65"/>
  <c r="R174" i="65"/>
  <c r="S174" i="65"/>
  <c r="P175" i="65"/>
  <c r="Q175" i="65"/>
  <c r="R175" i="65"/>
  <c r="S175" i="65"/>
  <c r="P176" i="65"/>
  <c r="Q176" i="65"/>
  <c r="R176" i="65"/>
  <c r="S176" i="65"/>
  <c r="P177" i="65"/>
  <c r="Q177" i="65"/>
  <c r="R177" i="65"/>
  <c r="S177" i="65"/>
  <c r="P178" i="65"/>
  <c r="Q178" i="65"/>
  <c r="R178" i="65"/>
  <c r="S178" i="65"/>
  <c r="P179" i="65"/>
  <c r="Q179" i="65"/>
  <c r="R179" i="65"/>
  <c r="S179" i="65"/>
  <c r="P180" i="65"/>
  <c r="Q180" i="65"/>
  <c r="R180" i="65"/>
  <c r="S180" i="65"/>
  <c r="P181" i="65"/>
  <c r="Q181" i="65"/>
  <c r="R181" i="65"/>
  <c r="S181" i="65"/>
  <c r="P182" i="65"/>
  <c r="Q182" i="65"/>
  <c r="R182" i="65"/>
  <c r="S182" i="65"/>
  <c r="P183" i="65"/>
  <c r="Q183" i="65"/>
  <c r="R183" i="65"/>
  <c r="S183" i="65"/>
  <c r="P184" i="65"/>
  <c r="Q184" i="65"/>
  <c r="R184" i="65"/>
  <c r="S184" i="65"/>
  <c r="P185" i="65"/>
  <c r="Q185" i="65"/>
  <c r="R185" i="65"/>
  <c r="S185" i="65"/>
  <c r="P186" i="65"/>
  <c r="Q186" i="65"/>
  <c r="R186" i="65"/>
  <c r="S186" i="65"/>
  <c r="P187" i="65"/>
  <c r="Q187" i="65"/>
  <c r="R187" i="65"/>
  <c r="S187" i="65"/>
  <c r="P188" i="65"/>
  <c r="Q188" i="65"/>
  <c r="R188" i="65"/>
  <c r="S188" i="65"/>
  <c r="P189" i="65"/>
  <c r="Q189" i="65"/>
  <c r="R189" i="65"/>
  <c r="S189" i="65"/>
  <c r="P190" i="65"/>
  <c r="AI116" i="67" s="1"/>
  <c r="Q190" i="65"/>
  <c r="AJ116" i="67" s="1"/>
  <c r="R190" i="65"/>
  <c r="AK116" i="67" s="1"/>
  <c r="S190" i="65"/>
  <c r="AL116" i="67" s="1"/>
  <c r="P191" i="65"/>
  <c r="AI117" i="67" s="1"/>
  <c r="Q191" i="65"/>
  <c r="AJ117" i="67" s="1"/>
  <c r="R191" i="65"/>
  <c r="AK117" i="67" s="1"/>
  <c r="S191" i="65"/>
  <c r="AL117" i="67" s="1"/>
  <c r="P192" i="65"/>
  <c r="AI118" i="67" s="1"/>
  <c r="Q192" i="65"/>
  <c r="AJ118" i="67" s="1"/>
  <c r="R192" i="65"/>
  <c r="AK118" i="67" s="1"/>
  <c r="S192" i="65"/>
  <c r="AL118" i="67" s="1"/>
  <c r="P193" i="65"/>
  <c r="AI119" i="67" s="1"/>
  <c r="Q193" i="65"/>
  <c r="AJ119" i="67" s="1"/>
  <c r="R193" i="65"/>
  <c r="S193" i="65"/>
  <c r="AL119" i="67" s="1"/>
  <c r="Q194" i="65"/>
  <c r="AJ120" i="67" s="1"/>
  <c r="R194" i="65"/>
  <c r="S194" i="65"/>
  <c r="AL120" i="67" s="1"/>
  <c r="Q195" i="65"/>
  <c r="AJ121" i="67" s="1"/>
  <c r="R195" i="65"/>
  <c r="S195" i="65"/>
  <c r="AL121" i="67" s="1"/>
  <c r="Q16" i="65"/>
  <c r="S16" i="65"/>
  <c r="P16" i="65"/>
  <c r="R1" i="34"/>
  <c r="B110" i="38"/>
  <c r="C110" i="38"/>
  <c r="K110" i="38"/>
  <c r="B111" i="38"/>
  <c r="C111" i="38"/>
  <c r="K111" i="38"/>
  <c r="B112" i="38"/>
  <c r="C112" i="38"/>
  <c r="K112" i="38"/>
  <c r="B113" i="38"/>
  <c r="C113" i="38"/>
  <c r="K113" i="38"/>
  <c r="B114" i="38"/>
  <c r="C114" i="38"/>
  <c r="K114" i="38"/>
  <c r="B115" i="38"/>
  <c r="C115" i="38"/>
  <c r="K115" i="38"/>
  <c r="L110" i="32"/>
  <c r="L111" i="32"/>
  <c r="L112" i="32"/>
  <c r="L113" i="32"/>
  <c r="L114" i="32"/>
  <c r="L115" i="32"/>
  <c r="L110" i="30"/>
  <c r="L111" i="30"/>
  <c r="L112" i="30"/>
  <c r="L113" i="30"/>
  <c r="L114" i="30"/>
  <c r="L115" i="30"/>
  <c r="L2" i="30"/>
  <c r="L3" i="30"/>
  <c r="L4" i="30"/>
  <c r="L5" i="30"/>
  <c r="L6" i="30"/>
  <c r="L7" i="30"/>
  <c r="L8" i="30"/>
  <c r="L9" i="30"/>
  <c r="L10" i="30"/>
  <c r="L11" i="30"/>
  <c r="L12" i="30"/>
  <c r="L13" i="30"/>
  <c r="L14" i="30"/>
  <c r="L15" i="30"/>
  <c r="L16" i="30"/>
  <c r="L17" i="30"/>
  <c r="L18" i="30"/>
  <c r="L19" i="30"/>
  <c r="L20" i="30"/>
  <c r="L21" i="30"/>
  <c r="L22" i="30"/>
  <c r="L23" i="30"/>
  <c r="L24" i="30"/>
  <c r="L25" i="30"/>
  <c r="L26" i="30"/>
  <c r="L27" i="30"/>
  <c r="L28" i="30"/>
  <c r="L29" i="30"/>
  <c r="L30" i="30"/>
  <c r="L31" i="30"/>
  <c r="L32" i="30"/>
  <c r="L33" i="30"/>
  <c r="L34" i="30"/>
  <c r="L35" i="30"/>
  <c r="L36" i="30"/>
  <c r="L37" i="30"/>
  <c r="L38" i="30"/>
  <c r="L39" i="30"/>
  <c r="L40" i="30"/>
  <c r="L41" i="30"/>
  <c r="L42" i="30"/>
  <c r="L43" i="30"/>
  <c r="L44" i="30"/>
  <c r="L45" i="30"/>
  <c r="L46" i="30"/>
  <c r="L47" i="30"/>
  <c r="L48" i="30"/>
  <c r="L49" i="30"/>
  <c r="L50" i="30"/>
  <c r="L51" i="30"/>
  <c r="L52" i="30"/>
  <c r="L53" i="30"/>
  <c r="L54" i="30"/>
  <c r="L55" i="30"/>
  <c r="L56" i="30"/>
  <c r="L57" i="30"/>
  <c r="L58" i="30"/>
  <c r="L59" i="30"/>
  <c r="L60" i="30"/>
  <c r="L61" i="30"/>
  <c r="L62" i="30"/>
  <c r="L63" i="30"/>
  <c r="L64" i="30"/>
  <c r="L65" i="30"/>
  <c r="L66" i="30"/>
  <c r="L67" i="30"/>
  <c r="L68" i="30"/>
  <c r="L69" i="30"/>
  <c r="L70" i="30"/>
  <c r="L71" i="30"/>
  <c r="L72" i="30"/>
  <c r="L73" i="30"/>
  <c r="L74" i="30"/>
  <c r="L75" i="30"/>
  <c r="L76" i="30"/>
  <c r="L77" i="30"/>
  <c r="L78" i="30"/>
  <c r="L79" i="30"/>
  <c r="L80" i="30"/>
  <c r="L81" i="30"/>
  <c r="L82" i="30"/>
  <c r="L83" i="30"/>
  <c r="L84" i="30"/>
  <c r="L85" i="30"/>
  <c r="L86" i="30"/>
  <c r="L87" i="30"/>
  <c r="L88" i="30"/>
  <c r="L89" i="30"/>
  <c r="L90" i="30"/>
  <c r="L91" i="30"/>
  <c r="L92" i="30"/>
  <c r="L93" i="30"/>
  <c r="L94" i="30"/>
  <c r="L95" i="30"/>
  <c r="L96" i="30"/>
  <c r="L97" i="30"/>
  <c r="L98" i="30"/>
  <c r="L99" i="30"/>
  <c r="L100" i="30"/>
  <c r="L101" i="30"/>
  <c r="L102" i="30"/>
  <c r="L103" i="30"/>
  <c r="L104" i="30"/>
  <c r="L105" i="30"/>
  <c r="L106" i="30"/>
  <c r="L107" i="30"/>
  <c r="L108" i="30"/>
  <c r="L109" i="30"/>
  <c r="K110" i="28"/>
  <c r="K111" i="28"/>
  <c r="K112" i="28"/>
  <c r="K113" i="28"/>
  <c r="K114" i="28"/>
  <c r="K115" i="28"/>
  <c r="S82" i="69"/>
  <c r="T82" i="69"/>
  <c r="U82" i="69"/>
  <c r="V82" i="69"/>
  <c r="W82" i="69"/>
  <c r="X82" i="69"/>
  <c r="Y82" i="69"/>
  <c r="Z82" i="69"/>
  <c r="Y81" i="69"/>
  <c r="AA82" i="69" s="1"/>
  <c r="Z81" i="69" l="1"/>
  <c r="AA81" i="69" s="1"/>
  <c r="J118" i="36"/>
  <c r="R118" i="36" s="1"/>
  <c r="L118" i="77"/>
  <c r="J118" i="32"/>
  <c r="R118" i="32" s="1"/>
  <c r="J117" i="32"/>
  <c r="R117" i="32" s="1"/>
  <c r="L117" i="77"/>
  <c r="J117" i="36"/>
  <c r="R117" i="36" s="1"/>
  <c r="L116" i="77"/>
  <c r="J116" i="32"/>
  <c r="R116" i="32" s="1"/>
  <c r="J116" i="36"/>
  <c r="R116" i="36" s="1"/>
  <c r="AK119" i="67"/>
  <c r="AK121" i="67"/>
  <c r="AK120" i="67"/>
  <c r="P195" i="65"/>
  <c r="AI121" i="67" s="1"/>
  <c r="J119" i="32" l="1"/>
  <c r="R119" i="32" s="1"/>
  <c r="L119" i="77"/>
  <c r="J119" i="36"/>
  <c r="R119" i="36" s="1"/>
  <c r="L120" i="77"/>
  <c r="J120" i="32"/>
  <c r="R120" i="32" s="1"/>
  <c r="J120" i="36"/>
  <c r="R120" i="36" s="1"/>
  <c r="J121" i="36"/>
  <c r="R121" i="36" s="1"/>
  <c r="L121" i="77"/>
  <c r="J121" i="32"/>
  <c r="R121" i="32" s="1"/>
  <c r="I116" i="69"/>
  <c r="I101" i="69"/>
  <c r="AE34" i="68"/>
  <c r="S4" i="68"/>
  <c r="Y4" i="68" s="1"/>
  <c r="T4" i="68"/>
  <c r="Z4" i="68" s="1"/>
  <c r="S5" i="68"/>
  <c r="T5" i="68"/>
  <c r="S6" i="68"/>
  <c r="T6" i="68"/>
  <c r="S7" i="68"/>
  <c r="T7" i="68"/>
  <c r="S8" i="68"/>
  <c r="T8" i="68"/>
  <c r="S9" i="68"/>
  <c r="T9" i="68"/>
  <c r="S10" i="68"/>
  <c r="T10" i="68"/>
  <c r="S11" i="68"/>
  <c r="T11" i="68"/>
  <c r="S12" i="68"/>
  <c r="T12" i="68"/>
  <c r="S13" i="68"/>
  <c r="T13" i="68"/>
  <c r="S14" i="68"/>
  <c r="T14" i="68"/>
  <c r="S15" i="68"/>
  <c r="T15" i="68"/>
  <c r="S16" i="68"/>
  <c r="T16" i="68"/>
  <c r="S17" i="68"/>
  <c r="T17" i="68"/>
  <c r="S18" i="68"/>
  <c r="T18" i="68"/>
  <c r="S19" i="68"/>
  <c r="T19" i="68"/>
  <c r="S20" i="68"/>
  <c r="T20" i="68"/>
  <c r="S21" i="68"/>
  <c r="T21" i="68"/>
  <c r="S22" i="68"/>
  <c r="T22" i="68"/>
  <c r="S23" i="68"/>
  <c r="T23" i="68"/>
  <c r="S24" i="68"/>
  <c r="T24" i="68"/>
  <c r="S25" i="68"/>
  <c r="T25" i="68"/>
  <c r="S26" i="68"/>
  <c r="T26" i="68"/>
  <c r="S27" i="68"/>
  <c r="T27" i="68"/>
  <c r="S28" i="68"/>
  <c r="T28" i="68"/>
  <c r="S29" i="68"/>
  <c r="T29" i="68"/>
  <c r="S30" i="68"/>
  <c r="T30" i="68"/>
  <c r="S31" i="68"/>
  <c r="T31" i="68"/>
  <c r="S32" i="68"/>
  <c r="T32" i="68"/>
  <c r="S33" i="68"/>
  <c r="T33" i="68"/>
  <c r="S34" i="68"/>
  <c r="T34" i="68"/>
  <c r="S35" i="68"/>
  <c r="T35" i="68"/>
  <c r="S36" i="68"/>
  <c r="T36" i="68"/>
  <c r="S37" i="68"/>
  <c r="T37" i="68"/>
  <c r="S38" i="68"/>
  <c r="T38" i="68"/>
  <c r="S39" i="68"/>
  <c r="T39" i="68"/>
  <c r="S40" i="68"/>
  <c r="T40" i="68"/>
  <c r="S41" i="68"/>
  <c r="T41" i="68"/>
  <c r="S42" i="68"/>
  <c r="T42" i="68"/>
  <c r="S43" i="68"/>
  <c r="T43" i="68"/>
  <c r="S44" i="68"/>
  <c r="T44" i="68"/>
  <c r="S45" i="68"/>
  <c r="T45" i="68"/>
  <c r="S46" i="68"/>
  <c r="T46" i="68"/>
  <c r="S47" i="68"/>
  <c r="T47" i="68"/>
  <c r="S48" i="68"/>
  <c r="T48" i="68"/>
  <c r="S49" i="68"/>
  <c r="T49" i="68"/>
  <c r="S50" i="68"/>
  <c r="T50" i="68"/>
  <c r="S51" i="68"/>
  <c r="T51" i="68"/>
  <c r="S52" i="68"/>
  <c r="T52" i="68"/>
  <c r="S53" i="68"/>
  <c r="T53" i="68"/>
  <c r="S54" i="68"/>
  <c r="T54" i="68"/>
  <c r="S55" i="68"/>
  <c r="T55" i="68"/>
  <c r="S56" i="68"/>
  <c r="T56" i="68"/>
  <c r="S57" i="68"/>
  <c r="T57" i="68"/>
  <c r="S58" i="68"/>
  <c r="T58" i="68"/>
  <c r="S59" i="68"/>
  <c r="T59" i="68"/>
  <c r="S60" i="68"/>
  <c r="T60" i="68"/>
  <c r="S61" i="68"/>
  <c r="T61" i="68"/>
  <c r="S62" i="68"/>
  <c r="T62" i="68"/>
  <c r="S63" i="68"/>
  <c r="T63" i="68"/>
  <c r="S64" i="68"/>
  <c r="T64" i="68"/>
  <c r="S65" i="68"/>
  <c r="T65" i="68"/>
  <c r="S66" i="68"/>
  <c r="T66" i="68"/>
  <c r="S67" i="68"/>
  <c r="T67" i="68"/>
  <c r="S68" i="68"/>
  <c r="T68" i="68"/>
  <c r="S69" i="68"/>
  <c r="T69" i="68"/>
  <c r="S70" i="68"/>
  <c r="T70" i="68"/>
  <c r="S71" i="68"/>
  <c r="T71" i="68"/>
  <c r="S72" i="68"/>
  <c r="T72" i="68"/>
  <c r="S73" i="68"/>
  <c r="T73" i="68"/>
  <c r="S74" i="68"/>
  <c r="T74" i="68"/>
  <c r="S75" i="68"/>
  <c r="T75" i="68"/>
  <c r="S76" i="68"/>
  <c r="T76" i="68"/>
  <c r="S77" i="68"/>
  <c r="T77" i="68"/>
  <c r="S78" i="68"/>
  <c r="T78" i="68"/>
  <c r="S79" i="68"/>
  <c r="T79" i="68"/>
  <c r="S80" i="68"/>
  <c r="T80" i="68"/>
  <c r="S81" i="68"/>
  <c r="T81" i="68"/>
  <c r="S82" i="68"/>
  <c r="T82" i="68"/>
  <c r="S83" i="68"/>
  <c r="T83" i="68"/>
  <c r="S84" i="68"/>
  <c r="T84" i="68"/>
  <c r="S85" i="68"/>
  <c r="T85" i="68"/>
  <c r="S86" i="68"/>
  <c r="T86" i="68"/>
  <c r="S87" i="68"/>
  <c r="T87" i="68"/>
  <c r="S88" i="68"/>
  <c r="T88" i="68"/>
  <c r="S89" i="68"/>
  <c r="T89" i="68"/>
  <c r="S90" i="68"/>
  <c r="T90" i="68"/>
  <c r="S91" i="68"/>
  <c r="T91" i="68"/>
  <c r="S92" i="68"/>
  <c r="T92" i="68"/>
  <c r="S93" i="68"/>
  <c r="T93" i="68"/>
  <c r="R4" i="68"/>
  <c r="X4" i="68" s="1"/>
  <c r="R5" i="68"/>
  <c r="R6" i="68"/>
  <c r="R7" i="68"/>
  <c r="R8" i="68"/>
  <c r="R9" i="68"/>
  <c r="R10" i="68"/>
  <c r="R11" i="68"/>
  <c r="R12" i="68"/>
  <c r="R13" i="68"/>
  <c r="R14" i="68"/>
  <c r="R15" i="68"/>
  <c r="R16" i="68"/>
  <c r="R17" i="68"/>
  <c r="R18" i="68"/>
  <c r="R19" i="68"/>
  <c r="R20" i="68"/>
  <c r="R21" i="68"/>
  <c r="R22" i="68"/>
  <c r="R23" i="68"/>
  <c r="R24" i="68"/>
  <c r="R25" i="68"/>
  <c r="R26" i="68"/>
  <c r="R27" i="68"/>
  <c r="R28" i="68"/>
  <c r="R29" i="68"/>
  <c r="R30" i="68"/>
  <c r="R31" i="68"/>
  <c r="R32" i="68"/>
  <c r="R33" i="68"/>
  <c r="R34" i="68"/>
  <c r="R35" i="68"/>
  <c r="R36" i="68"/>
  <c r="R37" i="68"/>
  <c r="R38" i="68"/>
  <c r="R39" i="68"/>
  <c r="R40" i="68"/>
  <c r="R41" i="68"/>
  <c r="R42" i="68"/>
  <c r="R43" i="68"/>
  <c r="R44" i="68"/>
  <c r="R45" i="68"/>
  <c r="R46" i="68"/>
  <c r="R47" i="68"/>
  <c r="R48" i="68"/>
  <c r="R49" i="68"/>
  <c r="R50" i="68"/>
  <c r="R51" i="68"/>
  <c r="R52" i="68"/>
  <c r="R53" i="68"/>
  <c r="R54" i="68"/>
  <c r="R55" i="68"/>
  <c r="R56" i="68"/>
  <c r="R57" i="68"/>
  <c r="R58" i="68"/>
  <c r="R59" i="68"/>
  <c r="R60" i="68"/>
  <c r="R61" i="68"/>
  <c r="R62" i="68"/>
  <c r="R63" i="68"/>
  <c r="R64" i="68"/>
  <c r="R65" i="68"/>
  <c r="R66" i="68"/>
  <c r="R67" i="68"/>
  <c r="R68" i="68"/>
  <c r="R69" i="68"/>
  <c r="R70" i="68"/>
  <c r="R71" i="68"/>
  <c r="R72" i="68"/>
  <c r="R73" i="68"/>
  <c r="R74" i="68"/>
  <c r="R75" i="68"/>
  <c r="R76" i="68"/>
  <c r="R77" i="68"/>
  <c r="R78" i="68"/>
  <c r="R79" i="68"/>
  <c r="R80" i="68"/>
  <c r="R81" i="68"/>
  <c r="R82" i="68"/>
  <c r="R83" i="68"/>
  <c r="R84" i="68"/>
  <c r="R85" i="68"/>
  <c r="R86" i="68"/>
  <c r="R87" i="68"/>
  <c r="R88" i="68"/>
  <c r="R89" i="68"/>
  <c r="R90" i="68"/>
  <c r="R91" i="68"/>
  <c r="R92" i="68"/>
  <c r="R93" i="68"/>
  <c r="P4" i="68"/>
  <c r="V4" i="68" s="1"/>
  <c r="Q4" i="68"/>
  <c r="W4" i="68" s="1"/>
  <c r="P5" i="68"/>
  <c r="Q5" i="68"/>
  <c r="P6" i="68"/>
  <c r="Q6" i="68"/>
  <c r="P7" i="68"/>
  <c r="Q7" i="68"/>
  <c r="P8" i="68"/>
  <c r="Q8" i="68"/>
  <c r="P9" i="68"/>
  <c r="Q9" i="68"/>
  <c r="P10" i="68"/>
  <c r="Q10" i="68"/>
  <c r="P11" i="68"/>
  <c r="Q11" i="68"/>
  <c r="P12" i="68"/>
  <c r="Q12" i="68"/>
  <c r="P13" i="68"/>
  <c r="Q13" i="68"/>
  <c r="P14" i="68"/>
  <c r="Q14" i="68"/>
  <c r="P15" i="68"/>
  <c r="Q15" i="68"/>
  <c r="P16" i="68"/>
  <c r="Q16" i="68"/>
  <c r="P17" i="68"/>
  <c r="Q17" i="68"/>
  <c r="P18" i="68"/>
  <c r="Q18" i="68"/>
  <c r="P19" i="68"/>
  <c r="Q19" i="68"/>
  <c r="P20" i="68"/>
  <c r="Q20" i="68"/>
  <c r="P21" i="68"/>
  <c r="Q21" i="68"/>
  <c r="P22" i="68"/>
  <c r="Q22" i="68"/>
  <c r="P23" i="68"/>
  <c r="Q23" i="68"/>
  <c r="P24" i="68"/>
  <c r="Q24" i="68"/>
  <c r="P25" i="68"/>
  <c r="Q25" i="68"/>
  <c r="P26" i="68"/>
  <c r="Q26" i="68"/>
  <c r="P27" i="68"/>
  <c r="Q27" i="68"/>
  <c r="P28" i="68"/>
  <c r="Q28" i="68"/>
  <c r="P29" i="68"/>
  <c r="Q29" i="68"/>
  <c r="P30" i="68"/>
  <c r="Q30" i="68"/>
  <c r="P31" i="68"/>
  <c r="Q31" i="68"/>
  <c r="P32" i="68"/>
  <c r="Q32" i="68"/>
  <c r="P33" i="68"/>
  <c r="Q33" i="68"/>
  <c r="P34" i="68"/>
  <c r="Q34" i="68"/>
  <c r="P35" i="68"/>
  <c r="Q35" i="68"/>
  <c r="P36" i="68"/>
  <c r="Q36" i="68"/>
  <c r="P37" i="68"/>
  <c r="Q37" i="68"/>
  <c r="P38" i="68"/>
  <c r="Q38" i="68"/>
  <c r="P39" i="68"/>
  <c r="Q39" i="68"/>
  <c r="P40" i="68"/>
  <c r="Q40" i="68"/>
  <c r="P41" i="68"/>
  <c r="Q41" i="68"/>
  <c r="P42" i="68"/>
  <c r="Q42" i="68"/>
  <c r="P43" i="68"/>
  <c r="Q43" i="68"/>
  <c r="P44" i="68"/>
  <c r="Q44" i="68"/>
  <c r="P45" i="68"/>
  <c r="Q45" i="68"/>
  <c r="P46" i="68"/>
  <c r="Q46" i="68"/>
  <c r="P47" i="68"/>
  <c r="Q47" i="68"/>
  <c r="P48" i="68"/>
  <c r="Q48" i="68"/>
  <c r="P49" i="68"/>
  <c r="Q49" i="68"/>
  <c r="P50" i="68"/>
  <c r="Q50" i="68"/>
  <c r="P51" i="68"/>
  <c r="Q51" i="68"/>
  <c r="P52" i="68"/>
  <c r="Q52" i="68"/>
  <c r="P53" i="68"/>
  <c r="Q53" i="68"/>
  <c r="P54" i="68"/>
  <c r="Q54" i="68"/>
  <c r="P55" i="68"/>
  <c r="Q55" i="68"/>
  <c r="P56" i="68"/>
  <c r="Q56" i="68"/>
  <c r="P57" i="68"/>
  <c r="Q57" i="68"/>
  <c r="P58" i="68"/>
  <c r="Q58" i="68"/>
  <c r="P59" i="68"/>
  <c r="Q59" i="68"/>
  <c r="P60" i="68"/>
  <c r="Q60" i="68"/>
  <c r="P61" i="68"/>
  <c r="Q61" i="68"/>
  <c r="P62" i="68"/>
  <c r="Q62" i="68"/>
  <c r="P63" i="68"/>
  <c r="Q63" i="68"/>
  <c r="P64" i="68"/>
  <c r="Q64" i="68"/>
  <c r="P65" i="68"/>
  <c r="Q65" i="68"/>
  <c r="P66" i="68"/>
  <c r="Q66" i="68"/>
  <c r="P67" i="68"/>
  <c r="Q67" i="68"/>
  <c r="P68" i="68"/>
  <c r="Q68" i="68"/>
  <c r="P69" i="68"/>
  <c r="Q69" i="68"/>
  <c r="P70" i="68"/>
  <c r="Q70" i="68"/>
  <c r="P71" i="68"/>
  <c r="Q71" i="68"/>
  <c r="P72" i="68"/>
  <c r="Q72" i="68"/>
  <c r="P73" i="68"/>
  <c r="Q73" i="68"/>
  <c r="P74" i="68"/>
  <c r="Q74" i="68"/>
  <c r="P75" i="68"/>
  <c r="Q75" i="68"/>
  <c r="P76" i="68"/>
  <c r="Q76" i="68"/>
  <c r="P77" i="68"/>
  <c r="Q77" i="68"/>
  <c r="P78" i="68"/>
  <c r="Q78" i="68"/>
  <c r="P79" i="68"/>
  <c r="Q79" i="68"/>
  <c r="P80" i="68"/>
  <c r="Q80" i="68"/>
  <c r="P81" i="68"/>
  <c r="Q81" i="68"/>
  <c r="P82" i="68"/>
  <c r="Q82" i="68"/>
  <c r="P83" i="68"/>
  <c r="Q83" i="68"/>
  <c r="P84" i="68"/>
  <c r="Q84" i="68"/>
  <c r="P85" i="68"/>
  <c r="Q85" i="68"/>
  <c r="P86" i="68"/>
  <c r="Q86" i="68"/>
  <c r="P87" i="68"/>
  <c r="Q87" i="68"/>
  <c r="P88" i="68"/>
  <c r="Q88" i="68"/>
  <c r="P89" i="68"/>
  <c r="Q89" i="68"/>
  <c r="P90" i="68"/>
  <c r="Q90" i="68"/>
  <c r="P91" i="68"/>
  <c r="Q91" i="68"/>
  <c r="P92" i="68"/>
  <c r="Q92" i="68"/>
  <c r="P93" i="68"/>
  <c r="Q93" i="68"/>
  <c r="O5" i="68"/>
  <c r="O6" i="68"/>
  <c r="O7" i="68"/>
  <c r="O8" i="68"/>
  <c r="O9" i="68"/>
  <c r="O10" i="68"/>
  <c r="O11" i="68"/>
  <c r="O12" i="68"/>
  <c r="O13" i="68"/>
  <c r="O14" i="68"/>
  <c r="O15" i="68"/>
  <c r="O16" i="68"/>
  <c r="O17" i="68"/>
  <c r="O18" i="68"/>
  <c r="O19" i="68"/>
  <c r="O20" i="68"/>
  <c r="O21" i="68"/>
  <c r="O22" i="68"/>
  <c r="O23" i="68"/>
  <c r="O24" i="68"/>
  <c r="O25" i="68"/>
  <c r="O26" i="68"/>
  <c r="O27" i="68"/>
  <c r="O28" i="68"/>
  <c r="O29" i="68"/>
  <c r="O30" i="68"/>
  <c r="O31" i="68"/>
  <c r="O32" i="68"/>
  <c r="O33" i="68"/>
  <c r="O34" i="68"/>
  <c r="O35" i="68"/>
  <c r="O36" i="68"/>
  <c r="O37" i="68"/>
  <c r="O38" i="68"/>
  <c r="O39" i="68"/>
  <c r="O40" i="68"/>
  <c r="O41" i="68"/>
  <c r="O42" i="68"/>
  <c r="O43" i="68"/>
  <c r="O44" i="68"/>
  <c r="O45" i="68"/>
  <c r="O46" i="68"/>
  <c r="O47" i="68"/>
  <c r="O48" i="68"/>
  <c r="O49" i="68"/>
  <c r="O50" i="68"/>
  <c r="O51" i="68"/>
  <c r="O52" i="68"/>
  <c r="O53" i="68"/>
  <c r="O54" i="68"/>
  <c r="O55" i="68"/>
  <c r="O56" i="68"/>
  <c r="O57" i="68"/>
  <c r="O58" i="68"/>
  <c r="O59" i="68"/>
  <c r="O60" i="68"/>
  <c r="O61" i="68"/>
  <c r="O62" i="68"/>
  <c r="O63" i="68"/>
  <c r="O64" i="68"/>
  <c r="O65" i="68"/>
  <c r="O66" i="68"/>
  <c r="O67" i="68"/>
  <c r="O68" i="68"/>
  <c r="O69" i="68"/>
  <c r="O70" i="68"/>
  <c r="O71" i="68"/>
  <c r="O72" i="68"/>
  <c r="O73" i="68"/>
  <c r="O74" i="68"/>
  <c r="O75" i="68"/>
  <c r="O76" i="68"/>
  <c r="O77" i="68"/>
  <c r="O78" i="68"/>
  <c r="O79" i="68"/>
  <c r="O80" i="68"/>
  <c r="O81" i="68"/>
  <c r="O82" i="68"/>
  <c r="O83" i="68"/>
  <c r="O84" i="68"/>
  <c r="O85" i="68"/>
  <c r="O86" i="68"/>
  <c r="O87" i="68"/>
  <c r="O88" i="68"/>
  <c r="O89" i="68"/>
  <c r="O90" i="68"/>
  <c r="O91" i="68"/>
  <c r="O92" i="68"/>
  <c r="O93" i="68"/>
  <c r="O4" i="68"/>
  <c r="U4" i="68" s="1"/>
  <c r="Z5" i="68" l="1"/>
  <c r="Z6" i="68" s="1"/>
  <c r="Z7" i="68" s="1"/>
  <c r="Z8" i="68" s="1"/>
  <c r="Z9" i="68" s="1"/>
  <c r="Z10" i="68" s="1"/>
  <c r="Z11" i="68" s="1"/>
  <c r="Z12" i="68" s="1"/>
  <c r="Z13" i="68" s="1"/>
  <c r="Z14" i="68" s="1"/>
  <c r="Z15" i="68" s="1"/>
  <c r="Z16" i="68" s="1"/>
  <c r="Z17" i="68" s="1"/>
  <c r="Z18" i="68" s="1"/>
  <c r="Z19" i="68" s="1"/>
  <c r="Z20" i="68" s="1"/>
  <c r="Z21" i="68" s="1"/>
  <c r="Z22" i="68" s="1"/>
  <c r="Z23" i="68" s="1"/>
  <c r="Z24" i="68" s="1"/>
  <c r="Z25" i="68" s="1"/>
  <c r="Z26" i="68" s="1"/>
  <c r="Z27" i="68" s="1"/>
  <c r="Z28" i="68" s="1"/>
  <c r="Z29" i="68" s="1"/>
  <c r="Z30" i="68" s="1"/>
  <c r="Z31" i="68" s="1"/>
  <c r="Z32" i="68" s="1"/>
  <c r="Z33" i="68" s="1"/>
  <c r="Z34" i="68" s="1"/>
  <c r="Z35" i="68" s="1"/>
  <c r="Z36" i="68" s="1"/>
  <c r="Z37" i="68" s="1"/>
  <c r="Z38" i="68" s="1"/>
  <c r="Z39" i="68" s="1"/>
  <c r="Z40" i="68" s="1"/>
  <c r="Z41" i="68" s="1"/>
  <c r="Z42" i="68" s="1"/>
  <c r="Z43" i="68" s="1"/>
  <c r="Z44" i="68" s="1"/>
  <c r="Z45" i="68" s="1"/>
  <c r="Z46" i="68" s="1"/>
  <c r="Z47" i="68" s="1"/>
  <c r="Z48" i="68" s="1"/>
  <c r="Z49" i="68" s="1"/>
  <c r="Z50" i="68" s="1"/>
  <c r="Z51" i="68" s="1"/>
  <c r="Z52" i="68" s="1"/>
  <c r="Z53" i="68" s="1"/>
  <c r="Z54" i="68" s="1"/>
  <c r="Z55" i="68" s="1"/>
  <c r="Z56" i="68" s="1"/>
  <c r="Z57" i="68" s="1"/>
  <c r="Z58" i="68" s="1"/>
  <c r="Z59" i="68" s="1"/>
  <c r="Z60" i="68" s="1"/>
  <c r="Z61" i="68" s="1"/>
  <c r="Z62" i="68" s="1"/>
  <c r="Z63" i="68" s="1"/>
  <c r="Z64" i="68" s="1"/>
  <c r="Z65" i="68" s="1"/>
  <c r="Z66" i="68" s="1"/>
  <c r="Z67" i="68" s="1"/>
  <c r="Z68" i="68" s="1"/>
  <c r="Z69" i="68" s="1"/>
  <c r="Z70" i="68" s="1"/>
  <c r="Z71" i="68" s="1"/>
  <c r="Z72" i="68" s="1"/>
  <c r="Z73" i="68" s="1"/>
  <c r="Z74" i="68" s="1"/>
  <c r="Z75" i="68" s="1"/>
  <c r="Z76" i="68" s="1"/>
  <c r="Z77" i="68" s="1"/>
  <c r="Z78" i="68" s="1"/>
  <c r="Z79" i="68" s="1"/>
  <c r="Z80" i="68" s="1"/>
  <c r="Z81" i="68" s="1"/>
  <c r="Z82" i="68" s="1"/>
  <c r="Z83" i="68" s="1"/>
  <c r="Z84" i="68" s="1"/>
  <c r="Z85" i="68" s="1"/>
  <c r="Z86" i="68" s="1"/>
  <c r="Z87" i="68" s="1"/>
  <c r="Z88" i="68" s="1"/>
  <c r="Z89" i="68" s="1"/>
  <c r="Z90" i="68" s="1"/>
  <c r="Z91" i="68" s="1"/>
  <c r="Z92" i="68" s="1"/>
  <c r="Z93" i="68" s="1"/>
  <c r="Z94" i="68" s="1"/>
  <c r="Z95" i="68" s="1"/>
  <c r="Z96" i="68" s="1"/>
  <c r="Z97" i="68" s="1"/>
  <c r="Z98" i="68" s="1"/>
  <c r="Z99" i="68" s="1"/>
  <c r="U5" i="68"/>
  <c r="U6" i="68" s="1"/>
  <c r="U7" i="68" s="1"/>
  <c r="U8" i="68" s="1"/>
  <c r="U9" i="68" s="1"/>
  <c r="U10" i="68" s="1"/>
  <c r="U11" i="68" s="1"/>
  <c r="U12" i="68" s="1"/>
  <c r="U13" i="68" s="1"/>
  <c r="U14" i="68" s="1"/>
  <c r="U15" i="68" s="1"/>
  <c r="U16" i="68" s="1"/>
  <c r="U17" i="68" s="1"/>
  <c r="U18" i="68" s="1"/>
  <c r="U19" i="68" s="1"/>
  <c r="U20" i="68" s="1"/>
  <c r="U21" i="68" s="1"/>
  <c r="U22" i="68" s="1"/>
  <c r="U23" i="68" s="1"/>
  <c r="U24" i="68" s="1"/>
  <c r="U25" i="68" s="1"/>
  <c r="U26" i="68" s="1"/>
  <c r="U27" i="68" s="1"/>
  <c r="U28" i="68" s="1"/>
  <c r="U29" i="68" s="1"/>
  <c r="U30" i="68" s="1"/>
  <c r="U31" i="68" s="1"/>
  <c r="U32" i="68" s="1"/>
  <c r="U33" i="68" s="1"/>
  <c r="U34" i="68" s="1"/>
  <c r="U35" i="68" s="1"/>
  <c r="U36" i="68" s="1"/>
  <c r="U37" i="68" s="1"/>
  <c r="U38" i="68" s="1"/>
  <c r="U39" i="68" s="1"/>
  <c r="U40" i="68" s="1"/>
  <c r="U41" i="68" s="1"/>
  <c r="U42" i="68" s="1"/>
  <c r="U43" i="68" s="1"/>
  <c r="U44" i="68" s="1"/>
  <c r="U45" i="68" s="1"/>
  <c r="U46" i="68" s="1"/>
  <c r="U47" i="68" s="1"/>
  <c r="U48" i="68" s="1"/>
  <c r="U49" i="68" s="1"/>
  <c r="U50" i="68" s="1"/>
  <c r="U51" i="68" s="1"/>
  <c r="U52" i="68" s="1"/>
  <c r="U53" i="68" s="1"/>
  <c r="U54" i="68" s="1"/>
  <c r="U55" i="68" s="1"/>
  <c r="U56" i="68" s="1"/>
  <c r="U57" i="68" s="1"/>
  <c r="U58" i="68" s="1"/>
  <c r="U59" i="68" s="1"/>
  <c r="U60" i="68" s="1"/>
  <c r="U61" i="68" s="1"/>
  <c r="U62" i="68" s="1"/>
  <c r="U63" i="68" s="1"/>
  <c r="U64" i="68" s="1"/>
  <c r="U65" i="68" s="1"/>
  <c r="U66" i="68" s="1"/>
  <c r="U67" i="68" s="1"/>
  <c r="U68" i="68" s="1"/>
  <c r="U69" i="68" s="1"/>
  <c r="U70" i="68" s="1"/>
  <c r="U71" i="68" s="1"/>
  <c r="U72" i="68" s="1"/>
  <c r="U73" i="68" s="1"/>
  <c r="U74" i="68" s="1"/>
  <c r="U75" i="68" s="1"/>
  <c r="U76" i="68" s="1"/>
  <c r="U77" i="68" s="1"/>
  <c r="U78" i="68" s="1"/>
  <c r="U79" i="68" s="1"/>
  <c r="U80" i="68" s="1"/>
  <c r="U81" i="68" s="1"/>
  <c r="U82" i="68" s="1"/>
  <c r="U83" i="68" s="1"/>
  <c r="U84" i="68" s="1"/>
  <c r="U85" i="68" s="1"/>
  <c r="U86" i="68" s="1"/>
  <c r="U87" i="68" s="1"/>
  <c r="U88" i="68" s="1"/>
  <c r="U89" i="68" s="1"/>
  <c r="U90" i="68" s="1"/>
  <c r="U91" i="68" s="1"/>
  <c r="U92" i="68" s="1"/>
  <c r="U93" i="68" s="1"/>
  <c r="U94" i="68" s="1"/>
  <c r="U95" i="68" s="1"/>
  <c r="U96" i="68" s="1"/>
  <c r="U97" i="68" s="1"/>
  <c r="U98" i="68" s="1"/>
  <c r="U99" i="68" s="1"/>
  <c r="X5" i="68"/>
  <c r="X6" i="68" s="1"/>
  <c r="X7" i="68" s="1"/>
  <c r="X8" i="68" s="1"/>
  <c r="X9" i="68" s="1"/>
  <c r="X10" i="68" s="1"/>
  <c r="X11" i="68" s="1"/>
  <c r="X12" i="68" s="1"/>
  <c r="X13" i="68" s="1"/>
  <c r="X14" i="68" s="1"/>
  <c r="X15" i="68" s="1"/>
  <c r="X16" i="68" s="1"/>
  <c r="X17" i="68" s="1"/>
  <c r="X18" i="68" s="1"/>
  <c r="X19" i="68" s="1"/>
  <c r="X20" i="68" s="1"/>
  <c r="X21" i="68" s="1"/>
  <c r="X22" i="68" s="1"/>
  <c r="X23" i="68" s="1"/>
  <c r="X24" i="68" s="1"/>
  <c r="X25" i="68" s="1"/>
  <c r="X26" i="68" s="1"/>
  <c r="X27" i="68" s="1"/>
  <c r="X28" i="68" s="1"/>
  <c r="X29" i="68" s="1"/>
  <c r="X30" i="68" s="1"/>
  <c r="X31" i="68" s="1"/>
  <c r="X32" i="68" s="1"/>
  <c r="X33" i="68" s="1"/>
  <c r="X34" i="68" s="1"/>
  <c r="X35" i="68" s="1"/>
  <c r="X36" i="68" s="1"/>
  <c r="X37" i="68" s="1"/>
  <c r="X38" i="68" s="1"/>
  <c r="X39" i="68" s="1"/>
  <c r="X40" i="68" s="1"/>
  <c r="X41" i="68" s="1"/>
  <c r="X42" i="68" s="1"/>
  <c r="X43" i="68" s="1"/>
  <c r="X44" i="68" s="1"/>
  <c r="X45" i="68" s="1"/>
  <c r="X46" i="68" s="1"/>
  <c r="X47" i="68" s="1"/>
  <c r="X48" i="68" s="1"/>
  <c r="X49" i="68" s="1"/>
  <c r="X50" i="68" s="1"/>
  <c r="X51" i="68" s="1"/>
  <c r="X52" i="68" s="1"/>
  <c r="X53" i="68" s="1"/>
  <c r="X54" i="68" s="1"/>
  <c r="X55" i="68" s="1"/>
  <c r="X56" i="68" s="1"/>
  <c r="X57" i="68" s="1"/>
  <c r="X58" i="68" s="1"/>
  <c r="X59" i="68" s="1"/>
  <c r="X60" i="68" s="1"/>
  <c r="X61" i="68" s="1"/>
  <c r="X62" i="68" s="1"/>
  <c r="X63" i="68" s="1"/>
  <c r="X64" i="68" s="1"/>
  <c r="X65" i="68" s="1"/>
  <c r="X66" i="68" s="1"/>
  <c r="X67" i="68" s="1"/>
  <c r="X68" i="68" s="1"/>
  <c r="X69" i="68" s="1"/>
  <c r="X70" i="68" s="1"/>
  <c r="X71" i="68" s="1"/>
  <c r="X72" i="68" s="1"/>
  <c r="X73" i="68" s="1"/>
  <c r="X74" i="68" s="1"/>
  <c r="X75" i="68" s="1"/>
  <c r="X76" i="68" s="1"/>
  <c r="X77" i="68" s="1"/>
  <c r="X78" i="68" s="1"/>
  <c r="X79" i="68" s="1"/>
  <c r="X80" i="68" s="1"/>
  <c r="X81" i="68" s="1"/>
  <c r="X82" i="68" s="1"/>
  <c r="X83" i="68" s="1"/>
  <c r="X84" i="68" s="1"/>
  <c r="X85" i="68" s="1"/>
  <c r="X86" i="68" s="1"/>
  <c r="X87" i="68" s="1"/>
  <c r="X88" i="68" s="1"/>
  <c r="X89" i="68" s="1"/>
  <c r="X90" i="68" s="1"/>
  <c r="X91" i="68" s="1"/>
  <c r="X92" i="68" s="1"/>
  <c r="X93" i="68" s="1"/>
  <c r="X94" i="68" s="1"/>
  <c r="X95" i="68" s="1"/>
  <c r="X96" i="68" s="1"/>
  <c r="X97" i="68" s="1"/>
  <c r="X98" i="68" s="1"/>
  <c r="X99" i="68" s="1"/>
  <c r="Y5" i="68"/>
  <c r="Y6" i="68" s="1"/>
  <c r="Y7" i="68" s="1"/>
  <c r="Y8" i="68" s="1"/>
  <c r="Y9" i="68" s="1"/>
  <c r="Y10" i="68" s="1"/>
  <c r="Y11" i="68" s="1"/>
  <c r="Y12" i="68" s="1"/>
  <c r="Y13" i="68" s="1"/>
  <c r="Y14" i="68" s="1"/>
  <c r="Y15" i="68" s="1"/>
  <c r="Y16" i="68" s="1"/>
  <c r="Y17" i="68" s="1"/>
  <c r="Y18" i="68" s="1"/>
  <c r="Y19" i="68" s="1"/>
  <c r="Y20" i="68" s="1"/>
  <c r="Y21" i="68" s="1"/>
  <c r="Y22" i="68" s="1"/>
  <c r="Y23" i="68" s="1"/>
  <c r="Y24" i="68" s="1"/>
  <c r="Y25" i="68" s="1"/>
  <c r="Y26" i="68" s="1"/>
  <c r="Y27" i="68" s="1"/>
  <c r="Y28" i="68" s="1"/>
  <c r="Y29" i="68" s="1"/>
  <c r="Y30" i="68" s="1"/>
  <c r="Y31" i="68" s="1"/>
  <c r="Y32" i="68" s="1"/>
  <c r="Y33" i="68" s="1"/>
  <c r="Y34" i="68" s="1"/>
  <c r="Y35" i="68" s="1"/>
  <c r="Y36" i="68" s="1"/>
  <c r="Y37" i="68" s="1"/>
  <c r="Y38" i="68" s="1"/>
  <c r="Y39" i="68" s="1"/>
  <c r="Y40" i="68" s="1"/>
  <c r="Y41" i="68" s="1"/>
  <c r="Y42" i="68" s="1"/>
  <c r="Y43" i="68" s="1"/>
  <c r="Y44" i="68" s="1"/>
  <c r="Y45" i="68" s="1"/>
  <c r="Y46" i="68" s="1"/>
  <c r="Y47" i="68" s="1"/>
  <c r="Y48" i="68" s="1"/>
  <c r="Y49" i="68" s="1"/>
  <c r="Y50" i="68" s="1"/>
  <c r="Y51" i="68" s="1"/>
  <c r="Y52" i="68" s="1"/>
  <c r="Y53" i="68" s="1"/>
  <c r="Y54" i="68" s="1"/>
  <c r="Y55" i="68" s="1"/>
  <c r="Y56" i="68" s="1"/>
  <c r="Y57" i="68" s="1"/>
  <c r="Y58" i="68" s="1"/>
  <c r="Y59" i="68" s="1"/>
  <c r="Y60" i="68" s="1"/>
  <c r="Y61" i="68" s="1"/>
  <c r="Y62" i="68" s="1"/>
  <c r="Y63" i="68" s="1"/>
  <c r="Y64" i="68" s="1"/>
  <c r="Y65" i="68" s="1"/>
  <c r="Y66" i="68" s="1"/>
  <c r="Y67" i="68" s="1"/>
  <c r="Y68" i="68" s="1"/>
  <c r="Y69" i="68" s="1"/>
  <c r="Y70" i="68" s="1"/>
  <c r="Y71" i="68" s="1"/>
  <c r="Y72" i="68" s="1"/>
  <c r="Y73" i="68" s="1"/>
  <c r="Y74" i="68" s="1"/>
  <c r="Y75" i="68" s="1"/>
  <c r="Y76" i="68" s="1"/>
  <c r="Y77" i="68" s="1"/>
  <c r="Y78" i="68" s="1"/>
  <c r="Y79" i="68" s="1"/>
  <c r="Y80" i="68" s="1"/>
  <c r="Y81" i="68" s="1"/>
  <c r="Y82" i="68" s="1"/>
  <c r="Y83" i="68" s="1"/>
  <c r="Y84" i="68" s="1"/>
  <c r="Y85" i="68" s="1"/>
  <c r="Y86" i="68" s="1"/>
  <c r="Y87" i="68" s="1"/>
  <c r="Y88" i="68" s="1"/>
  <c r="Y89" i="68" s="1"/>
  <c r="Y90" i="68" s="1"/>
  <c r="Y91" i="68" s="1"/>
  <c r="Y92" i="68" s="1"/>
  <c r="Y93" i="68" s="1"/>
  <c r="Y94" i="68" s="1"/>
  <c r="Y95" i="68" s="1"/>
  <c r="Y96" i="68" s="1"/>
  <c r="Y97" i="68" s="1"/>
  <c r="Y98" i="68" s="1"/>
  <c r="Y99" i="68" s="1"/>
  <c r="W5" i="68"/>
  <c r="W6" i="68" s="1"/>
  <c r="W7" i="68" s="1"/>
  <c r="W8" i="68" s="1"/>
  <c r="W9" i="68" s="1"/>
  <c r="W10" i="68" s="1"/>
  <c r="W11" i="68" s="1"/>
  <c r="W12" i="68" s="1"/>
  <c r="W13" i="68" s="1"/>
  <c r="W14" i="68" s="1"/>
  <c r="W15" i="68" s="1"/>
  <c r="W16" i="68" s="1"/>
  <c r="W17" i="68" s="1"/>
  <c r="W18" i="68" s="1"/>
  <c r="W19" i="68" s="1"/>
  <c r="W20" i="68" s="1"/>
  <c r="W21" i="68" s="1"/>
  <c r="W22" i="68" s="1"/>
  <c r="W23" i="68" s="1"/>
  <c r="W24" i="68" s="1"/>
  <c r="W25" i="68" s="1"/>
  <c r="W26" i="68" s="1"/>
  <c r="W27" i="68" s="1"/>
  <c r="W28" i="68" s="1"/>
  <c r="W29" i="68" s="1"/>
  <c r="W30" i="68" s="1"/>
  <c r="W31" i="68" s="1"/>
  <c r="W32" i="68" s="1"/>
  <c r="W33" i="68" s="1"/>
  <c r="W34" i="68" s="1"/>
  <c r="W35" i="68" s="1"/>
  <c r="W36" i="68" s="1"/>
  <c r="W37" i="68" s="1"/>
  <c r="W38" i="68" s="1"/>
  <c r="W39" i="68" s="1"/>
  <c r="W40" i="68" s="1"/>
  <c r="W41" i="68" s="1"/>
  <c r="W42" i="68" s="1"/>
  <c r="W43" i="68" s="1"/>
  <c r="W44" i="68" s="1"/>
  <c r="W45" i="68" s="1"/>
  <c r="W46" i="68" s="1"/>
  <c r="W47" i="68" s="1"/>
  <c r="W48" i="68" s="1"/>
  <c r="W49" i="68" s="1"/>
  <c r="W50" i="68" s="1"/>
  <c r="W51" i="68" s="1"/>
  <c r="W52" i="68" s="1"/>
  <c r="W53" i="68" s="1"/>
  <c r="W54" i="68" s="1"/>
  <c r="W55" i="68" s="1"/>
  <c r="W56" i="68" s="1"/>
  <c r="W57" i="68" s="1"/>
  <c r="W58" i="68" s="1"/>
  <c r="W59" i="68" s="1"/>
  <c r="W60" i="68" s="1"/>
  <c r="W61" i="68" s="1"/>
  <c r="W62" i="68" s="1"/>
  <c r="W63" i="68" s="1"/>
  <c r="W64" i="68" s="1"/>
  <c r="W65" i="68" s="1"/>
  <c r="W66" i="68" s="1"/>
  <c r="W67" i="68" s="1"/>
  <c r="W68" i="68" s="1"/>
  <c r="W69" i="68" s="1"/>
  <c r="W70" i="68" s="1"/>
  <c r="W71" i="68" s="1"/>
  <c r="W72" i="68" s="1"/>
  <c r="W73" i="68" s="1"/>
  <c r="W74" i="68" s="1"/>
  <c r="W75" i="68" s="1"/>
  <c r="W76" i="68" s="1"/>
  <c r="W77" i="68" s="1"/>
  <c r="W78" i="68" s="1"/>
  <c r="W79" i="68" s="1"/>
  <c r="W80" i="68" s="1"/>
  <c r="W81" i="68" s="1"/>
  <c r="W82" i="68" s="1"/>
  <c r="W83" i="68" s="1"/>
  <c r="W84" i="68" s="1"/>
  <c r="W85" i="68" s="1"/>
  <c r="W86" i="68" s="1"/>
  <c r="W87" i="68" s="1"/>
  <c r="W88" i="68" s="1"/>
  <c r="W89" i="68" s="1"/>
  <c r="W90" i="68" s="1"/>
  <c r="W91" i="68" s="1"/>
  <c r="W92" i="68" s="1"/>
  <c r="W93" i="68" s="1"/>
  <c r="W94" i="68" s="1"/>
  <c r="W95" i="68" s="1"/>
  <c r="W96" i="68" s="1"/>
  <c r="W97" i="68" s="1"/>
  <c r="W98" i="68" s="1"/>
  <c r="W99" i="68" s="1"/>
  <c r="V5" i="68"/>
  <c r="V6" i="68" s="1"/>
  <c r="V7" i="68" s="1"/>
  <c r="V8" i="68" s="1"/>
  <c r="V9" i="68" s="1"/>
  <c r="V10" i="68" s="1"/>
  <c r="V11" i="68" s="1"/>
  <c r="V12" i="68" s="1"/>
  <c r="V13" i="68" s="1"/>
  <c r="V14" i="68" s="1"/>
  <c r="V15" i="68" s="1"/>
  <c r="V16" i="68" s="1"/>
  <c r="V17" i="68" s="1"/>
  <c r="V18" i="68" s="1"/>
  <c r="V19" i="68" s="1"/>
  <c r="V20" i="68" s="1"/>
  <c r="V21" i="68" s="1"/>
  <c r="V22" i="68" s="1"/>
  <c r="V23" i="68" s="1"/>
  <c r="V24" i="68" s="1"/>
  <c r="V25" i="68" s="1"/>
  <c r="V26" i="68" s="1"/>
  <c r="V27" i="68" s="1"/>
  <c r="V28" i="68" s="1"/>
  <c r="V29" i="68" s="1"/>
  <c r="V30" i="68" s="1"/>
  <c r="V31" i="68" s="1"/>
  <c r="V32" i="68" s="1"/>
  <c r="V33" i="68" s="1"/>
  <c r="V34" i="68" s="1"/>
  <c r="V35" i="68" s="1"/>
  <c r="V36" i="68" s="1"/>
  <c r="V37" i="68" s="1"/>
  <c r="V38" i="68" s="1"/>
  <c r="V39" i="68" s="1"/>
  <c r="V40" i="68" s="1"/>
  <c r="V41" i="68" s="1"/>
  <c r="V42" i="68" s="1"/>
  <c r="V43" i="68" s="1"/>
  <c r="V44" i="68" s="1"/>
  <c r="V45" i="68" s="1"/>
  <c r="V46" i="68" s="1"/>
  <c r="V47" i="68" s="1"/>
  <c r="V48" i="68" s="1"/>
  <c r="V49" i="68" s="1"/>
  <c r="V50" i="68" s="1"/>
  <c r="V51" i="68" s="1"/>
  <c r="V52" i="68" s="1"/>
  <c r="V53" i="68" s="1"/>
  <c r="V54" i="68" s="1"/>
  <c r="V55" i="68" s="1"/>
  <c r="V56" i="68" s="1"/>
  <c r="V57" i="68" s="1"/>
  <c r="V58" i="68" s="1"/>
  <c r="V59" i="68" s="1"/>
  <c r="V60" i="68" s="1"/>
  <c r="V61" i="68" s="1"/>
  <c r="V62" i="68" s="1"/>
  <c r="V63" i="68" s="1"/>
  <c r="V64" i="68" s="1"/>
  <c r="V65" i="68" s="1"/>
  <c r="V66" i="68" s="1"/>
  <c r="V67" i="68" s="1"/>
  <c r="V68" i="68" s="1"/>
  <c r="V69" i="68" s="1"/>
  <c r="V70" i="68" s="1"/>
  <c r="V71" i="68" s="1"/>
  <c r="V72" i="68" s="1"/>
  <c r="V73" i="68" s="1"/>
  <c r="V74" i="68" s="1"/>
  <c r="V75" i="68" s="1"/>
  <c r="V76" i="68" s="1"/>
  <c r="V77" i="68" s="1"/>
  <c r="V78" i="68" s="1"/>
  <c r="V79" i="68" s="1"/>
  <c r="V80" i="68" s="1"/>
  <c r="V81" i="68" s="1"/>
  <c r="V82" i="68" s="1"/>
  <c r="V83" i="68" s="1"/>
  <c r="V84" i="68" s="1"/>
  <c r="V85" i="68" s="1"/>
  <c r="V86" i="68" s="1"/>
  <c r="V87" i="68" s="1"/>
  <c r="V88" i="68" s="1"/>
  <c r="V89" i="68" s="1"/>
  <c r="V90" i="68" s="1"/>
  <c r="V91" i="68" s="1"/>
  <c r="V92" i="68" s="1"/>
  <c r="V93" i="68" s="1"/>
  <c r="V94" i="68" s="1"/>
  <c r="V95" i="68" s="1"/>
  <c r="V96" i="68" s="1"/>
  <c r="V97" i="68" s="1"/>
  <c r="V98" i="68" s="1"/>
  <c r="V99" i="68" s="1"/>
  <c r="E6" i="69" l="1"/>
  <c r="K61" i="69" s="1"/>
  <c r="L61" i="69" s="1"/>
  <c r="M61" i="69" s="1"/>
  <c r="N61" i="69" s="1"/>
  <c r="O61" i="69" s="1"/>
  <c r="P61" i="69" s="1"/>
  <c r="Q61" i="69" s="1"/>
  <c r="R61" i="69" s="1"/>
  <c r="S61" i="69" s="1"/>
  <c r="T61" i="69" s="1"/>
  <c r="U61" i="69" s="1"/>
  <c r="V61" i="69" s="1"/>
  <c r="W61" i="69" s="1"/>
  <c r="X61" i="69" s="1"/>
  <c r="Y61" i="69" s="1"/>
  <c r="Z61" i="69" s="1"/>
  <c r="AA61" i="69" s="1"/>
  <c r="E5" i="69"/>
  <c r="M88" i="68"/>
  <c r="M89" i="68"/>
  <c r="M90" i="68"/>
  <c r="M91" i="68"/>
  <c r="M92" i="68"/>
  <c r="M93" i="68"/>
  <c r="D32" i="68"/>
  <c r="D33" i="68"/>
  <c r="D4" i="68"/>
  <c r="D5" i="68"/>
  <c r="D6" i="68"/>
  <c r="D7" i="68"/>
  <c r="D8" i="68"/>
  <c r="D9" i="68"/>
  <c r="D10" i="68"/>
  <c r="D11" i="68"/>
  <c r="D12" i="68"/>
  <c r="D13" i="68"/>
  <c r="D14" i="68"/>
  <c r="D15" i="68"/>
  <c r="D16" i="68"/>
  <c r="D17" i="68"/>
  <c r="D18" i="68"/>
  <c r="D19" i="68"/>
  <c r="D20" i="68"/>
  <c r="D21" i="68"/>
  <c r="D22" i="68"/>
  <c r="D23" i="68"/>
  <c r="D24" i="68"/>
  <c r="D25" i="68"/>
  <c r="D26" i="68"/>
  <c r="D27" i="68"/>
  <c r="D28" i="68"/>
  <c r="D29" i="68"/>
  <c r="D30" i="68"/>
  <c r="D31" i="68"/>
  <c r="W186" i="65"/>
  <c r="U187" i="65"/>
  <c r="V187" i="65"/>
  <c r="W187" i="65"/>
  <c r="U188" i="65"/>
  <c r="V188" i="65"/>
  <c r="W188" i="65"/>
  <c r="U189" i="65"/>
  <c r="W102" i="65"/>
  <c r="U103" i="65"/>
  <c r="V103" i="65"/>
  <c r="U104" i="65"/>
  <c r="V104" i="65"/>
  <c r="W104" i="65"/>
  <c r="U105" i="65"/>
  <c r="V105" i="65"/>
  <c r="W106" i="65"/>
  <c r="U107" i="65"/>
  <c r="V107" i="65"/>
  <c r="W107" i="65"/>
  <c r="U108" i="65"/>
  <c r="V108" i="65"/>
  <c r="W108" i="65"/>
  <c r="U109" i="65"/>
  <c r="V109" i="65"/>
  <c r="W109" i="65"/>
  <c r="U110" i="65"/>
  <c r="V110" i="65"/>
  <c r="W110" i="65"/>
  <c r="U112" i="65"/>
  <c r="V112" i="65"/>
  <c r="W112" i="65"/>
  <c r="U113" i="65"/>
  <c r="V113" i="65"/>
  <c r="W113" i="65"/>
  <c r="U114" i="65"/>
  <c r="V114" i="65"/>
  <c r="W114" i="65"/>
  <c r="U115" i="65"/>
  <c r="V115" i="65"/>
  <c r="W115" i="65"/>
  <c r="U116" i="65"/>
  <c r="V117" i="65"/>
  <c r="W117" i="65"/>
  <c r="U118" i="65"/>
  <c r="V118" i="65"/>
  <c r="W118" i="65"/>
  <c r="U119" i="65"/>
  <c r="V119" i="65"/>
  <c r="W119" i="65"/>
  <c r="U120" i="65"/>
  <c r="V120" i="65"/>
  <c r="W120" i="65"/>
  <c r="U121" i="65"/>
  <c r="V121" i="65"/>
  <c r="W122" i="65"/>
  <c r="U123" i="65"/>
  <c r="V123" i="65"/>
  <c r="W123" i="65"/>
  <c r="U124" i="65"/>
  <c r="V124" i="65"/>
  <c r="W124" i="65"/>
  <c r="U125" i="65"/>
  <c r="V125" i="65"/>
  <c r="W125" i="65"/>
  <c r="U126" i="65"/>
  <c r="V126" i="65"/>
  <c r="W126" i="65"/>
  <c r="U128" i="65"/>
  <c r="V128" i="65"/>
  <c r="W128" i="65"/>
  <c r="U129" i="65"/>
  <c r="V129" i="65"/>
  <c r="W129" i="65"/>
  <c r="U130" i="65"/>
  <c r="V130" i="65"/>
  <c r="W130" i="65"/>
  <c r="U131" i="65"/>
  <c r="V131" i="65"/>
  <c r="W131" i="65"/>
  <c r="U132" i="65"/>
  <c r="V133" i="65"/>
  <c r="W133" i="65"/>
  <c r="U134" i="65"/>
  <c r="V134" i="65"/>
  <c r="W134" i="65"/>
  <c r="U135" i="65"/>
  <c r="V135" i="65"/>
  <c r="W135" i="65"/>
  <c r="U136" i="65"/>
  <c r="V136" i="65"/>
  <c r="W136" i="65"/>
  <c r="U137" i="65"/>
  <c r="V137" i="65"/>
  <c r="W138" i="65"/>
  <c r="U139" i="65"/>
  <c r="V139" i="65"/>
  <c r="U140" i="65"/>
  <c r="V140" i="65"/>
  <c r="U141" i="65"/>
  <c r="V141" i="65"/>
  <c r="W141" i="65"/>
  <c r="U142" i="65"/>
  <c r="V142" i="65"/>
  <c r="W142" i="65"/>
  <c r="U144" i="65"/>
  <c r="V144" i="65"/>
  <c r="W144" i="65"/>
  <c r="V145" i="65"/>
  <c r="W145" i="65"/>
  <c r="V146" i="65"/>
  <c r="U147" i="65"/>
  <c r="V147" i="65"/>
  <c r="W147" i="65"/>
  <c r="U148" i="65"/>
  <c r="V149" i="65"/>
  <c r="W149" i="65"/>
  <c r="U150" i="65"/>
  <c r="W150" i="65"/>
  <c r="U151" i="65"/>
  <c r="V151" i="65"/>
  <c r="W151" i="65"/>
  <c r="U152" i="65"/>
  <c r="V152" i="65"/>
  <c r="W152" i="65"/>
  <c r="U153" i="65"/>
  <c r="V153" i="65"/>
  <c r="W154" i="65"/>
  <c r="U155" i="65"/>
  <c r="V155" i="65"/>
  <c r="U156" i="65"/>
  <c r="V156" i="65"/>
  <c r="W156" i="65"/>
  <c r="U157" i="65"/>
  <c r="W157" i="65"/>
  <c r="U158" i="65"/>
  <c r="V158" i="65"/>
  <c r="W158" i="65"/>
  <c r="U160" i="65"/>
  <c r="V160" i="65"/>
  <c r="U163" i="65"/>
  <c r="V163" i="65"/>
  <c r="W163" i="65"/>
  <c r="U164" i="65"/>
  <c r="V165" i="65"/>
  <c r="U167" i="65"/>
  <c r="W167" i="65"/>
  <c r="U168" i="65"/>
  <c r="V168" i="65"/>
  <c r="W168" i="65"/>
  <c r="U169" i="65"/>
  <c r="V169" i="65"/>
  <c r="W170" i="65"/>
  <c r="U171" i="65"/>
  <c r="U172" i="65"/>
  <c r="W172" i="65"/>
  <c r="U173" i="65"/>
  <c r="V173" i="65"/>
  <c r="W173" i="65"/>
  <c r="U174" i="65"/>
  <c r="W174" i="65"/>
  <c r="U176" i="65"/>
  <c r="V176" i="65"/>
  <c r="W177" i="65"/>
  <c r="U178" i="65"/>
  <c r="V178" i="65"/>
  <c r="W178" i="65"/>
  <c r="U179" i="65"/>
  <c r="V179" i="65"/>
  <c r="U180" i="65"/>
  <c r="V181" i="65"/>
  <c r="W181" i="65"/>
  <c r="U182" i="65"/>
  <c r="W182" i="65"/>
  <c r="U183" i="65"/>
  <c r="V183" i="65"/>
  <c r="U26" i="65"/>
  <c r="V26" i="65"/>
  <c r="U27" i="65"/>
  <c r="V27" i="65"/>
  <c r="W27" i="65"/>
  <c r="V28" i="65"/>
  <c r="W28" i="65"/>
  <c r="U29" i="65"/>
  <c r="W29" i="65"/>
  <c r="U31" i="65"/>
  <c r="V31" i="65"/>
  <c r="W31" i="65"/>
  <c r="V32" i="65"/>
  <c r="W32" i="65"/>
  <c r="U33" i="65"/>
  <c r="W33" i="65"/>
  <c r="U34" i="65"/>
  <c r="V34" i="65"/>
  <c r="U35" i="65"/>
  <c r="V36" i="65"/>
  <c r="W36" i="65"/>
  <c r="U37" i="65"/>
  <c r="W37" i="65"/>
  <c r="U38" i="65"/>
  <c r="V38" i="65"/>
  <c r="U39" i="65"/>
  <c r="V39" i="65"/>
  <c r="W39" i="65"/>
  <c r="V40" i="65"/>
  <c r="W41" i="65"/>
  <c r="U42" i="65"/>
  <c r="V42" i="65"/>
  <c r="U43" i="65"/>
  <c r="V43" i="65"/>
  <c r="W43" i="65"/>
  <c r="V44" i="65"/>
  <c r="W44" i="65"/>
  <c r="U45" i="65"/>
  <c r="V45" i="65"/>
  <c r="W45" i="65"/>
  <c r="U47" i="65"/>
  <c r="V47" i="65"/>
  <c r="W47" i="65"/>
  <c r="V48" i="65"/>
  <c r="W48" i="65"/>
  <c r="U49" i="65"/>
  <c r="W49" i="65"/>
  <c r="U50" i="65"/>
  <c r="V50" i="65"/>
  <c r="W50" i="65"/>
  <c r="U51" i="65"/>
  <c r="V52" i="65"/>
  <c r="W52" i="65"/>
  <c r="V54" i="65"/>
  <c r="U55" i="65"/>
  <c r="V55" i="65"/>
  <c r="W55" i="65"/>
  <c r="U56" i="65"/>
  <c r="V56" i="65"/>
  <c r="W57" i="65"/>
  <c r="U58" i="65"/>
  <c r="W59" i="65"/>
  <c r="V60" i="65"/>
  <c r="W60" i="65"/>
  <c r="U61" i="65"/>
  <c r="V61" i="65"/>
  <c r="W61" i="65"/>
  <c r="U63" i="65"/>
  <c r="U65" i="65"/>
  <c r="W65" i="65"/>
  <c r="U66" i="65"/>
  <c r="V66" i="65"/>
  <c r="W66" i="65"/>
  <c r="U67" i="65"/>
  <c r="V68" i="65"/>
  <c r="V70" i="65"/>
  <c r="U71" i="65"/>
  <c r="V71" i="65"/>
  <c r="W71" i="65"/>
  <c r="U72" i="65"/>
  <c r="V72" i="65"/>
  <c r="W73" i="65"/>
  <c r="W75" i="65"/>
  <c r="V76" i="65"/>
  <c r="W76" i="65"/>
  <c r="U77" i="65"/>
  <c r="V77" i="65"/>
  <c r="W77" i="65"/>
  <c r="U79" i="65"/>
  <c r="U81" i="65"/>
  <c r="W81" i="65"/>
  <c r="U82" i="65"/>
  <c r="V82" i="65"/>
  <c r="W82" i="65"/>
  <c r="U83" i="65"/>
  <c r="V84" i="65"/>
  <c r="V86" i="65"/>
  <c r="U87" i="65"/>
  <c r="V87" i="65"/>
  <c r="W87" i="65"/>
  <c r="U88" i="65"/>
  <c r="V88" i="65"/>
  <c r="W89" i="65"/>
  <c r="W91" i="65"/>
  <c r="V92" i="65"/>
  <c r="W92" i="65"/>
  <c r="U93" i="65"/>
  <c r="V93" i="65"/>
  <c r="W93" i="65"/>
  <c r="U95" i="65"/>
  <c r="U97" i="65"/>
  <c r="W97" i="65"/>
  <c r="U98" i="65"/>
  <c r="V98" i="65"/>
  <c r="W98" i="65"/>
  <c r="U99" i="65"/>
  <c r="V100" i="65"/>
  <c r="U8" i="65"/>
  <c r="V8" i="65"/>
  <c r="W9" i="65"/>
  <c r="U11" i="65"/>
  <c r="V11" i="65"/>
  <c r="W11" i="65"/>
  <c r="V12" i="65"/>
  <c r="W12" i="65"/>
  <c r="U13" i="65"/>
  <c r="V13" i="65"/>
  <c r="W13" i="65"/>
  <c r="U15" i="65"/>
  <c r="V16" i="65"/>
  <c r="W16" i="65"/>
  <c r="U17" i="65"/>
  <c r="W17" i="65"/>
  <c r="U18" i="65"/>
  <c r="V18" i="65"/>
  <c r="W18" i="65"/>
  <c r="U19" i="65"/>
  <c r="V20" i="65"/>
  <c r="W21" i="65"/>
  <c r="U22" i="65"/>
  <c r="V22" i="65"/>
  <c r="AD103" i="67"/>
  <c r="AF103" i="67"/>
  <c r="AG103" i="67"/>
  <c r="AH103" i="67"/>
  <c r="AC104" i="67"/>
  <c r="AD105" i="67"/>
  <c r="AF105" i="67"/>
  <c r="AG105" i="67"/>
  <c r="AG106" i="67"/>
  <c r="AH107" i="67"/>
  <c r="AD108" i="67"/>
  <c r="AF108" i="67"/>
  <c r="AG108" i="67"/>
  <c r="AH108" i="67"/>
  <c r="AC109" i="67"/>
  <c r="AD109" i="67"/>
  <c r="AF110" i="67"/>
  <c r="AH110" i="67"/>
  <c r="AC111" i="67"/>
  <c r="AD111" i="67"/>
  <c r="AE111" i="67"/>
  <c r="AH111" i="67"/>
  <c r="AC112" i="67"/>
  <c r="AF113" i="67"/>
  <c r="AG113" i="67"/>
  <c r="AH113" i="67"/>
  <c r="AE114" i="67"/>
  <c r="AG114" i="67"/>
  <c r="AD102" i="67"/>
  <c r="K173" i="65"/>
  <c r="K174" i="65" s="1"/>
  <c r="K175" i="65" s="1"/>
  <c r="K176" i="65" s="1"/>
  <c r="K177" i="65" s="1"/>
  <c r="K178" i="65" s="1"/>
  <c r="J184" i="65"/>
  <c r="BC115" i="67"/>
  <c r="DA115" i="67" s="1"/>
  <c r="BB115" i="67"/>
  <c r="CL115" i="67" s="1"/>
  <c r="BA115" i="67"/>
  <c r="CK115" i="67" s="1"/>
  <c r="AZ115" i="67"/>
  <c r="CX115" i="67" s="1"/>
  <c r="AY115" i="67"/>
  <c r="CW115" i="67" s="1"/>
  <c r="AX115" i="67"/>
  <c r="AW115" i="67"/>
  <c r="AV115" i="67"/>
  <c r="AU115" i="67"/>
  <c r="CE115" i="67" s="1"/>
  <c r="AT115" i="67"/>
  <c r="CR115" i="67" s="1"/>
  <c r="AS115" i="67"/>
  <c r="CC115" i="67" s="1"/>
  <c r="AR115" i="67"/>
  <c r="AQ115" i="67"/>
  <c r="AP115" i="67"/>
  <c r="CN115" i="67" s="1"/>
  <c r="AO115" i="67"/>
  <c r="AH115" i="67"/>
  <c r="AG115" i="67"/>
  <c r="AF115" i="67"/>
  <c r="AE115" i="67"/>
  <c r="AD115" i="67"/>
  <c r="AC115" i="67"/>
  <c r="C115" i="67"/>
  <c r="B115" i="67"/>
  <c r="BC114" i="67"/>
  <c r="DA114" i="67" s="1"/>
  <c r="BB114" i="67"/>
  <c r="BA114" i="67"/>
  <c r="CY114" i="67" s="1"/>
  <c r="AZ114" i="67"/>
  <c r="AY114" i="67"/>
  <c r="CI114" i="67" s="1"/>
  <c r="AX114" i="67"/>
  <c r="CV114" i="67" s="1"/>
  <c r="AW114" i="67"/>
  <c r="CU114" i="67" s="1"/>
  <c r="AV114" i="67"/>
  <c r="AU114" i="67"/>
  <c r="CE114" i="67" s="1"/>
  <c r="AT114" i="67"/>
  <c r="CD114" i="67" s="1"/>
  <c r="AS114" i="67"/>
  <c r="CC114" i="67" s="1"/>
  <c r="AR114" i="67"/>
  <c r="CP114" i="67" s="1"/>
  <c r="AQ114" i="67"/>
  <c r="CA114" i="67" s="1"/>
  <c r="AP114" i="67"/>
  <c r="AO114" i="67"/>
  <c r="AH114" i="67"/>
  <c r="AF114" i="67"/>
  <c r="AD114" i="67"/>
  <c r="AC114" i="67"/>
  <c r="AA114" i="67"/>
  <c r="Z114" i="67"/>
  <c r="C114" i="67"/>
  <c r="B114" i="67"/>
  <c r="BC113" i="67"/>
  <c r="CM113" i="67" s="1"/>
  <c r="BB113" i="67"/>
  <c r="CZ113" i="67" s="1"/>
  <c r="BA113" i="67"/>
  <c r="AZ113" i="67"/>
  <c r="AY113" i="67"/>
  <c r="CW113" i="67" s="1"/>
  <c r="AX113" i="67"/>
  <c r="CV113" i="67" s="1"/>
  <c r="AW113" i="67"/>
  <c r="CU113" i="67" s="1"/>
  <c r="AV113" i="67"/>
  <c r="CT113" i="67" s="1"/>
  <c r="AU113" i="67"/>
  <c r="CE113" i="67" s="1"/>
  <c r="AT113" i="67"/>
  <c r="AS113" i="67"/>
  <c r="AR113" i="67"/>
  <c r="CB113" i="67" s="1"/>
  <c r="AQ113" i="67"/>
  <c r="CA113" i="67" s="1"/>
  <c r="AP113" i="67"/>
  <c r="BZ113" i="67" s="1"/>
  <c r="AO113" i="67"/>
  <c r="AE113" i="67"/>
  <c r="AD113" i="67"/>
  <c r="AC113" i="67"/>
  <c r="AB113" i="67"/>
  <c r="Z113" i="67"/>
  <c r="C113" i="67"/>
  <c r="B113" i="67"/>
  <c r="BC112" i="67"/>
  <c r="CM112" i="67" s="1"/>
  <c r="BB112" i="67"/>
  <c r="CL112" i="67" s="1"/>
  <c r="BA112" i="67"/>
  <c r="CY112" i="67" s="1"/>
  <c r="AZ112" i="67"/>
  <c r="AY112" i="67"/>
  <c r="CW112" i="67" s="1"/>
  <c r="AX112" i="67"/>
  <c r="AW112" i="67"/>
  <c r="CG112" i="67" s="1"/>
  <c r="AV112" i="67"/>
  <c r="AU112" i="67"/>
  <c r="AT112" i="67"/>
  <c r="CD112" i="67" s="1"/>
  <c r="AS112" i="67"/>
  <c r="CC112" i="67" s="1"/>
  <c r="AR112" i="67"/>
  <c r="AQ112" i="67"/>
  <c r="CO112" i="67" s="1"/>
  <c r="AP112" i="67"/>
  <c r="BZ112" i="67" s="1"/>
  <c r="AO112" i="67"/>
  <c r="AH112" i="67"/>
  <c r="AG112" i="67"/>
  <c r="AF112" i="67"/>
  <c r="AE112" i="67"/>
  <c r="AD112" i="67"/>
  <c r="AB112" i="67"/>
  <c r="AA112" i="67"/>
  <c r="Z112" i="67"/>
  <c r="C112" i="67"/>
  <c r="B112" i="67"/>
  <c r="BC111" i="67"/>
  <c r="CM111" i="67" s="1"/>
  <c r="BB111" i="67"/>
  <c r="CZ111" i="67" s="1"/>
  <c r="BA111" i="67"/>
  <c r="CK111" i="67" s="1"/>
  <c r="AZ111" i="67"/>
  <c r="AY111" i="67"/>
  <c r="CW111" i="67" s="1"/>
  <c r="AX111" i="67"/>
  <c r="CV111" i="67" s="1"/>
  <c r="AW111" i="67"/>
  <c r="AV111" i="67"/>
  <c r="AU111" i="67"/>
  <c r="CS111" i="67" s="1"/>
  <c r="AT111" i="67"/>
  <c r="CD111" i="67" s="1"/>
  <c r="AS111" i="67"/>
  <c r="CC111" i="67" s="1"/>
  <c r="AR111" i="67"/>
  <c r="CB111" i="67" s="1"/>
  <c r="AQ111" i="67"/>
  <c r="CO111" i="67" s="1"/>
  <c r="AP111" i="67"/>
  <c r="AO111" i="67"/>
  <c r="AG111" i="67"/>
  <c r="AF111" i="67"/>
  <c r="AB111" i="67"/>
  <c r="AA111" i="67"/>
  <c r="Z111" i="67"/>
  <c r="C111" i="67"/>
  <c r="B111" i="67"/>
  <c r="BC110" i="67"/>
  <c r="CM110" i="67" s="1"/>
  <c r="BB110" i="67"/>
  <c r="BA110" i="67"/>
  <c r="CK110" i="67" s="1"/>
  <c r="AZ110" i="67"/>
  <c r="CX110" i="67" s="1"/>
  <c r="AY110" i="67"/>
  <c r="CI110" i="67" s="1"/>
  <c r="AX110" i="67"/>
  <c r="CH110" i="67" s="1"/>
  <c r="AW110" i="67"/>
  <c r="AV110" i="67"/>
  <c r="AU110" i="67"/>
  <c r="AT110" i="67"/>
  <c r="AS110" i="67"/>
  <c r="CQ110" i="67" s="1"/>
  <c r="AR110" i="67"/>
  <c r="CB110" i="67" s="1"/>
  <c r="AQ110" i="67"/>
  <c r="CA110" i="67" s="1"/>
  <c r="AP110" i="67"/>
  <c r="BZ110" i="67" s="1"/>
  <c r="AO110" i="67"/>
  <c r="AG110" i="67"/>
  <c r="AE110" i="67"/>
  <c r="AD110" i="67"/>
  <c r="AC110" i="67"/>
  <c r="C110" i="67"/>
  <c r="B110" i="67"/>
  <c r="BC109" i="67"/>
  <c r="DA109" i="67" s="1"/>
  <c r="BB109" i="67"/>
  <c r="BA109" i="67"/>
  <c r="AZ109" i="67"/>
  <c r="CX109" i="67" s="1"/>
  <c r="AY109" i="67"/>
  <c r="AX109" i="67"/>
  <c r="CV109" i="67" s="1"/>
  <c r="AW109" i="67"/>
  <c r="CU109" i="67" s="1"/>
  <c r="AV109" i="67"/>
  <c r="CT109" i="67" s="1"/>
  <c r="AU109" i="67"/>
  <c r="CE109" i="67" s="1"/>
  <c r="AT109" i="67"/>
  <c r="CR109" i="67" s="1"/>
  <c r="AS109" i="67"/>
  <c r="AR109" i="67"/>
  <c r="AQ109" i="67"/>
  <c r="CO109" i="67" s="1"/>
  <c r="AP109" i="67"/>
  <c r="BZ109" i="67" s="1"/>
  <c r="AO109" i="67"/>
  <c r="AH109" i="67"/>
  <c r="AG109" i="67"/>
  <c r="AF109" i="67"/>
  <c r="AE109" i="67"/>
  <c r="Z109" i="67"/>
  <c r="Y109" i="67"/>
  <c r="X109" i="67"/>
  <c r="W109" i="67"/>
  <c r="C109" i="67"/>
  <c r="B109" i="67"/>
  <c r="BC108" i="67"/>
  <c r="BB108" i="67"/>
  <c r="CZ108" i="67" s="1"/>
  <c r="BA108" i="67"/>
  <c r="CK108" i="67" s="1"/>
  <c r="AZ108" i="67"/>
  <c r="CX108" i="67" s="1"/>
  <c r="AY108" i="67"/>
  <c r="CI108" i="67" s="1"/>
  <c r="AX108" i="67"/>
  <c r="AW108" i="67"/>
  <c r="AV108" i="67"/>
  <c r="AU108" i="67"/>
  <c r="CS108" i="67" s="1"/>
  <c r="AT108" i="67"/>
  <c r="CR108" i="67" s="1"/>
  <c r="AS108" i="67"/>
  <c r="AR108" i="67"/>
  <c r="CP108" i="67" s="1"/>
  <c r="AQ108" i="67"/>
  <c r="CA108" i="67" s="1"/>
  <c r="AP108" i="67"/>
  <c r="AO108" i="67"/>
  <c r="AE108" i="67"/>
  <c r="AC108" i="67"/>
  <c r="AB108" i="67"/>
  <c r="AA108" i="67"/>
  <c r="Y108" i="67"/>
  <c r="X108" i="67"/>
  <c r="W108" i="67"/>
  <c r="C108" i="67"/>
  <c r="B108" i="67"/>
  <c r="BC107" i="67"/>
  <c r="BB107" i="67"/>
  <c r="BA107" i="67"/>
  <c r="CY107" i="67" s="1"/>
  <c r="AZ107" i="67"/>
  <c r="CX107" i="67" s="1"/>
  <c r="AY107" i="67"/>
  <c r="CI107" i="67" s="1"/>
  <c r="AX107" i="67"/>
  <c r="CV107" i="67" s="1"/>
  <c r="AW107" i="67"/>
  <c r="AV107" i="67"/>
  <c r="AU107" i="67"/>
  <c r="AT107" i="67"/>
  <c r="AS107" i="67"/>
  <c r="CQ107" i="67" s="1"/>
  <c r="AR107" i="67"/>
  <c r="CB107" i="67" s="1"/>
  <c r="AQ107" i="67"/>
  <c r="CA107" i="67" s="1"/>
  <c r="AP107" i="67"/>
  <c r="CN107" i="67" s="1"/>
  <c r="AO107" i="67"/>
  <c r="AG107" i="67"/>
  <c r="AF107" i="67"/>
  <c r="AE107" i="67"/>
  <c r="AD107" i="67"/>
  <c r="AC107" i="67"/>
  <c r="AB107" i="67"/>
  <c r="AA107" i="67"/>
  <c r="Z107" i="67"/>
  <c r="Y107" i="67"/>
  <c r="X107" i="67"/>
  <c r="W107" i="67"/>
  <c r="C107" i="67"/>
  <c r="B107" i="67"/>
  <c r="BC106" i="67"/>
  <c r="BB106" i="67"/>
  <c r="CL106" i="67" s="1"/>
  <c r="BA106" i="67"/>
  <c r="CY106" i="67" s="1"/>
  <c r="AZ106" i="67"/>
  <c r="AY106" i="67"/>
  <c r="CI106" i="67" s="1"/>
  <c r="AX106" i="67"/>
  <c r="CV106" i="67" s="1"/>
  <c r="AW106" i="67"/>
  <c r="AV106" i="67"/>
  <c r="AU106" i="67"/>
  <c r="AT106" i="67"/>
  <c r="CR106" i="67" s="1"/>
  <c r="AS106" i="67"/>
  <c r="CC106" i="67" s="1"/>
  <c r="AR106" i="67"/>
  <c r="CB106" i="67" s="1"/>
  <c r="AQ106" i="67"/>
  <c r="CA106" i="67" s="1"/>
  <c r="AP106" i="67"/>
  <c r="CN106" i="67" s="1"/>
  <c r="AO106" i="67"/>
  <c r="AH106" i="67"/>
  <c r="AF106" i="67"/>
  <c r="AE106" i="67"/>
  <c r="AD106" i="67"/>
  <c r="AC106" i="67"/>
  <c r="AB106" i="67"/>
  <c r="AA106" i="67"/>
  <c r="Z106" i="67"/>
  <c r="Y106" i="67"/>
  <c r="X106" i="67"/>
  <c r="W106" i="67"/>
  <c r="C106" i="67"/>
  <c r="B106" i="67"/>
  <c r="BC105" i="67"/>
  <c r="CM105" i="67" s="1"/>
  <c r="BB105" i="67"/>
  <c r="BA105" i="67"/>
  <c r="AZ105" i="67"/>
  <c r="AY105" i="67"/>
  <c r="AX105" i="67"/>
  <c r="CV105" i="67" s="1"/>
  <c r="AW105" i="67"/>
  <c r="AV105" i="67"/>
  <c r="AU105" i="67"/>
  <c r="CS105" i="67" s="1"/>
  <c r="AT105" i="67"/>
  <c r="CR105" i="67" s="1"/>
  <c r="AS105" i="67"/>
  <c r="CC105" i="67" s="1"/>
  <c r="AR105" i="67"/>
  <c r="CB105" i="67" s="1"/>
  <c r="AQ105" i="67"/>
  <c r="CO105" i="67" s="1"/>
  <c r="AP105" i="67"/>
  <c r="CN105" i="67" s="1"/>
  <c r="AO105" i="67"/>
  <c r="AH105" i="67"/>
  <c r="AE105" i="67"/>
  <c r="AC105" i="67"/>
  <c r="AB105" i="67"/>
  <c r="Z105" i="67"/>
  <c r="Y105" i="67"/>
  <c r="X105" i="67"/>
  <c r="W105" i="67"/>
  <c r="C105" i="67"/>
  <c r="B105" i="67"/>
  <c r="BC104" i="67"/>
  <c r="CM104" i="67" s="1"/>
  <c r="BB104" i="67"/>
  <c r="CL104" i="67" s="1"/>
  <c r="BA104" i="67"/>
  <c r="AZ104" i="67"/>
  <c r="AY104" i="67"/>
  <c r="CW104" i="67" s="1"/>
  <c r="AX104" i="67"/>
  <c r="CH104" i="67" s="1"/>
  <c r="AW104" i="67"/>
  <c r="AV104" i="67"/>
  <c r="AU104" i="67"/>
  <c r="CS104" i="67" s="1"/>
  <c r="AT104" i="67"/>
  <c r="CD104" i="67" s="1"/>
  <c r="AS104" i="67"/>
  <c r="CQ104" i="67" s="1"/>
  <c r="AR104" i="67"/>
  <c r="CB104" i="67" s="1"/>
  <c r="AQ104" i="67"/>
  <c r="CO104" i="67" s="1"/>
  <c r="AP104" i="67"/>
  <c r="CN104" i="67" s="1"/>
  <c r="AO104" i="67"/>
  <c r="AH104" i="67"/>
  <c r="AG104" i="67"/>
  <c r="AF104" i="67"/>
  <c r="AE104" i="67"/>
  <c r="AD104" i="67"/>
  <c r="Y104" i="67"/>
  <c r="X104" i="67"/>
  <c r="W104" i="67"/>
  <c r="C104" i="67"/>
  <c r="B104" i="67"/>
  <c r="BC103" i="67"/>
  <c r="BB103" i="67"/>
  <c r="CZ103" i="67" s="1"/>
  <c r="BA103" i="67"/>
  <c r="CK103" i="67" s="1"/>
  <c r="AZ103" i="67"/>
  <c r="AY103" i="67"/>
  <c r="CW103" i="67" s="1"/>
  <c r="AX103" i="67"/>
  <c r="CH103" i="67" s="1"/>
  <c r="AW103" i="67"/>
  <c r="AV103" i="67"/>
  <c r="AU103" i="67"/>
  <c r="AT103" i="67"/>
  <c r="CR103" i="67" s="1"/>
  <c r="AS103" i="67"/>
  <c r="AR103" i="67"/>
  <c r="CP103" i="67" s="1"/>
  <c r="AQ103" i="67"/>
  <c r="AP103" i="67"/>
  <c r="AO103" i="67"/>
  <c r="AE103" i="67"/>
  <c r="AC103" i="67"/>
  <c r="AA103" i="67"/>
  <c r="Z103" i="67"/>
  <c r="Y103" i="67"/>
  <c r="X103" i="67"/>
  <c r="W103" i="67"/>
  <c r="C103" i="67"/>
  <c r="B103" i="67"/>
  <c r="BC102" i="67"/>
  <c r="CM102" i="67" s="1"/>
  <c r="BB102" i="67"/>
  <c r="CZ102" i="67" s="1"/>
  <c r="BA102" i="67"/>
  <c r="AZ102" i="67"/>
  <c r="AY102" i="67"/>
  <c r="CI102" i="67" s="1"/>
  <c r="AX102" i="67"/>
  <c r="CV102" i="67" s="1"/>
  <c r="AW102" i="67"/>
  <c r="AV102" i="67"/>
  <c r="AU102" i="67"/>
  <c r="CS102" i="67" s="1"/>
  <c r="AT102" i="67"/>
  <c r="CR102" i="67" s="1"/>
  <c r="AS102" i="67"/>
  <c r="CC102" i="67" s="1"/>
  <c r="AR102" i="67"/>
  <c r="CB102" i="67" s="1"/>
  <c r="AQ102" i="67"/>
  <c r="CO102" i="67" s="1"/>
  <c r="AP102" i="67"/>
  <c r="BZ102" i="67" s="1"/>
  <c r="AO102" i="67"/>
  <c r="AH102" i="67"/>
  <c r="AG102" i="67"/>
  <c r="AF102" i="67"/>
  <c r="AE102" i="67"/>
  <c r="AC102" i="67"/>
  <c r="AA102" i="67"/>
  <c r="Z102" i="67"/>
  <c r="Y102" i="67"/>
  <c r="X102" i="67"/>
  <c r="W102" i="67"/>
  <c r="C102" i="67"/>
  <c r="B102" i="67"/>
  <c r="BC101" i="67"/>
  <c r="BB101" i="67"/>
  <c r="CZ101" i="67" s="1"/>
  <c r="BA101" i="67"/>
  <c r="AZ101" i="67"/>
  <c r="AY101" i="67"/>
  <c r="CW101" i="67" s="1"/>
  <c r="AX101" i="67"/>
  <c r="CV101" i="67" s="1"/>
  <c r="AW101" i="67"/>
  <c r="AV101" i="67"/>
  <c r="AU101" i="67"/>
  <c r="CS101" i="67" s="1"/>
  <c r="AT101" i="67"/>
  <c r="CD101" i="67" s="1"/>
  <c r="AS101" i="67"/>
  <c r="CQ101" i="67" s="1"/>
  <c r="AR101" i="67"/>
  <c r="CP101" i="67" s="1"/>
  <c r="AQ101" i="67"/>
  <c r="CA101" i="67" s="1"/>
  <c r="AP101" i="67"/>
  <c r="BZ101" i="67" s="1"/>
  <c r="AO101" i="67"/>
  <c r="AH101" i="67"/>
  <c r="AG101" i="67"/>
  <c r="AF101" i="67"/>
  <c r="AE101" i="67"/>
  <c r="AD101" i="67"/>
  <c r="AC101" i="67"/>
  <c r="AB101" i="67"/>
  <c r="AA101" i="67"/>
  <c r="Z101" i="67"/>
  <c r="Y101" i="67"/>
  <c r="X101" i="67"/>
  <c r="W101" i="67"/>
  <c r="C101" i="67"/>
  <c r="B101" i="67"/>
  <c r="BC100" i="67"/>
  <c r="DA100" i="67" s="1"/>
  <c r="BB100" i="67"/>
  <c r="CZ100" i="67" s="1"/>
  <c r="BA100" i="67"/>
  <c r="AZ100" i="67"/>
  <c r="AY100" i="67"/>
  <c r="AX100" i="67"/>
  <c r="CH100" i="67" s="1"/>
  <c r="AW100" i="67"/>
  <c r="CG100" i="67" s="1"/>
  <c r="AV100" i="67"/>
  <c r="CT100" i="67" s="1"/>
  <c r="AU100" i="67"/>
  <c r="AT100" i="67"/>
  <c r="AS100" i="67"/>
  <c r="AR100" i="67"/>
  <c r="CB100" i="67" s="1"/>
  <c r="AQ100" i="67"/>
  <c r="CA100" i="67" s="1"/>
  <c r="AP100" i="67"/>
  <c r="CN100" i="67" s="1"/>
  <c r="AO100" i="67"/>
  <c r="AH100" i="67"/>
  <c r="AG100" i="67"/>
  <c r="AF100" i="67"/>
  <c r="AE100" i="67"/>
  <c r="AD100" i="67"/>
  <c r="AC100" i="67"/>
  <c r="Y100" i="67"/>
  <c r="X100" i="67"/>
  <c r="W100" i="67"/>
  <c r="C100" i="67"/>
  <c r="B100" i="67"/>
  <c r="BC99" i="67"/>
  <c r="BB99" i="67"/>
  <c r="CL99" i="67" s="1"/>
  <c r="BA99" i="67"/>
  <c r="CY99" i="67" s="1"/>
  <c r="AZ99" i="67"/>
  <c r="AY99" i="67"/>
  <c r="CI99" i="67" s="1"/>
  <c r="AX99" i="67"/>
  <c r="AW99" i="67"/>
  <c r="CG99" i="67" s="1"/>
  <c r="AV99" i="67"/>
  <c r="CF99" i="67" s="1"/>
  <c r="AU99" i="67"/>
  <c r="CS99" i="67" s="1"/>
  <c r="AT99" i="67"/>
  <c r="CD99" i="67" s="1"/>
  <c r="AS99" i="67"/>
  <c r="CC99" i="67" s="1"/>
  <c r="AR99" i="67"/>
  <c r="CB99" i="67" s="1"/>
  <c r="AQ99" i="67"/>
  <c r="AP99" i="67"/>
  <c r="BZ99" i="67" s="1"/>
  <c r="AO99" i="67"/>
  <c r="AH99" i="67"/>
  <c r="AG99" i="67"/>
  <c r="AF99" i="67"/>
  <c r="AE99" i="67"/>
  <c r="AD99" i="67"/>
  <c r="AC99" i="67"/>
  <c r="Z99" i="67"/>
  <c r="Y99" i="67"/>
  <c r="X99" i="67"/>
  <c r="W99" i="67"/>
  <c r="C99" i="67"/>
  <c r="B99" i="67"/>
  <c r="BC98" i="67"/>
  <c r="CM98" i="67" s="1"/>
  <c r="BB98" i="67"/>
  <c r="CZ98" i="67" s="1"/>
  <c r="BA98" i="67"/>
  <c r="CY98" i="67" s="1"/>
  <c r="AZ98" i="67"/>
  <c r="AY98" i="67"/>
  <c r="CW98" i="67" s="1"/>
  <c r="AX98" i="67"/>
  <c r="CV98" i="67" s="1"/>
  <c r="AW98" i="67"/>
  <c r="AV98" i="67"/>
  <c r="AU98" i="67"/>
  <c r="AT98" i="67"/>
  <c r="AS98" i="67"/>
  <c r="CQ98" i="67" s="1"/>
  <c r="AR98" i="67"/>
  <c r="CP98" i="67" s="1"/>
  <c r="AQ98" i="67"/>
  <c r="AP98" i="67"/>
  <c r="BZ98" i="67" s="1"/>
  <c r="AO98" i="67"/>
  <c r="AH98" i="67"/>
  <c r="AG98" i="67"/>
  <c r="AF98" i="67"/>
  <c r="AE98" i="67"/>
  <c r="AD98" i="67"/>
  <c r="AC98" i="67"/>
  <c r="AA98" i="67"/>
  <c r="Z98" i="67"/>
  <c r="Y98" i="67"/>
  <c r="X98" i="67"/>
  <c r="W98" i="67"/>
  <c r="C98" i="67"/>
  <c r="B98" i="67"/>
  <c r="BT97" i="67"/>
  <c r="BC97" i="67"/>
  <c r="DA97" i="67" s="1"/>
  <c r="BB97" i="67"/>
  <c r="CZ97" i="67" s="1"/>
  <c r="BA97" i="67"/>
  <c r="AZ97" i="67"/>
  <c r="CX97" i="67" s="1"/>
  <c r="AY97" i="67"/>
  <c r="AX97" i="67"/>
  <c r="CV97" i="67" s="1"/>
  <c r="AW97" i="67"/>
  <c r="AV97" i="67"/>
  <c r="CT97" i="67" s="1"/>
  <c r="AU97" i="67"/>
  <c r="CE97" i="67" s="1"/>
  <c r="AT97" i="67"/>
  <c r="CD97" i="67" s="1"/>
  <c r="AS97" i="67"/>
  <c r="CQ97" i="67" s="1"/>
  <c r="AR97" i="67"/>
  <c r="CB97" i="67" s="1"/>
  <c r="AQ97" i="67"/>
  <c r="CO97" i="67" s="1"/>
  <c r="AP97" i="67"/>
  <c r="CN97" i="67" s="1"/>
  <c r="AO97" i="67"/>
  <c r="AH97" i="67"/>
  <c r="AG97" i="67"/>
  <c r="AF97" i="67"/>
  <c r="AE97" i="67"/>
  <c r="AD97" i="67"/>
  <c r="AC97" i="67"/>
  <c r="AB97" i="67"/>
  <c r="Z97" i="67"/>
  <c r="Y97" i="67"/>
  <c r="X97" i="67"/>
  <c r="W97" i="67"/>
  <c r="C97" i="67"/>
  <c r="B97" i="67"/>
  <c r="BT96" i="67"/>
  <c r="BC96" i="67"/>
  <c r="BB96" i="67"/>
  <c r="CL96" i="67" s="1"/>
  <c r="BA96" i="67"/>
  <c r="CK96" i="67" s="1"/>
  <c r="AZ96" i="67"/>
  <c r="CX96" i="67" s="1"/>
  <c r="AY96" i="67"/>
  <c r="CI96" i="67" s="1"/>
  <c r="AX96" i="67"/>
  <c r="CV96" i="67" s="1"/>
  <c r="AW96" i="67"/>
  <c r="AV96" i="67"/>
  <c r="AU96" i="67"/>
  <c r="CE96" i="67" s="1"/>
  <c r="AT96" i="67"/>
  <c r="AS96" i="67"/>
  <c r="CC96" i="67" s="1"/>
  <c r="AR96" i="67"/>
  <c r="CP96" i="67" s="1"/>
  <c r="AQ96" i="67"/>
  <c r="CO96" i="67" s="1"/>
  <c r="AP96" i="67"/>
  <c r="CN96" i="67" s="1"/>
  <c r="AO96" i="67"/>
  <c r="AH96" i="67"/>
  <c r="AG96" i="67"/>
  <c r="AF96" i="67"/>
  <c r="AE96" i="67"/>
  <c r="AD96" i="67"/>
  <c r="AC96" i="67"/>
  <c r="AB96" i="67"/>
  <c r="AA96" i="67"/>
  <c r="Z96" i="67"/>
  <c r="Y96" i="67"/>
  <c r="X96" i="67"/>
  <c r="W96" i="67"/>
  <c r="C96" i="67"/>
  <c r="B96" i="67"/>
  <c r="BT95" i="67"/>
  <c r="BC95" i="67"/>
  <c r="CM95" i="67" s="1"/>
  <c r="BB95" i="67"/>
  <c r="CL95" i="67" s="1"/>
  <c r="BA95" i="67"/>
  <c r="CK95" i="67" s="1"/>
  <c r="AZ95" i="67"/>
  <c r="CJ95" i="67" s="1"/>
  <c r="AY95" i="67"/>
  <c r="CW95" i="67" s="1"/>
  <c r="AX95" i="67"/>
  <c r="CV95" i="67" s="1"/>
  <c r="AW95" i="67"/>
  <c r="CG95" i="67" s="1"/>
  <c r="AV95" i="67"/>
  <c r="AU95" i="67"/>
  <c r="CS95" i="67" s="1"/>
  <c r="AT95" i="67"/>
  <c r="CD95" i="67" s="1"/>
  <c r="AS95" i="67"/>
  <c r="CC95" i="67" s="1"/>
  <c r="AR95" i="67"/>
  <c r="AQ95" i="67"/>
  <c r="AP95" i="67"/>
  <c r="AO95" i="67"/>
  <c r="AH95" i="67"/>
  <c r="AG95" i="67"/>
  <c r="AF95" i="67"/>
  <c r="AE95" i="67"/>
  <c r="AD95" i="67"/>
  <c r="AC95" i="67"/>
  <c r="AB95" i="67"/>
  <c r="Z95" i="67"/>
  <c r="Y95" i="67"/>
  <c r="X95" i="67"/>
  <c r="W95" i="67"/>
  <c r="C95" i="67"/>
  <c r="B95" i="67"/>
  <c r="BT94" i="67"/>
  <c r="BC94" i="67"/>
  <c r="CM94" i="67" s="1"/>
  <c r="BB94" i="67"/>
  <c r="CL94" i="67" s="1"/>
  <c r="BA94" i="67"/>
  <c r="AZ94" i="67"/>
  <c r="CX94" i="67" s="1"/>
  <c r="AY94" i="67"/>
  <c r="CI94" i="67" s="1"/>
  <c r="AX94" i="67"/>
  <c r="CH94" i="67" s="1"/>
  <c r="AW94" i="67"/>
  <c r="AV94" i="67"/>
  <c r="AU94" i="67"/>
  <c r="CE94" i="67" s="1"/>
  <c r="AT94" i="67"/>
  <c r="CD94" i="67" s="1"/>
  <c r="AS94" i="67"/>
  <c r="CQ94" i="67" s="1"/>
  <c r="AR94" i="67"/>
  <c r="CB94" i="67" s="1"/>
  <c r="AQ94" i="67"/>
  <c r="CA94" i="67" s="1"/>
  <c r="AP94" i="67"/>
  <c r="CN94" i="67" s="1"/>
  <c r="AO94" i="67"/>
  <c r="AH94" i="67"/>
  <c r="AG94" i="67"/>
  <c r="AF94" i="67"/>
  <c r="AE94" i="67"/>
  <c r="AD94" i="67"/>
  <c r="AC94" i="67"/>
  <c r="Y94" i="67"/>
  <c r="X94" i="67"/>
  <c r="W94" i="67"/>
  <c r="C94" i="67"/>
  <c r="B94" i="67"/>
  <c r="BT93" i="67"/>
  <c r="BC93" i="67"/>
  <c r="BB93" i="67"/>
  <c r="CZ93" i="67" s="1"/>
  <c r="BA93" i="67"/>
  <c r="CY93" i="67" s="1"/>
  <c r="AZ93" i="67"/>
  <c r="AY93" i="67"/>
  <c r="CW93" i="67" s="1"/>
  <c r="AX93" i="67"/>
  <c r="CH93" i="67" s="1"/>
  <c r="AW93" i="67"/>
  <c r="AV93" i="67"/>
  <c r="AU93" i="67"/>
  <c r="CE93" i="67" s="1"/>
  <c r="AT93" i="67"/>
  <c r="CR93" i="67" s="1"/>
  <c r="AS93" i="67"/>
  <c r="AR93" i="67"/>
  <c r="AQ93" i="67"/>
  <c r="AP93" i="67"/>
  <c r="AO93" i="67"/>
  <c r="AH93" i="67"/>
  <c r="AG93" i="67"/>
  <c r="AF93" i="67"/>
  <c r="AE93" i="67"/>
  <c r="AD93" i="67"/>
  <c r="AC93" i="67"/>
  <c r="AB93" i="67"/>
  <c r="AA93" i="67"/>
  <c r="Z93" i="67"/>
  <c r="Y93" i="67"/>
  <c r="X93" i="67"/>
  <c r="W93" i="67"/>
  <c r="C93" i="67"/>
  <c r="B93" i="67"/>
  <c r="BT92" i="67"/>
  <c r="BC92" i="67"/>
  <c r="CM92" i="67" s="1"/>
  <c r="BB92" i="67"/>
  <c r="BA92" i="67"/>
  <c r="AZ92" i="67"/>
  <c r="AY92" i="67"/>
  <c r="CI92" i="67" s="1"/>
  <c r="AX92" i="67"/>
  <c r="CV92" i="67" s="1"/>
  <c r="AW92" i="67"/>
  <c r="CG92" i="67" s="1"/>
  <c r="AV92" i="67"/>
  <c r="CF92" i="67" s="1"/>
  <c r="AU92" i="67"/>
  <c r="CS92" i="67" s="1"/>
  <c r="AT92" i="67"/>
  <c r="CD92" i="67" s="1"/>
  <c r="AS92" i="67"/>
  <c r="CQ92" i="67" s="1"/>
  <c r="AR92" i="67"/>
  <c r="AQ92" i="67"/>
  <c r="AP92" i="67"/>
  <c r="BZ92" i="67" s="1"/>
  <c r="AO92" i="67"/>
  <c r="AH92" i="67"/>
  <c r="AG92" i="67"/>
  <c r="AF92" i="67"/>
  <c r="AE92" i="67"/>
  <c r="AD92" i="67"/>
  <c r="AC92" i="67"/>
  <c r="AB92" i="67"/>
  <c r="AA92" i="67"/>
  <c r="Y92" i="67"/>
  <c r="X92" i="67"/>
  <c r="W92" i="67"/>
  <c r="C92" i="67"/>
  <c r="B92" i="67"/>
  <c r="BT91" i="67"/>
  <c r="BC91" i="67"/>
  <c r="DA91" i="67" s="1"/>
  <c r="BB91" i="67"/>
  <c r="CZ91" i="67" s="1"/>
  <c r="BA91" i="67"/>
  <c r="CK91" i="67" s="1"/>
  <c r="AZ91" i="67"/>
  <c r="AY91" i="67"/>
  <c r="CI91" i="67" s="1"/>
  <c r="AX91" i="67"/>
  <c r="AW91" i="67"/>
  <c r="CG91" i="67" s="1"/>
  <c r="AV91" i="67"/>
  <c r="AU91" i="67"/>
  <c r="CS91" i="67" s="1"/>
  <c r="AT91" i="67"/>
  <c r="CD91" i="67" s="1"/>
  <c r="AS91" i="67"/>
  <c r="AR91" i="67"/>
  <c r="AQ91" i="67"/>
  <c r="AP91" i="67"/>
  <c r="AO91" i="67"/>
  <c r="AH91" i="67"/>
  <c r="AG91" i="67"/>
  <c r="AF91" i="67"/>
  <c r="AE91" i="67"/>
  <c r="AD91" i="67"/>
  <c r="AC91" i="67"/>
  <c r="AB91" i="67"/>
  <c r="AA91" i="67"/>
  <c r="Z91" i="67"/>
  <c r="Y91" i="67"/>
  <c r="X91" i="67"/>
  <c r="W91" i="67"/>
  <c r="C91" i="67"/>
  <c r="B91" i="67"/>
  <c r="BT90" i="67"/>
  <c r="BC90" i="67"/>
  <c r="DA90" i="67" s="1"/>
  <c r="BB90" i="67"/>
  <c r="CL90" i="67" s="1"/>
  <c r="BA90" i="67"/>
  <c r="CK90" i="67" s="1"/>
  <c r="AZ90" i="67"/>
  <c r="CX90" i="67" s="1"/>
  <c r="AY90" i="67"/>
  <c r="CW90" i="67" s="1"/>
  <c r="AX90" i="67"/>
  <c r="AW90" i="67"/>
  <c r="CG90" i="67" s="1"/>
  <c r="AV90" i="67"/>
  <c r="AU90" i="67"/>
  <c r="CE90" i="67" s="1"/>
  <c r="AT90" i="67"/>
  <c r="AS90" i="67"/>
  <c r="AR90" i="67"/>
  <c r="AQ90" i="67"/>
  <c r="CA90" i="67" s="1"/>
  <c r="AP90" i="67"/>
  <c r="AO90" i="67"/>
  <c r="AH90" i="67"/>
  <c r="AG90" i="67"/>
  <c r="AF90" i="67"/>
  <c r="AE90" i="67"/>
  <c r="AD90" i="67"/>
  <c r="AC90" i="67"/>
  <c r="AB90" i="67"/>
  <c r="AA90" i="67"/>
  <c r="Z90" i="67"/>
  <c r="Y90" i="67"/>
  <c r="X90" i="67"/>
  <c r="W90" i="67"/>
  <c r="C90" i="67"/>
  <c r="B90" i="67"/>
  <c r="BT89" i="67"/>
  <c r="BC89" i="67"/>
  <c r="DA89" i="67" s="1"/>
  <c r="BB89" i="67"/>
  <c r="BA89" i="67"/>
  <c r="CK89" i="67" s="1"/>
  <c r="AZ89" i="67"/>
  <c r="AY89" i="67"/>
  <c r="CW89" i="67" s="1"/>
  <c r="AX89" i="67"/>
  <c r="AW89" i="67"/>
  <c r="AV89" i="67"/>
  <c r="AU89" i="67"/>
  <c r="AT89" i="67"/>
  <c r="AS89" i="67"/>
  <c r="AR89" i="67"/>
  <c r="CP89" i="67" s="1"/>
  <c r="AQ89" i="67"/>
  <c r="AP89" i="67"/>
  <c r="AO89" i="67"/>
  <c r="AL89" i="67"/>
  <c r="AK89" i="67"/>
  <c r="AJ89" i="67"/>
  <c r="AI89" i="67"/>
  <c r="AH89" i="67"/>
  <c r="AG89" i="67"/>
  <c r="AF89" i="67"/>
  <c r="AE89" i="67"/>
  <c r="AD89" i="67"/>
  <c r="AC89" i="67"/>
  <c r="AB89" i="67"/>
  <c r="Y89" i="67"/>
  <c r="X89" i="67"/>
  <c r="W89" i="67"/>
  <c r="C89" i="67"/>
  <c r="B89" i="67"/>
  <c r="BT88" i="67"/>
  <c r="BC88" i="67"/>
  <c r="BB88" i="67"/>
  <c r="CL88" i="67" s="1"/>
  <c r="BA88" i="67"/>
  <c r="AZ88" i="67"/>
  <c r="AY88" i="67"/>
  <c r="CI88" i="67" s="1"/>
  <c r="AX88" i="67"/>
  <c r="AW88" i="67"/>
  <c r="AV88" i="67"/>
  <c r="AU88" i="67"/>
  <c r="AT88" i="67"/>
  <c r="AS88" i="67"/>
  <c r="CQ88" i="67" s="1"/>
  <c r="AR88" i="67"/>
  <c r="CB88" i="67" s="1"/>
  <c r="AQ88" i="67"/>
  <c r="CA88" i="67" s="1"/>
  <c r="AP88" i="67"/>
  <c r="CN88" i="67" s="1"/>
  <c r="AO88" i="67"/>
  <c r="AL88" i="67"/>
  <c r="AK88" i="67"/>
  <c r="AJ88" i="67"/>
  <c r="AI88" i="67"/>
  <c r="AH88" i="67"/>
  <c r="AG88" i="67"/>
  <c r="AF88" i="67"/>
  <c r="AE88" i="67"/>
  <c r="AD88" i="67"/>
  <c r="AC88" i="67"/>
  <c r="AA88" i="67"/>
  <c r="Z88" i="67"/>
  <c r="Y88" i="67"/>
  <c r="X88" i="67"/>
  <c r="W88" i="67"/>
  <c r="C88" i="67"/>
  <c r="B88" i="67"/>
  <c r="BT87" i="67"/>
  <c r="BC87" i="67"/>
  <c r="DA87" i="67" s="1"/>
  <c r="BB87" i="67"/>
  <c r="CZ87" i="67" s="1"/>
  <c r="BA87" i="67"/>
  <c r="AZ87" i="67"/>
  <c r="AY87" i="67"/>
  <c r="CI87" i="67" s="1"/>
  <c r="AX87" i="67"/>
  <c r="CH87" i="67" s="1"/>
  <c r="AW87" i="67"/>
  <c r="CG87" i="67" s="1"/>
  <c r="AV87" i="67"/>
  <c r="CF87" i="67" s="1"/>
  <c r="AU87" i="67"/>
  <c r="AT87" i="67"/>
  <c r="CR87" i="67" s="1"/>
  <c r="AS87" i="67"/>
  <c r="AR87" i="67"/>
  <c r="CB87" i="67" s="1"/>
  <c r="AQ87" i="67"/>
  <c r="CO87" i="67" s="1"/>
  <c r="AP87" i="67"/>
  <c r="AO87" i="67"/>
  <c r="AL87" i="67"/>
  <c r="AK87" i="67"/>
  <c r="AJ87" i="67"/>
  <c r="AI87" i="67"/>
  <c r="AH87" i="67"/>
  <c r="AG87" i="67"/>
  <c r="AF87" i="67"/>
  <c r="AE87" i="67"/>
  <c r="AD87" i="67"/>
  <c r="AC87" i="67"/>
  <c r="AB87" i="67"/>
  <c r="AA87" i="67"/>
  <c r="Z87" i="67"/>
  <c r="Y87" i="67"/>
  <c r="X87" i="67"/>
  <c r="W87" i="67"/>
  <c r="C87" i="67"/>
  <c r="B87" i="67"/>
  <c r="BT86" i="67"/>
  <c r="BC86" i="67"/>
  <c r="BB86" i="67"/>
  <c r="CZ86" i="67" s="1"/>
  <c r="BA86" i="67"/>
  <c r="CY86" i="67" s="1"/>
  <c r="AZ86" i="67"/>
  <c r="AY86" i="67"/>
  <c r="CW86" i="67" s="1"/>
  <c r="AX86" i="67"/>
  <c r="AW86" i="67"/>
  <c r="AV86" i="67"/>
  <c r="AU86" i="67"/>
  <c r="AT86" i="67"/>
  <c r="CD86" i="67" s="1"/>
  <c r="AS86" i="67"/>
  <c r="CQ86" i="67" s="1"/>
  <c r="AR86" i="67"/>
  <c r="CB86" i="67" s="1"/>
  <c r="AQ86" i="67"/>
  <c r="CO86" i="67" s="1"/>
  <c r="AP86" i="67"/>
  <c r="BZ86" i="67" s="1"/>
  <c r="AO86" i="67"/>
  <c r="AL86" i="67"/>
  <c r="AK86" i="67"/>
  <c r="AJ86" i="67"/>
  <c r="AI86" i="67"/>
  <c r="AH86" i="67"/>
  <c r="AG86" i="67"/>
  <c r="AF86" i="67"/>
  <c r="AE86" i="67"/>
  <c r="AD86" i="67"/>
  <c r="AC86" i="67"/>
  <c r="AA86" i="67"/>
  <c r="Z86" i="67"/>
  <c r="Y86" i="67"/>
  <c r="X86" i="67"/>
  <c r="W86" i="67"/>
  <c r="C86" i="67"/>
  <c r="B86" i="67"/>
  <c r="BT85" i="67"/>
  <c r="BC85" i="67"/>
  <c r="DA85" i="67" s="1"/>
  <c r="BB85" i="67"/>
  <c r="CZ85" i="67" s="1"/>
  <c r="BA85" i="67"/>
  <c r="CK85" i="67" s="1"/>
  <c r="AZ85" i="67"/>
  <c r="CX85" i="67" s="1"/>
  <c r="AY85" i="67"/>
  <c r="AX85" i="67"/>
  <c r="AW85" i="67"/>
  <c r="AV85" i="67"/>
  <c r="AU85" i="67"/>
  <c r="CS85" i="67" s="1"/>
  <c r="AT85" i="67"/>
  <c r="AS85" i="67"/>
  <c r="AR85" i="67"/>
  <c r="AQ85" i="67"/>
  <c r="AP85" i="67"/>
  <c r="BZ85" i="67" s="1"/>
  <c r="AO85" i="67"/>
  <c r="AL85" i="67"/>
  <c r="AK85" i="67"/>
  <c r="AJ85" i="67"/>
  <c r="AI85" i="67"/>
  <c r="AH85" i="67"/>
  <c r="AG85" i="67"/>
  <c r="AF85" i="67"/>
  <c r="AE85" i="67"/>
  <c r="AD85" i="67"/>
  <c r="AC85" i="67"/>
  <c r="AB85" i="67"/>
  <c r="AA85" i="67"/>
  <c r="Z85" i="67"/>
  <c r="Y85" i="67"/>
  <c r="X85" i="67"/>
  <c r="W85" i="67"/>
  <c r="C85" i="67"/>
  <c r="B85" i="67"/>
  <c r="BT84" i="67"/>
  <c r="BC84" i="67"/>
  <c r="BB84" i="67"/>
  <c r="CL84" i="67" s="1"/>
  <c r="BA84" i="67"/>
  <c r="AZ84" i="67"/>
  <c r="AY84" i="67"/>
  <c r="CI84" i="67" s="1"/>
  <c r="AX84" i="67"/>
  <c r="CH84" i="67" s="1"/>
  <c r="AW84" i="67"/>
  <c r="CU84" i="67" s="1"/>
  <c r="AV84" i="67"/>
  <c r="CF84" i="67" s="1"/>
  <c r="AU84" i="67"/>
  <c r="CS84" i="67" s="1"/>
  <c r="AT84" i="67"/>
  <c r="CD84" i="67" s="1"/>
  <c r="AS84" i="67"/>
  <c r="CQ84" i="67" s="1"/>
  <c r="AR84" i="67"/>
  <c r="CP84" i="67" s="1"/>
  <c r="AQ84" i="67"/>
  <c r="AP84" i="67"/>
  <c r="AO84" i="67"/>
  <c r="AL84" i="67"/>
  <c r="AK84" i="67"/>
  <c r="AJ84" i="67"/>
  <c r="AI84" i="67"/>
  <c r="AH84" i="67"/>
  <c r="AG84" i="67"/>
  <c r="AF84" i="67"/>
  <c r="AE84" i="67"/>
  <c r="AD84" i="67"/>
  <c r="AC84" i="67"/>
  <c r="AA84" i="67"/>
  <c r="Y84" i="67"/>
  <c r="X84" i="67"/>
  <c r="W84" i="67"/>
  <c r="C84" i="67"/>
  <c r="B84" i="67"/>
  <c r="BT83" i="67"/>
  <c r="BC83" i="67"/>
  <c r="DA83" i="67" s="1"/>
  <c r="BB83" i="67"/>
  <c r="BA83" i="67"/>
  <c r="CY83" i="67" s="1"/>
  <c r="AZ83" i="67"/>
  <c r="AY83" i="67"/>
  <c r="AX83" i="67"/>
  <c r="CH83" i="67" s="1"/>
  <c r="AW83" i="67"/>
  <c r="AV83" i="67"/>
  <c r="CT83" i="67" s="1"/>
  <c r="AU83" i="67"/>
  <c r="CS83" i="67" s="1"/>
  <c r="AT83" i="67"/>
  <c r="CR83" i="67" s="1"/>
  <c r="AS83" i="67"/>
  <c r="CQ83" i="67" s="1"/>
  <c r="AR83" i="67"/>
  <c r="AQ83" i="67"/>
  <c r="AP83" i="67"/>
  <c r="BZ83" i="67" s="1"/>
  <c r="AO83" i="67"/>
  <c r="AL83" i="67"/>
  <c r="AK83" i="67"/>
  <c r="AJ83" i="67"/>
  <c r="AI83" i="67"/>
  <c r="AH83" i="67"/>
  <c r="AG83" i="67"/>
  <c r="AF83" i="67"/>
  <c r="AE83" i="67"/>
  <c r="AD83" i="67"/>
  <c r="AC83" i="67"/>
  <c r="Z83" i="67"/>
  <c r="Y83" i="67"/>
  <c r="X83" i="67"/>
  <c r="W83" i="67"/>
  <c r="C83" i="67"/>
  <c r="B83" i="67"/>
  <c r="BT82" i="67"/>
  <c r="BC82" i="67"/>
  <c r="BB82" i="67"/>
  <c r="BA82" i="67"/>
  <c r="AZ82" i="67"/>
  <c r="AY82" i="67"/>
  <c r="CI82" i="67" s="1"/>
  <c r="AX82" i="67"/>
  <c r="AW82" i="67"/>
  <c r="AV82" i="67"/>
  <c r="AU82" i="67"/>
  <c r="CS82" i="67" s="1"/>
  <c r="AT82" i="67"/>
  <c r="CR82" i="67" s="1"/>
  <c r="AS82" i="67"/>
  <c r="CC82" i="67" s="1"/>
  <c r="AR82" i="67"/>
  <c r="CP82" i="67" s="1"/>
  <c r="AQ82" i="67"/>
  <c r="CO82" i="67" s="1"/>
  <c r="AP82" i="67"/>
  <c r="BZ82" i="67" s="1"/>
  <c r="AO82" i="67"/>
  <c r="AL82" i="67"/>
  <c r="AK82" i="67"/>
  <c r="AJ82" i="67"/>
  <c r="AI82" i="67"/>
  <c r="AH82" i="67"/>
  <c r="AG82" i="67"/>
  <c r="AF82" i="67"/>
  <c r="AE82" i="67"/>
  <c r="AD82" i="67"/>
  <c r="AC82" i="67"/>
  <c r="AB82" i="67"/>
  <c r="AA82" i="67"/>
  <c r="Z82" i="67"/>
  <c r="Y82" i="67"/>
  <c r="X82" i="67"/>
  <c r="W82" i="67"/>
  <c r="C82" i="67"/>
  <c r="B82" i="67"/>
  <c r="BT81" i="67"/>
  <c r="BC81" i="67"/>
  <c r="DA81" i="67" s="1"/>
  <c r="BB81" i="67"/>
  <c r="BA81" i="67"/>
  <c r="AZ81" i="67"/>
  <c r="AY81" i="67"/>
  <c r="CW81" i="67" s="1"/>
  <c r="AX81" i="67"/>
  <c r="CH81" i="67" s="1"/>
  <c r="AW81" i="67"/>
  <c r="CU81" i="67" s="1"/>
  <c r="AV81" i="67"/>
  <c r="AU81" i="67"/>
  <c r="CS81" i="67" s="1"/>
  <c r="AT81" i="67"/>
  <c r="CD81" i="67" s="1"/>
  <c r="AS81" i="67"/>
  <c r="CC81" i="67" s="1"/>
  <c r="AR81" i="67"/>
  <c r="AQ81" i="67"/>
  <c r="CO81" i="67" s="1"/>
  <c r="AP81" i="67"/>
  <c r="AO81" i="67"/>
  <c r="AL81" i="67"/>
  <c r="AK81" i="67"/>
  <c r="AJ81" i="67"/>
  <c r="AI81" i="67"/>
  <c r="AH81" i="67"/>
  <c r="AG81" i="67"/>
  <c r="AF81" i="67"/>
  <c r="AE81" i="67"/>
  <c r="AD81" i="67"/>
  <c r="AC81" i="67"/>
  <c r="AB81" i="67"/>
  <c r="Z81" i="67"/>
  <c r="Y81" i="67"/>
  <c r="X81" i="67"/>
  <c r="W81" i="67"/>
  <c r="C81" i="67"/>
  <c r="B81" i="67"/>
  <c r="BT80" i="67"/>
  <c r="BC80" i="67"/>
  <c r="BB80" i="67"/>
  <c r="BA80" i="67"/>
  <c r="CK80" i="67" s="1"/>
  <c r="AZ80" i="67"/>
  <c r="CJ80" i="67" s="1"/>
  <c r="AY80" i="67"/>
  <c r="CW80" i="67" s="1"/>
  <c r="AX80" i="67"/>
  <c r="CH80" i="67" s="1"/>
  <c r="AW80" i="67"/>
  <c r="AV80" i="67"/>
  <c r="AU80" i="67"/>
  <c r="CE80" i="67" s="1"/>
  <c r="AT80" i="67"/>
  <c r="CD80" i="67" s="1"/>
  <c r="AS80" i="67"/>
  <c r="CQ80" i="67" s="1"/>
  <c r="AR80" i="67"/>
  <c r="CB80" i="67" s="1"/>
  <c r="AQ80" i="67"/>
  <c r="AP80" i="67"/>
  <c r="BZ80" i="67" s="1"/>
  <c r="AO80" i="67"/>
  <c r="AL80" i="67"/>
  <c r="AK80" i="67"/>
  <c r="AJ80" i="67"/>
  <c r="AI80" i="67"/>
  <c r="AH80" i="67"/>
  <c r="AG80" i="67"/>
  <c r="AF80" i="67"/>
  <c r="AE80" i="67"/>
  <c r="AD80" i="67"/>
  <c r="AC80" i="67"/>
  <c r="AB80" i="67"/>
  <c r="AA80" i="67"/>
  <c r="Z80" i="67"/>
  <c r="Y80" i="67"/>
  <c r="X80" i="67"/>
  <c r="W80" i="67"/>
  <c r="C80" i="67"/>
  <c r="B80" i="67"/>
  <c r="BT79" i="67"/>
  <c r="BC79" i="67"/>
  <c r="BB79" i="67"/>
  <c r="CL79" i="67" s="1"/>
  <c r="BA79" i="67"/>
  <c r="CY79" i="67" s="1"/>
  <c r="AZ79" i="67"/>
  <c r="AY79" i="67"/>
  <c r="AX79" i="67"/>
  <c r="CV79" i="67" s="1"/>
  <c r="AW79" i="67"/>
  <c r="AV79" i="67"/>
  <c r="AU79" i="67"/>
  <c r="CE79" i="67" s="1"/>
  <c r="AT79" i="67"/>
  <c r="CR79" i="67" s="1"/>
  <c r="AS79" i="67"/>
  <c r="CC79" i="67" s="1"/>
  <c r="AR79" i="67"/>
  <c r="CB79" i="67" s="1"/>
  <c r="AQ79" i="67"/>
  <c r="AP79" i="67"/>
  <c r="BZ79" i="67" s="1"/>
  <c r="AO79" i="67"/>
  <c r="AL79" i="67"/>
  <c r="AK79" i="67"/>
  <c r="AJ79" i="67"/>
  <c r="AI79" i="67"/>
  <c r="AH79" i="67"/>
  <c r="AG79" i="67"/>
  <c r="AF79" i="67"/>
  <c r="AE79" i="67"/>
  <c r="AD79" i="67"/>
  <c r="AC79" i="67"/>
  <c r="AB79" i="67"/>
  <c r="AA79" i="67"/>
  <c r="Z79" i="67"/>
  <c r="Y79" i="67"/>
  <c r="X79" i="67"/>
  <c r="W79" i="67"/>
  <c r="C79" i="67"/>
  <c r="B79" i="67"/>
  <c r="BT78" i="67"/>
  <c r="BC78" i="67"/>
  <c r="CM78" i="67" s="1"/>
  <c r="BB78" i="67"/>
  <c r="CL78" i="67" s="1"/>
  <c r="BA78" i="67"/>
  <c r="CY78" i="67" s="1"/>
  <c r="AZ78" i="67"/>
  <c r="AY78" i="67"/>
  <c r="CW78" i="67" s="1"/>
  <c r="AX78" i="67"/>
  <c r="AW78" i="67"/>
  <c r="AV78" i="67"/>
  <c r="AU78" i="67"/>
  <c r="AT78" i="67"/>
  <c r="CD78" i="67" s="1"/>
  <c r="AS78" i="67"/>
  <c r="CQ78" i="67" s="1"/>
  <c r="AR78" i="67"/>
  <c r="CP78" i="67" s="1"/>
  <c r="AQ78" i="67"/>
  <c r="CO78" i="67" s="1"/>
  <c r="AP78" i="67"/>
  <c r="CN78" i="67" s="1"/>
  <c r="AO78" i="67"/>
  <c r="AL78" i="67"/>
  <c r="AK78" i="67"/>
  <c r="AJ78" i="67"/>
  <c r="AI78" i="67"/>
  <c r="AH78" i="67"/>
  <c r="AG78" i="67"/>
  <c r="AF78" i="67"/>
  <c r="AE78" i="67"/>
  <c r="AD78" i="67"/>
  <c r="AC78" i="67"/>
  <c r="AA78" i="67"/>
  <c r="Z78" i="67"/>
  <c r="Y78" i="67"/>
  <c r="X78" i="67"/>
  <c r="W78" i="67"/>
  <c r="C78" i="67"/>
  <c r="B78" i="67"/>
  <c r="BT77" i="67"/>
  <c r="BC77" i="67"/>
  <c r="CM77" i="67" s="1"/>
  <c r="BB77" i="67"/>
  <c r="CZ77" i="67" s="1"/>
  <c r="BA77" i="67"/>
  <c r="CY77" i="67" s="1"/>
  <c r="AZ77" i="67"/>
  <c r="AY77" i="67"/>
  <c r="CW77" i="67" s="1"/>
  <c r="AX77" i="67"/>
  <c r="CH77" i="67" s="1"/>
  <c r="AW77" i="67"/>
  <c r="CG77" i="67" s="1"/>
  <c r="AV77" i="67"/>
  <c r="AU77" i="67"/>
  <c r="CE77" i="67" s="1"/>
  <c r="AT77" i="67"/>
  <c r="AS77" i="67"/>
  <c r="CQ77" i="67" s="1"/>
  <c r="AR77" i="67"/>
  <c r="CB77" i="67" s="1"/>
  <c r="AQ77" i="67"/>
  <c r="AP77" i="67"/>
  <c r="AO77" i="67"/>
  <c r="AL77" i="67"/>
  <c r="AK77" i="67"/>
  <c r="AJ77" i="67"/>
  <c r="AI77" i="67"/>
  <c r="AH77" i="67"/>
  <c r="AG77" i="67"/>
  <c r="AF77" i="67"/>
  <c r="AE77" i="67"/>
  <c r="AD77" i="67"/>
  <c r="AC77" i="67"/>
  <c r="AB77" i="67"/>
  <c r="AA77" i="67"/>
  <c r="Z77" i="67"/>
  <c r="Y77" i="67"/>
  <c r="X77" i="67"/>
  <c r="W77" i="67"/>
  <c r="C77" i="67"/>
  <c r="B77" i="67"/>
  <c r="BT76" i="67"/>
  <c r="BC76" i="67"/>
  <c r="BB76" i="67"/>
  <c r="CZ76" i="67" s="1"/>
  <c r="BA76" i="67"/>
  <c r="CY76" i="67" s="1"/>
  <c r="AZ76" i="67"/>
  <c r="AY76" i="67"/>
  <c r="AX76" i="67"/>
  <c r="CV76" i="67" s="1"/>
  <c r="AW76" i="67"/>
  <c r="AV76" i="67"/>
  <c r="CT76" i="67" s="1"/>
  <c r="AU76" i="67"/>
  <c r="CE76" i="67" s="1"/>
  <c r="AT76" i="67"/>
  <c r="CR76" i="67" s="1"/>
  <c r="AS76" i="67"/>
  <c r="AR76" i="67"/>
  <c r="CB76" i="67" s="1"/>
  <c r="AQ76" i="67"/>
  <c r="CO76" i="67" s="1"/>
  <c r="AP76" i="67"/>
  <c r="BZ76" i="67" s="1"/>
  <c r="AO76" i="67"/>
  <c r="AL76" i="67"/>
  <c r="AK76" i="67"/>
  <c r="AJ76" i="67"/>
  <c r="AI76" i="67"/>
  <c r="AH76" i="67"/>
  <c r="AG76" i="67"/>
  <c r="AF76" i="67"/>
  <c r="AE76" i="67"/>
  <c r="AD76" i="67"/>
  <c r="AC76" i="67"/>
  <c r="AB76" i="67"/>
  <c r="AA76" i="67"/>
  <c r="Y76" i="67"/>
  <c r="X76" i="67"/>
  <c r="W76" i="67"/>
  <c r="C76" i="67"/>
  <c r="B76" i="67"/>
  <c r="BT75" i="67"/>
  <c r="BC75" i="67"/>
  <c r="DA75" i="67" s="1"/>
  <c r="BB75" i="67"/>
  <c r="CZ75" i="67" s="1"/>
  <c r="BA75" i="67"/>
  <c r="AZ75" i="67"/>
  <c r="CX75" i="67" s="1"/>
  <c r="AY75" i="67"/>
  <c r="AX75" i="67"/>
  <c r="AW75" i="67"/>
  <c r="AV75" i="67"/>
  <c r="CF75" i="67" s="1"/>
  <c r="AU75" i="67"/>
  <c r="CS75" i="67" s="1"/>
  <c r="AT75" i="67"/>
  <c r="CR75" i="67" s="1"/>
  <c r="AS75" i="67"/>
  <c r="AR75" i="67"/>
  <c r="CP75" i="67" s="1"/>
  <c r="AQ75" i="67"/>
  <c r="CA75" i="67" s="1"/>
  <c r="AP75" i="67"/>
  <c r="AO75" i="67"/>
  <c r="AL75" i="67"/>
  <c r="AK75" i="67"/>
  <c r="AJ75" i="67"/>
  <c r="AI75" i="67"/>
  <c r="AH75" i="67"/>
  <c r="AG75" i="67"/>
  <c r="AF75" i="67"/>
  <c r="AE75" i="67"/>
  <c r="AD75" i="67"/>
  <c r="AC75" i="67"/>
  <c r="AB75" i="67"/>
  <c r="AA75" i="67"/>
  <c r="Z75" i="67"/>
  <c r="Y75" i="67"/>
  <c r="X75" i="67"/>
  <c r="W75" i="67"/>
  <c r="C75" i="67"/>
  <c r="B75" i="67"/>
  <c r="BT74" i="67"/>
  <c r="BC74" i="67"/>
  <c r="BB74" i="67"/>
  <c r="CZ74" i="67" s="1"/>
  <c r="BA74" i="67"/>
  <c r="AZ74" i="67"/>
  <c r="CX74" i="67" s="1"/>
  <c r="AY74" i="67"/>
  <c r="AX74" i="67"/>
  <c r="AW74" i="67"/>
  <c r="AV74" i="67"/>
  <c r="AU74" i="67"/>
  <c r="CS74" i="67" s="1"/>
  <c r="AT74" i="67"/>
  <c r="CR74" i="67" s="1"/>
  <c r="AS74" i="67"/>
  <c r="CQ74" i="67" s="1"/>
  <c r="AR74" i="67"/>
  <c r="CB74" i="67" s="1"/>
  <c r="AQ74" i="67"/>
  <c r="CA74" i="67" s="1"/>
  <c r="AP74" i="67"/>
  <c r="CN74" i="67" s="1"/>
  <c r="AO74" i="67"/>
  <c r="AL74" i="67"/>
  <c r="AK74" i="67"/>
  <c r="AJ74" i="67"/>
  <c r="AI74" i="67"/>
  <c r="AH74" i="67"/>
  <c r="AG74" i="67"/>
  <c r="AF74" i="67"/>
  <c r="AE74" i="67"/>
  <c r="AD74" i="67"/>
  <c r="AC74" i="67"/>
  <c r="AB74" i="67"/>
  <c r="AA74" i="67"/>
  <c r="Z74" i="67"/>
  <c r="Y74" i="67"/>
  <c r="X74" i="67"/>
  <c r="W74" i="67"/>
  <c r="C74" i="67"/>
  <c r="B74" i="67"/>
  <c r="BT73" i="67"/>
  <c r="BT121" i="67" s="1"/>
  <c r="BO73" i="67"/>
  <c r="BN73" i="67"/>
  <c r="BN85" i="67" s="1"/>
  <c r="BN97" i="67" s="1"/>
  <c r="BN109" i="67" s="1"/>
  <c r="BN121" i="67" s="1"/>
  <c r="BM73" i="67"/>
  <c r="BM85" i="67" s="1"/>
  <c r="BM97" i="67" s="1"/>
  <c r="BM109" i="67" s="1"/>
  <c r="BM121" i="67" s="1"/>
  <c r="BL73" i="67"/>
  <c r="BL85" i="67" s="1"/>
  <c r="BL97" i="67" s="1"/>
  <c r="BL109" i="67" s="1"/>
  <c r="BL121" i="67" s="1"/>
  <c r="BK73" i="67"/>
  <c r="BK85" i="67" s="1"/>
  <c r="BK97" i="67" s="1"/>
  <c r="BK109" i="67" s="1"/>
  <c r="BK121" i="67" s="1"/>
  <c r="BJ73" i="67"/>
  <c r="BJ85" i="67" s="1"/>
  <c r="BJ97" i="67" s="1"/>
  <c r="BJ109" i="67" s="1"/>
  <c r="BJ121" i="67" s="1"/>
  <c r="BI73" i="67"/>
  <c r="BI85" i="67" s="1"/>
  <c r="BI97" i="67" s="1"/>
  <c r="BI109" i="67" s="1"/>
  <c r="BI121" i="67" s="1"/>
  <c r="BH73" i="67"/>
  <c r="BH85" i="67" s="1"/>
  <c r="BH97" i="67" s="1"/>
  <c r="BH109" i="67" s="1"/>
  <c r="BH121" i="67" s="1"/>
  <c r="BG73" i="67"/>
  <c r="BG85" i="67" s="1"/>
  <c r="BG97" i="67" s="1"/>
  <c r="BG109" i="67" s="1"/>
  <c r="BG121" i="67" s="1"/>
  <c r="BF73" i="67"/>
  <c r="BF85" i="67" s="1"/>
  <c r="BF97" i="67" s="1"/>
  <c r="BF109" i="67" s="1"/>
  <c r="BF121" i="67" s="1"/>
  <c r="BE73" i="67"/>
  <c r="BE85" i="67" s="1"/>
  <c r="BE97" i="67" s="1"/>
  <c r="BE109" i="67" s="1"/>
  <c r="BE121" i="67" s="1"/>
  <c r="BD73" i="67"/>
  <c r="BD85" i="67" s="1"/>
  <c r="BD97" i="67" s="1"/>
  <c r="BD109" i="67" s="1"/>
  <c r="BD121" i="67" s="1"/>
  <c r="BC73" i="67"/>
  <c r="CM73" i="67" s="1"/>
  <c r="BB73" i="67"/>
  <c r="CL73" i="67" s="1"/>
  <c r="BA73" i="67"/>
  <c r="CY73" i="67" s="1"/>
  <c r="AZ73" i="67"/>
  <c r="AY73" i="67"/>
  <c r="AX73" i="67"/>
  <c r="AW73" i="67"/>
  <c r="AV73" i="67"/>
  <c r="AU73" i="67"/>
  <c r="AT73" i="67"/>
  <c r="CD73" i="67" s="1"/>
  <c r="AS73" i="67"/>
  <c r="CQ73" i="67" s="1"/>
  <c r="AR73" i="67"/>
  <c r="CP73" i="67" s="1"/>
  <c r="AQ73" i="67"/>
  <c r="CO73" i="67" s="1"/>
  <c r="AP73" i="67"/>
  <c r="AO73" i="67"/>
  <c r="AL73" i="67"/>
  <c r="AK73" i="67"/>
  <c r="AJ73" i="67"/>
  <c r="AI73" i="67"/>
  <c r="AH73" i="67"/>
  <c r="AG73" i="67"/>
  <c r="AF73" i="67"/>
  <c r="AE73" i="67"/>
  <c r="AD73" i="67"/>
  <c r="AC73" i="67"/>
  <c r="AB73" i="67"/>
  <c r="AA73" i="67"/>
  <c r="Y73" i="67"/>
  <c r="X73" i="67"/>
  <c r="W73" i="67"/>
  <c r="C73" i="67"/>
  <c r="B73" i="67"/>
  <c r="BT72" i="67"/>
  <c r="BT120" i="67" s="1"/>
  <c r="BO72" i="67"/>
  <c r="BN72" i="67"/>
  <c r="BN84" i="67" s="1"/>
  <c r="BN96" i="67" s="1"/>
  <c r="BN108" i="67" s="1"/>
  <c r="BN120" i="67" s="1"/>
  <c r="BM72" i="67"/>
  <c r="BM84" i="67" s="1"/>
  <c r="BM96" i="67" s="1"/>
  <c r="BM108" i="67" s="1"/>
  <c r="BM120" i="67" s="1"/>
  <c r="BL72" i="67"/>
  <c r="BL84" i="67" s="1"/>
  <c r="BL96" i="67" s="1"/>
  <c r="BL108" i="67" s="1"/>
  <c r="BL120" i="67" s="1"/>
  <c r="BK72" i="67"/>
  <c r="BK84" i="67" s="1"/>
  <c r="BK96" i="67" s="1"/>
  <c r="BK108" i="67" s="1"/>
  <c r="BK120" i="67" s="1"/>
  <c r="BJ72" i="67"/>
  <c r="BJ84" i="67" s="1"/>
  <c r="BJ96" i="67" s="1"/>
  <c r="BJ108" i="67" s="1"/>
  <c r="BJ120" i="67" s="1"/>
  <c r="BI72" i="67"/>
  <c r="BI84" i="67" s="1"/>
  <c r="BI96" i="67" s="1"/>
  <c r="BI108" i="67" s="1"/>
  <c r="BI120" i="67" s="1"/>
  <c r="BH72" i="67"/>
  <c r="BH84" i="67" s="1"/>
  <c r="BH96" i="67" s="1"/>
  <c r="BH108" i="67" s="1"/>
  <c r="BH120" i="67" s="1"/>
  <c r="BG72" i="67"/>
  <c r="BG84" i="67" s="1"/>
  <c r="BG96" i="67" s="1"/>
  <c r="BG108" i="67" s="1"/>
  <c r="BG120" i="67" s="1"/>
  <c r="BF72" i="67"/>
  <c r="BF84" i="67" s="1"/>
  <c r="BF96" i="67" s="1"/>
  <c r="BF108" i="67" s="1"/>
  <c r="BF120" i="67" s="1"/>
  <c r="BE72" i="67"/>
  <c r="BE84" i="67" s="1"/>
  <c r="BE96" i="67" s="1"/>
  <c r="BE108" i="67" s="1"/>
  <c r="BE120" i="67" s="1"/>
  <c r="BD72" i="67"/>
  <c r="BD84" i="67" s="1"/>
  <c r="BD96" i="67" s="1"/>
  <c r="BD108" i="67" s="1"/>
  <c r="BD120" i="67" s="1"/>
  <c r="BC72" i="67"/>
  <c r="CM72" i="67" s="1"/>
  <c r="BB72" i="67"/>
  <c r="CZ72" i="67" s="1"/>
  <c r="BA72" i="67"/>
  <c r="AZ72" i="67"/>
  <c r="AY72" i="67"/>
  <c r="CW72" i="67" s="1"/>
  <c r="AX72" i="67"/>
  <c r="AW72" i="67"/>
  <c r="AV72" i="67"/>
  <c r="AU72" i="67"/>
  <c r="AT72" i="67"/>
  <c r="AS72" i="67"/>
  <c r="CC72" i="67" s="1"/>
  <c r="AR72" i="67"/>
  <c r="AQ72" i="67"/>
  <c r="CO72" i="67" s="1"/>
  <c r="AP72" i="67"/>
  <c r="BZ72" i="67" s="1"/>
  <c r="AO72" i="67"/>
  <c r="AL72" i="67"/>
  <c r="AK72" i="67"/>
  <c r="AJ72" i="67"/>
  <c r="AI72" i="67"/>
  <c r="AH72" i="67"/>
  <c r="AG72" i="67"/>
  <c r="AF72" i="67"/>
  <c r="AE72" i="67"/>
  <c r="AD72" i="67"/>
  <c r="AC72" i="67"/>
  <c r="AA72" i="67"/>
  <c r="Z72" i="67"/>
  <c r="Y72" i="67"/>
  <c r="X72" i="67"/>
  <c r="W72" i="67"/>
  <c r="C72" i="67"/>
  <c r="B72" i="67"/>
  <c r="BT71" i="67"/>
  <c r="BT119" i="67" s="1"/>
  <c r="BO71" i="67"/>
  <c r="BN71" i="67"/>
  <c r="BN83" i="67" s="1"/>
  <c r="BN95" i="67" s="1"/>
  <c r="BN107" i="67" s="1"/>
  <c r="BN119" i="67" s="1"/>
  <c r="BM71" i="67"/>
  <c r="BM83" i="67" s="1"/>
  <c r="BM95" i="67" s="1"/>
  <c r="BM107" i="67" s="1"/>
  <c r="BM119" i="67" s="1"/>
  <c r="BL71" i="67"/>
  <c r="BL83" i="67" s="1"/>
  <c r="BL95" i="67" s="1"/>
  <c r="BL107" i="67" s="1"/>
  <c r="BL119" i="67" s="1"/>
  <c r="BK71" i="67"/>
  <c r="BK83" i="67" s="1"/>
  <c r="BK95" i="67" s="1"/>
  <c r="BK107" i="67" s="1"/>
  <c r="BK119" i="67" s="1"/>
  <c r="BJ71" i="67"/>
  <c r="BJ83" i="67" s="1"/>
  <c r="BJ95" i="67" s="1"/>
  <c r="BJ107" i="67" s="1"/>
  <c r="BJ119" i="67" s="1"/>
  <c r="BI71" i="67"/>
  <c r="BI83" i="67" s="1"/>
  <c r="BI95" i="67" s="1"/>
  <c r="BI107" i="67" s="1"/>
  <c r="BI119" i="67" s="1"/>
  <c r="BH71" i="67"/>
  <c r="BH83" i="67" s="1"/>
  <c r="BH95" i="67" s="1"/>
  <c r="BH107" i="67" s="1"/>
  <c r="BH119" i="67" s="1"/>
  <c r="BG71" i="67"/>
  <c r="BG83" i="67" s="1"/>
  <c r="BG95" i="67" s="1"/>
  <c r="BG107" i="67" s="1"/>
  <c r="BG119" i="67" s="1"/>
  <c r="BF71" i="67"/>
  <c r="BF83" i="67" s="1"/>
  <c r="BF95" i="67" s="1"/>
  <c r="BF107" i="67" s="1"/>
  <c r="BF119" i="67" s="1"/>
  <c r="BE71" i="67"/>
  <c r="BE83" i="67" s="1"/>
  <c r="BE95" i="67" s="1"/>
  <c r="BE107" i="67" s="1"/>
  <c r="BE119" i="67" s="1"/>
  <c r="BD71" i="67"/>
  <c r="BD83" i="67" s="1"/>
  <c r="BD95" i="67" s="1"/>
  <c r="BD107" i="67" s="1"/>
  <c r="BD119" i="67" s="1"/>
  <c r="BC71" i="67"/>
  <c r="CM71" i="67" s="1"/>
  <c r="BB71" i="67"/>
  <c r="CZ71" i="67" s="1"/>
  <c r="BA71" i="67"/>
  <c r="CY71" i="67" s="1"/>
  <c r="AZ71" i="67"/>
  <c r="AY71" i="67"/>
  <c r="CI71" i="67" s="1"/>
  <c r="AX71" i="67"/>
  <c r="CH71" i="67" s="1"/>
  <c r="AW71" i="67"/>
  <c r="AV71" i="67"/>
  <c r="AU71" i="67"/>
  <c r="AT71" i="67"/>
  <c r="CR71" i="67" s="1"/>
  <c r="AS71" i="67"/>
  <c r="CQ71" i="67" s="1"/>
  <c r="AR71" i="67"/>
  <c r="AQ71" i="67"/>
  <c r="CO71" i="67" s="1"/>
  <c r="AP71" i="67"/>
  <c r="CN71" i="67" s="1"/>
  <c r="AO71" i="67"/>
  <c r="AL71" i="67"/>
  <c r="AK71" i="67"/>
  <c r="AJ71" i="67"/>
  <c r="AI71" i="67"/>
  <c r="AH71" i="67"/>
  <c r="AG71" i="67"/>
  <c r="AF71" i="67"/>
  <c r="AE71" i="67"/>
  <c r="AD71" i="67"/>
  <c r="AC71" i="67"/>
  <c r="AB71" i="67"/>
  <c r="AA71" i="67"/>
  <c r="Z71" i="67"/>
  <c r="Y71" i="67"/>
  <c r="X71" i="67"/>
  <c r="W71" i="67"/>
  <c r="C71" i="67"/>
  <c r="B71" i="67"/>
  <c r="BT70" i="67"/>
  <c r="BT118" i="67" s="1"/>
  <c r="BO70" i="67"/>
  <c r="BN70" i="67"/>
  <c r="BN82" i="67" s="1"/>
  <c r="BN94" i="67" s="1"/>
  <c r="BN106" i="67" s="1"/>
  <c r="BN118" i="67" s="1"/>
  <c r="BM70" i="67"/>
  <c r="BM82" i="67" s="1"/>
  <c r="BM94" i="67" s="1"/>
  <c r="BM106" i="67" s="1"/>
  <c r="BM118" i="67" s="1"/>
  <c r="BL70" i="67"/>
  <c r="BL82" i="67" s="1"/>
  <c r="BL94" i="67" s="1"/>
  <c r="BL106" i="67" s="1"/>
  <c r="BL118" i="67" s="1"/>
  <c r="BK70" i="67"/>
  <c r="BK82" i="67" s="1"/>
  <c r="BK94" i="67" s="1"/>
  <c r="BK106" i="67" s="1"/>
  <c r="BK118" i="67" s="1"/>
  <c r="BJ70" i="67"/>
  <c r="BJ82" i="67" s="1"/>
  <c r="BJ94" i="67" s="1"/>
  <c r="BJ106" i="67" s="1"/>
  <c r="BJ118" i="67" s="1"/>
  <c r="BI70" i="67"/>
  <c r="BI82" i="67" s="1"/>
  <c r="BI94" i="67" s="1"/>
  <c r="BI106" i="67" s="1"/>
  <c r="BI118" i="67" s="1"/>
  <c r="BH70" i="67"/>
  <c r="BH82" i="67" s="1"/>
  <c r="BH94" i="67" s="1"/>
  <c r="BH106" i="67" s="1"/>
  <c r="BH118" i="67" s="1"/>
  <c r="BG70" i="67"/>
  <c r="BG82" i="67" s="1"/>
  <c r="BG94" i="67" s="1"/>
  <c r="BG106" i="67" s="1"/>
  <c r="BG118" i="67" s="1"/>
  <c r="BF70" i="67"/>
  <c r="BF82" i="67" s="1"/>
  <c r="BF94" i="67" s="1"/>
  <c r="BF106" i="67" s="1"/>
  <c r="BF118" i="67" s="1"/>
  <c r="BE70" i="67"/>
  <c r="BE82" i="67" s="1"/>
  <c r="BE94" i="67" s="1"/>
  <c r="BE106" i="67" s="1"/>
  <c r="BE118" i="67" s="1"/>
  <c r="BD70" i="67"/>
  <c r="BD82" i="67" s="1"/>
  <c r="BD94" i="67" s="1"/>
  <c r="BD106" i="67" s="1"/>
  <c r="BD118" i="67" s="1"/>
  <c r="BC70" i="67"/>
  <c r="CM70" i="67" s="1"/>
  <c r="BB70" i="67"/>
  <c r="CL70" i="67" s="1"/>
  <c r="BA70" i="67"/>
  <c r="CK70" i="67" s="1"/>
  <c r="AZ70" i="67"/>
  <c r="AY70" i="67"/>
  <c r="AX70" i="67"/>
  <c r="CH70" i="67" s="1"/>
  <c r="AW70" i="67"/>
  <c r="AV70" i="67"/>
  <c r="CF70" i="67" s="1"/>
  <c r="AU70" i="67"/>
  <c r="CE70" i="67" s="1"/>
  <c r="AT70" i="67"/>
  <c r="CR70" i="67" s="1"/>
  <c r="AS70" i="67"/>
  <c r="CQ70" i="67" s="1"/>
  <c r="AR70" i="67"/>
  <c r="CP70" i="67" s="1"/>
  <c r="AQ70" i="67"/>
  <c r="CO70" i="67" s="1"/>
  <c r="AP70" i="67"/>
  <c r="AO70" i="67"/>
  <c r="AL70" i="67"/>
  <c r="AK70" i="67"/>
  <c r="AJ70" i="67"/>
  <c r="AI70" i="67"/>
  <c r="AH70" i="67"/>
  <c r="AG70" i="67"/>
  <c r="AF70" i="67"/>
  <c r="AE70" i="67"/>
  <c r="AD70" i="67"/>
  <c r="AC70" i="67"/>
  <c r="AA70" i="67"/>
  <c r="Z70" i="67"/>
  <c r="Y70" i="67"/>
  <c r="X70" i="67"/>
  <c r="W70" i="67"/>
  <c r="C70" i="67"/>
  <c r="B70" i="67"/>
  <c r="BT69" i="67"/>
  <c r="BT117" i="67" s="1"/>
  <c r="BO69" i="67"/>
  <c r="BN69" i="67"/>
  <c r="BN81" i="67" s="1"/>
  <c r="BN93" i="67" s="1"/>
  <c r="BN105" i="67" s="1"/>
  <c r="BN117" i="67" s="1"/>
  <c r="BM69" i="67"/>
  <c r="BM81" i="67" s="1"/>
  <c r="BM93" i="67" s="1"/>
  <c r="BM105" i="67" s="1"/>
  <c r="BM117" i="67" s="1"/>
  <c r="BL69" i="67"/>
  <c r="BL81" i="67" s="1"/>
  <c r="BL93" i="67" s="1"/>
  <c r="BL105" i="67" s="1"/>
  <c r="BL117" i="67" s="1"/>
  <c r="BK69" i="67"/>
  <c r="BK81" i="67" s="1"/>
  <c r="BK93" i="67" s="1"/>
  <c r="BK105" i="67" s="1"/>
  <c r="BK117" i="67" s="1"/>
  <c r="BJ69" i="67"/>
  <c r="BJ81" i="67" s="1"/>
  <c r="BJ93" i="67" s="1"/>
  <c r="BJ105" i="67" s="1"/>
  <c r="BJ117" i="67" s="1"/>
  <c r="BI69" i="67"/>
  <c r="BI81" i="67" s="1"/>
  <c r="BI93" i="67" s="1"/>
  <c r="BI105" i="67" s="1"/>
  <c r="BI117" i="67" s="1"/>
  <c r="BH69" i="67"/>
  <c r="BH81" i="67" s="1"/>
  <c r="BH93" i="67" s="1"/>
  <c r="BH105" i="67" s="1"/>
  <c r="BH117" i="67" s="1"/>
  <c r="BG69" i="67"/>
  <c r="BG81" i="67" s="1"/>
  <c r="BG93" i="67" s="1"/>
  <c r="BG105" i="67" s="1"/>
  <c r="BG117" i="67" s="1"/>
  <c r="BF69" i="67"/>
  <c r="BF81" i="67" s="1"/>
  <c r="BF93" i="67" s="1"/>
  <c r="BF105" i="67" s="1"/>
  <c r="BF117" i="67" s="1"/>
  <c r="BE69" i="67"/>
  <c r="BE81" i="67" s="1"/>
  <c r="BE93" i="67" s="1"/>
  <c r="BE105" i="67" s="1"/>
  <c r="BE117" i="67" s="1"/>
  <c r="BD69" i="67"/>
  <c r="BD81" i="67" s="1"/>
  <c r="BD93" i="67" s="1"/>
  <c r="BD105" i="67" s="1"/>
  <c r="BD117" i="67" s="1"/>
  <c r="BC69" i="67"/>
  <c r="DA69" i="67" s="1"/>
  <c r="BB69" i="67"/>
  <c r="CZ69" i="67" s="1"/>
  <c r="BA69" i="67"/>
  <c r="CK69" i="67" s="1"/>
  <c r="AZ69" i="67"/>
  <c r="CJ69" i="67" s="1"/>
  <c r="AY69" i="67"/>
  <c r="CW69" i="67" s="1"/>
  <c r="AX69" i="67"/>
  <c r="CH69" i="67" s="1"/>
  <c r="AW69" i="67"/>
  <c r="CU69" i="67" s="1"/>
  <c r="AV69" i="67"/>
  <c r="AU69" i="67"/>
  <c r="CE69" i="67" s="1"/>
  <c r="AT69" i="67"/>
  <c r="AS69" i="67"/>
  <c r="AR69" i="67"/>
  <c r="AQ69" i="67"/>
  <c r="AP69" i="67"/>
  <c r="AO69" i="67"/>
  <c r="AL69" i="67"/>
  <c r="AK69" i="67"/>
  <c r="AJ69" i="67"/>
  <c r="AI69" i="67"/>
  <c r="AH69" i="67"/>
  <c r="AG69" i="67"/>
  <c r="AF69" i="67"/>
  <c r="AE69" i="67"/>
  <c r="AD69" i="67"/>
  <c r="AC69" i="67"/>
  <c r="AB69" i="67"/>
  <c r="AA69" i="67"/>
  <c r="Z69" i="67"/>
  <c r="Y69" i="67"/>
  <c r="X69" i="67"/>
  <c r="W69" i="67"/>
  <c r="C69" i="67"/>
  <c r="B69" i="67"/>
  <c r="BT68" i="67"/>
  <c r="BT116" i="67" s="1"/>
  <c r="BO68" i="67"/>
  <c r="BN68" i="67"/>
  <c r="BN80" i="67" s="1"/>
  <c r="BN92" i="67" s="1"/>
  <c r="BN104" i="67" s="1"/>
  <c r="BN116" i="67" s="1"/>
  <c r="BM68" i="67"/>
  <c r="BM80" i="67" s="1"/>
  <c r="BM92" i="67" s="1"/>
  <c r="BM104" i="67" s="1"/>
  <c r="BM116" i="67" s="1"/>
  <c r="BL68" i="67"/>
  <c r="BL80" i="67" s="1"/>
  <c r="BL92" i="67" s="1"/>
  <c r="BL104" i="67" s="1"/>
  <c r="BL116" i="67" s="1"/>
  <c r="BK68" i="67"/>
  <c r="BK80" i="67" s="1"/>
  <c r="BK92" i="67" s="1"/>
  <c r="BK104" i="67" s="1"/>
  <c r="BK116" i="67" s="1"/>
  <c r="BJ68" i="67"/>
  <c r="BJ80" i="67" s="1"/>
  <c r="BJ92" i="67" s="1"/>
  <c r="BJ104" i="67" s="1"/>
  <c r="BJ116" i="67" s="1"/>
  <c r="BI68" i="67"/>
  <c r="BI80" i="67" s="1"/>
  <c r="BI92" i="67" s="1"/>
  <c r="BI104" i="67" s="1"/>
  <c r="BI116" i="67" s="1"/>
  <c r="BH68" i="67"/>
  <c r="BH80" i="67" s="1"/>
  <c r="BH92" i="67" s="1"/>
  <c r="BH104" i="67" s="1"/>
  <c r="BH116" i="67" s="1"/>
  <c r="BG68" i="67"/>
  <c r="BG80" i="67" s="1"/>
  <c r="BG92" i="67" s="1"/>
  <c r="BG104" i="67" s="1"/>
  <c r="BG116" i="67" s="1"/>
  <c r="BF68" i="67"/>
  <c r="BF80" i="67" s="1"/>
  <c r="BF92" i="67" s="1"/>
  <c r="BF104" i="67" s="1"/>
  <c r="BF116" i="67" s="1"/>
  <c r="BE68" i="67"/>
  <c r="BE80" i="67" s="1"/>
  <c r="BE92" i="67" s="1"/>
  <c r="BE104" i="67" s="1"/>
  <c r="BE116" i="67" s="1"/>
  <c r="BD68" i="67"/>
  <c r="BD80" i="67" s="1"/>
  <c r="BD92" i="67" s="1"/>
  <c r="BD104" i="67" s="1"/>
  <c r="BD116" i="67" s="1"/>
  <c r="BC68" i="67"/>
  <c r="CM68" i="67" s="1"/>
  <c r="BB68" i="67"/>
  <c r="CL68" i="67" s="1"/>
  <c r="BA68" i="67"/>
  <c r="AZ68" i="67"/>
  <c r="AY68" i="67"/>
  <c r="CI68" i="67" s="1"/>
  <c r="AX68" i="67"/>
  <c r="CH68" i="67" s="1"/>
  <c r="AW68" i="67"/>
  <c r="CU68" i="67" s="1"/>
  <c r="AV68" i="67"/>
  <c r="CT68" i="67" s="1"/>
  <c r="AU68" i="67"/>
  <c r="CE68" i="67" s="1"/>
  <c r="AT68" i="67"/>
  <c r="CR68" i="67" s="1"/>
  <c r="AS68" i="67"/>
  <c r="CQ68" i="67" s="1"/>
  <c r="AR68" i="67"/>
  <c r="CP68" i="67" s="1"/>
  <c r="AQ68" i="67"/>
  <c r="CO68" i="67" s="1"/>
  <c r="AP68" i="67"/>
  <c r="AO68" i="67"/>
  <c r="AL68" i="67"/>
  <c r="AK68" i="67"/>
  <c r="AJ68" i="67"/>
  <c r="AI68" i="67"/>
  <c r="AH68" i="67"/>
  <c r="AG68" i="67"/>
  <c r="AF68" i="67"/>
  <c r="AE68" i="67"/>
  <c r="AD68" i="67"/>
  <c r="AC68" i="67"/>
  <c r="AB68" i="67"/>
  <c r="AA68" i="67"/>
  <c r="Y68" i="67"/>
  <c r="X68" i="67"/>
  <c r="W68" i="67"/>
  <c r="C68" i="67"/>
  <c r="B68" i="67"/>
  <c r="BT67" i="67"/>
  <c r="BO67" i="67"/>
  <c r="BN67" i="67"/>
  <c r="BN79" i="67" s="1"/>
  <c r="BN91" i="67" s="1"/>
  <c r="BN103" i="67" s="1"/>
  <c r="BN115" i="67" s="1"/>
  <c r="BM67" i="67"/>
  <c r="BM79" i="67" s="1"/>
  <c r="BM91" i="67" s="1"/>
  <c r="BM103" i="67" s="1"/>
  <c r="BM115" i="67" s="1"/>
  <c r="BL67" i="67"/>
  <c r="BL79" i="67" s="1"/>
  <c r="BL91" i="67" s="1"/>
  <c r="BL103" i="67" s="1"/>
  <c r="BL115" i="67" s="1"/>
  <c r="BK67" i="67"/>
  <c r="BK79" i="67" s="1"/>
  <c r="BK91" i="67" s="1"/>
  <c r="BK103" i="67" s="1"/>
  <c r="BK115" i="67" s="1"/>
  <c r="BJ67" i="67"/>
  <c r="BJ79" i="67" s="1"/>
  <c r="BJ91" i="67" s="1"/>
  <c r="BJ103" i="67" s="1"/>
  <c r="BJ115" i="67" s="1"/>
  <c r="BI67" i="67"/>
  <c r="BI79" i="67" s="1"/>
  <c r="BI91" i="67" s="1"/>
  <c r="BI103" i="67" s="1"/>
  <c r="BI115" i="67" s="1"/>
  <c r="BH67" i="67"/>
  <c r="BH79" i="67" s="1"/>
  <c r="BH91" i="67" s="1"/>
  <c r="BH103" i="67" s="1"/>
  <c r="BH115" i="67" s="1"/>
  <c r="BG67" i="67"/>
  <c r="BG79" i="67" s="1"/>
  <c r="BG91" i="67" s="1"/>
  <c r="BG103" i="67" s="1"/>
  <c r="BG115" i="67" s="1"/>
  <c r="BF67" i="67"/>
  <c r="BF79" i="67" s="1"/>
  <c r="BF91" i="67" s="1"/>
  <c r="BF103" i="67" s="1"/>
  <c r="BF115" i="67" s="1"/>
  <c r="BE67" i="67"/>
  <c r="BE79" i="67" s="1"/>
  <c r="BE91" i="67" s="1"/>
  <c r="BE103" i="67" s="1"/>
  <c r="BE115" i="67" s="1"/>
  <c r="BD67" i="67"/>
  <c r="BD79" i="67" s="1"/>
  <c r="BD91" i="67" s="1"/>
  <c r="BD103" i="67" s="1"/>
  <c r="BD115" i="67" s="1"/>
  <c r="BC67" i="67"/>
  <c r="CM67" i="67" s="1"/>
  <c r="BB67" i="67"/>
  <c r="BA67" i="67"/>
  <c r="AZ67" i="67"/>
  <c r="AY67" i="67"/>
  <c r="CI67" i="67" s="1"/>
  <c r="AX67" i="67"/>
  <c r="CV67" i="67" s="1"/>
  <c r="AW67" i="67"/>
  <c r="CG67" i="67" s="1"/>
  <c r="AV67" i="67"/>
  <c r="AU67" i="67"/>
  <c r="CS67" i="67" s="1"/>
  <c r="AT67" i="67"/>
  <c r="CR67" i="67" s="1"/>
  <c r="AS67" i="67"/>
  <c r="CQ67" i="67" s="1"/>
  <c r="AR67" i="67"/>
  <c r="CP67" i="67" s="1"/>
  <c r="AQ67" i="67"/>
  <c r="AP67" i="67"/>
  <c r="AO67" i="67"/>
  <c r="AL67" i="67"/>
  <c r="AK67" i="67"/>
  <c r="AJ67" i="67"/>
  <c r="AI67" i="67"/>
  <c r="AH67" i="67"/>
  <c r="AG67" i="67"/>
  <c r="AF67" i="67"/>
  <c r="AE67" i="67"/>
  <c r="AD67" i="67"/>
  <c r="AC67" i="67"/>
  <c r="Z67" i="67"/>
  <c r="Y67" i="67"/>
  <c r="X67" i="67"/>
  <c r="W67" i="67"/>
  <c r="C67" i="67"/>
  <c r="B67" i="67"/>
  <c r="BT66" i="67"/>
  <c r="BO66" i="67"/>
  <c r="BN66" i="67"/>
  <c r="BN78" i="67" s="1"/>
  <c r="BN90" i="67" s="1"/>
  <c r="BN102" i="67" s="1"/>
  <c r="BN114" i="67" s="1"/>
  <c r="BM66" i="67"/>
  <c r="BM78" i="67" s="1"/>
  <c r="BM90" i="67" s="1"/>
  <c r="BM102" i="67" s="1"/>
  <c r="BM114" i="67" s="1"/>
  <c r="BL66" i="67"/>
  <c r="BL78" i="67" s="1"/>
  <c r="BL90" i="67" s="1"/>
  <c r="BL102" i="67" s="1"/>
  <c r="BL114" i="67" s="1"/>
  <c r="BK66" i="67"/>
  <c r="BK78" i="67" s="1"/>
  <c r="BK90" i="67" s="1"/>
  <c r="BK102" i="67" s="1"/>
  <c r="BK114" i="67" s="1"/>
  <c r="BJ66" i="67"/>
  <c r="BJ78" i="67" s="1"/>
  <c r="BJ90" i="67" s="1"/>
  <c r="BJ102" i="67" s="1"/>
  <c r="BJ114" i="67" s="1"/>
  <c r="BI66" i="67"/>
  <c r="BI78" i="67" s="1"/>
  <c r="BI90" i="67" s="1"/>
  <c r="BI102" i="67" s="1"/>
  <c r="BI114" i="67" s="1"/>
  <c r="BH66" i="67"/>
  <c r="BH78" i="67" s="1"/>
  <c r="BH90" i="67" s="1"/>
  <c r="BH102" i="67" s="1"/>
  <c r="BH114" i="67" s="1"/>
  <c r="BG66" i="67"/>
  <c r="BG78" i="67" s="1"/>
  <c r="BG90" i="67" s="1"/>
  <c r="BG102" i="67" s="1"/>
  <c r="BG114" i="67" s="1"/>
  <c r="BF66" i="67"/>
  <c r="BF78" i="67" s="1"/>
  <c r="BF90" i="67" s="1"/>
  <c r="BF102" i="67" s="1"/>
  <c r="BF114" i="67" s="1"/>
  <c r="BE66" i="67"/>
  <c r="BE78" i="67" s="1"/>
  <c r="BE90" i="67" s="1"/>
  <c r="BE102" i="67" s="1"/>
  <c r="BE114" i="67" s="1"/>
  <c r="BD66" i="67"/>
  <c r="BD78" i="67" s="1"/>
  <c r="BD90" i="67" s="1"/>
  <c r="BD102" i="67" s="1"/>
  <c r="BD114" i="67" s="1"/>
  <c r="BC66" i="67"/>
  <c r="DA66" i="67" s="1"/>
  <c r="BB66" i="67"/>
  <c r="CZ66" i="67" s="1"/>
  <c r="BA66" i="67"/>
  <c r="CK66" i="67" s="1"/>
  <c r="AZ66" i="67"/>
  <c r="CX66" i="67" s="1"/>
  <c r="AY66" i="67"/>
  <c r="CI66" i="67" s="1"/>
  <c r="AX66" i="67"/>
  <c r="AW66" i="67"/>
  <c r="AV66" i="67"/>
  <c r="AU66" i="67"/>
  <c r="AT66" i="67"/>
  <c r="AS66" i="67"/>
  <c r="AR66" i="67"/>
  <c r="AQ66" i="67"/>
  <c r="CA66" i="67" s="1"/>
  <c r="AP66" i="67"/>
  <c r="CN66" i="67" s="1"/>
  <c r="AO66" i="67"/>
  <c r="AL66" i="67"/>
  <c r="AK66" i="67"/>
  <c r="AJ66" i="67"/>
  <c r="AI66" i="67"/>
  <c r="AH66" i="67"/>
  <c r="AG66" i="67"/>
  <c r="AF66" i="67"/>
  <c r="AE66" i="67"/>
  <c r="AD66" i="67"/>
  <c r="AC66" i="67"/>
  <c r="AB66" i="67"/>
  <c r="AA66" i="67"/>
  <c r="Z66" i="67"/>
  <c r="Y66" i="67"/>
  <c r="X66" i="67"/>
  <c r="W66" i="67"/>
  <c r="C66" i="67"/>
  <c r="B66" i="67"/>
  <c r="BT65" i="67"/>
  <c r="BO65" i="67"/>
  <c r="BN65" i="67"/>
  <c r="BN77" i="67" s="1"/>
  <c r="BN89" i="67" s="1"/>
  <c r="BN101" i="67" s="1"/>
  <c r="BN113" i="67" s="1"/>
  <c r="BM65" i="67"/>
  <c r="BM77" i="67" s="1"/>
  <c r="BM89" i="67" s="1"/>
  <c r="BM101" i="67" s="1"/>
  <c r="BM113" i="67" s="1"/>
  <c r="BL65" i="67"/>
  <c r="BL77" i="67" s="1"/>
  <c r="BL89" i="67" s="1"/>
  <c r="BL101" i="67" s="1"/>
  <c r="BL113" i="67" s="1"/>
  <c r="BK65" i="67"/>
  <c r="BK77" i="67" s="1"/>
  <c r="BK89" i="67" s="1"/>
  <c r="BK101" i="67" s="1"/>
  <c r="BK113" i="67" s="1"/>
  <c r="BJ65" i="67"/>
  <c r="BJ77" i="67" s="1"/>
  <c r="BJ89" i="67" s="1"/>
  <c r="BJ101" i="67" s="1"/>
  <c r="BJ113" i="67" s="1"/>
  <c r="BI65" i="67"/>
  <c r="BI77" i="67" s="1"/>
  <c r="BI89" i="67" s="1"/>
  <c r="BI101" i="67" s="1"/>
  <c r="BI113" i="67" s="1"/>
  <c r="BH65" i="67"/>
  <c r="BH77" i="67" s="1"/>
  <c r="BH89" i="67" s="1"/>
  <c r="BH101" i="67" s="1"/>
  <c r="BH113" i="67" s="1"/>
  <c r="BG65" i="67"/>
  <c r="BG77" i="67" s="1"/>
  <c r="BG89" i="67" s="1"/>
  <c r="BG101" i="67" s="1"/>
  <c r="BG113" i="67" s="1"/>
  <c r="BF65" i="67"/>
  <c r="BF77" i="67" s="1"/>
  <c r="BF89" i="67" s="1"/>
  <c r="BF101" i="67" s="1"/>
  <c r="BF113" i="67" s="1"/>
  <c r="BE65" i="67"/>
  <c r="BE77" i="67" s="1"/>
  <c r="BE89" i="67" s="1"/>
  <c r="BE101" i="67" s="1"/>
  <c r="BE113" i="67" s="1"/>
  <c r="BD65" i="67"/>
  <c r="BD77" i="67" s="1"/>
  <c r="BD89" i="67" s="1"/>
  <c r="BD101" i="67" s="1"/>
  <c r="BD113" i="67" s="1"/>
  <c r="BC65" i="67"/>
  <c r="BB65" i="67"/>
  <c r="CL65" i="67" s="1"/>
  <c r="BA65" i="67"/>
  <c r="CK65" i="67" s="1"/>
  <c r="AZ65" i="67"/>
  <c r="CX65" i="67" s="1"/>
  <c r="AY65" i="67"/>
  <c r="AX65" i="67"/>
  <c r="CH65" i="67" s="1"/>
  <c r="AW65" i="67"/>
  <c r="AV65" i="67"/>
  <c r="AU65" i="67"/>
  <c r="AT65" i="67"/>
  <c r="CR65" i="67" s="1"/>
  <c r="AS65" i="67"/>
  <c r="CC65" i="67" s="1"/>
  <c r="AR65" i="67"/>
  <c r="CB65" i="67" s="1"/>
  <c r="AQ65" i="67"/>
  <c r="CA65" i="67" s="1"/>
  <c r="AP65" i="67"/>
  <c r="BZ65" i="67" s="1"/>
  <c r="AO65" i="67"/>
  <c r="AL65" i="67"/>
  <c r="AK65" i="67"/>
  <c r="AJ65" i="67"/>
  <c r="AI65" i="67"/>
  <c r="AH65" i="67"/>
  <c r="AG65" i="67"/>
  <c r="AF65" i="67"/>
  <c r="AE65" i="67"/>
  <c r="AD65" i="67"/>
  <c r="AC65" i="67"/>
  <c r="AB65" i="67"/>
  <c r="Z65" i="67"/>
  <c r="Y65" i="67"/>
  <c r="X65" i="67"/>
  <c r="W65" i="67"/>
  <c r="C65" i="67"/>
  <c r="B65" i="67"/>
  <c r="BT64" i="67"/>
  <c r="BO64" i="67"/>
  <c r="BN64" i="67"/>
  <c r="BN76" i="67" s="1"/>
  <c r="BN88" i="67" s="1"/>
  <c r="BN100" i="67" s="1"/>
  <c r="BN112" i="67" s="1"/>
  <c r="BM64" i="67"/>
  <c r="BM76" i="67" s="1"/>
  <c r="BM88" i="67" s="1"/>
  <c r="BM100" i="67" s="1"/>
  <c r="BM112" i="67" s="1"/>
  <c r="BL64" i="67"/>
  <c r="BL76" i="67" s="1"/>
  <c r="BL88" i="67" s="1"/>
  <c r="BL100" i="67" s="1"/>
  <c r="BL112" i="67" s="1"/>
  <c r="BK64" i="67"/>
  <c r="BK76" i="67" s="1"/>
  <c r="BK88" i="67" s="1"/>
  <c r="BK100" i="67" s="1"/>
  <c r="BK112" i="67" s="1"/>
  <c r="BJ64" i="67"/>
  <c r="BJ76" i="67" s="1"/>
  <c r="BJ88" i="67" s="1"/>
  <c r="BJ100" i="67" s="1"/>
  <c r="BJ112" i="67" s="1"/>
  <c r="BI64" i="67"/>
  <c r="BI76" i="67" s="1"/>
  <c r="BI88" i="67" s="1"/>
  <c r="BI100" i="67" s="1"/>
  <c r="BI112" i="67" s="1"/>
  <c r="BH64" i="67"/>
  <c r="BH76" i="67" s="1"/>
  <c r="BH88" i="67" s="1"/>
  <c r="BH100" i="67" s="1"/>
  <c r="BH112" i="67" s="1"/>
  <c r="BG64" i="67"/>
  <c r="BG76" i="67" s="1"/>
  <c r="BG88" i="67" s="1"/>
  <c r="BG100" i="67" s="1"/>
  <c r="BG112" i="67" s="1"/>
  <c r="BF64" i="67"/>
  <c r="BF76" i="67" s="1"/>
  <c r="BF88" i="67" s="1"/>
  <c r="BF100" i="67" s="1"/>
  <c r="BF112" i="67" s="1"/>
  <c r="BE64" i="67"/>
  <c r="BE76" i="67" s="1"/>
  <c r="BE88" i="67" s="1"/>
  <c r="BE100" i="67" s="1"/>
  <c r="BE112" i="67" s="1"/>
  <c r="BD64" i="67"/>
  <c r="BD76" i="67" s="1"/>
  <c r="BD88" i="67" s="1"/>
  <c r="BD100" i="67" s="1"/>
  <c r="BD112" i="67" s="1"/>
  <c r="BC64" i="67"/>
  <c r="BB64" i="67"/>
  <c r="BA64" i="67"/>
  <c r="CY64" i="67" s="1"/>
  <c r="AZ64" i="67"/>
  <c r="AY64" i="67"/>
  <c r="CI64" i="67" s="1"/>
  <c r="AX64" i="67"/>
  <c r="CH64" i="67" s="1"/>
  <c r="AW64" i="67"/>
  <c r="CU64" i="67" s="1"/>
  <c r="AV64" i="67"/>
  <c r="CF64" i="67" s="1"/>
  <c r="AU64" i="67"/>
  <c r="CS64" i="67" s="1"/>
  <c r="AT64" i="67"/>
  <c r="CD64" i="67" s="1"/>
  <c r="AS64" i="67"/>
  <c r="CC64" i="67" s="1"/>
  <c r="AR64" i="67"/>
  <c r="CB64" i="67" s="1"/>
  <c r="AQ64" i="67"/>
  <c r="CA64" i="67" s="1"/>
  <c r="AP64" i="67"/>
  <c r="CN64" i="67" s="1"/>
  <c r="AO64" i="67"/>
  <c r="AL64" i="67"/>
  <c r="AK64" i="67"/>
  <c r="AJ64" i="67"/>
  <c r="AI64" i="67"/>
  <c r="AH64" i="67"/>
  <c r="AG64" i="67"/>
  <c r="AF64" i="67"/>
  <c r="AE64" i="67"/>
  <c r="AD64" i="67"/>
  <c r="AC64" i="67"/>
  <c r="AB64" i="67"/>
  <c r="AA64" i="67"/>
  <c r="Z64" i="67"/>
  <c r="Y64" i="67"/>
  <c r="X64" i="67"/>
  <c r="W64" i="67"/>
  <c r="C64" i="67"/>
  <c r="B64" i="67"/>
  <c r="BT63" i="67"/>
  <c r="BO63" i="67"/>
  <c r="BN63" i="67"/>
  <c r="BN75" i="67" s="1"/>
  <c r="BN87" i="67" s="1"/>
  <c r="BN99" i="67" s="1"/>
  <c r="BN111" i="67" s="1"/>
  <c r="BM63" i="67"/>
  <c r="BM75" i="67" s="1"/>
  <c r="BM87" i="67" s="1"/>
  <c r="BM99" i="67" s="1"/>
  <c r="BM111" i="67" s="1"/>
  <c r="BL63" i="67"/>
  <c r="BL75" i="67" s="1"/>
  <c r="BL87" i="67" s="1"/>
  <c r="BL99" i="67" s="1"/>
  <c r="BL111" i="67" s="1"/>
  <c r="BK63" i="67"/>
  <c r="BK75" i="67" s="1"/>
  <c r="BK87" i="67" s="1"/>
  <c r="BK99" i="67" s="1"/>
  <c r="BK111" i="67" s="1"/>
  <c r="BJ63" i="67"/>
  <c r="BJ75" i="67" s="1"/>
  <c r="BJ87" i="67" s="1"/>
  <c r="BJ99" i="67" s="1"/>
  <c r="BJ111" i="67" s="1"/>
  <c r="BI63" i="67"/>
  <c r="BI75" i="67" s="1"/>
  <c r="BI87" i="67" s="1"/>
  <c r="BI99" i="67" s="1"/>
  <c r="BI111" i="67" s="1"/>
  <c r="BH63" i="67"/>
  <c r="BH75" i="67" s="1"/>
  <c r="BH87" i="67" s="1"/>
  <c r="BH99" i="67" s="1"/>
  <c r="BH111" i="67" s="1"/>
  <c r="BG63" i="67"/>
  <c r="BG75" i="67" s="1"/>
  <c r="BG87" i="67" s="1"/>
  <c r="BG99" i="67" s="1"/>
  <c r="BG111" i="67" s="1"/>
  <c r="BF63" i="67"/>
  <c r="BF75" i="67" s="1"/>
  <c r="BF87" i="67" s="1"/>
  <c r="BF99" i="67" s="1"/>
  <c r="BF111" i="67" s="1"/>
  <c r="BE63" i="67"/>
  <c r="BE75" i="67" s="1"/>
  <c r="BE87" i="67" s="1"/>
  <c r="BE99" i="67" s="1"/>
  <c r="BE111" i="67" s="1"/>
  <c r="BD63" i="67"/>
  <c r="BD75" i="67" s="1"/>
  <c r="BD87" i="67" s="1"/>
  <c r="BD99" i="67" s="1"/>
  <c r="BD111" i="67" s="1"/>
  <c r="BC63" i="67"/>
  <c r="BB63" i="67"/>
  <c r="CZ63" i="67" s="1"/>
  <c r="BA63" i="67"/>
  <c r="CK63" i="67" s="1"/>
  <c r="AZ63" i="67"/>
  <c r="AY63" i="67"/>
  <c r="CW63" i="67" s="1"/>
  <c r="AX63" i="67"/>
  <c r="CV63" i="67" s="1"/>
  <c r="AW63" i="67"/>
  <c r="CG63" i="67" s="1"/>
  <c r="AV63" i="67"/>
  <c r="AU63" i="67"/>
  <c r="CS63" i="67" s="1"/>
  <c r="AT63" i="67"/>
  <c r="CR63" i="67" s="1"/>
  <c r="AS63" i="67"/>
  <c r="AR63" i="67"/>
  <c r="AQ63" i="67"/>
  <c r="AP63" i="67"/>
  <c r="CN63" i="67" s="1"/>
  <c r="AO63" i="67"/>
  <c r="AL63" i="67"/>
  <c r="AK63" i="67"/>
  <c r="AJ63" i="67"/>
  <c r="AI63" i="67"/>
  <c r="AH63" i="67"/>
  <c r="AG63" i="67"/>
  <c r="AF63" i="67"/>
  <c r="AE63" i="67"/>
  <c r="AD63" i="67"/>
  <c r="AC63" i="67"/>
  <c r="AB63" i="67"/>
  <c r="AA63" i="67"/>
  <c r="Z63" i="67"/>
  <c r="Y63" i="67"/>
  <c r="X63" i="67"/>
  <c r="W63" i="67"/>
  <c r="C63" i="67"/>
  <c r="B63" i="67"/>
  <c r="BT62" i="67"/>
  <c r="BO62" i="67"/>
  <c r="BN62" i="67"/>
  <c r="BN74" i="67" s="1"/>
  <c r="BN86" i="67" s="1"/>
  <c r="BN98" i="67" s="1"/>
  <c r="BN110" i="67" s="1"/>
  <c r="BM62" i="67"/>
  <c r="BM74" i="67" s="1"/>
  <c r="BM86" i="67" s="1"/>
  <c r="BM98" i="67" s="1"/>
  <c r="BM110" i="67" s="1"/>
  <c r="BL62" i="67"/>
  <c r="BL74" i="67" s="1"/>
  <c r="BL86" i="67" s="1"/>
  <c r="BL98" i="67" s="1"/>
  <c r="BL110" i="67" s="1"/>
  <c r="BK62" i="67"/>
  <c r="BK74" i="67" s="1"/>
  <c r="BK86" i="67" s="1"/>
  <c r="BK98" i="67" s="1"/>
  <c r="BK110" i="67" s="1"/>
  <c r="BJ62" i="67"/>
  <c r="BJ74" i="67" s="1"/>
  <c r="BJ86" i="67" s="1"/>
  <c r="BJ98" i="67" s="1"/>
  <c r="BJ110" i="67" s="1"/>
  <c r="BI62" i="67"/>
  <c r="BI74" i="67" s="1"/>
  <c r="BI86" i="67" s="1"/>
  <c r="BI98" i="67" s="1"/>
  <c r="BI110" i="67" s="1"/>
  <c r="BH62" i="67"/>
  <c r="BH74" i="67" s="1"/>
  <c r="BH86" i="67" s="1"/>
  <c r="BH98" i="67" s="1"/>
  <c r="BH110" i="67" s="1"/>
  <c r="BG62" i="67"/>
  <c r="BG74" i="67" s="1"/>
  <c r="BG86" i="67" s="1"/>
  <c r="BG98" i="67" s="1"/>
  <c r="BG110" i="67" s="1"/>
  <c r="BF62" i="67"/>
  <c r="BF74" i="67" s="1"/>
  <c r="BF86" i="67" s="1"/>
  <c r="BF98" i="67" s="1"/>
  <c r="BF110" i="67" s="1"/>
  <c r="BE62" i="67"/>
  <c r="BE74" i="67" s="1"/>
  <c r="BE86" i="67" s="1"/>
  <c r="BE98" i="67" s="1"/>
  <c r="BE110" i="67" s="1"/>
  <c r="BD62" i="67"/>
  <c r="BD74" i="67" s="1"/>
  <c r="BD86" i="67" s="1"/>
  <c r="BD98" i="67" s="1"/>
  <c r="BD110" i="67" s="1"/>
  <c r="BC62" i="67"/>
  <c r="CM62" i="67" s="1"/>
  <c r="BB62" i="67"/>
  <c r="BA62" i="67"/>
  <c r="CK62" i="67" s="1"/>
  <c r="AZ62" i="67"/>
  <c r="AY62" i="67"/>
  <c r="CW62" i="67" s="1"/>
  <c r="AX62" i="67"/>
  <c r="CV62" i="67" s="1"/>
  <c r="AW62" i="67"/>
  <c r="CG62" i="67" s="1"/>
  <c r="AV62" i="67"/>
  <c r="AU62" i="67"/>
  <c r="AT62" i="67"/>
  <c r="CD62" i="67" s="1"/>
  <c r="AS62" i="67"/>
  <c r="CQ62" i="67" s="1"/>
  <c r="AR62" i="67"/>
  <c r="CP62" i="67" s="1"/>
  <c r="AQ62" i="67"/>
  <c r="AP62" i="67"/>
  <c r="AO62" i="67"/>
  <c r="AL62" i="67"/>
  <c r="AK62" i="67"/>
  <c r="AJ62" i="67"/>
  <c r="AI62" i="67"/>
  <c r="AH62" i="67"/>
  <c r="AG62" i="67"/>
  <c r="AF62" i="67"/>
  <c r="AE62" i="67"/>
  <c r="AD62" i="67"/>
  <c r="AC62" i="67"/>
  <c r="Y62" i="67"/>
  <c r="X62" i="67"/>
  <c r="W62" i="67"/>
  <c r="C62" i="67"/>
  <c r="B62" i="67"/>
  <c r="BT61" i="67"/>
  <c r="BR61" i="67"/>
  <c r="BQ61" i="67"/>
  <c r="BQ73" i="67" s="1"/>
  <c r="BQ85" i="67" s="1"/>
  <c r="BQ97" i="67" s="1"/>
  <c r="BQ109" i="67" s="1"/>
  <c r="BQ121" i="67" s="1"/>
  <c r="BP61" i="67"/>
  <c r="BP73" i="67" s="1"/>
  <c r="BP85" i="67" s="1"/>
  <c r="BP97" i="67" s="1"/>
  <c r="BP109" i="67" s="1"/>
  <c r="BP121" i="67" s="1"/>
  <c r="BC61" i="67"/>
  <c r="DA61" i="67" s="1"/>
  <c r="BB61" i="67"/>
  <c r="CZ61" i="67" s="1"/>
  <c r="BA61" i="67"/>
  <c r="CY61" i="67" s="1"/>
  <c r="AZ61" i="67"/>
  <c r="CJ61" i="67" s="1"/>
  <c r="AY61" i="67"/>
  <c r="CW61" i="67" s="1"/>
  <c r="AX61" i="67"/>
  <c r="CV61" i="67" s="1"/>
  <c r="AW61" i="67"/>
  <c r="AV61" i="67"/>
  <c r="AU61" i="67"/>
  <c r="CS61" i="67" s="1"/>
  <c r="AT61" i="67"/>
  <c r="CD61" i="67" s="1"/>
  <c r="AS61" i="67"/>
  <c r="CC61" i="67" s="1"/>
  <c r="AR61" i="67"/>
  <c r="CP61" i="67" s="1"/>
  <c r="AQ61" i="67"/>
  <c r="AP61" i="67"/>
  <c r="BZ61" i="67" s="1"/>
  <c r="AO61" i="67"/>
  <c r="AL61" i="67"/>
  <c r="AK61" i="67"/>
  <c r="AJ61" i="67"/>
  <c r="AI61" i="67"/>
  <c r="AH61" i="67"/>
  <c r="AG61" i="67"/>
  <c r="AF61" i="67"/>
  <c r="AE61" i="67"/>
  <c r="AD61" i="67"/>
  <c r="AC61" i="67"/>
  <c r="AB61" i="67"/>
  <c r="AA61" i="67"/>
  <c r="Z61" i="67"/>
  <c r="Y61" i="67"/>
  <c r="X61" i="67"/>
  <c r="W61" i="67"/>
  <c r="C61" i="67"/>
  <c r="B61" i="67"/>
  <c r="BT60" i="67"/>
  <c r="BR60" i="67"/>
  <c r="BQ60" i="67"/>
  <c r="BQ72" i="67" s="1"/>
  <c r="BQ84" i="67" s="1"/>
  <c r="BQ96" i="67" s="1"/>
  <c r="BQ108" i="67" s="1"/>
  <c r="BQ120" i="67" s="1"/>
  <c r="BP60" i="67"/>
  <c r="BP72" i="67" s="1"/>
  <c r="BP84" i="67" s="1"/>
  <c r="BP96" i="67" s="1"/>
  <c r="BP108" i="67" s="1"/>
  <c r="BP120" i="67" s="1"/>
  <c r="BC60" i="67"/>
  <c r="DA60" i="67" s="1"/>
  <c r="BB60" i="67"/>
  <c r="CZ60" i="67" s="1"/>
  <c r="BA60" i="67"/>
  <c r="AZ60" i="67"/>
  <c r="AY60" i="67"/>
  <c r="CI60" i="67" s="1"/>
  <c r="AX60" i="67"/>
  <c r="CH60" i="67" s="1"/>
  <c r="AW60" i="67"/>
  <c r="AV60" i="67"/>
  <c r="AU60" i="67"/>
  <c r="CE60" i="67" s="1"/>
  <c r="AT60" i="67"/>
  <c r="CD60" i="67" s="1"/>
  <c r="AS60" i="67"/>
  <c r="CQ60" i="67" s="1"/>
  <c r="AR60" i="67"/>
  <c r="CB60" i="67" s="1"/>
  <c r="AQ60" i="67"/>
  <c r="CA60" i="67" s="1"/>
  <c r="AP60" i="67"/>
  <c r="BZ60" i="67" s="1"/>
  <c r="AO60" i="67"/>
  <c r="AL60" i="67"/>
  <c r="AK60" i="67"/>
  <c r="AJ60" i="67"/>
  <c r="AI60" i="67"/>
  <c r="AH60" i="67"/>
  <c r="AG60" i="67"/>
  <c r="AF60" i="67"/>
  <c r="AE60" i="67"/>
  <c r="AD60" i="67"/>
  <c r="AC60" i="67"/>
  <c r="AB60" i="67"/>
  <c r="AA60" i="67"/>
  <c r="Y60" i="67"/>
  <c r="X60" i="67"/>
  <c r="W60" i="67"/>
  <c r="C60" i="67"/>
  <c r="B60" i="67"/>
  <c r="BT59" i="67"/>
  <c r="BR59" i="67"/>
  <c r="BQ59" i="67"/>
  <c r="BQ71" i="67" s="1"/>
  <c r="BQ83" i="67" s="1"/>
  <c r="BQ95" i="67" s="1"/>
  <c r="BQ107" i="67" s="1"/>
  <c r="BQ119" i="67" s="1"/>
  <c r="BP59" i="67"/>
  <c r="BP71" i="67" s="1"/>
  <c r="BP83" i="67" s="1"/>
  <c r="BP95" i="67" s="1"/>
  <c r="BP107" i="67" s="1"/>
  <c r="BP119" i="67" s="1"/>
  <c r="BC59" i="67"/>
  <c r="BB59" i="67"/>
  <c r="BA59" i="67"/>
  <c r="CK59" i="67" s="1"/>
  <c r="AZ59" i="67"/>
  <c r="AY59" i="67"/>
  <c r="AX59" i="67"/>
  <c r="CH59" i="67" s="1"/>
  <c r="AW59" i="67"/>
  <c r="AV59" i="67"/>
  <c r="CT59" i="67" s="1"/>
  <c r="AU59" i="67"/>
  <c r="CE59" i="67" s="1"/>
  <c r="AT59" i="67"/>
  <c r="CR59" i="67" s="1"/>
  <c r="AS59" i="67"/>
  <c r="CC59" i="67" s="1"/>
  <c r="AR59" i="67"/>
  <c r="AQ59" i="67"/>
  <c r="CO59" i="67" s="1"/>
  <c r="AP59" i="67"/>
  <c r="CN59" i="67" s="1"/>
  <c r="AO59" i="67"/>
  <c r="AL59" i="67"/>
  <c r="AK59" i="67"/>
  <c r="AJ59" i="67"/>
  <c r="AI59" i="67"/>
  <c r="AH59" i="67"/>
  <c r="AG59" i="67"/>
  <c r="AF59" i="67"/>
  <c r="AE59" i="67"/>
  <c r="AD59" i="67"/>
  <c r="AC59" i="67"/>
  <c r="AB59" i="67"/>
  <c r="AA59" i="67"/>
  <c r="Z59" i="67"/>
  <c r="Y59" i="67"/>
  <c r="X59" i="67"/>
  <c r="W59" i="67"/>
  <c r="C59" i="67"/>
  <c r="B59" i="67"/>
  <c r="BT58" i="67"/>
  <c r="BR58" i="67"/>
  <c r="BQ58" i="67"/>
  <c r="BQ70" i="67" s="1"/>
  <c r="BQ82" i="67" s="1"/>
  <c r="BQ94" i="67" s="1"/>
  <c r="BQ106" i="67" s="1"/>
  <c r="BQ118" i="67" s="1"/>
  <c r="BP58" i="67"/>
  <c r="BP70" i="67" s="1"/>
  <c r="BP82" i="67" s="1"/>
  <c r="BP94" i="67" s="1"/>
  <c r="BP106" i="67" s="1"/>
  <c r="BP118" i="67" s="1"/>
  <c r="BC58" i="67"/>
  <c r="CM58" i="67" s="1"/>
  <c r="BB58" i="67"/>
  <c r="BA58" i="67"/>
  <c r="AZ58" i="67"/>
  <c r="AY58" i="67"/>
  <c r="CW58" i="67" s="1"/>
  <c r="AX58" i="67"/>
  <c r="CV58" i="67" s="1"/>
  <c r="AW58" i="67"/>
  <c r="AV58" i="67"/>
  <c r="AU58" i="67"/>
  <c r="CS58" i="67" s="1"/>
  <c r="AT58" i="67"/>
  <c r="CR58" i="67" s="1"/>
  <c r="AS58" i="67"/>
  <c r="CC58" i="67" s="1"/>
  <c r="AR58" i="67"/>
  <c r="CP58" i="67" s="1"/>
  <c r="AQ58" i="67"/>
  <c r="CO58" i="67" s="1"/>
  <c r="AP58" i="67"/>
  <c r="BZ58" i="67" s="1"/>
  <c r="AO58" i="67"/>
  <c r="AL58" i="67"/>
  <c r="AK58" i="67"/>
  <c r="AJ58" i="67"/>
  <c r="AI58" i="67"/>
  <c r="AH58" i="67"/>
  <c r="AG58" i="67"/>
  <c r="AF58" i="67"/>
  <c r="AE58" i="67"/>
  <c r="AD58" i="67"/>
  <c r="AC58" i="67"/>
  <c r="AB58" i="67"/>
  <c r="AA58" i="67"/>
  <c r="Z58" i="67"/>
  <c r="Y58" i="67"/>
  <c r="X58" i="67"/>
  <c r="W58" i="67"/>
  <c r="C58" i="67"/>
  <c r="B58" i="67"/>
  <c r="BT57" i="67"/>
  <c r="BR57" i="67"/>
  <c r="BQ57" i="67"/>
  <c r="BQ69" i="67" s="1"/>
  <c r="BQ81" i="67" s="1"/>
  <c r="BQ93" i="67" s="1"/>
  <c r="BQ105" i="67" s="1"/>
  <c r="BQ117" i="67" s="1"/>
  <c r="BP57" i="67"/>
  <c r="BP69" i="67" s="1"/>
  <c r="BP81" i="67" s="1"/>
  <c r="BP93" i="67" s="1"/>
  <c r="BP105" i="67" s="1"/>
  <c r="BP117" i="67" s="1"/>
  <c r="BC57" i="67"/>
  <c r="CM57" i="67" s="1"/>
  <c r="BB57" i="67"/>
  <c r="CZ57" i="67" s="1"/>
  <c r="BA57" i="67"/>
  <c r="CY57" i="67" s="1"/>
  <c r="AZ57" i="67"/>
  <c r="AY57" i="67"/>
  <c r="CI57" i="67" s="1"/>
  <c r="AX57" i="67"/>
  <c r="CH57" i="67" s="1"/>
  <c r="AW57" i="67"/>
  <c r="CG57" i="67" s="1"/>
  <c r="AV57" i="67"/>
  <c r="AU57" i="67"/>
  <c r="CE57" i="67" s="1"/>
  <c r="AT57" i="67"/>
  <c r="CD57" i="67" s="1"/>
  <c r="AS57" i="67"/>
  <c r="AR57" i="67"/>
  <c r="CB57" i="67" s="1"/>
  <c r="AQ57" i="67"/>
  <c r="AP57" i="67"/>
  <c r="CN57" i="67" s="1"/>
  <c r="AO57" i="67"/>
  <c r="AL57" i="67"/>
  <c r="AK57" i="67"/>
  <c r="AJ57" i="67"/>
  <c r="AI57" i="67"/>
  <c r="AH57" i="67"/>
  <c r="AG57" i="67"/>
  <c r="AF57" i="67"/>
  <c r="AE57" i="67"/>
  <c r="AD57" i="67"/>
  <c r="AC57" i="67"/>
  <c r="AB57" i="67"/>
  <c r="Y57" i="67"/>
  <c r="X57" i="67"/>
  <c r="W57" i="67"/>
  <c r="C57" i="67"/>
  <c r="B57" i="67"/>
  <c r="BT56" i="67"/>
  <c r="BR56" i="67"/>
  <c r="BQ56" i="67"/>
  <c r="BQ68" i="67" s="1"/>
  <c r="BQ80" i="67" s="1"/>
  <c r="BQ92" i="67" s="1"/>
  <c r="BQ104" i="67" s="1"/>
  <c r="BQ116" i="67" s="1"/>
  <c r="BP56" i="67"/>
  <c r="BP68" i="67" s="1"/>
  <c r="BP80" i="67" s="1"/>
  <c r="BP92" i="67" s="1"/>
  <c r="BP104" i="67" s="1"/>
  <c r="BP116" i="67" s="1"/>
  <c r="BC56" i="67"/>
  <c r="CM56" i="67" s="1"/>
  <c r="BB56" i="67"/>
  <c r="CZ56" i="67" s="1"/>
  <c r="BA56" i="67"/>
  <c r="CY56" i="67" s="1"/>
  <c r="AZ56" i="67"/>
  <c r="AY56" i="67"/>
  <c r="AX56" i="67"/>
  <c r="AW56" i="67"/>
  <c r="CU56" i="67" s="1"/>
  <c r="AV56" i="67"/>
  <c r="AU56" i="67"/>
  <c r="CS56" i="67" s="1"/>
  <c r="AT56" i="67"/>
  <c r="CD56" i="67" s="1"/>
  <c r="AS56" i="67"/>
  <c r="AR56" i="67"/>
  <c r="CP56" i="67" s="1"/>
  <c r="AQ56" i="67"/>
  <c r="CO56" i="67" s="1"/>
  <c r="AP56" i="67"/>
  <c r="AO56" i="67"/>
  <c r="AL56" i="67"/>
  <c r="AK56" i="67"/>
  <c r="AJ56" i="67"/>
  <c r="AI56" i="67"/>
  <c r="AH56" i="67"/>
  <c r="AG56" i="67"/>
  <c r="AF56" i="67"/>
  <c r="AE56" i="67"/>
  <c r="AD56" i="67"/>
  <c r="AC56" i="67"/>
  <c r="AA56" i="67"/>
  <c r="Z56" i="67"/>
  <c r="Y56" i="67"/>
  <c r="X56" i="67"/>
  <c r="W56" i="67"/>
  <c r="C56" i="67"/>
  <c r="B56" i="67"/>
  <c r="BT55" i="67"/>
  <c r="BR55" i="67"/>
  <c r="BQ55" i="67"/>
  <c r="BQ67" i="67" s="1"/>
  <c r="BQ79" i="67" s="1"/>
  <c r="BQ91" i="67" s="1"/>
  <c r="BQ103" i="67" s="1"/>
  <c r="BQ115" i="67" s="1"/>
  <c r="BP55" i="67"/>
  <c r="BP67" i="67" s="1"/>
  <c r="BP79" i="67" s="1"/>
  <c r="BP91" i="67" s="1"/>
  <c r="BP103" i="67" s="1"/>
  <c r="BP115" i="67" s="1"/>
  <c r="BC55" i="67"/>
  <c r="BB55" i="67"/>
  <c r="CZ55" i="67" s="1"/>
  <c r="BA55" i="67"/>
  <c r="CY55" i="67" s="1"/>
  <c r="AZ55" i="67"/>
  <c r="AY55" i="67"/>
  <c r="CI55" i="67" s="1"/>
  <c r="AX55" i="67"/>
  <c r="CV55" i="67" s="1"/>
  <c r="AW55" i="67"/>
  <c r="AV55" i="67"/>
  <c r="CF55" i="67" s="1"/>
  <c r="AU55" i="67"/>
  <c r="CE55" i="67" s="1"/>
  <c r="AT55" i="67"/>
  <c r="CD55" i="67" s="1"/>
  <c r="AS55" i="67"/>
  <c r="CC55" i="67" s="1"/>
  <c r="AR55" i="67"/>
  <c r="CB55" i="67" s="1"/>
  <c r="AQ55" i="67"/>
  <c r="CO55" i="67" s="1"/>
  <c r="AP55" i="67"/>
  <c r="AO55" i="67"/>
  <c r="AL55" i="67"/>
  <c r="AK55" i="67"/>
  <c r="AJ55" i="67"/>
  <c r="AI55" i="67"/>
  <c r="AH55" i="67"/>
  <c r="AG55" i="67"/>
  <c r="AF55" i="67"/>
  <c r="AE55" i="67"/>
  <c r="AD55" i="67"/>
  <c r="AC55" i="67"/>
  <c r="AB55" i="67"/>
  <c r="AA55" i="67"/>
  <c r="Z55" i="67"/>
  <c r="Y55" i="67"/>
  <c r="X55" i="67"/>
  <c r="W55" i="67"/>
  <c r="C55" i="67"/>
  <c r="B55" i="67"/>
  <c r="BT54" i="67"/>
  <c r="BR54" i="67"/>
  <c r="BQ54" i="67"/>
  <c r="BQ66" i="67" s="1"/>
  <c r="BQ78" i="67" s="1"/>
  <c r="BQ90" i="67" s="1"/>
  <c r="BQ102" i="67" s="1"/>
  <c r="BQ114" i="67" s="1"/>
  <c r="BP54" i="67"/>
  <c r="BP66" i="67" s="1"/>
  <c r="BP78" i="67" s="1"/>
  <c r="BP90" i="67" s="1"/>
  <c r="BP102" i="67" s="1"/>
  <c r="BP114" i="67" s="1"/>
  <c r="BC54" i="67"/>
  <c r="DA54" i="67" s="1"/>
  <c r="BB54" i="67"/>
  <c r="CZ54" i="67" s="1"/>
  <c r="BA54" i="67"/>
  <c r="AZ54" i="67"/>
  <c r="CJ54" i="67" s="1"/>
  <c r="AY54" i="67"/>
  <c r="CI54" i="67" s="1"/>
  <c r="AX54" i="67"/>
  <c r="CV54" i="67" s="1"/>
  <c r="AW54" i="67"/>
  <c r="CG54" i="67" s="1"/>
  <c r="AV54" i="67"/>
  <c r="AU54" i="67"/>
  <c r="CS54" i="67" s="1"/>
  <c r="AT54" i="67"/>
  <c r="CD54" i="67" s="1"/>
  <c r="AS54" i="67"/>
  <c r="AR54" i="67"/>
  <c r="CB54" i="67" s="1"/>
  <c r="AQ54" i="67"/>
  <c r="CO54" i="67" s="1"/>
  <c r="AP54" i="67"/>
  <c r="AO54" i="67"/>
  <c r="AL54" i="67"/>
  <c r="AK54" i="67"/>
  <c r="AJ54" i="67"/>
  <c r="AI54" i="67"/>
  <c r="AH54" i="67"/>
  <c r="AG54" i="67"/>
  <c r="AF54" i="67"/>
  <c r="AE54" i="67"/>
  <c r="AD54" i="67"/>
  <c r="AC54" i="67"/>
  <c r="AA54" i="67"/>
  <c r="Z54" i="67"/>
  <c r="Y54" i="67"/>
  <c r="X54" i="67"/>
  <c r="W54" i="67"/>
  <c r="C54" i="67"/>
  <c r="B54" i="67"/>
  <c r="BT53" i="67"/>
  <c r="BR53" i="67"/>
  <c r="BQ53" i="67"/>
  <c r="BQ65" i="67" s="1"/>
  <c r="BQ77" i="67" s="1"/>
  <c r="BQ89" i="67" s="1"/>
  <c r="BQ101" i="67" s="1"/>
  <c r="BQ113" i="67" s="1"/>
  <c r="BP53" i="67"/>
  <c r="BP65" i="67" s="1"/>
  <c r="BP77" i="67" s="1"/>
  <c r="BP89" i="67" s="1"/>
  <c r="BP101" i="67" s="1"/>
  <c r="BP113" i="67" s="1"/>
  <c r="BC53" i="67"/>
  <c r="CM53" i="67" s="1"/>
  <c r="BB53" i="67"/>
  <c r="CZ53" i="67" s="1"/>
  <c r="BA53" i="67"/>
  <c r="CY53" i="67" s="1"/>
  <c r="AZ53" i="67"/>
  <c r="CJ53" i="67" s="1"/>
  <c r="AY53" i="67"/>
  <c r="CI53" i="67" s="1"/>
  <c r="AX53" i="67"/>
  <c r="AW53" i="67"/>
  <c r="AV53" i="67"/>
  <c r="AU53" i="67"/>
  <c r="AT53" i="67"/>
  <c r="CR53" i="67" s="1"/>
  <c r="AS53" i="67"/>
  <c r="AR53" i="67"/>
  <c r="CP53" i="67" s="1"/>
  <c r="AQ53" i="67"/>
  <c r="AP53" i="67"/>
  <c r="CN53" i="67" s="1"/>
  <c r="AO53" i="67"/>
  <c r="AL53" i="67"/>
  <c r="AK53" i="67"/>
  <c r="AJ53" i="67"/>
  <c r="AI53" i="67"/>
  <c r="AH53" i="67"/>
  <c r="AG53" i="67"/>
  <c r="AF53" i="67"/>
  <c r="AE53" i="67"/>
  <c r="AD53" i="67"/>
  <c r="AC53" i="67"/>
  <c r="AB53" i="67"/>
  <c r="AA53" i="67"/>
  <c r="Z53" i="67"/>
  <c r="Y53" i="67"/>
  <c r="X53" i="67"/>
  <c r="W53" i="67"/>
  <c r="C53" i="67"/>
  <c r="B53" i="67"/>
  <c r="BT52" i="67"/>
  <c r="BR52" i="67"/>
  <c r="BQ52" i="67"/>
  <c r="BQ64" i="67" s="1"/>
  <c r="BQ76" i="67" s="1"/>
  <c r="BQ88" i="67" s="1"/>
  <c r="BQ100" i="67" s="1"/>
  <c r="BQ112" i="67" s="1"/>
  <c r="BP52" i="67"/>
  <c r="BP64" i="67" s="1"/>
  <c r="BP76" i="67" s="1"/>
  <c r="BP88" i="67" s="1"/>
  <c r="BP100" i="67" s="1"/>
  <c r="BP112" i="67" s="1"/>
  <c r="BC52" i="67"/>
  <c r="BB52" i="67"/>
  <c r="BA52" i="67"/>
  <c r="CY52" i="67" s="1"/>
  <c r="AZ52" i="67"/>
  <c r="AY52" i="67"/>
  <c r="CW52" i="67" s="1"/>
  <c r="AX52" i="67"/>
  <c r="AW52" i="67"/>
  <c r="AV52" i="67"/>
  <c r="AU52" i="67"/>
  <c r="CS52" i="67" s="1"/>
  <c r="AT52" i="67"/>
  <c r="CD52" i="67" s="1"/>
  <c r="AS52" i="67"/>
  <c r="CC52" i="67" s="1"/>
  <c r="AR52" i="67"/>
  <c r="CB52" i="67" s="1"/>
  <c r="AQ52" i="67"/>
  <c r="CA52" i="67" s="1"/>
  <c r="AP52" i="67"/>
  <c r="CN52" i="67" s="1"/>
  <c r="AO52" i="67"/>
  <c r="AL52" i="67"/>
  <c r="AK52" i="67"/>
  <c r="AJ52" i="67"/>
  <c r="AI52" i="67"/>
  <c r="AH52" i="67"/>
  <c r="AG52" i="67"/>
  <c r="AF52" i="67"/>
  <c r="AE52" i="67"/>
  <c r="AD52" i="67"/>
  <c r="AC52" i="67"/>
  <c r="AB52" i="67"/>
  <c r="AA52" i="67"/>
  <c r="Y52" i="67"/>
  <c r="X52" i="67"/>
  <c r="W52" i="67"/>
  <c r="C52" i="67"/>
  <c r="B52" i="67"/>
  <c r="BT51" i="67"/>
  <c r="BR51" i="67"/>
  <c r="BQ51" i="67"/>
  <c r="BQ63" i="67" s="1"/>
  <c r="BQ75" i="67" s="1"/>
  <c r="BQ87" i="67" s="1"/>
  <c r="BQ99" i="67" s="1"/>
  <c r="BQ111" i="67" s="1"/>
  <c r="BP51" i="67"/>
  <c r="BP63" i="67" s="1"/>
  <c r="BP75" i="67" s="1"/>
  <c r="BP87" i="67" s="1"/>
  <c r="BP99" i="67" s="1"/>
  <c r="BP111" i="67" s="1"/>
  <c r="BC51" i="67"/>
  <c r="CM51" i="67" s="1"/>
  <c r="BB51" i="67"/>
  <c r="CL51" i="67" s="1"/>
  <c r="BA51" i="67"/>
  <c r="CY51" i="67" s="1"/>
  <c r="AZ51" i="67"/>
  <c r="CX51" i="67" s="1"/>
  <c r="AY51" i="67"/>
  <c r="AX51" i="67"/>
  <c r="CV51" i="67" s="1"/>
  <c r="AW51" i="67"/>
  <c r="CU51" i="67" s="1"/>
  <c r="AV51" i="67"/>
  <c r="AU51" i="67"/>
  <c r="CS51" i="67" s="1"/>
  <c r="AT51" i="67"/>
  <c r="CD51" i="67" s="1"/>
  <c r="AS51" i="67"/>
  <c r="CC51" i="67" s="1"/>
  <c r="AR51" i="67"/>
  <c r="AQ51" i="67"/>
  <c r="AP51" i="67"/>
  <c r="BZ51" i="67" s="1"/>
  <c r="AO51" i="67"/>
  <c r="AL51" i="67"/>
  <c r="AK51" i="67"/>
  <c r="AJ51" i="67"/>
  <c r="AI51" i="67"/>
  <c r="AH51" i="67"/>
  <c r="AG51" i="67"/>
  <c r="AF51" i="67"/>
  <c r="AE51" i="67"/>
  <c r="AD51" i="67"/>
  <c r="AC51" i="67"/>
  <c r="Z51" i="67"/>
  <c r="Y51" i="67"/>
  <c r="X51" i="67"/>
  <c r="W51" i="67"/>
  <c r="C51" i="67"/>
  <c r="B51" i="67"/>
  <c r="BT50" i="67"/>
  <c r="BR50" i="67"/>
  <c r="BQ50" i="67"/>
  <c r="BQ62" i="67" s="1"/>
  <c r="BQ74" i="67" s="1"/>
  <c r="BQ86" i="67" s="1"/>
  <c r="BQ98" i="67" s="1"/>
  <c r="BQ110" i="67" s="1"/>
  <c r="BP50" i="67"/>
  <c r="BP62" i="67" s="1"/>
  <c r="BP74" i="67" s="1"/>
  <c r="BP86" i="67" s="1"/>
  <c r="BP98" i="67" s="1"/>
  <c r="BP110" i="67" s="1"/>
  <c r="BC50" i="67"/>
  <c r="CM50" i="67" s="1"/>
  <c r="BB50" i="67"/>
  <c r="CL50" i="67" s="1"/>
  <c r="BA50" i="67"/>
  <c r="CK50" i="67" s="1"/>
  <c r="AZ50" i="67"/>
  <c r="AY50" i="67"/>
  <c r="CI50" i="67" s="1"/>
  <c r="AX50" i="67"/>
  <c r="CH50" i="67" s="1"/>
  <c r="AW50" i="67"/>
  <c r="AV50" i="67"/>
  <c r="AU50" i="67"/>
  <c r="CE50" i="67" s="1"/>
  <c r="AT50" i="67"/>
  <c r="CR50" i="67" s="1"/>
  <c r="AS50" i="67"/>
  <c r="CQ50" i="67" s="1"/>
  <c r="AR50" i="67"/>
  <c r="CB50" i="67" s="1"/>
  <c r="AQ50" i="67"/>
  <c r="AP50" i="67"/>
  <c r="CN50" i="67" s="1"/>
  <c r="AO50" i="67"/>
  <c r="AL50" i="67"/>
  <c r="AK50" i="67"/>
  <c r="AJ50" i="67"/>
  <c r="AI50" i="67"/>
  <c r="AH50" i="67"/>
  <c r="AG50" i="67"/>
  <c r="AF50" i="67"/>
  <c r="AE50" i="67"/>
  <c r="AD50" i="67"/>
  <c r="AC50" i="67"/>
  <c r="AB50" i="67"/>
  <c r="AA50" i="67"/>
  <c r="Z50" i="67"/>
  <c r="Y50" i="67"/>
  <c r="X50" i="67"/>
  <c r="W50" i="67"/>
  <c r="C50" i="67"/>
  <c r="B50" i="67"/>
  <c r="BC49" i="67"/>
  <c r="CM49" i="67" s="1"/>
  <c r="BB49" i="67"/>
  <c r="CL49" i="67" s="1"/>
  <c r="BA49" i="67"/>
  <c r="CK49" i="67" s="1"/>
  <c r="AZ49" i="67"/>
  <c r="CX49" i="67" s="1"/>
  <c r="AY49" i="67"/>
  <c r="CW49" i="67" s="1"/>
  <c r="AX49" i="67"/>
  <c r="CH49" i="67" s="1"/>
  <c r="AW49" i="67"/>
  <c r="AV49" i="67"/>
  <c r="CF49" i="67" s="1"/>
  <c r="AU49" i="67"/>
  <c r="AT49" i="67"/>
  <c r="CR49" i="67" s="1"/>
  <c r="AS49" i="67"/>
  <c r="CC49" i="67" s="1"/>
  <c r="AR49" i="67"/>
  <c r="CP49" i="67" s="1"/>
  <c r="AQ49" i="67"/>
  <c r="CO49" i="67" s="1"/>
  <c r="AP49" i="67"/>
  <c r="CN49" i="67" s="1"/>
  <c r="AO49" i="67"/>
  <c r="AL49" i="67"/>
  <c r="AK49" i="67"/>
  <c r="AJ49" i="67"/>
  <c r="AI49" i="67"/>
  <c r="AH49" i="67"/>
  <c r="AG49" i="67"/>
  <c r="AF49" i="67"/>
  <c r="AE49" i="67"/>
  <c r="AD49" i="67"/>
  <c r="AC49" i="67"/>
  <c r="AB49" i="67"/>
  <c r="Z49" i="67"/>
  <c r="Y49" i="67"/>
  <c r="X49" i="67"/>
  <c r="W49" i="67"/>
  <c r="C49" i="67"/>
  <c r="B49" i="67"/>
  <c r="BC48" i="67"/>
  <c r="BB48" i="67"/>
  <c r="CL48" i="67" s="1"/>
  <c r="BA48" i="67"/>
  <c r="CY48" i="67" s="1"/>
  <c r="AZ48" i="67"/>
  <c r="CJ48" i="67" s="1"/>
  <c r="AY48" i="67"/>
  <c r="CI48" i="67" s="1"/>
  <c r="AX48" i="67"/>
  <c r="AW48" i="67"/>
  <c r="CG48" i="67" s="1"/>
  <c r="AV48" i="67"/>
  <c r="AU48" i="67"/>
  <c r="AT48" i="67"/>
  <c r="CD48" i="67" s="1"/>
  <c r="AS48" i="67"/>
  <c r="CQ48" i="67" s="1"/>
  <c r="AR48" i="67"/>
  <c r="CP48" i="67" s="1"/>
  <c r="AQ48" i="67"/>
  <c r="CO48" i="67" s="1"/>
  <c r="AP48" i="67"/>
  <c r="AO48" i="67"/>
  <c r="AL48" i="67"/>
  <c r="AK48" i="67"/>
  <c r="AJ48" i="67"/>
  <c r="AI48" i="67"/>
  <c r="AH48" i="67"/>
  <c r="AG48" i="67"/>
  <c r="AF48" i="67"/>
  <c r="AE48" i="67"/>
  <c r="AD48" i="67"/>
  <c r="AC48" i="67"/>
  <c r="AB48" i="67"/>
  <c r="AA48" i="67"/>
  <c r="Z48" i="67"/>
  <c r="Y48" i="67"/>
  <c r="X48" i="67"/>
  <c r="W48" i="67"/>
  <c r="C48" i="67"/>
  <c r="B48" i="67"/>
  <c r="BC47" i="67"/>
  <c r="BB47" i="67"/>
  <c r="CZ47" i="67" s="1"/>
  <c r="BA47" i="67"/>
  <c r="AZ47" i="67"/>
  <c r="CJ47" i="67" s="1"/>
  <c r="AY47" i="67"/>
  <c r="AX47" i="67"/>
  <c r="CH47" i="67" s="1"/>
  <c r="AW47" i="67"/>
  <c r="AV47" i="67"/>
  <c r="CT47" i="67" s="1"/>
  <c r="AU47" i="67"/>
  <c r="AT47" i="67"/>
  <c r="AS47" i="67"/>
  <c r="AR47" i="67"/>
  <c r="AQ47" i="67"/>
  <c r="AP47" i="67"/>
  <c r="BZ47" i="67" s="1"/>
  <c r="AO47" i="67"/>
  <c r="AL47" i="67"/>
  <c r="AK47" i="67"/>
  <c r="AJ47" i="67"/>
  <c r="AI47" i="67"/>
  <c r="AH47" i="67"/>
  <c r="AG47" i="67"/>
  <c r="AF47" i="67"/>
  <c r="AE47" i="67"/>
  <c r="AD47" i="67"/>
  <c r="AC47" i="67"/>
  <c r="AB47" i="67"/>
  <c r="AA47" i="67"/>
  <c r="Z47" i="67"/>
  <c r="Y47" i="67"/>
  <c r="X47" i="67"/>
  <c r="W47" i="67"/>
  <c r="C47" i="67"/>
  <c r="B47" i="67"/>
  <c r="BC46" i="67"/>
  <c r="BB46" i="67"/>
  <c r="CZ46" i="67" s="1"/>
  <c r="BA46" i="67"/>
  <c r="CY46" i="67" s="1"/>
  <c r="AZ46" i="67"/>
  <c r="AY46" i="67"/>
  <c r="CW46" i="67" s="1"/>
  <c r="AX46" i="67"/>
  <c r="AW46" i="67"/>
  <c r="AV46" i="67"/>
  <c r="AU46" i="67"/>
  <c r="CE46" i="67" s="1"/>
  <c r="AT46" i="67"/>
  <c r="AS46" i="67"/>
  <c r="AR46" i="67"/>
  <c r="CP46" i="67" s="1"/>
  <c r="AQ46" i="67"/>
  <c r="AP46" i="67"/>
  <c r="AO46" i="67"/>
  <c r="AL46" i="67"/>
  <c r="AK46" i="67"/>
  <c r="AJ46" i="67"/>
  <c r="AI46" i="67"/>
  <c r="AH46" i="67"/>
  <c r="AG46" i="67"/>
  <c r="AF46" i="67"/>
  <c r="AE46" i="67"/>
  <c r="AD46" i="67"/>
  <c r="AC46" i="67"/>
  <c r="AB46" i="67"/>
  <c r="AA46" i="67"/>
  <c r="Y46" i="67"/>
  <c r="X46" i="67"/>
  <c r="W46" i="67"/>
  <c r="C46" i="67"/>
  <c r="B46" i="67"/>
  <c r="BC45" i="67"/>
  <c r="BB45" i="67"/>
  <c r="BA45" i="67"/>
  <c r="CK45" i="67" s="1"/>
  <c r="AZ45" i="67"/>
  <c r="AY45" i="67"/>
  <c r="CW45" i="67" s="1"/>
  <c r="AX45" i="67"/>
  <c r="AW45" i="67"/>
  <c r="AV45" i="67"/>
  <c r="AU45" i="67"/>
  <c r="AT45" i="67"/>
  <c r="CR45" i="67" s="1"/>
  <c r="AS45" i="67"/>
  <c r="CQ45" i="67" s="1"/>
  <c r="AR45" i="67"/>
  <c r="AQ45" i="67"/>
  <c r="CA45" i="67" s="1"/>
  <c r="AP45" i="67"/>
  <c r="AO45" i="67"/>
  <c r="AL45" i="67"/>
  <c r="AK45" i="67"/>
  <c r="AJ45" i="67"/>
  <c r="AI45" i="67"/>
  <c r="AH45" i="67"/>
  <c r="AG45" i="67"/>
  <c r="AF45" i="67"/>
  <c r="AE45" i="67"/>
  <c r="AD45" i="67"/>
  <c r="AC45" i="67"/>
  <c r="AB45" i="67"/>
  <c r="AA45" i="67"/>
  <c r="Z45" i="67"/>
  <c r="Y45" i="67"/>
  <c r="X45" i="67"/>
  <c r="W45" i="67"/>
  <c r="C45" i="67"/>
  <c r="B45" i="67"/>
  <c r="BC44" i="67"/>
  <c r="CM44" i="67" s="1"/>
  <c r="BB44" i="67"/>
  <c r="CL44" i="67" s="1"/>
  <c r="BA44" i="67"/>
  <c r="CK44" i="67" s="1"/>
  <c r="AZ44" i="67"/>
  <c r="CX44" i="67" s="1"/>
  <c r="AY44" i="67"/>
  <c r="AX44" i="67"/>
  <c r="AW44" i="67"/>
  <c r="CU44" i="67" s="1"/>
  <c r="AV44" i="67"/>
  <c r="CF44" i="67" s="1"/>
  <c r="AU44" i="67"/>
  <c r="CS44" i="67" s="1"/>
  <c r="AT44" i="67"/>
  <c r="CR44" i="67" s="1"/>
  <c r="AS44" i="67"/>
  <c r="AR44" i="67"/>
  <c r="CB44" i="67" s="1"/>
  <c r="AQ44" i="67"/>
  <c r="CO44" i="67" s="1"/>
  <c r="AP44" i="67"/>
  <c r="AO44" i="67"/>
  <c r="AL44" i="67"/>
  <c r="AK44" i="67"/>
  <c r="AJ44" i="67"/>
  <c r="AI44" i="67"/>
  <c r="AH44" i="67"/>
  <c r="AG44" i="67"/>
  <c r="AF44" i="67"/>
  <c r="AE44" i="67"/>
  <c r="AD44" i="67"/>
  <c r="AC44" i="67"/>
  <c r="AB44" i="67"/>
  <c r="AA44" i="67"/>
  <c r="Y44" i="67"/>
  <c r="X44" i="67"/>
  <c r="W44" i="67"/>
  <c r="C44" i="67"/>
  <c r="B44" i="67"/>
  <c r="BC43" i="67"/>
  <c r="BB43" i="67"/>
  <c r="CZ43" i="67" s="1"/>
  <c r="BA43" i="67"/>
  <c r="AZ43" i="67"/>
  <c r="AY43" i="67"/>
  <c r="CI43" i="67" s="1"/>
  <c r="AX43" i="67"/>
  <c r="CH43" i="67" s="1"/>
  <c r="AW43" i="67"/>
  <c r="CG43" i="67" s="1"/>
  <c r="AV43" i="67"/>
  <c r="CF43" i="67" s="1"/>
  <c r="AU43" i="67"/>
  <c r="CS43" i="67" s="1"/>
  <c r="AT43" i="67"/>
  <c r="AS43" i="67"/>
  <c r="AR43" i="67"/>
  <c r="CB43" i="67" s="1"/>
  <c r="AQ43" i="67"/>
  <c r="AP43" i="67"/>
  <c r="BZ43" i="67" s="1"/>
  <c r="AO43" i="67"/>
  <c r="AL43" i="67"/>
  <c r="AK43" i="67"/>
  <c r="AJ43" i="67"/>
  <c r="AI43" i="67"/>
  <c r="AH43" i="67"/>
  <c r="AG43" i="67"/>
  <c r="AF43" i="67"/>
  <c r="AE43" i="67"/>
  <c r="AD43" i="67"/>
  <c r="AC43" i="67"/>
  <c r="AB43" i="67"/>
  <c r="AA43" i="67"/>
  <c r="Z43" i="67"/>
  <c r="Y43" i="67"/>
  <c r="X43" i="67"/>
  <c r="W43" i="67"/>
  <c r="C43" i="67"/>
  <c r="B43" i="67"/>
  <c r="BC42" i="67"/>
  <c r="DA42" i="67" s="1"/>
  <c r="BB42" i="67"/>
  <c r="BA42" i="67"/>
  <c r="CK42" i="67" s="1"/>
  <c r="AZ42" i="67"/>
  <c r="CJ42" i="67" s="1"/>
  <c r="AY42" i="67"/>
  <c r="CW42" i="67" s="1"/>
  <c r="AX42" i="67"/>
  <c r="CV42" i="67" s="1"/>
  <c r="AW42" i="67"/>
  <c r="AV42" i="67"/>
  <c r="AU42" i="67"/>
  <c r="AT42" i="67"/>
  <c r="AS42" i="67"/>
  <c r="CC42" i="67" s="1"/>
  <c r="AR42" i="67"/>
  <c r="CB42" i="67" s="1"/>
  <c r="AQ42" i="67"/>
  <c r="CA42" i="67" s="1"/>
  <c r="AP42" i="67"/>
  <c r="CN42" i="67" s="1"/>
  <c r="AO42" i="67"/>
  <c r="AL42" i="67"/>
  <c r="AK42" i="67"/>
  <c r="AJ42" i="67"/>
  <c r="AI42" i="67"/>
  <c r="AH42" i="67"/>
  <c r="AG42" i="67"/>
  <c r="AF42" i="67"/>
  <c r="AE42" i="67"/>
  <c r="AD42" i="67"/>
  <c r="AC42" i="67"/>
  <c r="AB42" i="67"/>
  <c r="AA42" i="67"/>
  <c r="Z42" i="67"/>
  <c r="Y42" i="67"/>
  <c r="X42" i="67"/>
  <c r="W42" i="67"/>
  <c r="C42" i="67"/>
  <c r="B42" i="67"/>
  <c r="BC41" i="67"/>
  <c r="DA41" i="67" s="1"/>
  <c r="BB41" i="67"/>
  <c r="CL41" i="67" s="1"/>
  <c r="BA41" i="67"/>
  <c r="CK41" i="67" s="1"/>
  <c r="AZ41" i="67"/>
  <c r="AY41" i="67"/>
  <c r="CI41" i="67" s="1"/>
  <c r="AX41" i="67"/>
  <c r="AW41" i="67"/>
  <c r="AV41" i="67"/>
  <c r="AU41" i="67"/>
  <c r="CE41" i="67" s="1"/>
  <c r="AT41" i="67"/>
  <c r="CR41" i="67" s="1"/>
  <c r="AS41" i="67"/>
  <c r="CQ41" i="67" s="1"/>
  <c r="AR41" i="67"/>
  <c r="AQ41" i="67"/>
  <c r="CO41" i="67" s="1"/>
  <c r="AP41" i="67"/>
  <c r="CN41" i="67" s="1"/>
  <c r="AO41" i="67"/>
  <c r="AL41" i="67"/>
  <c r="AK41" i="67"/>
  <c r="AJ41" i="67"/>
  <c r="AI41" i="67"/>
  <c r="AH41" i="67"/>
  <c r="AG41" i="67"/>
  <c r="AF41" i="67"/>
  <c r="AE41" i="67"/>
  <c r="AD41" i="67"/>
  <c r="AC41" i="67"/>
  <c r="AB41" i="67"/>
  <c r="Y41" i="67"/>
  <c r="X41" i="67"/>
  <c r="W41" i="67"/>
  <c r="C41" i="67"/>
  <c r="B41" i="67"/>
  <c r="BC40" i="67"/>
  <c r="DA40" i="67" s="1"/>
  <c r="BB40" i="67"/>
  <c r="BA40" i="67"/>
  <c r="CY40" i="67" s="1"/>
  <c r="AZ40" i="67"/>
  <c r="AY40" i="67"/>
  <c r="AX40" i="67"/>
  <c r="AW40" i="67"/>
  <c r="AV40" i="67"/>
  <c r="AU40" i="67"/>
  <c r="CE40" i="67" s="1"/>
  <c r="AT40" i="67"/>
  <c r="CR40" i="67" s="1"/>
  <c r="AS40" i="67"/>
  <c r="CC40" i="67" s="1"/>
  <c r="AR40" i="67"/>
  <c r="AQ40" i="67"/>
  <c r="AP40" i="67"/>
  <c r="BZ40" i="67" s="1"/>
  <c r="AO40" i="67"/>
  <c r="AL40" i="67"/>
  <c r="AK40" i="67"/>
  <c r="AJ40" i="67"/>
  <c r="AI40" i="67"/>
  <c r="AH40" i="67"/>
  <c r="AG40" i="67"/>
  <c r="AF40" i="67"/>
  <c r="AE40" i="67"/>
  <c r="AD40" i="67"/>
  <c r="AC40" i="67"/>
  <c r="AA40" i="67"/>
  <c r="Z40" i="67"/>
  <c r="Y40" i="67"/>
  <c r="X40" i="67"/>
  <c r="W40" i="67"/>
  <c r="C40" i="67"/>
  <c r="B40" i="67"/>
  <c r="BC39" i="67"/>
  <c r="CM39" i="67" s="1"/>
  <c r="BB39" i="67"/>
  <c r="CL39" i="67" s="1"/>
  <c r="BA39" i="67"/>
  <c r="CK39" i="67" s="1"/>
  <c r="AZ39" i="67"/>
  <c r="AY39" i="67"/>
  <c r="CW39" i="67" s="1"/>
  <c r="AX39" i="67"/>
  <c r="CH39" i="67" s="1"/>
  <c r="AW39" i="67"/>
  <c r="AV39" i="67"/>
  <c r="CT39" i="67" s="1"/>
  <c r="AU39" i="67"/>
  <c r="CS39" i="67" s="1"/>
  <c r="AT39" i="67"/>
  <c r="CR39" i="67" s="1"/>
  <c r="AS39" i="67"/>
  <c r="CQ39" i="67" s="1"/>
  <c r="AR39" i="67"/>
  <c r="AQ39" i="67"/>
  <c r="CA39" i="67" s="1"/>
  <c r="AP39" i="67"/>
  <c r="CN39" i="67" s="1"/>
  <c r="AO39" i="67"/>
  <c r="AL39" i="67"/>
  <c r="AK39" i="67"/>
  <c r="AJ39" i="67"/>
  <c r="AI39" i="67"/>
  <c r="AH39" i="67"/>
  <c r="AG39" i="67"/>
  <c r="AF39" i="67"/>
  <c r="AE39" i="67"/>
  <c r="AD39" i="67"/>
  <c r="AC39" i="67"/>
  <c r="AB39" i="67"/>
  <c r="AA39" i="67"/>
  <c r="Z39" i="67"/>
  <c r="Y39" i="67"/>
  <c r="X39" i="67"/>
  <c r="W39" i="67"/>
  <c r="C39" i="67"/>
  <c r="B39" i="67"/>
  <c r="BC38" i="67"/>
  <c r="BB38" i="67"/>
  <c r="CL38" i="67" s="1"/>
  <c r="BA38" i="67"/>
  <c r="CK38" i="67" s="1"/>
  <c r="AZ38" i="67"/>
  <c r="AY38" i="67"/>
  <c r="AX38" i="67"/>
  <c r="CH38" i="67" s="1"/>
  <c r="AW38" i="67"/>
  <c r="CU38" i="67" s="1"/>
  <c r="AV38" i="67"/>
  <c r="CT38" i="67" s="1"/>
  <c r="AU38" i="67"/>
  <c r="CE38" i="67" s="1"/>
  <c r="AT38" i="67"/>
  <c r="CR38" i="67" s="1"/>
  <c r="AS38" i="67"/>
  <c r="CC38" i="67" s="1"/>
  <c r="AR38" i="67"/>
  <c r="CB38" i="67" s="1"/>
  <c r="AQ38" i="67"/>
  <c r="CO38" i="67" s="1"/>
  <c r="AP38" i="67"/>
  <c r="CN38" i="67" s="1"/>
  <c r="AO38" i="67"/>
  <c r="AL38" i="67"/>
  <c r="AK38" i="67"/>
  <c r="AJ38" i="67"/>
  <c r="AI38" i="67"/>
  <c r="AH38" i="67"/>
  <c r="AG38" i="67"/>
  <c r="AF38" i="67"/>
  <c r="AE38" i="67"/>
  <c r="AD38" i="67"/>
  <c r="AC38" i="67"/>
  <c r="AA38" i="67"/>
  <c r="Z38" i="67"/>
  <c r="Y38" i="67"/>
  <c r="X38" i="67"/>
  <c r="W38" i="67"/>
  <c r="C38" i="67"/>
  <c r="B38" i="67"/>
  <c r="BC37" i="67"/>
  <c r="DA37" i="67" s="1"/>
  <c r="BB37" i="67"/>
  <c r="BA37" i="67"/>
  <c r="AZ37" i="67"/>
  <c r="CX37" i="67" s="1"/>
  <c r="AY37" i="67"/>
  <c r="CI37" i="67" s="1"/>
  <c r="AX37" i="67"/>
  <c r="CH37" i="67" s="1"/>
  <c r="AW37" i="67"/>
  <c r="CG37" i="67" s="1"/>
  <c r="AV37" i="67"/>
  <c r="CF37" i="67" s="1"/>
  <c r="AU37" i="67"/>
  <c r="CS37" i="67" s="1"/>
  <c r="AT37" i="67"/>
  <c r="AS37" i="67"/>
  <c r="CC37" i="67" s="1"/>
  <c r="AR37" i="67"/>
  <c r="CB37" i="67" s="1"/>
  <c r="AQ37" i="67"/>
  <c r="CO37" i="67" s="1"/>
  <c r="AP37" i="67"/>
  <c r="AO37" i="67"/>
  <c r="AL37" i="67"/>
  <c r="AK37" i="67"/>
  <c r="AJ37" i="67"/>
  <c r="AI37" i="67"/>
  <c r="AH37" i="67"/>
  <c r="AG37" i="67"/>
  <c r="AF37" i="67"/>
  <c r="AE37" i="67"/>
  <c r="AD37" i="67"/>
  <c r="AC37" i="67"/>
  <c r="AB37" i="67"/>
  <c r="AA37" i="67"/>
  <c r="Z37" i="67"/>
  <c r="Y37" i="67"/>
  <c r="X37" i="67"/>
  <c r="W37" i="67"/>
  <c r="C37" i="67"/>
  <c r="B37" i="67"/>
  <c r="BC36" i="67"/>
  <c r="DA36" i="67" s="1"/>
  <c r="BB36" i="67"/>
  <c r="CZ36" i="67" s="1"/>
  <c r="BA36" i="67"/>
  <c r="AZ36" i="67"/>
  <c r="AY36" i="67"/>
  <c r="AX36" i="67"/>
  <c r="CH36" i="67" s="1"/>
  <c r="AW36" i="67"/>
  <c r="AV36" i="67"/>
  <c r="CF36" i="67" s="1"/>
  <c r="AU36" i="67"/>
  <c r="CS36" i="67" s="1"/>
  <c r="AT36" i="67"/>
  <c r="CD36" i="67" s="1"/>
  <c r="AS36" i="67"/>
  <c r="CQ36" i="67" s="1"/>
  <c r="AR36" i="67"/>
  <c r="CP36" i="67" s="1"/>
  <c r="AQ36" i="67"/>
  <c r="AP36" i="67"/>
  <c r="BZ36" i="67" s="1"/>
  <c r="AO36" i="67"/>
  <c r="AL36" i="67"/>
  <c r="AK36" i="67"/>
  <c r="AJ36" i="67"/>
  <c r="AI36" i="67"/>
  <c r="AH36" i="67"/>
  <c r="AG36" i="67"/>
  <c r="AF36" i="67"/>
  <c r="AE36" i="67"/>
  <c r="AD36" i="67"/>
  <c r="AC36" i="67"/>
  <c r="AB36" i="67"/>
  <c r="AA36" i="67"/>
  <c r="Z36" i="67"/>
  <c r="Y36" i="67"/>
  <c r="X36" i="67"/>
  <c r="W36" i="67"/>
  <c r="C36" i="67"/>
  <c r="B36" i="67"/>
  <c r="BC35" i="67"/>
  <c r="DA35" i="67" s="1"/>
  <c r="BB35" i="67"/>
  <c r="CZ35" i="67" s="1"/>
  <c r="BA35" i="67"/>
  <c r="CY35" i="67" s="1"/>
  <c r="AZ35" i="67"/>
  <c r="AY35" i="67"/>
  <c r="CW35" i="67" s="1"/>
  <c r="AX35" i="67"/>
  <c r="AW35" i="67"/>
  <c r="AV35" i="67"/>
  <c r="AU35" i="67"/>
  <c r="AT35" i="67"/>
  <c r="CD35" i="67" s="1"/>
  <c r="AS35" i="67"/>
  <c r="CQ35" i="67" s="1"/>
  <c r="AR35" i="67"/>
  <c r="CP35" i="67" s="1"/>
  <c r="AQ35" i="67"/>
  <c r="CO35" i="67" s="1"/>
  <c r="AP35" i="67"/>
  <c r="CN35" i="67" s="1"/>
  <c r="AO35" i="67"/>
  <c r="AL35" i="67"/>
  <c r="AK35" i="67"/>
  <c r="AJ35" i="67"/>
  <c r="AI35" i="67"/>
  <c r="AH35" i="67"/>
  <c r="AG35" i="67"/>
  <c r="AF35" i="67"/>
  <c r="AE35" i="67"/>
  <c r="AD35" i="67"/>
  <c r="AC35" i="67"/>
  <c r="AB35" i="67"/>
  <c r="AA35" i="67"/>
  <c r="Y35" i="67"/>
  <c r="X35" i="67"/>
  <c r="W35" i="67"/>
  <c r="C35" i="67"/>
  <c r="B35" i="67"/>
  <c r="BC34" i="67"/>
  <c r="CM34" i="67" s="1"/>
  <c r="BB34" i="67"/>
  <c r="CZ34" i="67" s="1"/>
  <c r="BA34" i="67"/>
  <c r="CY34" i="67" s="1"/>
  <c r="AZ34" i="67"/>
  <c r="AY34" i="67"/>
  <c r="AX34" i="67"/>
  <c r="CV34" i="67" s="1"/>
  <c r="AW34" i="67"/>
  <c r="AV34" i="67"/>
  <c r="AU34" i="67"/>
  <c r="CE34" i="67" s="1"/>
  <c r="AT34" i="67"/>
  <c r="CD34" i="67" s="1"/>
  <c r="AS34" i="67"/>
  <c r="CC34" i="67" s="1"/>
  <c r="AR34" i="67"/>
  <c r="CB34" i="67" s="1"/>
  <c r="AQ34" i="67"/>
  <c r="CO34" i="67" s="1"/>
  <c r="AP34" i="67"/>
  <c r="CN34" i="67" s="1"/>
  <c r="AO34" i="67"/>
  <c r="AL34" i="67"/>
  <c r="AK34" i="67"/>
  <c r="AJ34" i="67"/>
  <c r="AI34" i="67"/>
  <c r="AH34" i="67"/>
  <c r="AG34" i="67"/>
  <c r="AF34" i="67"/>
  <c r="AE34" i="67"/>
  <c r="AD34" i="67"/>
  <c r="AC34" i="67"/>
  <c r="Y34" i="67"/>
  <c r="X34" i="67"/>
  <c r="W34" i="67"/>
  <c r="C34" i="67"/>
  <c r="B34" i="67"/>
  <c r="BC33" i="67"/>
  <c r="CM33" i="67" s="1"/>
  <c r="BB33" i="67"/>
  <c r="BA33" i="67"/>
  <c r="CY33" i="67" s="1"/>
  <c r="AZ33" i="67"/>
  <c r="AY33" i="67"/>
  <c r="CW33" i="67" s="1"/>
  <c r="AX33" i="67"/>
  <c r="CH33" i="67" s="1"/>
  <c r="AW33" i="67"/>
  <c r="AV33" i="67"/>
  <c r="CF33" i="67" s="1"/>
  <c r="AU33" i="67"/>
  <c r="AT33" i="67"/>
  <c r="AS33" i="67"/>
  <c r="CC33" i="67" s="1"/>
  <c r="AR33" i="67"/>
  <c r="CB33" i="67" s="1"/>
  <c r="AQ33" i="67"/>
  <c r="CA33" i="67" s="1"/>
  <c r="AP33" i="67"/>
  <c r="CN33" i="67" s="1"/>
  <c r="AO33" i="67"/>
  <c r="AL33" i="67"/>
  <c r="AK33" i="67"/>
  <c r="AJ33" i="67"/>
  <c r="AI33" i="67"/>
  <c r="AH33" i="67"/>
  <c r="AG33" i="67"/>
  <c r="AF33" i="67"/>
  <c r="AE33" i="67"/>
  <c r="AD33" i="67"/>
  <c r="AC33" i="67"/>
  <c r="AB33" i="67"/>
  <c r="AA33" i="67"/>
  <c r="Z33" i="67"/>
  <c r="Y33" i="67"/>
  <c r="X33" i="67"/>
  <c r="W33" i="67"/>
  <c r="C33" i="67"/>
  <c r="B33" i="67"/>
  <c r="BC32" i="67"/>
  <c r="CM32" i="67" s="1"/>
  <c r="BB32" i="67"/>
  <c r="CL32" i="67" s="1"/>
  <c r="BA32" i="67"/>
  <c r="CK32" i="67" s="1"/>
  <c r="AZ32" i="67"/>
  <c r="CJ32" i="67" s="1"/>
  <c r="AY32" i="67"/>
  <c r="CW32" i="67" s="1"/>
  <c r="AX32" i="67"/>
  <c r="CH32" i="67" s="1"/>
  <c r="AW32" i="67"/>
  <c r="CG32" i="67" s="1"/>
  <c r="AV32" i="67"/>
  <c r="AU32" i="67"/>
  <c r="CS32" i="67" s="1"/>
  <c r="AT32" i="67"/>
  <c r="CR32" i="67" s="1"/>
  <c r="AS32" i="67"/>
  <c r="CQ32" i="67" s="1"/>
  <c r="AR32" i="67"/>
  <c r="AQ32" i="67"/>
  <c r="CO32" i="67" s="1"/>
  <c r="AP32" i="67"/>
  <c r="AO32" i="67"/>
  <c r="AL32" i="67"/>
  <c r="AK32" i="67"/>
  <c r="AJ32" i="67"/>
  <c r="AI32" i="67"/>
  <c r="AH32" i="67"/>
  <c r="AG32" i="67"/>
  <c r="AF32" i="67"/>
  <c r="AE32" i="67"/>
  <c r="AD32" i="67"/>
  <c r="AC32" i="67"/>
  <c r="AB32" i="67"/>
  <c r="AA32" i="67"/>
  <c r="Z32" i="67"/>
  <c r="Y32" i="67"/>
  <c r="X32" i="67"/>
  <c r="W32" i="67"/>
  <c r="C32" i="67"/>
  <c r="B32" i="67"/>
  <c r="CB31" i="67"/>
  <c r="BC31" i="67"/>
  <c r="DA31" i="67" s="1"/>
  <c r="BB31" i="67"/>
  <c r="BA31" i="67"/>
  <c r="CY31" i="67" s="1"/>
  <c r="AZ31" i="67"/>
  <c r="AY31" i="67"/>
  <c r="CI31" i="67" s="1"/>
  <c r="AX31" i="67"/>
  <c r="CV31" i="67" s="1"/>
  <c r="AW31" i="67"/>
  <c r="CG31" i="67" s="1"/>
  <c r="AV31" i="67"/>
  <c r="AU31" i="67"/>
  <c r="CE31" i="67" s="1"/>
  <c r="AT31" i="67"/>
  <c r="CD31" i="67" s="1"/>
  <c r="AS31" i="67"/>
  <c r="CQ31" i="67" s="1"/>
  <c r="AR31" i="67"/>
  <c r="CP31" i="67" s="1"/>
  <c r="AQ31" i="67"/>
  <c r="CO31" i="67" s="1"/>
  <c r="AP31" i="67"/>
  <c r="AO31" i="67"/>
  <c r="AL31" i="67"/>
  <c r="AK31" i="67"/>
  <c r="AJ31" i="67"/>
  <c r="AI31" i="67"/>
  <c r="AH31" i="67"/>
  <c r="AG31" i="67"/>
  <c r="AF31" i="67"/>
  <c r="AE31" i="67"/>
  <c r="AD31" i="67"/>
  <c r="AC31" i="67"/>
  <c r="AB31" i="67"/>
  <c r="AA31" i="67"/>
  <c r="Z31" i="67"/>
  <c r="Y31" i="67"/>
  <c r="X31" i="67"/>
  <c r="W31" i="67"/>
  <c r="C31" i="67"/>
  <c r="B31" i="67"/>
  <c r="BC30" i="67"/>
  <c r="CM30" i="67" s="1"/>
  <c r="BB30" i="67"/>
  <c r="CZ30" i="67" s="1"/>
  <c r="BA30" i="67"/>
  <c r="CY30" i="67" s="1"/>
  <c r="AZ30" i="67"/>
  <c r="AY30" i="67"/>
  <c r="CI30" i="67" s="1"/>
  <c r="AX30" i="67"/>
  <c r="CH30" i="67" s="1"/>
  <c r="AW30" i="67"/>
  <c r="AV30" i="67"/>
  <c r="CT30" i="67" s="1"/>
  <c r="AU30" i="67"/>
  <c r="CS30" i="67" s="1"/>
  <c r="AT30" i="67"/>
  <c r="CD30" i="67" s="1"/>
  <c r="AS30" i="67"/>
  <c r="CC30" i="67" s="1"/>
  <c r="AR30" i="67"/>
  <c r="CP30" i="67" s="1"/>
  <c r="AQ30" i="67"/>
  <c r="AP30" i="67"/>
  <c r="CN30" i="67" s="1"/>
  <c r="AO30" i="67"/>
  <c r="AL30" i="67"/>
  <c r="AK30" i="67"/>
  <c r="AJ30" i="67"/>
  <c r="AI30" i="67"/>
  <c r="AH30" i="67"/>
  <c r="AG30" i="67"/>
  <c r="AF30" i="67"/>
  <c r="AE30" i="67"/>
  <c r="AD30" i="67"/>
  <c r="AC30" i="67"/>
  <c r="AB30" i="67"/>
  <c r="AA30" i="67"/>
  <c r="Z30" i="67"/>
  <c r="Y30" i="67"/>
  <c r="X30" i="67"/>
  <c r="W30" i="67"/>
  <c r="C30" i="67"/>
  <c r="B30" i="67"/>
  <c r="BC29" i="67"/>
  <c r="BB29" i="67"/>
  <c r="BA29" i="67"/>
  <c r="CK29" i="67" s="1"/>
  <c r="AZ29" i="67"/>
  <c r="AY29" i="67"/>
  <c r="CW29" i="67" s="1"/>
  <c r="AX29" i="67"/>
  <c r="CV29" i="67" s="1"/>
  <c r="AW29" i="67"/>
  <c r="AV29" i="67"/>
  <c r="AU29" i="67"/>
  <c r="CS29" i="67" s="1"/>
  <c r="AT29" i="67"/>
  <c r="CD29" i="67" s="1"/>
  <c r="AS29" i="67"/>
  <c r="CC29" i="67" s="1"/>
  <c r="AR29" i="67"/>
  <c r="CB29" i="67" s="1"/>
  <c r="AQ29" i="67"/>
  <c r="CA29" i="67" s="1"/>
  <c r="AP29" i="67"/>
  <c r="BZ29" i="67" s="1"/>
  <c r="AO29" i="67"/>
  <c r="AL29" i="67"/>
  <c r="AK29" i="67"/>
  <c r="AJ29" i="67"/>
  <c r="AI29" i="67"/>
  <c r="AH29" i="67"/>
  <c r="AG29" i="67"/>
  <c r="AF29" i="67"/>
  <c r="AE29" i="67"/>
  <c r="AD29" i="67"/>
  <c r="AC29" i="67"/>
  <c r="Y29" i="67"/>
  <c r="X29" i="67"/>
  <c r="W29" i="67"/>
  <c r="C29" i="67"/>
  <c r="B29" i="67"/>
  <c r="BC28" i="67"/>
  <c r="DA28" i="67" s="1"/>
  <c r="BB28" i="67"/>
  <c r="BA28" i="67"/>
  <c r="CY28" i="67" s="1"/>
  <c r="AZ28" i="67"/>
  <c r="AY28" i="67"/>
  <c r="CW28" i="67" s="1"/>
  <c r="AX28" i="67"/>
  <c r="CH28" i="67" s="1"/>
  <c r="AW28" i="67"/>
  <c r="CU28" i="67" s="1"/>
  <c r="AV28" i="67"/>
  <c r="CT28" i="67" s="1"/>
  <c r="AU28" i="67"/>
  <c r="CS28" i="67" s="1"/>
  <c r="AT28" i="67"/>
  <c r="CR28" i="67" s="1"/>
  <c r="AS28" i="67"/>
  <c r="CQ28" i="67" s="1"/>
  <c r="AR28" i="67"/>
  <c r="AQ28" i="67"/>
  <c r="CO28" i="67" s="1"/>
  <c r="AP28" i="67"/>
  <c r="CN28" i="67" s="1"/>
  <c r="AO28" i="67"/>
  <c r="AL28" i="67"/>
  <c r="AK28" i="67"/>
  <c r="AJ28" i="67"/>
  <c r="AI28" i="67"/>
  <c r="AH28" i="67"/>
  <c r="AG28" i="67"/>
  <c r="AF28" i="67"/>
  <c r="AE28" i="67"/>
  <c r="AD28" i="67"/>
  <c r="AC28" i="67"/>
  <c r="AB28" i="67"/>
  <c r="AA28" i="67"/>
  <c r="Z28" i="67"/>
  <c r="Y28" i="67"/>
  <c r="X28" i="67"/>
  <c r="W28" i="67"/>
  <c r="C28" i="67"/>
  <c r="B28" i="67"/>
  <c r="BC27" i="67"/>
  <c r="CM27" i="67" s="1"/>
  <c r="BB27" i="67"/>
  <c r="CZ27" i="67" s="1"/>
  <c r="BA27" i="67"/>
  <c r="AZ27" i="67"/>
  <c r="AY27" i="67"/>
  <c r="CW27" i="67" s="1"/>
  <c r="AX27" i="67"/>
  <c r="CH27" i="67" s="1"/>
  <c r="AW27" i="67"/>
  <c r="CG27" i="67" s="1"/>
  <c r="AV27" i="67"/>
  <c r="AU27" i="67"/>
  <c r="CS27" i="67" s="1"/>
  <c r="AT27" i="67"/>
  <c r="CD27" i="67" s="1"/>
  <c r="AS27" i="67"/>
  <c r="CQ27" i="67" s="1"/>
  <c r="AR27" i="67"/>
  <c r="CB27" i="67" s="1"/>
  <c r="AQ27" i="67"/>
  <c r="CA27" i="67" s="1"/>
  <c r="AP27" i="67"/>
  <c r="BZ27" i="67" s="1"/>
  <c r="AO27" i="67"/>
  <c r="AL27" i="67"/>
  <c r="AK27" i="67"/>
  <c r="AJ27" i="67"/>
  <c r="AI27" i="67"/>
  <c r="AH27" i="67"/>
  <c r="AG27" i="67"/>
  <c r="AF27" i="67"/>
  <c r="AE27" i="67"/>
  <c r="AD27" i="67"/>
  <c r="AC27" i="67"/>
  <c r="AB27" i="67"/>
  <c r="AA27" i="67"/>
  <c r="Z27" i="67"/>
  <c r="Y27" i="67"/>
  <c r="X27" i="67"/>
  <c r="W27" i="67"/>
  <c r="C27" i="67"/>
  <c r="B27" i="67"/>
  <c r="BC26" i="67"/>
  <c r="DA26" i="67" s="1"/>
  <c r="BB26" i="67"/>
  <c r="BA26" i="67"/>
  <c r="CK26" i="67" s="1"/>
  <c r="AZ26" i="67"/>
  <c r="AY26" i="67"/>
  <c r="CW26" i="67" s="1"/>
  <c r="AX26" i="67"/>
  <c r="CV26" i="67" s="1"/>
  <c r="AW26" i="67"/>
  <c r="AV26" i="67"/>
  <c r="CT26" i="67" s="1"/>
  <c r="AU26" i="67"/>
  <c r="CS26" i="67" s="1"/>
  <c r="AT26" i="67"/>
  <c r="CD26" i="67" s="1"/>
  <c r="AS26" i="67"/>
  <c r="CQ26" i="67" s="1"/>
  <c r="AR26" i="67"/>
  <c r="CP26" i="67" s="1"/>
  <c r="AQ26" i="67"/>
  <c r="AP26" i="67"/>
  <c r="CN26" i="67" s="1"/>
  <c r="AO26" i="67"/>
  <c r="AL26" i="67"/>
  <c r="AK26" i="67"/>
  <c r="AJ26" i="67"/>
  <c r="AI26" i="67"/>
  <c r="AH26" i="67"/>
  <c r="AG26" i="67"/>
  <c r="AF26" i="67"/>
  <c r="AE26" i="67"/>
  <c r="AD26" i="67"/>
  <c r="AC26" i="67"/>
  <c r="AB26" i="67"/>
  <c r="AA26" i="67"/>
  <c r="Z26" i="67"/>
  <c r="Y26" i="67"/>
  <c r="X26" i="67"/>
  <c r="W26" i="67"/>
  <c r="C26" i="67"/>
  <c r="B26" i="67"/>
  <c r="BC25" i="67"/>
  <c r="CM25" i="67" s="1"/>
  <c r="BB25" i="67"/>
  <c r="CZ25" i="67" s="1"/>
  <c r="BA25" i="67"/>
  <c r="CK25" i="67" s="1"/>
  <c r="AZ25" i="67"/>
  <c r="AY25" i="67"/>
  <c r="CW25" i="67" s="1"/>
  <c r="AX25" i="67"/>
  <c r="AW25" i="67"/>
  <c r="AV25" i="67"/>
  <c r="AU25" i="67"/>
  <c r="CE25" i="67" s="1"/>
  <c r="AT25" i="67"/>
  <c r="CR25" i="67" s="1"/>
  <c r="AS25" i="67"/>
  <c r="AR25" i="67"/>
  <c r="AQ25" i="67"/>
  <c r="CO25" i="67" s="1"/>
  <c r="AP25" i="67"/>
  <c r="BZ25" i="67" s="1"/>
  <c r="AO25" i="67"/>
  <c r="AL25" i="67"/>
  <c r="AK25" i="67"/>
  <c r="AJ25" i="67"/>
  <c r="AI25" i="67"/>
  <c r="AH25" i="67"/>
  <c r="AG25" i="67"/>
  <c r="AF25" i="67"/>
  <c r="AE25" i="67"/>
  <c r="AD25" i="67"/>
  <c r="AC25" i="67"/>
  <c r="AB25" i="67"/>
  <c r="AA25" i="67"/>
  <c r="Z25" i="67"/>
  <c r="Y25" i="67"/>
  <c r="X25" i="67"/>
  <c r="W25" i="67"/>
  <c r="C25" i="67"/>
  <c r="B25" i="67"/>
  <c r="BC24" i="67"/>
  <c r="CM24" i="67" s="1"/>
  <c r="BB24" i="67"/>
  <c r="BA24" i="67"/>
  <c r="AZ24" i="67"/>
  <c r="AY24" i="67"/>
  <c r="CI24" i="67" s="1"/>
  <c r="AX24" i="67"/>
  <c r="AW24" i="67"/>
  <c r="CU24" i="67" s="1"/>
  <c r="AV24" i="67"/>
  <c r="AU24" i="67"/>
  <c r="CS24" i="67" s="1"/>
  <c r="AT24" i="67"/>
  <c r="CR24" i="67" s="1"/>
  <c r="AS24" i="67"/>
  <c r="CQ24" i="67" s="1"/>
  <c r="AR24" i="67"/>
  <c r="CP24" i="67" s="1"/>
  <c r="AQ24" i="67"/>
  <c r="CO24" i="67" s="1"/>
  <c r="AP24" i="67"/>
  <c r="BZ24" i="67" s="1"/>
  <c r="AO24" i="67"/>
  <c r="AL24" i="67"/>
  <c r="AK24" i="67"/>
  <c r="AJ24" i="67"/>
  <c r="AI24" i="67"/>
  <c r="AH24" i="67"/>
  <c r="AG24" i="67"/>
  <c r="AF24" i="67"/>
  <c r="AE24" i="67"/>
  <c r="AD24" i="67"/>
  <c r="AC24" i="67"/>
  <c r="AB24" i="67"/>
  <c r="Y24" i="67"/>
  <c r="X24" i="67"/>
  <c r="W24" i="67"/>
  <c r="C24" i="67"/>
  <c r="B24" i="67"/>
  <c r="BC23" i="67"/>
  <c r="DA23" i="67" s="1"/>
  <c r="BB23" i="67"/>
  <c r="CL23" i="67" s="1"/>
  <c r="BA23" i="67"/>
  <c r="CY23" i="67" s="1"/>
  <c r="AZ23" i="67"/>
  <c r="AY23" i="67"/>
  <c r="AX23" i="67"/>
  <c r="CV23" i="67" s="1"/>
  <c r="AW23" i="67"/>
  <c r="CU23" i="67" s="1"/>
  <c r="AV23" i="67"/>
  <c r="CT23" i="67" s="1"/>
  <c r="AU23" i="67"/>
  <c r="AT23" i="67"/>
  <c r="AS23" i="67"/>
  <c r="CQ23" i="67" s="1"/>
  <c r="AR23" i="67"/>
  <c r="CB23" i="67" s="1"/>
  <c r="AQ23" i="67"/>
  <c r="CA23" i="67" s="1"/>
  <c r="AP23" i="67"/>
  <c r="CN23" i="67" s="1"/>
  <c r="AO23" i="67"/>
  <c r="AL23" i="67"/>
  <c r="AK23" i="67"/>
  <c r="AJ23" i="67"/>
  <c r="AI23" i="67"/>
  <c r="AH23" i="67"/>
  <c r="AG23" i="67"/>
  <c r="AF23" i="67"/>
  <c r="AE23" i="67"/>
  <c r="AD23" i="67"/>
  <c r="AC23" i="67"/>
  <c r="Z23" i="67"/>
  <c r="Y23" i="67"/>
  <c r="X23" i="67"/>
  <c r="W23" i="67"/>
  <c r="C23" i="67"/>
  <c r="B23" i="67"/>
  <c r="BC22" i="67"/>
  <c r="BB22" i="67"/>
  <c r="CZ22" i="67" s="1"/>
  <c r="BA22" i="67"/>
  <c r="CK22" i="67" s="1"/>
  <c r="AZ22" i="67"/>
  <c r="AY22" i="67"/>
  <c r="CI22" i="67" s="1"/>
  <c r="AX22" i="67"/>
  <c r="CH22" i="67" s="1"/>
  <c r="AW22" i="67"/>
  <c r="CG22" i="67" s="1"/>
  <c r="AV22" i="67"/>
  <c r="CF22" i="67" s="1"/>
  <c r="AU22" i="67"/>
  <c r="CE22" i="67" s="1"/>
  <c r="AT22" i="67"/>
  <c r="CR22" i="67" s="1"/>
  <c r="AS22" i="67"/>
  <c r="CC22" i="67" s="1"/>
  <c r="AR22" i="67"/>
  <c r="CB22" i="67" s="1"/>
  <c r="AQ22" i="67"/>
  <c r="CA22" i="67" s="1"/>
  <c r="AP22" i="67"/>
  <c r="BZ22" i="67" s="1"/>
  <c r="AO22" i="67"/>
  <c r="AL22" i="67"/>
  <c r="AK22" i="67"/>
  <c r="AJ22" i="67"/>
  <c r="AI22" i="67"/>
  <c r="AH22" i="67"/>
  <c r="AG22" i="67"/>
  <c r="AF22" i="67"/>
  <c r="AE22" i="67"/>
  <c r="AD22" i="67"/>
  <c r="AC22" i="67"/>
  <c r="AA22" i="67"/>
  <c r="Z22" i="67"/>
  <c r="Y22" i="67"/>
  <c r="X22" i="67"/>
  <c r="W22" i="67"/>
  <c r="C22" i="67"/>
  <c r="B22" i="67"/>
  <c r="BC21" i="67"/>
  <c r="CM21" i="67" s="1"/>
  <c r="BB21" i="67"/>
  <c r="CZ21" i="67" s="1"/>
  <c r="BA21" i="67"/>
  <c r="CY21" i="67" s="1"/>
  <c r="AZ21" i="67"/>
  <c r="CX21" i="67" s="1"/>
  <c r="AY21" i="67"/>
  <c r="AX21" i="67"/>
  <c r="CH21" i="67" s="1"/>
  <c r="AW21" i="67"/>
  <c r="AV21" i="67"/>
  <c r="AU21" i="67"/>
  <c r="CS21" i="67" s="1"/>
  <c r="AT21" i="67"/>
  <c r="CD21" i="67" s="1"/>
  <c r="AS21" i="67"/>
  <c r="CC21" i="67" s="1"/>
  <c r="AR21" i="67"/>
  <c r="CB21" i="67" s="1"/>
  <c r="AQ21" i="67"/>
  <c r="CA21" i="67" s="1"/>
  <c r="AP21" i="67"/>
  <c r="CN21" i="67" s="1"/>
  <c r="AO21" i="67"/>
  <c r="AL21" i="67"/>
  <c r="AK21" i="67"/>
  <c r="AJ21" i="67"/>
  <c r="AI21" i="67"/>
  <c r="AH21" i="67"/>
  <c r="AG21" i="67"/>
  <c r="AF21" i="67"/>
  <c r="AE21" i="67"/>
  <c r="AD21" i="67"/>
  <c r="AC21" i="67"/>
  <c r="AB21" i="67"/>
  <c r="AA21" i="67"/>
  <c r="Z21" i="67"/>
  <c r="Y21" i="67"/>
  <c r="X21" i="67"/>
  <c r="W21" i="67"/>
  <c r="C21" i="67"/>
  <c r="B21" i="67"/>
  <c r="BC20" i="67"/>
  <c r="DA20" i="67" s="1"/>
  <c r="BB20" i="67"/>
  <c r="CZ20" i="67" s="1"/>
  <c r="BA20" i="67"/>
  <c r="CY20" i="67" s="1"/>
  <c r="AZ20" i="67"/>
  <c r="AY20" i="67"/>
  <c r="CW20" i="67" s="1"/>
  <c r="AX20" i="67"/>
  <c r="CH20" i="67" s="1"/>
  <c r="AW20" i="67"/>
  <c r="CU20" i="67" s="1"/>
  <c r="AV20" i="67"/>
  <c r="AU20" i="67"/>
  <c r="CS20" i="67" s="1"/>
  <c r="AT20" i="67"/>
  <c r="AS20" i="67"/>
  <c r="CQ20" i="67" s="1"/>
  <c r="AR20" i="67"/>
  <c r="CP20" i="67" s="1"/>
  <c r="AQ20" i="67"/>
  <c r="AP20" i="67"/>
  <c r="BZ20" i="67" s="1"/>
  <c r="AO20" i="67"/>
  <c r="AL20" i="67"/>
  <c r="AK20" i="67"/>
  <c r="AJ20" i="67"/>
  <c r="AI20" i="67"/>
  <c r="AH20" i="67"/>
  <c r="AG20" i="67"/>
  <c r="AF20" i="67"/>
  <c r="AE20" i="67"/>
  <c r="AD20" i="67"/>
  <c r="AC20" i="67"/>
  <c r="AB20" i="67"/>
  <c r="AA20" i="67"/>
  <c r="Z20" i="67"/>
  <c r="Y20" i="67"/>
  <c r="X20" i="67"/>
  <c r="W20" i="67"/>
  <c r="C20" i="67"/>
  <c r="B20" i="67"/>
  <c r="BC19" i="67"/>
  <c r="DA19" i="67" s="1"/>
  <c r="BB19" i="67"/>
  <c r="BA19" i="67"/>
  <c r="CK19" i="67" s="1"/>
  <c r="AZ19" i="67"/>
  <c r="CX19" i="67" s="1"/>
  <c r="AY19" i="67"/>
  <c r="CI19" i="67" s="1"/>
  <c r="AX19" i="67"/>
  <c r="CH19" i="67" s="1"/>
  <c r="AW19" i="67"/>
  <c r="CG19" i="67" s="1"/>
  <c r="AV19" i="67"/>
  <c r="CF19" i="67" s="1"/>
  <c r="AU19" i="67"/>
  <c r="CE19" i="67" s="1"/>
  <c r="AT19" i="67"/>
  <c r="CR19" i="67" s="1"/>
  <c r="AS19" i="67"/>
  <c r="CQ19" i="67" s="1"/>
  <c r="AR19" i="67"/>
  <c r="AQ19" i="67"/>
  <c r="CA19" i="67" s="1"/>
  <c r="AP19" i="67"/>
  <c r="BZ19" i="67" s="1"/>
  <c r="AO19" i="67"/>
  <c r="AL19" i="67"/>
  <c r="AK19" i="67"/>
  <c r="AJ19" i="67"/>
  <c r="AI19" i="67"/>
  <c r="AH19" i="67"/>
  <c r="AG19" i="67"/>
  <c r="AF19" i="67"/>
  <c r="AE19" i="67"/>
  <c r="AD19" i="67"/>
  <c r="AC19" i="67"/>
  <c r="AB19" i="67"/>
  <c r="AA19" i="67"/>
  <c r="Y19" i="67"/>
  <c r="X19" i="67"/>
  <c r="W19" i="67"/>
  <c r="C19" i="67"/>
  <c r="B19" i="67"/>
  <c r="BC18" i="67"/>
  <c r="DA18" i="67" s="1"/>
  <c r="BB18" i="67"/>
  <c r="CL18" i="67" s="1"/>
  <c r="BA18" i="67"/>
  <c r="CY18" i="67" s="1"/>
  <c r="AZ18" i="67"/>
  <c r="AY18" i="67"/>
  <c r="CW18" i="67" s="1"/>
  <c r="AX18" i="67"/>
  <c r="CV18" i="67" s="1"/>
  <c r="AW18" i="67"/>
  <c r="AV18" i="67"/>
  <c r="AU18" i="67"/>
  <c r="CS18" i="67" s="1"/>
  <c r="AT18" i="67"/>
  <c r="CD18" i="67" s="1"/>
  <c r="AS18" i="67"/>
  <c r="CC18" i="67" s="1"/>
  <c r="AR18" i="67"/>
  <c r="CB18" i="67" s="1"/>
  <c r="AQ18" i="67"/>
  <c r="CO18" i="67" s="1"/>
  <c r="AP18" i="67"/>
  <c r="CN18" i="67" s="1"/>
  <c r="AO18" i="67"/>
  <c r="AL18" i="67"/>
  <c r="AK18" i="67"/>
  <c r="AJ18" i="67"/>
  <c r="AI18" i="67"/>
  <c r="AH18" i="67"/>
  <c r="AG18" i="67"/>
  <c r="AF18" i="67"/>
  <c r="AE18" i="67"/>
  <c r="AD18" i="67"/>
  <c r="AC18" i="67"/>
  <c r="Z18" i="67"/>
  <c r="Y18" i="67"/>
  <c r="X18" i="67"/>
  <c r="W18" i="67"/>
  <c r="C18" i="67"/>
  <c r="B18" i="67"/>
  <c r="BC17" i="67"/>
  <c r="CM17" i="67" s="1"/>
  <c r="BB17" i="67"/>
  <c r="CL17" i="67" s="1"/>
  <c r="BA17" i="67"/>
  <c r="CK17" i="67" s="1"/>
  <c r="AZ17" i="67"/>
  <c r="AY17" i="67"/>
  <c r="CW17" i="67" s="1"/>
  <c r="AX17" i="67"/>
  <c r="CV17" i="67" s="1"/>
  <c r="AW17" i="67"/>
  <c r="AV17" i="67"/>
  <c r="AU17" i="67"/>
  <c r="CE17" i="67" s="1"/>
  <c r="AT17" i="67"/>
  <c r="CD17" i="67" s="1"/>
  <c r="AS17" i="67"/>
  <c r="CQ17" i="67" s="1"/>
  <c r="AR17" i="67"/>
  <c r="CB17" i="67" s="1"/>
  <c r="AQ17" i="67"/>
  <c r="CA17" i="67" s="1"/>
  <c r="AP17" i="67"/>
  <c r="BZ17" i="67" s="1"/>
  <c r="AO17" i="67"/>
  <c r="AL17" i="67"/>
  <c r="AK17" i="67"/>
  <c r="AJ17" i="67"/>
  <c r="AI17" i="67"/>
  <c r="AH17" i="67"/>
  <c r="AG17" i="67"/>
  <c r="AF17" i="67"/>
  <c r="AE17" i="67"/>
  <c r="AD17" i="67"/>
  <c r="AC17" i="67"/>
  <c r="Z17" i="67"/>
  <c r="Y17" i="67"/>
  <c r="X17" i="67"/>
  <c r="W17" i="67"/>
  <c r="C17" i="67"/>
  <c r="B17" i="67"/>
  <c r="BC16" i="67"/>
  <c r="DA16" i="67" s="1"/>
  <c r="BB16" i="67"/>
  <c r="CL16" i="67" s="1"/>
  <c r="BA16" i="67"/>
  <c r="CK16" i="67" s="1"/>
  <c r="AZ16" i="67"/>
  <c r="AY16" i="67"/>
  <c r="CI16" i="67" s="1"/>
  <c r="AX16" i="67"/>
  <c r="CH16" i="67" s="1"/>
  <c r="AW16" i="67"/>
  <c r="AV16" i="67"/>
  <c r="AU16" i="67"/>
  <c r="AT16" i="67"/>
  <c r="CD16" i="67" s="1"/>
  <c r="AS16" i="67"/>
  <c r="CC16" i="67" s="1"/>
  <c r="AR16" i="67"/>
  <c r="CB16" i="67" s="1"/>
  <c r="AQ16" i="67"/>
  <c r="CA16" i="67" s="1"/>
  <c r="AP16" i="67"/>
  <c r="CN16" i="67" s="1"/>
  <c r="AO16" i="67"/>
  <c r="AL16" i="67"/>
  <c r="AK16" i="67"/>
  <c r="AJ16" i="67"/>
  <c r="AI16" i="67"/>
  <c r="AH16" i="67"/>
  <c r="AG16" i="67"/>
  <c r="AF16" i="67"/>
  <c r="AE16" i="67"/>
  <c r="AD16" i="67"/>
  <c r="AC16" i="67"/>
  <c r="AB16" i="67"/>
  <c r="AA16" i="67"/>
  <c r="Z16" i="67"/>
  <c r="Y16" i="67"/>
  <c r="X16" i="67"/>
  <c r="W16" i="67"/>
  <c r="C16" i="67"/>
  <c r="B16" i="67"/>
  <c r="BC15" i="67"/>
  <c r="CM15" i="67" s="1"/>
  <c r="BB15" i="67"/>
  <c r="CL15" i="67" s="1"/>
  <c r="BA15" i="67"/>
  <c r="CY15" i="67" s="1"/>
  <c r="AZ15" i="67"/>
  <c r="AY15" i="67"/>
  <c r="CW15" i="67" s="1"/>
  <c r="AX15" i="67"/>
  <c r="CV15" i="67" s="1"/>
  <c r="AW15" i="67"/>
  <c r="AV15" i="67"/>
  <c r="AU15" i="67"/>
  <c r="CE15" i="67" s="1"/>
  <c r="AT15" i="67"/>
  <c r="CD15" i="67" s="1"/>
  <c r="AS15" i="67"/>
  <c r="CC15" i="67" s="1"/>
  <c r="AR15" i="67"/>
  <c r="CB15" i="67" s="1"/>
  <c r="AQ15" i="67"/>
  <c r="CA15" i="67" s="1"/>
  <c r="AP15" i="67"/>
  <c r="BZ15" i="67" s="1"/>
  <c r="AO15" i="67"/>
  <c r="AL15" i="67"/>
  <c r="AK15" i="67"/>
  <c r="AJ15" i="67"/>
  <c r="AI15" i="67"/>
  <c r="AH15" i="67"/>
  <c r="AG15" i="67"/>
  <c r="AF15" i="67"/>
  <c r="AE15" i="67"/>
  <c r="AD15" i="67"/>
  <c r="AC15" i="67"/>
  <c r="AB15" i="67"/>
  <c r="AA15" i="67"/>
  <c r="Z15" i="67"/>
  <c r="Y15" i="67"/>
  <c r="X15" i="67"/>
  <c r="W15" i="67"/>
  <c r="C15" i="67"/>
  <c r="B15" i="67"/>
  <c r="BC14" i="67"/>
  <c r="CM14" i="67" s="1"/>
  <c r="BB14" i="67"/>
  <c r="CL14" i="67" s="1"/>
  <c r="BA14" i="67"/>
  <c r="CK14" i="67" s="1"/>
  <c r="AZ14" i="67"/>
  <c r="AY14" i="67"/>
  <c r="CW14" i="67" s="1"/>
  <c r="AX14" i="67"/>
  <c r="CV14" i="67" s="1"/>
  <c r="AW14" i="67"/>
  <c r="AV14" i="67"/>
  <c r="AU14" i="67"/>
  <c r="CS14" i="67" s="1"/>
  <c r="AT14" i="67"/>
  <c r="CD14" i="67" s="1"/>
  <c r="AS14" i="67"/>
  <c r="CC14" i="67" s="1"/>
  <c r="AR14" i="67"/>
  <c r="CP14" i="67" s="1"/>
  <c r="AQ14" i="67"/>
  <c r="CO14" i="67" s="1"/>
  <c r="AP14" i="67"/>
  <c r="AO14" i="67"/>
  <c r="AL14" i="67"/>
  <c r="AK14" i="67"/>
  <c r="AJ14" i="67"/>
  <c r="AI14" i="67"/>
  <c r="AH14" i="67"/>
  <c r="AG14" i="67"/>
  <c r="AF14" i="67"/>
  <c r="AE14" i="67"/>
  <c r="AD14" i="67"/>
  <c r="AC14" i="67"/>
  <c r="AB14" i="67"/>
  <c r="AA14" i="67"/>
  <c r="Z14" i="67"/>
  <c r="Y14" i="67"/>
  <c r="X14" i="67"/>
  <c r="W14" i="67"/>
  <c r="C14" i="67"/>
  <c r="B14" i="67"/>
  <c r="BC13" i="67"/>
  <c r="DA13" i="67" s="1"/>
  <c r="BB13" i="67"/>
  <c r="CL13" i="67" s="1"/>
  <c r="BA13" i="67"/>
  <c r="CY13" i="67" s="1"/>
  <c r="AZ13" i="67"/>
  <c r="CJ13" i="67" s="1"/>
  <c r="AY13" i="67"/>
  <c r="CW13" i="67" s="1"/>
  <c r="AX13" i="67"/>
  <c r="AW13" i="67"/>
  <c r="AV13" i="67"/>
  <c r="CF13" i="67" s="1"/>
  <c r="AU13" i="67"/>
  <c r="CE13" i="67" s="1"/>
  <c r="AT13" i="67"/>
  <c r="CD13" i="67" s="1"/>
  <c r="AS13" i="67"/>
  <c r="CQ13" i="67" s="1"/>
  <c r="AR13" i="67"/>
  <c r="CB13" i="67" s="1"/>
  <c r="AQ13" i="67"/>
  <c r="AP13" i="67"/>
  <c r="CN13" i="67" s="1"/>
  <c r="AO13" i="67"/>
  <c r="AL13" i="67"/>
  <c r="AK13" i="67"/>
  <c r="AJ13" i="67"/>
  <c r="AI13" i="67"/>
  <c r="AH13" i="67"/>
  <c r="AG13" i="67"/>
  <c r="AF13" i="67"/>
  <c r="AE13" i="67"/>
  <c r="AD13" i="67"/>
  <c r="AC13" i="67"/>
  <c r="Y13" i="67"/>
  <c r="X13" i="67"/>
  <c r="W13" i="67"/>
  <c r="C13" i="67"/>
  <c r="B13" i="67"/>
  <c r="BC12" i="67"/>
  <c r="CM12" i="67" s="1"/>
  <c r="BB12" i="67"/>
  <c r="CZ12" i="67" s="1"/>
  <c r="BA12" i="67"/>
  <c r="CY12" i="67" s="1"/>
  <c r="AZ12" i="67"/>
  <c r="AY12" i="67"/>
  <c r="AX12" i="67"/>
  <c r="CH12" i="67" s="1"/>
  <c r="AW12" i="67"/>
  <c r="CU12" i="67" s="1"/>
  <c r="AV12" i="67"/>
  <c r="CT12" i="67" s="1"/>
  <c r="AU12" i="67"/>
  <c r="CE12" i="67" s="1"/>
  <c r="AT12" i="67"/>
  <c r="CD12" i="67" s="1"/>
  <c r="AS12" i="67"/>
  <c r="CQ12" i="67" s="1"/>
  <c r="AR12" i="67"/>
  <c r="AQ12" i="67"/>
  <c r="CO12" i="67" s="1"/>
  <c r="AP12" i="67"/>
  <c r="BZ12" i="67" s="1"/>
  <c r="AO12" i="67"/>
  <c r="AL12" i="67"/>
  <c r="AK12" i="67"/>
  <c r="AJ12" i="67"/>
  <c r="AI12" i="67"/>
  <c r="AH12" i="67"/>
  <c r="AG12" i="67"/>
  <c r="AF12" i="67"/>
  <c r="AE12" i="67"/>
  <c r="AD12" i="67"/>
  <c r="AC12" i="67"/>
  <c r="AA12" i="67"/>
  <c r="Z12" i="67"/>
  <c r="Y12" i="67"/>
  <c r="X12" i="67"/>
  <c r="W12" i="67"/>
  <c r="C12" i="67"/>
  <c r="B12" i="67"/>
  <c r="BC11" i="67"/>
  <c r="DA11" i="67" s="1"/>
  <c r="BB11" i="67"/>
  <c r="CZ11" i="67" s="1"/>
  <c r="BA11" i="67"/>
  <c r="CY11" i="67" s="1"/>
  <c r="AZ11" i="67"/>
  <c r="AY11" i="67"/>
  <c r="CI11" i="67" s="1"/>
  <c r="AX11" i="67"/>
  <c r="CV11" i="67" s="1"/>
  <c r="AW11" i="67"/>
  <c r="AV11" i="67"/>
  <c r="AU11" i="67"/>
  <c r="CS11" i="67" s="1"/>
  <c r="AT11" i="67"/>
  <c r="CR11" i="67" s="1"/>
  <c r="AS11" i="67"/>
  <c r="AR11" i="67"/>
  <c r="CP11" i="67" s="1"/>
  <c r="AQ11" i="67"/>
  <c r="CA11" i="67" s="1"/>
  <c r="AP11" i="67"/>
  <c r="BZ11" i="67" s="1"/>
  <c r="AO11" i="67"/>
  <c r="AL11" i="67"/>
  <c r="AK11" i="67"/>
  <c r="AJ11" i="67"/>
  <c r="AI11" i="67"/>
  <c r="AH11" i="67"/>
  <c r="AG11" i="67"/>
  <c r="AF11" i="67"/>
  <c r="AE11" i="67"/>
  <c r="AD11" i="67"/>
  <c r="AC11" i="67"/>
  <c r="AB11" i="67"/>
  <c r="AA11" i="67"/>
  <c r="Z11" i="67"/>
  <c r="Y11" i="67"/>
  <c r="X11" i="67"/>
  <c r="W11" i="67"/>
  <c r="C11" i="67"/>
  <c r="B11" i="67"/>
  <c r="BC10" i="67"/>
  <c r="DA10" i="67" s="1"/>
  <c r="BB10" i="67"/>
  <c r="CZ10" i="67" s="1"/>
  <c r="BA10" i="67"/>
  <c r="AZ10" i="67"/>
  <c r="AY10" i="67"/>
  <c r="CW10" i="67" s="1"/>
  <c r="AX10" i="67"/>
  <c r="CH10" i="67" s="1"/>
  <c r="AW10" i="67"/>
  <c r="AV10" i="67"/>
  <c r="CF10" i="67" s="1"/>
  <c r="AU10" i="67"/>
  <c r="CS10" i="67" s="1"/>
  <c r="AT10" i="67"/>
  <c r="AS10" i="67"/>
  <c r="CQ10" i="67" s="1"/>
  <c r="AR10" i="67"/>
  <c r="CB10" i="67" s="1"/>
  <c r="AQ10" i="67"/>
  <c r="CA10" i="67" s="1"/>
  <c r="AP10" i="67"/>
  <c r="CN10" i="67" s="1"/>
  <c r="AO10" i="67"/>
  <c r="AL10" i="67"/>
  <c r="AK10" i="67"/>
  <c r="AJ10" i="67"/>
  <c r="AI10" i="67"/>
  <c r="AH10" i="67"/>
  <c r="AG10" i="67"/>
  <c r="AF10" i="67"/>
  <c r="AE10" i="67"/>
  <c r="AD10" i="67"/>
  <c r="AC10" i="67"/>
  <c r="AB10" i="67"/>
  <c r="AA10" i="67"/>
  <c r="Z10" i="67"/>
  <c r="Y10" i="67"/>
  <c r="X10" i="67"/>
  <c r="W10" i="67"/>
  <c r="C10" i="67"/>
  <c r="B10" i="67"/>
  <c r="BC9" i="67"/>
  <c r="DA9" i="67" s="1"/>
  <c r="BB9" i="67"/>
  <c r="BA9" i="67"/>
  <c r="CK9" i="67" s="1"/>
  <c r="AZ9" i="67"/>
  <c r="AY9" i="67"/>
  <c r="CI9" i="67" s="1"/>
  <c r="AX9" i="67"/>
  <c r="CH9" i="67" s="1"/>
  <c r="AW9" i="67"/>
  <c r="CU9" i="67" s="1"/>
  <c r="AV9" i="67"/>
  <c r="AU9" i="67"/>
  <c r="AT9" i="67"/>
  <c r="CR9" i="67" s="1"/>
  <c r="AS9" i="67"/>
  <c r="CC9" i="67" s="1"/>
  <c r="AR9" i="67"/>
  <c r="CB9" i="67" s="1"/>
  <c r="AQ9" i="67"/>
  <c r="CA9" i="67" s="1"/>
  <c r="AP9" i="67"/>
  <c r="BZ9" i="67" s="1"/>
  <c r="AO9" i="67"/>
  <c r="AL9" i="67"/>
  <c r="AK9" i="67"/>
  <c r="AJ9" i="67"/>
  <c r="AI9" i="67"/>
  <c r="AH9" i="67"/>
  <c r="AG9" i="67"/>
  <c r="AF9" i="67"/>
  <c r="AE9" i="67"/>
  <c r="AD9" i="67"/>
  <c r="AC9" i="67"/>
  <c r="AB9" i="67"/>
  <c r="AA9" i="67"/>
  <c r="Z9" i="67"/>
  <c r="Y9" i="67"/>
  <c r="X9" i="67"/>
  <c r="W9" i="67"/>
  <c r="C9" i="67"/>
  <c r="B9" i="67"/>
  <c r="BC8" i="67"/>
  <c r="BB8" i="67"/>
  <c r="CL8" i="67" s="1"/>
  <c r="BA8" i="67"/>
  <c r="CK8" i="67" s="1"/>
  <c r="AZ8" i="67"/>
  <c r="AY8" i="67"/>
  <c r="CI8" i="67" s="1"/>
  <c r="AX8" i="67"/>
  <c r="CV8" i="67" s="1"/>
  <c r="AW8" i="67"/>
  <c r="AV8" i="67"/>
  <c r="AU8" i="67"/>
  <c r="CS8" i="67" s="1"/>
  <c r="AT8" i="67"/>
  <c r="CD8" i="67" s="1"/>
  <c r="AS8" i="67"/>
  <c r="CC8" i="67" s="1"/>
  <c r="AR8" i="67"/>
  <c r="CB8" i="67" s="1"/>
  <c r="AQ8" i="67"/>
  <c r="CO8" i="67" s="1"/>
  <c r="AP8" i="67"/>
  <c r="CN8" i="67" s="1"/>
  <c r="AO8" i="67"/>
  <c r="AL8" i="67"/>
  <c r="AK8" i="67"/>
  <c r="AJ8" i="67"/>
  <c r="AI8" i="67"/>
  <c r="AH8" i="67"/>
  <c r="AG8" i="67"/>
  <c r="AF8" i="67"/>
  <c r="AE8" i="67"/>
  <c r="AD8" i="67"/>
  <c r="AC8" i="67"/>
  <c r="AB8" i="67"/>
  <c r="Y8" i="67"/>
  <c r="X8" i="67"/>
  <c r="W8" i="67"/>
  <c r="C8" i="67"/>
  <c r="B8" i="67"/>
  <c r="BC7" i="67"/>
  <c r="CM7" i="67" s="1"/>
  <c r="BB7" i="67"/>
  <c r="CZ7" i="67" s="1"/>
  <c r="BA7" i="67"/>
  <c r="CK7" i="67" s="1"/>
  <c r="AZ7" i="67"/>
  <c r="CX7" i="67" s="1"/>
  <c r="AY7" i="67"/>
  <c r="CI7" i="67" s="1"/>
  <c r="AX7" i="67"/>
  <c r="CV7" i="67" s="1"/>
  <c r="AW7" i="67"/>
  <c r="AV7" i="67"/>
  <c r="AU7" i="67"/>
  <c r="CE7" i="67" s="1"/>
  <c r="AT7" i="67"/>
  <c r="CD7" i="67" s="1"/>
  <c r="AS7" i="67"/>
  <c r="CQ7" i="67" s="1"/>
  <c r="AR7" i="67"/>
  <c r="CP7" i="67" s="1"/>
  <c r="AQ7" i="67"/>
  <c r="CO7" i="67" s="1"/>
  <c r="AP7" i="67"/>
  <c r="CN7" i="67" s="1"/>
  <c r="AO7" i="67"/>
  <c r="AL7" i="67"/>
  <c r="AK7" i="67"/>
  <c r="AJ7" i="67"/>
  <c r="AI7" i="67"/>
  <c r="AH7" i="67"/>
  <c r="AG7" i="67"/>
  <c r="AF7" i="67"/>
  <c r="AE7" i="67"/>
  <c r="AD7" i="67"/>
  <c r="AC7" i="67"/>
  <c r="AA7" i="67"/>
  <c r="Z7" i="67"/>
  <c r="Y7" i="67"/>
  <c r="X7" i="67"/>
  <c r="W7" i="67"/>
  <c r="C7" i="67"/>
  <c r="B7" i="67"/>
  <c r="BC6" i="67"/>
  <c r="DA6" i="67" s="1"/>
  <c r="BB6" i="67"/>
  <c r="CL6" i="67" s="1"/>
  <c r="BA6" i="67"/>
  <c r="CK6" i="67" s="1"/>
  <c r="AZ6" i="67"/>
  <c r="CX6" i="67" s="1"/>
  <c r="AY6" i="67"/>
  <c r="CW6" i="67" s="1"/>
  <c r="AX6" i="67"/>
  <c r="AW6" i="67"/>
  <c r="CG6" i="67" s="1"/>
  <c r="AV6" i="67"/>
  <c r="AU6" i="67"/>
  <c r="CE6" i="67" s="1"/>
  <c r="AT6" i="67"/>
  <c r="CR6" i="67" s="1"/>
  <c r="AS6" i="67"/>
  <c r="CQ6" i="67" s="1"/>
  <c r="AR6" i="67"/>
  <c r="CB6" i="67" s="1"/>
  <c r="AQ6" i="67"/>
  <c r="CO6" i="67" s="1"/>
  <c r="AP6" i="67"/>
  <c r="CN6" i="67" s="1"/>
  <c r="AO6" i="67"/>
  <c r="AL6" i="67"/>
  <c r="AK6" i="67"/>
  <c r="AJ6" i="67"/>
  <c r="AI6" i="67"/>
  <c r="AH6" i="67"/>
  <c r="AG6" i="67"/>
  <c r="AF6" i="67"/>
  <c r="AE6" i="67"/>
  <c r="AD6" i="67"/>
  <c r="AC6" i="67"/>
  <c r="AB6" i="67"/>
  <c r="AA6" i="67"/>
  <c r="Z6" i="67"/>
  <c r="Y6" i="67"/>
  <c r="X6" i="67"/>
  <c r="W6" i="67"/>
  <c r="C6" i="67"/>
  <c r="B6" i="67"/>
  <c r="BC5" i="67"/>
  <c r="CM5" i="67" s="1"/>
  <c r="BB5" i="67"/>
  <c r="CL5" i="67" s="1"/>
  <c r="BA5" i="67"/>
  <c r="CY5" i="67" s="1"/>
  <c r="AZ5" i="67"/>
  <c r="CX5" i="67" s="1"/>
  <c r="AY5" i="67"/>
  <c r="AX5" i="67"/>
  <c r="CV5" i="67" s="1"/>
  <c r="AW5" i="67"/>
  <c r="AV5" i="67"/>
  <c r="CT5" i="67" s="1"/>
  <c r="AU5" i="67"/>
  <c r="CS5" i="67" s="1"/>
  <c r="AT5" i="67"/>
  <c r="CD5" i="67" s="1"/>
  <c r="AS5" i="67"/>
  <c r="CQ5" i="67" s="1"/>
  <c r="AR5" i="67"/>
  <c r="CP5" i="67" s="1"/>
  <c r="AQ5" i="67"/>
  <c r="CO5" i="67" s="1"/>
  <c r="AP5" i="67"/>
  <c r="AO5" i="67"/>
  <c r="AL5" i="67"/>
  <c r="AK5" i="67"/>
  <c r="AJ5" i="67"/>
  <c r="AI5" i="67"/>
  <c r="AH5" i="67"/>
  <c r="AG5" i="67"/>
  <c r="AF5" i="67"/>
  <c r="AE5" i="67"/>
  <c r="AD5" i="67"/>
  <c r="AC5" i="67"/>
  <c r="AB5" i="67"/>
  <c r="AA5" i="67"/>
  <c r="Z5" i="67"/>
  <c r="Y5" i="67"/>
  <c r="X5" i="67"/>
  <c r="W5" i="67"/>
  <c r="C5" i="67"/>
  <c r="B5" i="67"/>
  <c r="BC4" i="67"/>
  <c r="CM4" i="67" s="1"/>
  <c r="BB4" i="67"/>
  <c r="CZ4" i="67" s="1"/>
  <c r="BA4" i="67"/>
  <c r="CY4" i="67" s="1"/>
  <c r="AZ4" i="67"/>
  <c r="AY4" i="67"/>
  <c r="CW4" i="67" s="1"/>
  <c r="AX4" i="67"/>
  <c r="CH4" i="67" s="1"/>
  <c r="AW4" i="67"/>
  <c r="AV4" i="67"/>
  <c r="CT4" i="67" s="1"/>
  <c r="AU4" i="67"/>
  <c r="CS4" i="67" s="1"/>
  <c r="AT4" i="67"/>
  <c r="CR4" i="67" s="1"/>
  <c r="AS4" i="67"/>
  <c r="CQ4" i="67" s="1"/>
  <c r="AR4" i="67"/>
  <c r="CP4" i="67" s="1"/>
  <c r="AQ4" i="67"/>
  <c r="AP4" i="67"/>
  <c r="BZ4" i="67" s="1"/>
  <c r="AO4" i="67"/>
  <c r="AL4" i="67"/>
  <c r="AK4" i="67"/>
  <c r="AJ4" i="67"/>
  <c r="AI4" i="67"/>
  <c r="AH4" i="67"/>
  <c r="AG4" i="67"/>
  <c r="AF4" i="67"/>
  <c r="AE4" i="67"/>
  <c r="AD4" i="67"/>
  <c r="AC4" i="67"/>
  <c r="AB4" i="67"/>
  <c r="AA4" i="67"/>
  <c r="Z4" i="67"/>
  <c r="Y4" i="67"/>
  <c r="X4" i="67"/>
  <c r="W4" i="67"/>
  <c r="C4" i="67"/>
  <c r="B4" i="67"/>
  <c r="BC3" i="67"/>
  <c r="CM3" i="67" s="1"/>
  <c r="BB3" i="67"/>
  <c r="CL3" i="67" s="1"/>
  <c r="BA3" i="67"/>
  <c r="AZ3" i="67"/>
  <c r="AY3" i="67"/>
  <c r="CI3" i="67" s="1"/>
  <c r="AX3" i="67"/>
  <c r="CH3" i="67" s="1"/>
  <c r="AW3" i="67"/>
  <c r="AV3" i="67"/>
  <c r="AU3" i="67"/>
  <c r="CS3" i="67" s="1"/>
  <c r="AT3" i="67"/>
  <c r="CR3" i="67" s="1"/>
  <c r="AS3" i="67"/>
  <c r="CQ3" i="67" s="1"/>
  <c r="AR3" i="67"/>
  <c r="AQ3" i="67"/>
  <c r="CA3" i="67" s="1"/>
  <c r="AP3" i="67"/>
  <c r="BZ3" i="67" s="1"/>
  <c r="AO3" i="67"/>
  <c r="AL3" i="67"/>
  <c r="AK3" i="67"/>
  <c r="AJ3" i="67"/>
  <c r="AI3" i="67"/>
  <c r="AH3" i="67"/>
  <c r="AG3" i="67"/>
  <c r="AF3" i="67"/>
  <c r="AE3" i="67"/>
  <c r="AD3" i="67"/>
  <c r="AC3" i="67"/>
  <c r="AB3" i="67"/>
  <c r="AA3" i="67"/>
  <c r="Y3" i="67"/>
  <c r="X3" i="67"/>
  <c r="W3" i="67"/>
  <c r="C3" i="67"/>
  <c r="B3" i="67"/>
  <c r="BC2" i="67"/>
  <c r="CM2" i="67" s="1"/>
  <c r="BB2" i="67"/>
  <c r="BA2" i="67"/>
  <c r="CY2" i="67" s="1"/>
  <c r="AZ2" i="67"/>
  <c r="AY2" i="67"/>
  <c r="CI2" i="67" s="1"/>
  <c r="AX2" i="67"/>
  <c r="CV2" i="67" s="1"/>
  <c r="AW2" i="67"/>
  <c r="AV2" i="67"/>
  <c r="AU2" i="67"/>
  <c r="CS2" i="67" s="1"/>
  <c r="AT2" i="67"/>
  <c r="CR2" i="67" s="1"/>
  <c r="AS2" i="67"/>
  <c r="AR2" i="67"/>
  <c r="CB2" i="67" s="1"/>
  <c r="AQ2" i="67"/>
  <c r="CA2" i="67" s="1"/>
  <c r="AP2" i="67"/>
  <c r="BZ2" i="67" s="1"/>
  <c r="AO2" i="67"/>
  <c r="AL2" i="67"/>
  <c r="AK2" i="67"/>
  <c r="AJ2" i="67"/>
  <c r="AI2" i="67"/>
  <c r="AH2" i="67"/>
  <c r="AG2" i="67"/>
  <c r="AF2" i="67"/>
  <c r="AE2" i="67"/>
  <c r="AD2" i="67"/>
  <c r="AC2" i="67"/>
  <c r="Y2" i="67"/>
  <c r="X2" i="67"/>
  <c r="W2" i="67"/>
  <c r="C2" i="67"/>
  <c r="B2" i="67"/>
  <c r="W302" i="4"/>
  <c r="W303" i="4"/>
  <c r="W304" i="4"/>
  <c r="W305" i="4"/>
  <c r="W306" i="4"/>
  <c r="W307" i="4"/>
  <c r="CO49" i="4"/>
  <c r="CP49" i="4"/>
  <c r="CQ49" i="4"/>
  <c r="CR49" i="4"/>
  <c r="CO24" i="4"/>
  <c r="CP24" i="4"/>
  <c r="CQ24" i="4"/>
  <c r="CR24" i="4"/>
  <c r="CS24" i="4"/>
  <c r="CA24" i="4"/>
  <c r="CB24" i="4"/>
  <c r="CC24" i="4"/>
  <c r="CD24" i="4"/>
  <c r="CE24" i="4"/>
  <c r="CA49" i="4"/>
  <c r="CB49" i="4"/>
  <c r="BM49" i="4"/>
  <c r="BN49" i="4"/>
  <c r="BO49" i="4"/>
  <c r="BM24" i="4"/>
  <c r="BN24" i="4"/>
  <c r="BO24" i="4"/>
  <c r="BP24" i="4"/>
  <c r="BQ24" i="4"/>
  <c r="AY49" i="4"/>
  <c r="AZ49" i="4"/>
  <c r="AK49" i="4"/>
  <c r="AL49" i="4"/>
  <c r="AM49" i="4"/>
  <c r="AN49" i="4"/>
  <c r="V49" i="4"/>
  <c r="W49" i="4"/>
  <c r="X49" i="4"/>
  <c r="Y49" i="4"/>
  <c r="V24" i="4"/>
  <c r="W24" i="4"/>
  <c r="X24" i="4"/>
  <c r="Y24" i="4"/>
  <c r="Z24" i="4"/>
  <c r="AA24" i="4"/>
  <c r="B302" i="4"/>
  <c r="C302" i="4"/>
  <c r="B303" i="4"/>
  <c r="C303" i="4"/>
  <c r="B304" i="4"/>
  <c r="C304" i="4"/>
  <c r="B305" i="4"/>
  <c r="C305" i="4"/>
  <c r="B306" i="4"/>
  <c r="C306" i="4"/>
  <c r="B307" i="4"/>
  <c r="C307" i="4"/>
  <c r="F56" i="69" l="1"/>
  <c r="G56" i="69" s="1"/>
  <c r="H56" i="69" s="1"/>
  <c r="I56" i="69" s="1"/>
  <c r="K19" i="69"/>
  <c r="D5" i="24"/>
  <c r="CE11" i="67"/>
  <c r="CM89" i="67"/>
  <c r="L116" i="76"/>
  <c r="I116" i="36"/>
  <c r="Q116" i="36" s="1"/>
  <c r="K116" i="77"/>
  <c r="I116" i="38"/>
  <c r="P116" i="38" s="1"/>
  <c r="I116" i="32"/>
  <c r="Q116" i="32" s="1"/>
  <c r="K116" i="75"/>
  <c r="J116" i="30"/>
  <c r="R116" i="30" s="1"/>
  <c r="I116" i="28"/>
  <c r="P116" i="28" s="1"/>
  <c r="J116" i="34"/>
  <c r="R116" i="34" s="1"/>
  <c r="CC28" i="67"/>
  <c r="CC94" i="67"/>
  <c r="CR5" i="67"/>
  <c r="CS6" i="67"/>
  <c r="CE24" i="67"/>
  <c r="L121" i="76"/>
  <c r="I121" i="38"/>
  <c r="P121" i="38" s="1"/>
  <c r="K121" i="75"/>
  <c r="J121" i="34"/>
  <c r="R121" i="34" s="1"/>
  <c r="J121" i="30"/>
  <c r="R121" i="30" s="1"/>
  <c r="I121" i="36"/>
  <c r="Q121" i="36" s="1"/>
  <c r="K121" i="77"/>
  <c r="I121" i="28"/>
  <c r="P121" i="28" s="1"/>
  <c r="I121" i="32"/>
  <c r="Q121" i="32" s="1"/>
  <c r="K120" i="77"/>
  <c r="K120" i="75"/>
  <c r="I120" i="28"/>
  <c r="P120" i="28" s="1"/>
  <c r="I120" i="32"/>
  <c r="Q120" i="32" s="1"/>
  <c r="I120" i="36"/>
  <c r="Q120" i="36" s="1"/>
  <c r="J120" i="34"/>
  <c r="R120" i="34" s="1"/>
  <c r="J120" i="30"/>
  <c r="R120" i="30" s="1"/>
  <c r="I120" i="38"/>
  <c r="P120" i="38" s="1"/>
  <c r="L120" i="76"/>
  <c r="L119" i="76"/>
  <c r="I119" i="32"/>
  <c r="Q119" i="32" s="1"/>
  <c r="J119" i="30"/>
  <c r="R119" i="30" s="1"/>
  <c r="I119" i="28"/>
  <c r="P119" i="28" s="1"/>
  <c r="K119" i="77"/>
  <c r="I119" i="38"/>
  <c r="P119" i="38" s="1"/>
  <c r="J119" i="34"/>
  <c r="R119" i="34" s="1"/>
  <c r="I119" i="36"/>
  <c r="Q119" i="36" s="1"/>
  <c r="K119" i="75"/>
  <c r="I118" i="36"/>
  <c r="Q118" i="36" s="1"/>
  <c r="I118" i="38"/>
  <c r="P118" i="38" s="1"/>
  <c r="K118" i="77"/>
  <c r="J118" i="34"/>
  <c r="R118" i="34" s="1"/>
  <c r="K118" i="75"/>
  <c r="J118" i="30"/>
  <c r="R118" i="30" s="1"/>
  <c r="I118" i="32"/>
  <c r="Q118" i="32" s="1"/>
  <c r="L118" i="76"/>
  <c r="I118" i="28"/>
  <c r="P118" i="28" s="1"/>
  <c r="I117" i="28"/>
  <c r="P117" i="28" s="1"/>
  <c r="L117" i="76"/>
  <c r="I117" i="32"/>
  <c r="Q117" i="32" s="1"/>
  <c r="J117" i="30"/>
  <c r="R117" i="30" s="1"/>
  <c r="K117" i="77"/>
  <c r="K117" i="75"/>
  <c r="I117" i="38"/>
  <c r="P117" i="38" s="1"/>
  <c r="I117" i="36"/>
  <c r="Q117" i="36" s="1"/>
  <c r="J117" i="34"/>
  <c r="R117" i="34" s="1"/>
  <c r="H196" i="65"/>
  <c r="H208" i="65" s="1"/>
  <c r="I199" i="65"/>
  <c r="I211" i="65" s="1"/>
  <c r="E203" i="65"/>
  <c r="Q203" i="65" s="1"/>
  <c r="E207" i="65"/>
  <c r="Q207" i="65" s="1"/>
  <c r="D202" i="65"/>
  <c r="P202" i="65" s="1"/>
  <c r="I196" i="65"/>
  <c r="I208" i="65" s="1"/>
  <c r="E200" i="65"/>
  <c r="Q200" i="65" s="1"/>
  <c r="F203" i="65"/>
  <c r="R203" i="65" s="1"/>
  <c r="F207" i="65"/>
  <c r="R207" i="65" s="1"/>
  <c r="E197" i="65"/>
  <c r="Q197" i="65" s="1"/>
  <c r="F200" i="65"/>
  <c r="R200" i="65" s="1"/>
  <c r="G203" i="65"/>
  <c r="S203" i="65" s="1"/>
  <c r="D197" i="65"/>
  <c r="P197" i="65" s="1"/>
  <c r="F197" i="65"/>
  <c r="R197" i="65" s="1"/>
  <c r="G200" i="65"/>
  <c r="S200" i="65" s="1"/>
  <c r="H203" i="65"/>
  <c r="H215" i="65" s="1"/>
  <c r="D198" i="65"/>
  <c r="P198" i="65" s="1"/>
  <c r="G204" i="65"/>
  <c r="S204" i="65" s="1"/>
  <c r="G197" i="65"/>
  <c r="S197" i="65" s="1"/>
  <c r="H200" i="65"/>
  <c r="H212" i="65" s="1"/>
  <c r="I203" i="65"/>
  <c r="I215" i="65" s="1"/>
  <c r="D199" i="65"/>
  <c r="P199" i="65" s="1"/>
  <c r="F201" i="65"/>
  <c r="R201" i="65" s="1"/>
  <c r="H197" i="65"/>
  <c r="H209" i="65" s="1"/>
  <c r="I200" i="65"/>
  <c r="E204" i="65"/>
  <c r="Q204" i="65" s="1"/>
  <c r="D200" i="65"/>
  <c r="P200" i="65" s="1"/>
  <c r="E198" i="65"/>
  <c r="Q198" i="65" s="1"/>
  <c r="G205" i="65"/>
  <c r="S205" i="65" s="1"/>
  <c r="I197" i="65"/>
  <c r="I209" i="65" s="1"/>
  <c r="E201" i="65"/>
  <c r="Q201" i="65" s="1"/>
  <c r="F204" i="65"/>
  <c r="R204" i="65" s="1"/>
  <c r="D201" i="65"/>
  <c r="P201" i="65" s="1"/>
  <c r="I205" i="65"/>
  <c r="I217" i="65" s="1"/>
  <c r="E206" i="65"/>
  <c r="Q206" i="65" s="1"/>
  <c r="F198" i="65"/>
  <c r="R198" i="65" s="1"/>
  <c r="G201" i="65"/>
  <c r="S201" i="65" s="1"/>
  <c r="H204" i="65"/>
  <c r="H216" i="65" s="1"/>
  <c r="D203" i="65"/>
  <c r="P203" i="65" s="1"/>
  <c r="F206" i="65"/>
  <c r="R206" i="65" s="1"/>
  <c r="G198" i="65"/>
  <c r="S198" i="65" s="1"/>
  <c r="H201" i="65"/>
  <c r="H213" i="65" s="1"/>
  <c r="I204" i="65"/>
  <c r="I216" i="65" s="1"/>
  <c r="D204" i="65"/>
  <c r="P204" i="65" s="1"/>
  <c r="I202" i="65"/>
  <c r="I214" i="65" s="1"/>
  <c r="G207" i="65"/>
  <c r="S207" i="65" s="1"/>
  <c r="H198" i="65"/>
  <c r="H210" i="65" s="1"/>
  <c r="I201" i="65"/>
  <c r="I213" i="65" s="1"/>
  <c r="E205" i="65"/>
  <c r="Q205" i="65" s="1"/>
  <c r="D205" i="65"/>
  <c r="P205" i="65" s="1"/>
  <c r="H207" i="65"/>
  <c r="H219" i="65" s="1"/>
  <c r="I198" i="65"/>
  <c r="I210" i="65" s="1"/>
  <c r="E202" i="65"/>
  <c r="Q202" i="65" s="1"/>
  <c r="F205" i="65"/>
  <c r="R205" i="65" s="1"/>
  <c r="D206" i="65"/>
  <c r="P206" i="65" s="1"/>
  <c r="I207" i="65"/>
  <c r="I219" i="65" s="1"/>
  <c r="E199" i="65"/>
  <c r="Q199" i="65" s="1"/>
  <c r="F202" i="65"/>
  <c r="R202" i="65" s="1"/>
  <c r="H205" i="65"/>
  <c r="H217" i="65" s="1"/>
  <c r="D207" i="65"/>
  <c r="P207" i="65" s="1"/>
  <c r="I206" i="65"/>
  <c r="I218" i="65" s="1"/>
  <c r="E196" i="65"/>
  <c r="Q196" i="65" s="1"/>
  <c r="F199" i="65"/>
  <c r="R199" i="65" s="1"/>
  <c r="G202" i="65"/>
  <c r="S202" i="65" s="1"/>
  <c r="G206" i="65"/>
  <c r="S206" i="65" s="1"/>
  <c r="D196" i="65"/>
  <c r="P196" i="65" s="1"/>
  <c r="H199" i="65"/>
  <c r="H211" i="65" s="1"/>
  <c r="F196" i="65"/>
  <c r="R196" i="65" s="1"/>
  <c r="G199" i="65"/>
  <c r="S199" i="65" s="1"/>
  <c r="H202" i="65"/>
  <c r="H214" i="65" s="1"/>
  <c r="H206" i="65"/>
  <c r="H218" i="65" s="1"/>
  <c r="G196" i="65"/>
  <c r="S196" i="65" s="1"/>
  <c r="E211" i="65"/>
  <c r="Q211" i="65" s="1"/>
  <c r="I212" i="65"/>
  <c r="E219" i="65"/>
  <c r="Q219" i="65" s="1"/>
  <c r="E215" i="65"/>
  <c r="Q215" i="65" s="1"/>
  <c r="E214" i="65"/>
  <c r="Q214" i="65" s="1"/>
  <c r="J196" i="65"/>
  <c r="J208" i="65" s="1"/>
  <c r="K179" i="65"/>
  <c r="X116" i="67"/>
  <c r="CI13" i="67"/>
  <c r="CZ78" i="67"/>
  <c r="CR62" i="67"/>
  <c r="CO52" i="67"/>
  <c r="CE74" i="67"/>
  <c r="CC19" i="67"/>
  <c r="CK107" i="67"/>
  <c r="CD28" i="67"/>
  <c r="CO60" i="67"/>
  <c r="CD67" i="67"/>
  <c r="CE10" i="67"/>
  <c r="CE30" i="67"/>
  <c r="CN65" i="67"/>
  <c r="CY91" i="67"/>
  <c r="BZ23" i="67"/>
  <c r="CD58" i="67"/>
  <c r="CO65" i="67"/>
  <c r="CY89" i="67"/>
  <c r="CC104" i="67"/>
  <c r="CL34" i="67"/>
  <c r="CC35" i="67"/>
  <c r="CS59" i="67"/>
  <c r="CC86" i="67"/>
  <c r="CA96" i="67"/>
  <c r="DA53" i="67"/>
  <c r="CK64" i="67"/>
  <c r="CK86" i="67"/>
  <c r="DA4" i="67"/>
  <c r="CF23" i="67"/>
  <c r="CD24" i="67"/>
  <c r="CM61" i="67"/>
  <c r="CV65" i="67"/>
  <c r="CV81" i="67"/>
  <c r="CY95" i="67"/>
  <c r="CJ107" i="67"/>
  <c r="CI101" i="67"/>
  <c r="CV39" i="67"/>
  <c r="CV59" i="67"/>
  <c r="CM100" i="67"/>
  <c r="CW8" i="67"/>
  <c r="CY16" i="67"/>
  <c r="CW54" i="67"/>
  <c r="DA57" i="67"/>
  <c r="CV100" i="67"/>
  <c r="CH17" i="67"/>
  <c r="CQ40" i="67"/>
  <c r="CK48" i="67"/>
  <c r="DA73" i="67"/>
  <c r="CD82" i="67"/>
  <c r="CK93" i="67"/>
  <c r="CM75" i="67"/>
  <c r="CA18" i="67"/>
  <c r="CN2" i="67"/>
  <c r="CR18" i="67"/>
  <c r="BZ33" i="67"/>
  <c r="CU99" i="67"/>
  <c r="CC26" i="67"/>
  <c r="CI90" i="67"/>
  <c r="CE37" i="67"/>
  <c r="CR48" i="67"/>
  <c r="CJ90" i="67"/>
  <c r="CR91" i="67"/>
  <c r="CH92" i="67"/>
  <c r="CY96" i="67"/>
  <c r="CH102" i="67"/>
  <c r="CD106" i="67"/>
  <c r="CV20" i="67"/>
  <c r="CP43" i="67"/>
  <c r="CH58" i="67"/>
  <c r="CL72" i="67"/>
  <c r="CL76" i="67"/>
  <c r="CN85" i="67"/>
  <c r="CL93" i="67"/>
  <c r="CL102" i="67"/>
  <c r="CA105" i="67"/>
  <c r="CP106" i="67"/>
  <c r="CE20" i="67"/>
  <c r="CK4" i="67"/>
  <c r="CN9" i="67"/>
  <c r="CO15" i="67"/>
  <c r="CD32" i="67"/>
  <c r="CA49" i="67"/>
  <c r="CA70" i="67"/>
  <c r="CW102" i="67"/>
  <c r="CD105" i="67"/>
  <c r="CW106" i="67"/>
  <c r="CD115" i="67"/>
  <c r="CP9" i="67"/>
  <c r="CP15" i="67"/>
  <c r="CG56" i="67"/>
  <c r="CV69" i="67"/>
  <c r="CB70" i="67"/>
  <c r="CH113" i="67"/>
  <c r="CQ21" i="67"/>
  <c r="BZ39" i="67"/>
  <c r="CN101" i="67"/>
  <c r="CC39" i="67"/>
  <c r="BZ74" i="67"/>
  <c r="CP10" i="67"/>
  <c r="CI77" i="67"/>
  <c r="CV104" i="67"/>
  <c r="CW57" i="67"/>
  <c r="CO74" i="67"/>
  <c r="CI6" i="67"/>
  <c r="CI35" i="67"/>
  <c r="CW41" i="67"/>
  <c r="CL47" i="67"/>
  <c r="CE82" i="67"/>
  <c r="DA110" i="67"/>
  <c r="CA112" i="67"/>
  <c r="CL30" i="67"/>
  <c r="CR35" i="67"/>
  <c r="CZ41" i="67"/>
  <c r="CP50" i="67"/>
  <c r="CA55" i="67"/>
  <c r="CL103" i="67"/>
  <c r="CI112" i="67"/>
  <c r="CC13" i="67"/>
  <c r="CL53" i="67"/>
  <c r="CQ55" i="67"/>
  <c r="CL98" i="67"/>
  <c r="CV103" i="67"/>
  <c r="CZ112" i="67"/>
  <c r="CR55" i="67"/>
  <c r="CC7" i="67"/>
  <c r="CB48" i="67"/>
  <c r="CV47" i="67"/>
  <c r="CT55" i="67"/>
  <c r="CC67" i="67"/>
  <c r="CM83" i="67"/>
  <c r="CO90" i="67"/>
  <c r="CL108" i="67"/>
  <c r="CP113" i="67"/>
  <c r="CL4" i="67"/>
  <c r="CT10" i="67"/>
  <c r="CB14" i="67"/>
  <c r="CC32" i="67"/>
  <c r="CD39" i="67"/>
  <c r="CL43" i="67"/>
  <c r="BZ66" i="67"/>
  <c r="CC77" i="67"/>
  <c r="CL86" i="67"/>
  <c r="CY25" i="67"/>
  <c r="CP52" i="67"/>
  <c r="CH54" i="67"/>
  <c r="CW66" i="67"/>
  <c r="CE67" i="67"/>
  <c r="CC68" i="67"/>
  <c r="CZ90" i="67"/>
  <c r="CE91" i="67"/>
  <c r="CR101" i="67"/>
  <c r="CB7" i="67"/>
  <c r="CY14" i="67"/>
  <c r="CM18" i="67"/>
  <c r="CO21" i="67"/>
  <c r="CZ14" i="67"/>
  <c r="CP21" i="67"/>
  <c r="CV28" i="67"/>
  <c r="CN29" i="67"/>
  <c r="CQ8" i="67"/>
  <c r="CD11" i="67"/>
  <c r="DA14" i="67"/>
  <c r="CI32" i="67"/>
  <c r="CC50" i="67"/>
  <c r="CP54" i="67"/>
  <c r="CL60" i="67"/>
  <c r="CW68" i="67"/>
  <c r="CE75" i="67"/>
  <c r="CY80" i="67"/>
  <c r="CP94" i="67"/>
  <c r="CO106" i="67"/>
  <c r="CH107" i="67"/>
  <c r="CK73" i="67"/>
  <c r="CY8" i="67"/>
  <c r="CD19" i="67"/>
  <c r="CU22" i="67"/>
  <c r="CE26" i="67"/>
  <c r="CA12" i="67"/>
  <c r="CN15" i="67"/>
  <c r="CV22" i="67"/>
  <c r="CR26" i="67"/>
  <c r="CK30" i="67"/>
  <c r="CY41" i="67"/>
  <c r="CK56" i="67"/>
  <c r="CC70" i="67"/>
  <c r="CI78" i="67"/>
  <c r="CI81" i="67"/>
  <c r="CZ95" i="67"/>
  <c r="BZ96" i="67"/>
  <c r="BZ104" i="67"/>
  <c r="CZ106" i="67"/>
  <c r="CD70" i="67"/>
  <c r="CE85" i="67"/>
  <c r="CK33" i="67"/>
  <c r="CA34" i="67"/>
  <c r="CW37" i="67"/>
  <c r="CB49" i="67"/>
  <c r="DA78" i="67"/>
  <c r="CM85" i="67"/>
  <c r="CC88" i="67"/>
  <c r="CB103" i="67"/>
  <c r="CB114" i="67"/>
  <c r="CR15" i="67"/>
  <c r="CH23" i="67"/>
  <c r="CS96" i="67"/>
  <c r="CD103" i="67"/>
  <c r="CR114" i="67"/>
  <c r="CP27" i="67"/>
  <c r="CH42" i="67"/>
  <c r="CZ51" i="67"/>
  <c r="CI62" i="67"/>
  <c r="CD76" i="67"/>
  <c r="CA97" i="67"/>
  <c r="CI103" i="67"/>
  <c r="CM109" i="67"/>
  <c r="CS114" i="67"/>
  <c r="CA38" i="67"/>
  <c r="CI42" i="67"/>
  <c r="CQ49" i="67"/>
  <c r="CL57" i="67"/>
  <c r="CO2" i="67"/>
  <c r="CK13" i="67"/>
  <c r="CO16" i="67"/>
  <c r="CA24" i="67"/>
  <c r="CA31" i="67"/>
  <c r="CL55" i="67"/>
  <c r="CY6" i="67"/>
  <c r="CI10" i="67"/>
  <c r="CZ16" i="67"/>
  <c r="L48" i="77"/>
  <c r="J48" i="36"/>
  <c r="J48" i="32"/>
  <c r="H53" i="76"/>
  <c r="H53" i="77"/>
  <c r="H53" i="75"/>
  <c r="F53" i="32"/>
  <c r="F53" i="30"/>
  <c r="F53" i="28"/>
  <c r="I56" i="75"/>
  <c r="G56" i="38"/>
  <c r="G56" i="28"/>
  <c r="CJ57" i="67"/>
  <c r="G57" i="77"/>
  <c r="E57" i="32"/>
  <c r="I59" i="75"/>
  <c r="G59" i="38"/>
  <c r="G59" i="28"/>
  <c r="BT107" i="67"/>
  <c r="K59" i="77"/>
  <c r="L59" i="76"/>
  <c r="K59" i="75"/>
  <c r="I59" i="36"/>
  <c r="J59" i="34"/>
  <c r="I59" i="32"/>
  <c r="I59" i="38"/>
  <c r="J59" i="30"/>
  <c r="I59" i="28"/>
  <c r="L61" i="77"/>
  <c r="J61" i="36"/>
  <c r="J61" i="32"/>
  <c r="L63" i="77"/>
  <c r="J63" i="36"/>
  <c r="J63" i="32"/>
  <c r="CH63" i="67"/>
  <c r="I65" i="75"/>
  <c r="G65" i="38"/>
  <c r="G65" i="28"/>
  <c r="L67" i="77"/>
  <c r="J67" i="36"/>
  <c r="J67" i="32"/>
  <c r="L70" i="77"/>
  <c r="J70" i="36"/>
  <c r="J70" i="32"/>
  <c r="H71" i="77"/>
  <c r="H71" i="76"/>
  <c r="H71" i="75"/>
  <c r="F71" i="32"/>
  <c r="F71" i="30"/>
  <c r="F71" i="28"/>
  <c r="H72" i="76"/>
  <c r="H72" i="77"/>
  <c r="H72" i="75"/>
  <c r="F72" i="32"/>
  <c r="F72" i="30"/>
  <c r="F72" i="28"/>
  <c r="CF73" i="67"/>
  <c r="G73" i="76"/>
  <c r="G73" i="75"/>
  <c r="E73" i="30"/>
  <c r="E73" i="28"/>
  <c r="CU75" i="67"/>
  <c r="H75" i="76"/>
  <c r="H75" i="75"/>
  <c r="H75" i="77"/>
  <c r="F75" i="32"/>
  <c r="F75" i="30"/>
  <c r="F75" i="28"/>
  <c r="CT78" i="67"/>
  <c r="G78" i="75"/>
  <c r="G78" i="76"/>
  <c r="E78" i="30"/>
  <c r="E78" i="28"/>
  <c r="G83" i="77"/>
  <c r="E83" i="32"/>
  <c r="CJ85" i="67"/>
  <c r="G85" i="77"/>
  <c r="E85" i="32"/>
  <c r="CU87" i="67"/>
  <c r="H87" i="77"/>
  <c r="H87" i="75"/>
  <c r="H87" i="76"/>
  <c r="F87" i="32"/>
  <c r="F87" i="28"/>
  <c r="F87" i="30"/>
  <c r="CR94" i="67"/>
  <c r="G96" i="76"/>
  <c r="G96" i="75"/>
  <c r="E96" i="30"/>
  <c r="E96" i="28"/>
  <c r="CX100" i="67"/>
  <c r="G100" i="77"/>
  <c r="E100" i="32"/>
  <c r="I101" i="75"/>
  <c r="G101" i="38"/>
  <c r="G101" i="28"/>
  <c r="CT101" i="67"/>
  <c r="G101" i="76"/>
  <c r="G101" i="75"/>
  <c r="E101" i="30"/>
  <c r="E101" i="28"/>
  <c r="CF105" i="67"/>
  <c r="G105" i="75"/>
  <c r="G105" i="76"/>
  <c r="E105" i="30"/>
  <c r="E105" i="28"/>
  <c r="CQ114" i="67"/>
  <c r="CQ115" i="67"/>
  <c r="CJ2" i="67"/>
  <c r="G2" i="77"/>
  <c r="E2" i="32"/>
  <c r="G4" i="76"/>
  <c r="G4" i="75"/>
  <c r="E4" i="30"/>
  <c r="E4" i="28"/>
  <c r="CU8" i="67"/>
  <c r="H8" i="76"/>
  <c r="H8" i="75"/>
  <c r="H8" i="77"/>
  <c r="F8" i="32"/>
  <c r="F8" i="30"/>
  <c r="F8" i="28"/>
  <c r="CU16" i="67"/>
  <c r="H16" i="76"/>
  <c r="H16" i="77"/>
  <c r="H16" i="75"/>
  <c r="F16" i="32"/>
  <c r="F16" i="30"/>
  <c r="F16" i="28"/>
  <c r="CN17" i="67"/>
  <c r="CG20" i="67"/>
  <c r="H20" i="77"/>
  <c r="H20" i="76"/>
  <c r="H20" i="75"/>
  <c r="F20" i="32"/>
  <c r="F20" i="28"/>
  <c r="F20" i="30"/>
  <c r="CT25" i="67"/>
  <c r="G25" i="76"/>
  <c r="G25" i="75"/>
  <c r="E25" i="30"/>
  <c r="E25" i="28"/>
  <c r="L38" i="77"/>
  <c r="J38" i="36"/>
  <c r="J38" i="32"/>
  <c r="L3" i="77"/>
  <c r="J3" i="36"/>
  <c r="J3" i="32"/>
  <c r="CE5" i="67"/>
  <c r="CR13" i="67"/>
  <c r="G22" i="77"/>
  <c r="E22" i="32"/>
  <c r="CI29" i="67"/>
  <c r="H32" i="76"/>
  <c r="H32" i="77"/>
  <c r="H32" i="75"/>
  <c r="F32" i="32"/>
  <c r="F32" i="30"/>
  <c r="F32" i="28"/>
  <c r="CJ34" i="67"/>
  <c r="G34" i="77"/>
  <c r="E34" i="32"/>
  <c r="G36" i="77"/>
  <c r="E36" i="32"/>
  <c r="CZ39" i="67"/>
  <c r="I42" i="75"/>
  <c r="G42" i="38"/>
  <c r="G42" i="28"/>
  <c r="CJ45" i="67"/>
  <c r="G45" i="77"/>
  <c r="E45" i="32"/>
  <c r="L54" i="77"/>
  <c r="J54" i="36"/>
  <c r="J54" i="32"/>
  <c r="CA59" i="67"/>
  <c r="CI63" i="67"/>
  <c r="BO76" i="67"/>
  <c r="J64" i="77"/>
  <c r="H64" i="36"/>
  <c r="H64" i="32"/>
  <c r="BO80" i="67"/>
  <c r="J68" i="77"/>
  <c r="H68" i="36"/>
  <c r="H68" i="32"/>
  <c r="I69" i="75"/>
  <c r="G69" i="38"/>
  <c r="G69" i="28"/>
  <c r="H73" i="77"/>
  <c r="H73" i="75"/>
  <c r="H73" i="76"/>
  <c r="F73" i="32"/>
  <c r="F73" i="28"/>
  <c r="F73" i="30"/>
  <c r="I77" i="75"/>
  <c r="G77" i="28"/>
  <c r="G77" i="38"/>
  <c r="CG78" i="67"/>
  <c r="H78" i="77"/>
  <c r="H78" i="76"/>
  <c r="H78" i="75"/>
  <c r="F78" i="32"/>
  <c r="F78" i="30"/>
  <c r="F78" i="28"/>
  <c r="L81" i="77"/>
  <c r="J81" i="36"/>
  <c r="J81" i="32"/>
  <c r="I82" i="75"/>
  <c r="G82" i="38"/>
  <c r="G82" i="28"/>
  <c r="CZ84" i="67"/>
  <c r="CO88" i="67"/>
  <c r="I90" i="75"/>
  <c r="G90" i="38"/>
  <c r="G90" i="28"/>
  <c r="K91" i="77"/>
  <c r="K91" i="75"/>
  <c r="L91" i="76"/>
  <c r="L145" i="76" s="1"/>
  <c r="T145" i="76" s="1"/>
  <c r="I91" i="36"/>
  <c r="J91" i="34"/>
  <c r="J91" i="30"/>
  <c r="I91" i="38"/>
  <c r="I139" i="38" s="1"/>
  <c r="I91" i="32"/>
  <c r="I91" i="28"/>
  <c r="CJ92" i="67"/>
  <c r="G92" i="77"/>
  <c r="E92" i="32"/>
  <c r="I93" i="75"/>
  <c r="G93" i="38"/>
  <c r="G93" i="28"/>
  <c r="CS94" i="67"/>
  <c r="L95" i="76"/>
  <c r="K95" i="77"/>
  <c r="I95" i="36"/>
  <c r="K95" i="75"/>
  <c r="J95" i="34"/>
  <c r="I95" i="38"/>
  <c r="I143" i="38" s="1"/>
  <c r="I95" i="32"/>
  <c r="J95" i="30"/>
  <c r="I95" i="28"/>
  <c r="CU96" i="67"/>
  <c r="H96" i="77"/>
  <c r="H96" i="76"/>
  <c r="H96" i="75"/>
  <c r="F96" i="32"/>
  <c r="F96" i="30"/>
  <c r="F96" i="28"/>
  <c r="K97" i="77"/>
  <c r="L97" i="76"/>
  <c r="K97" i="75"/>
  <c r="I97" i="36"/>
  <c r="I97" i="38"/>
  <c r="I145" i="38" s="1"/>
  <c r="J97" i="34"/>
  <c r="I97" i="32"/>
  <c r="J97" i="30"/>
  <c r="I97" i="28"/>
  <c r="CJ98" i="67"/>
  <c r="G98" i="77"/>
  <c r="E98" i="32"/>
  <c r="CG101" i="67"/>
  <c r="H101" i="76"/>
  <c r="H101" i="77"/>
  <c r="H101" i="75"/>
  <c r="F101" i="32"/>
  <c r="F101" i="30"/>
  <c r="F101" i="28"/>
  <c r="CT103" i="67"/>
  <c r="G103" i="75"/>
  <c r="G103" i="76"/>
  <c r="E103" i="28"/>
  <c r="E103" i="30"/>
  <c r="CT104" i="67"/>
  <c r="G104" i="76"/>
  <c r="G104" i="75"/>
  <c r="E104" i="30"/>
  <c r="E104" i="28"/>
  <c r="H105" i="77"/>
  <c r="H105" i="75"/>
  <c r="H105" i="76"/>
  <c r="F105" i="32"/>
  <c r="F105" i="30"/>
  <c r="F105" i="28"/>
  <c r="CW108" i="67"/>
  <c r="CJ110" i="67"/>
  <c r="G110" i="77"/>
  <c r="E110" i="32"/>
  <c r="M110" i="32" s="1"/>
  <c r="CI113" i="67"/>
  <c r="CX12" i="67"/>
  <c r="G12" i="77"/>
  <c r="E12" i="32"/>
  <c r="CM42" i="67"/>
  <c r="L57" i="77"/>
  <c r="J57" i="36"/>
  <c r="J57" i="32"/>
  <c r="G60" i="77"/>
  <c r="E60" i="32"/>
  <c r="G64" i="77"/>
  <c r="E64" i="32"/>
  <c r="K68" i="77"/>
  <c r="L68" i="76"/>
  <c r="L122" i="76" s="1"/>
  <c r="T122" i="76" s="1"/>
  <c r="K68" i="75"/>
  <c r="I68" i="36"/>
  <c r="I68" i="38"/>
  <c r="J68" i="34"/>
  <c r="J68" i="30"/>
  <c r="I68" i="32"/>
  <c r="I68" i="28"/>
  <c r="G102" i="76"/>
  <c r="G102" i="75"/>
  <c r="E102" i="30"/>
  <c r="E102" i="28"/>
  <c r="CU103" i="67"/>
  <c r="H103" i="77"/>
  <c r="H103" i="76"/>
  <c r="H103" i="75"/>
  <c r="F103" i="30"/>
  <c r="F103" i="32"/>
  <c r="F103" i="28"/>
  <c r="CG104" i="67"/>
  <c r="H104" i="77"/>
  <c r="H104" i="76"/>
  <c r="H104" i="75"/>
  <c r="F104" i="32"/>
  <c r="F104" i="30"/>
  <c r="F104" i="28"/>
  <c r="CS115" i="67"/>
  <c r="I4" i="75"/>
  <c r="G4" i="38"/>
  <c r="G4" i="28"/>
  <c r="CX14" i="67"/>
  <c r="G14" i="77"/>
  <c r="E14" i="32"/>
  <c r="L33" i="77"/>
  <c r="J33" i="36"/>
  <c r="J33" i="32"/>
  <c r="H46" i="77"/>
  <c r="H46" i="75"/>
  <c r="H46" i="76"/>
  <c r="F46" i="32"/>
  <c r="F46" i="30"/>
  <c r="F46" i="28"/>
  <c r="CF6" i="67"/>
  <c r="G6" i="75"/>
  <c r="G6" i="76"/>
  <c r="E6" i="30"/>
  <c r="E6" i="28"/>
  <c r="G10" i="76"/>
  <c r="G10" i="75"/>
  <c r="E10" i="30"/>
  <c r="E10" i="28"/>
  <c r="CO17" i="67"/>
  <c r="CU6" i="67"/>
  <c r="H6" i="77"/>
  <c r="H6" i="76"/>
  <c r="H6" i="75"/>
  <c r="F6" i="32"/>
  <c r="F6" i="30"/>
  <c r="F6" i="28"/>
  <c r="CG10" i="67"/>
  <c r="H10" i="77"/>
  <c r="H10" i="76"/>
  <c r="H10" i="75"/>
  <c r="F10" i="30"/>
  <c r="F10" i="32"/>
  <c r="F10" i="28"/>
  <c r="L27" i="77"/>
  <c r="J27" i="36"/>
  <c r="J27" i="32"/>
  <c r="CF30" i="67"/>
  <c r="G30" i="75"/>
  <c r="G30" i="76"/>
  <c r="E30" i="28"/>
  <c r="E30" i="30"/>
  <c r="CJ41" i="67"/>
  <c r="G41" i="77"/>
  <c r="E41" i="32"/>
  <c r="G43" i="77"/>
  <c r="E43" i="32"/>
  <c r="DA44" i="67"/>
  <c r="CT49" i="67"/>
  <c r="G49" i="76"/>
  <c r="G49" i="75"/>
  <c r="E49" i="30"/>
  <c r="E49" i="28"/>
  <c r="CX50" i="67"/>
  <c r="G50" i="77"/>
  <c r="E50" i="32"/>
  <c r="BR63" i="67"/>
  <c r="K51" i="76"/>
  <c r="J51" i="75"/>
  <c r="I51" i="34"/>
  <c r="H51" i="38"/>
  <c r="I51" i="30"/>
  <c r="H51" i="28"/>
  <c r="CQ52" i="67"/>
  <c r="BR67" i="67"/>
  <c r="K55" i="76"/>
  <c r="J55" i="75"/>
  <c r="H55" i="38"/>
  <c r="I55" i="34"/>
  <c r="I55" i="30"/>
  <c r="H55" i="28"/>
  <c r="CL56" i="67"/>
  <c r="CL63" i="67"/>
  <c r="BT112" i="67"/>
  <c r="L64" i="76"/>
  <c r="K64" i="77"/>
  <c r="I64" i="36"/>
  <c r="I64" i="38"/>
  <c r="J64" i="34"/>
  <c r="K64" i="75"/>
  <c r="I64" i="32"/>
  <c r="J64" i="30"/>
  <c r="I64" i="28"/>
  <c r="G68" i="77"/>
  <c r="E68" i="32"/>
  <c r="BO83" i="67"/>
  <c r="J71" i="77"/>
  <c r="H71" i="36"/>
  <c r="H71" i="32"/>
  <c r="BO84" i="67"/>
  <c r="J72" i="77"/>
  <c r="H72" i="36"/>
  <c r="H72" i="32"/>
  <c r="K76" i="77"/>
  <c r="L76" i="76"/>
  <c r="L130" i="76" s="1"/>
  <c r="T130" i="76" s="1"/>
  <c r="K76" i="75"/>
  <c r="I76" i="36"/>
  <c r="I76" i="38"/>
  <c r="I124" i="38" s="1"/>
  <c r="J76" i="34"/>
  <c r="I76" i="32"/>
  <c r="J76" i="30"/>
  <c r="I76" i="28"/>
  <c r="L79" i="76"/>
  <c r="L133" i="76" s="1"/>
  <c r="T133" i="76" s="1"/>
  <c r="K79" i="77"/>
  <c r="K79" i="75"/>
  <c r="I79" i="36"/>
  <c r="J79" i="34"/>
  <c r="I79" i="38"/>
  <c r="I127" i="38" s="1"/>
  <c r="I79" i="32"/>
  <c r="I79" i="28"/>
  <c r="J79" i="30"/>
  <c r="CN82" i="67"/>
  <c r="L83" i="77"/>
  <c r="J83" i="36"/>
  <c r="J83" i="32"/>
  <c r="L85" i="77"/>
  <c r="J85" i="36"/>
  <c r="J85" i="32"/>
  <c r="I86" i="75"/>
  <c r="G86" i="38"/>
  <c r="G86" i="28"/>
  <c r="I88" i="75"/>
  <c r="G88" i="38"/>
  <c r="G88" i="28"/>
  <c r="CP88" i="67"/>
  <c r="G89" i="77"/>
  <c r="E89" i="32"/>
  <c r="G90" i="76"/>
  <c r="G90" i="75"/>
  <c r="E90" i="30"/>
  <c r="E90" i="28"/>
  <c r="G93" i="75"/>
  <c r="G93" i="76"/>
  <c r="E93" i="30"/>
  <c r="E93" i="28"/>
  <c r="G94" i="76"/>
  <c r="G94" i="75"/>
  <c r="E94" i="30"/>
  <c r="E94" i="28"/>
  <c r="CN3" i="67"/>
  <c r="CK5" i="67"/>
  <c r="CR7" i="67"/>
  <c r="CJ8" i="67"/>
  <c r="G8" i="77"/>
  <c r="E8" i="32"/>
  <c r="CO9" i="67"/>
  <c r="I11" i="75"/>
  <c r="G11" i="38"/>
  <c r="G11" i="28"/>
  <c r="CO11" i="67"/>
  <c r="L12" i="77"/>
  <c r="J12" i="36"/>
  <c r="J12" i="32"/>
  <c r="CG13" i="67"/>
  <c r="H13" i="76"/>
  <c r="H13" i="77"/>
  <c r="H13" i="75"/>
  <c r="F13" i="32"/>
  <c r="F13" i="30"/>
  <c r="F13" i="28"/>
  <c r="CQ15" i="67"/>
  <c r="CX16" i="67"/>
  <c r="G16" i="77"/>
  <c r="E16" i="32"/>
  <c r="I17" i="75"/>
  <c r="G17" i="38"/>
  <c r="G17" i="28"/>
  <c r="CY17" i="67"/>
  <c r="CW19" i="67"/>
  <c r="CJ20" i="67"/>
  <c r="G20" i="77"/>
  <c r="E20" i="32"/>
  <c r="L22" i="77"/>
  <c r="J22" i="36"/>
  <c r="J22" i="32"/>
  <c r="G23" i="76"/>
  <c r="G23" i="75"/>
  <c r="E23" i="30"/>
  <c r="E23" i="28"/>
  <c r="CG24" i="67"/>
  <c r="CP29" i="67"/>
  <c r="CG30" i="67"/>
  <c r="H30" i="77"/>
  <c r="H30" i="75"/>
  <c r="H30" i="76"/>
  <c r="F30" i="32"/>
  <c r="F30" i="28"/>
  <c r="F30" i="30"/>
  <c r="L34" i="77"/>
  <c r="J34" i="36"/>
  <c r="J34" i="32"/>
  <c r="L36" i="77"/>
  <c r="J36" i="36"/>
  <c r="J36" i="32"/>
  <c r="CD38" i="67"/>
  <c r="CF39" i="67"/>
  <c r="G39" i="76"/>
  <c r="G39" i="75"/>
  <c r="E39" i="30"/>
  <c r="E39" i="28"/>
  <c r="CM40" i="67"/>
  <c r="L45" i="77"/>
  <c r="J45" i="36"/>
  <c r="J45" i="32"/>
  <c r="CJ46" i="67"/>
  <c r="G46" i="77"/>
  <c r="E46" i="32"/>
  <c r="CF47" i="67"/>
  <c r="G47" i="76"/>
  <c r="G47" i="75"/>
  <c r="E47" i="30"/>
  <c r="E47" i="28"/>
  <c r="CC48" i="67"/>
  <c r="H49" i="77"/>
  <c r="H49" i="76"/>
  <c r="H49" i="75"/>
  <c r="F49" i="32"/>
  <c r="F49" i="30"/>
  <c r="F49" i="28"/>
  <c r="CZ49" i="67"/>
  <c r="BT99" i="67"/>
  <c r="K51" i="77"/>
  <c r="L51" i="76"/>
  <c r="I51" i="36"/>
  <c r="K51" i="75"/>
  <c r="J51" i="34"/>
  <c r="I51" i="32"/>
  <c r="I51" i="38"/>
  <c r="J51" i="30"/>
  <c r="I51" i="28"/>
  <c r="CF52" i="67"/>
  <c r="G52" i="76"/>
  <c r="G52" i="75"/>
  <c r="E52" i="30"/>
  <c r="E52" i="28"/>
  <c r="CT52" i="67"/>
  <c r="CX53" i="67"/>
  <c r="G53" i="77"/>
  <c r="E53" i="32"/>
  <c r="I55" i="75"/>
  <c r="G55" i="38"/>
  <c r="G55" i="28"/>
  <c r="BT103" i="67"/>
  <c r="L55" i="76"/>
  <c r="K55" i="77"/>
  <c r="K55" i="75"/>
  <c r="I55" i="36"/>
  <c r="I55" i="32"/>
  <c r="J55" i="34"/>
  <c r="I55" i="38"/>
  <c r="J55" i="30"/>
  <c r="I55" i="28"/>
  <c r="BR70" i="67"/>
  <c r="J58" i="75"/>
  <c r="K58" i="76"/>
  <c r="I58" i="34"/>
  <c r="H58" i="38"/>
  <c r="I58" i="30"/>
  <c r="H58" i="28"/>
  <c r="CT62" i="67"/>
  <c r="G62" i="75"/>
  <c r="G62" i="76"/>
  <c r="E62" i="30"/>
  <c r="E62" i="28"/>
  <c r="CE64" i="67"/>
  <c r="CB68" i="67"/>
  <c r="CJ71" i="67"/>
  <c r="G71" i="77"/>
  <c r="E71" i="32"/>
  <c r="L71" i="76"/>
  <c r="L125" i="76" s="1"/>
  <c r="T125" i="76" s="1"/>
  <c r="K71" i="77"/>
  <c r="K71" i="75"/>
  <c r="I71" i="36"/>
  <c r="J71" i="34"/>
  <c r="I71" i="38"/>
  <c r="J71" i="30"/>
  <c r="I71" i="32"/>
  <c r="I71" i="28"/>
  <c r="G72" i="77"/>
  <c r="E72" i="32"/>
  <c r="K72" i="75"/>
  <c r="K72" i="77"/>
  <c r="L72" i="76"/>
  <c r="L126" i="76" s="1"/>
  <c r="T126" i="76" s="1"/>
  <c r="I72" i="36"/>
  <c r="I72" i="38"/>
  <c r="J72" i="30"/>
  <c r="J72" i="34"/>
  <c r="I72" i="32"/>
  <c r="I72" i="28"/>
  <c r="BO85" i="67"/>
  <c r="J73" i="77"/>
  <c r="H73" i="36"/>
  <c r="H73" i="32"/>
  <c r="CJ75" i="67"/>
  <c r="G75" i="77"/>
  <c r="E75" i="32"/>
  <c r="CA76" i="67"/>
  <c r="CK77" i="67"/>
  <c r="I79" i="75"/>
  <c r="G79" i="38"/>
  <c r="G79" i="28"/>
  <c r="CD79" i="67"/>
  <c r="G80" i="76"/>
  <c r="G80" i="75"/>
  <c r="E80" i="30"/>
  <c r="E80" i="28"/>
  <c r="CQ82" i="67"/>
  <c r="CT84" i="67"/>
  <c r="G84" i="76"/>
  <c r="G84" i="75"/>
  <c r="E84" i="30"/>
  <c r="E84" i="28"/>
  <c r="CR86" i="67"/>
  <c r="G87" i="77"/>
  <c r="E87" i="32"/>
  <c r="CU90" i="67"/>
  <c r="H90" i="77"/>
  <c r="H90" i="76"/>
  <c r="H90" i="75"/>
  <c r="F90" i="30"/>
  <c r="F90" i="32"/>
  <c r="F90" i="28"/>
  <c r="H93" i="76"/>
  <c r="H93" i="77"/>
  <c r="H93" i="75"/>
  <c r="F93" i="30"/>
  <c r="F93" i="32"/>
  <c r="F93" i="28"/>
  <c r="H94" i="77"/>
  <c r="H94" i="75"/>
  <c r="H94" i="76"/>
  <c r="F94" i="32"/>
  <c r="F94" i="30"/>
  <c r="F94" i="28"/>
  <c r="CZ94" i="67"/>
  <c r="CH95" i="67"/>
  <c r="CH97" i="67"/>
  <c r="CE99" i="67"/>
  <c r="H102" i="77"/>
  <c r="H102" i="76"/>
  <c r="H102" i="75"/>
  <c r="F102" i="32"/>
  <c r="F102" i="30"/>
  <c r="F102" i="28"/>
  <c r="CT106" i="67"/>
  <c r="G106" i="76"/>
  <c r="G106" i="75"/>
  <c r="E106" i="30"/>
  <c r="E106" i="28"/>
  <c r="CO107" i="67"/>
  <c r="CA111" i="67"/>
  <c r="CK112" i="67"/>
  <c r="CT115" i="67"/>
  <c r="G115" i="75"/>
  <c r="G115" i="76"/>
  <c r="E115" i="30"/>
  <c r="M115" i="30" s="1"/>
  <c r="E115" i="28"/>
  <c r="L115" i="28" s="1"/>
  <c r="I6" i="75"/>
  <c r="G6" i="38"/>
  <c r="G6" i="28"/>
  <c r="G18" i="77"/>
  <c r="E18" i="32"/>
  <c r="CF32" i="67"/>
  <c r="G32" i="76"/>
  <c r="G32" i="75"/>
  <c r="E32" i="30"/>
  <c r="E32" i="28"/>
  <c r="CG4" i="67"/>
  <c r="H4" i="77"/>
  <c r="H4" i="76"/>
  <c r="H4" i="75"/>
  <c r="F4" i="32"/>
  <c r="F4" i="30"/>
  <c r="F4" i="28"/>
  <c r="CG9" i="67"/>
  <c r="CV3" i="67"/>
  <c r="G4" i="77"/>
  <c r="E4" i="32"/>
  <c r="I5" i="75"/>
  <c r="G5" i="38"/>
  <c r="G5" i="28"/>
  <c r="I7" i="75"/>
  <c r="G7" i="38"/>
  <c r="G7" i="28"/>
  <c r="CW7" i="67"/>
  <c r="I9" i="75"/>
  <c r="G9" i="38"/>
  <c r="G9" i="28"/>
  <c r="CG23" i="67"/>
  <c r="H23" i="77"/>
  <c r="H23" i="76"/>
  <c r="H23" i="75"/>
  <c r="F23" i="32"/>
  <c r="F23" i="30"/>
  <c r="F23" i="28"/>
  <c r="CJ25" i="67"/>
  <c r="G25" i="77"/>
  <c r="E25" i="32"/>
  <c r="CF26" i="67"/>
  <c r="G26" i="76"/>
  <c r="G26" i="75"/>
  <c r="E26" i="30"/>
  <c r="E26" i="28"/>
  <c r="CE27" i="67"/>
  <c r="CF28" i="67"/>
  <c r="G28" i="75"/>
  <c r="G28" i="76"/>
  <c r="E28" i="28"/>
  <c r="E28" i="30"/>
  <c r="CQ29" i="67"/>
  <c r="I31" i="75"/>
  <c r="G31" i="38"/>
  <c r="G31" i="28"/>
  <c r="CH31" i="67"/>
  <c r="CX32" i="67"/>
  <c r="G32" i="77"/>
  <c r="E32" i="32"/>
  <c r="CT37" i="67"/>
  <c r="G37" i="76"/>
  <c r="G37" i="75"/>
  <c r="E37" i="30"/>
  <c r="E37" i="28"/>
  <c r="CG38" i="67"/>
  <c r="CG39" i="67"/>
  <c r="H39" i="77"/>
  <c r="H39" i="76"/>
  <c r="H39" i="75"/>
  <c r="F39" i="32"/>
  <c r="F39" i="30"/>
  <c r="F39" i="28"/>
  <c r="L41" i="77"/>
  <c r="J41" i="36"/>
  <c r="J41" i="32"/>
  <c r="L43" i="77"/>
  <c r="J43" i="36"/>
  <c r="J43" i="32"/>
  <c r="CU47" i="67"/>
  <c r="H47" i="77"/>
  <c r="H47" i="75"/>
  <c r="H47" i="76"/>
  <c r="F47" i="32"/>
  <c r="F47" i="30"/>
  <c r="F47" i="28"/>
  <c r="L50" i="77"/>
  <c r="J50" i="36"/>
  <c r="J50" i="32"/>
  <c r="CG51" i="67"/>
  <c r="CG52" i="67"/>
  <c r="H52" i="77"/>
  <c r="H52" i="76"/>
  <c r="H52" i="75"/>
  <c r="F52" i="30"/>
  <c r="F52" i="32"/>
  <c r="F52" i="28"/>
  <c r="CU52" i="67"/>
  <c r="CT56" i="67"/>
  <c r="G56" i="75"/>
  <c r="G56" i="76"/>
  <c r="E56" i="30"/>
  <c r="E56" i="28"/>
  <c r="I58" i="75"/>
  <c r="G58" i="38"/>
  <c r="G58" i="28"/>
  <c r="BT106" i="67"/>
  <c r="L58" i="76"/>
  <c r="K58" i="77"/>
  <c r="K58" i="75"/>
  <c r="J58" i="34"/>
  <c r="I58" i="36"/>
  <c r="I58" i="38"/>
  <c r="I58" i="32"/>
  <c r="J58" i="30"/>
  <c r="I58" i="28"/>
  <c r="L60" i="77"/>
  <c r="J60" i="32"/>
  <c r="J60" i="36"/>
  <c r="J61" i="75"/>
  <c r="I61" i="34"/>
  <c r="K61" i="76"/>
  <c r="H61" i="38"/>
  <c r="I61" i="30"/>
  <c r="H61" i="28"/>
  <c r="H62" i="77"/>
  <c r="H62" i="75"/>
  <c r="H62" i="76"/>
  <c r="F62" i="32"/>
  <c r="F62" i="30"/>
  <c r="F62" i="28"/>
  <c r="L64" i="77"/>
  <c r="J64" i="32"/>
  <c r="J64" i="36"/>
  <c r="CF65" i="67"/>
  <c r="G65" i="76"/>
  <c r="G65" i="75"/>
  <c r="E65" i="30"/>
  <c r="E65" i="28"/>
  <c r="I66" i="75"/>
  <c r="G66" i="38"/>
  <c r="G66" i="28"/>
  <c r="CH67" i="67"/>
  <c r="L68" i="77"/>
  <c r="J68" i="36"/>
  <c r="J68" i="32"/>
  <c r="DA70" i="67"/>
  <c r="CD71" i="67"/>
  <c r="CA72" i="67"/>
  <c r="G73" i="77"/>
  <c r="E73" i="32"/>
  <c r="G74" i="76"/>
  <c r="G74" i="75"/>
  <c r="E74" i="30"/>
  <c r="E74" i="28"/>
  <c r="CL77" i="67"/>
  <c r="CX78" i="67"/>
  <c r="G78" i="77"/>
  <c r="E78" i="32"/>
  <c r="CN79" i="67"/>
  <c r="CU80" i="67"/>
  <c r="H80" i="76"/>
  <c r="H80" i="77"/>
  <c r="H80" i="75"/>
  <c r="F80" i="32"/>
  <c r="F80" i="30"/>
  <c r="F80" i="28"/>
  <c r="K81" i="77"/>
  <c r="L81" i="76"/>
  <c r="L135" i="76" s="1"/>
  <c r="T135" i="76" s="1"/>
  <c r="K81" i="75"/>
  <c r="I81" i="36"/>
  <c r="I81" i="38"/>
  <c r="I129" i="38" s="1"/>
  <c r="J81" i="34"/>
  <c r="I81" i="28"/>
  <c r="J81" i="30"/>
  <c r="I81" i="32"/>
  <c r="H84" i="77"/>
  <c r="H84" i="75"/>
  <c r="H84" i="76"/>
  <c r="F84" i="32"/>
  <c r="F84" i="30"/>
  <c r="F84" i="28"/>
  <c r="CW88" i="67"/>
  <c r="L89" i="77"/>
  <c r="J89" i="36"/>
  <c r="J89" i="32"/>
  <c r="CI95" i="67"/>
  <c r="G96" i="77"/>
  <c r="E96" i="32"/>
  <c r="CP97" i="67"/>
  <c r="G101" i="77"/>
  <c r="E101" i="32"/>
  <c r="I102" i="75"/>
  <c r="G102" i="38"/>
  <c r="G102" i="28"/>
  <c r="I105" i="75"/>
  <c r="G105" i="38"/>
  <c r="G105" i="28"/>
  <c r="CX105" i="67"/>
  <c r="G105" i="77"/>
  <c r="E105" i="32"/>
  <c r="I106" i="75"/>
  <c r="G106" i="38"/>
  <c r="G106" i="28"/>
  <c r="CU106" i="67"/>
  <c r="H106" i="77"/>
  <c r="H106" i="76"/>
  <c r="H106" i="75"/>
  <c r="F106" i="30"/>
  <c r="F106" i="32"/>
  <c r="F106" i="28"/>
  <c r="CF109" i="67"/>
  <c r="G109" i="76"/>
  <c r="G109" i="75"/>
  <c r="E109" i="30"/>
  <c r="E109" i="28"/>
  <c r="CL111" i="67"/>
  <c r="CU115" i="67"/>
  <c r="H115" i="77"/>
  <c r="H115" i="75"/>
  <c r="H115" i="76"/>
  <c r="F115" i="32"/>
  <c r="N115" i="32" s="1"/>
  <c r="F115" i="30"/>
  <c r="N115" i="30" s="1"/>
  <c r="F115" i="28"/>
  <c r="M115" i="28" s="1"/>
  <c r="CT3" i="67"/>
  <c r="G3" i="76"/>
  <c r="G3" i="75"/>
  <c r="E3" i="30"/>
  <c r="E3" i="28"/>
  <c r="CX27" i="67"/>
  <c r="G27" i="77"/>
  <c r="E27" i="32"/>
  <c r="H25" i="77"/>
  <c r="H25" i="76"/>
  <c r="H25" i="75"/>
  <c r="F25" i="32"/>
  <c r="F25" i="30"/>
  <c r="F25" i="28"/>
  <c r="CY26" i="67"/>
  <c r="L40" i="77"/>
  <c r="J40" i="36"/>
  <c r="J40" i="32"/>
  <c r="CJ5" i="67"/>
  <c r="CN11" i="67"/>
  <c r="CT13" i="67"/>
  <c r="G13" i="76"/>
  <c r="G13" i="75"/>
  <c r="E13" i="30"/>
  <c r="E13" i="28"/>
  <c r="L14" i="77"/>
  <c r="J14" i="36"/>
  <c r="J14" i="32"/>
  <c r="I15" i="75"/>
  <c r="G15" i="38"/>
  <c r="G15" i="28"/>
  <c r="CP17" i="67"/>
  <c r="L18" i="77"/>
  <c r="J18" i="36"/>
  <c r="J18" i="32"/>
  <c r="I21" i="75"/>
  <c r="G21" i="38"/>
  <c r="G21" i="28"/>
  <c r="CV21" i="67"/>
  <c r="AP6" i="17"/>
  <c r="AJ6" i="17"/>
  <c r="N6" i="17"/>
  <c r="D4" i="25" s="1"/>
  <c r="C6" i="17"/>
  <c r="D3" i="25" s="1"/>
  <c r="Y6" i="17"/>
  <c r="D5" i="25" s="1"/>
  <c r="DA3" i="67"/>
  <c r="CJ6" i="67"/>
  <c r="G6" i="77"/>
  <c r="E6" i="32"/>
  <c r="L8" i="77"/>
  <c r="J8" i="36"/>
  <c r="J8" i="32"/>
  <c r="CJ10" i="67"/>
  <c r="G10" i="77"/>
  <c r="E10" i="32"/>
  <c r="CE14" i="67"/>
  <c r="L16" i="77"/>
  <c r="J16" i="36"/>
  <c r="J16" i="32"/>
  <c r="CT19" i="67"/>
  <c r="G19" i="76"/>
  <c r="G19" i="75"/>
  <c r="E19" i="30"/>
  <c r="E19" i="28"/>
  <c r="L20" i="77"/>
  <c r="J20" i="36"/>
  <c r="J20" i="32"/>
  <c r="DA24" i="67"/>
  <c r="CU26" i="67"/>
  <c r="H26" i="77"/>
  <c r="H26" i="76"/>
  <c r="H26" i="75"/>
  <c r="F26" i="32"/>
  <c r="F26" i="30"/>
  <c r="F26" i="28"/>
  <c r="CG28" i="67"/>
  <c r="H28" i="77"/>
  <c r="H28" i="76"/>
  <c r="H28" i="75"/>
  <c r="F28" i="32"/>
  <c r="F28" i="30"/>
  <c r="F28" i="28"/>
  <c r="CR29" i="67"/>
  <c r="CM31" i="67"/>
  <c r="I33" i="75"/>
  <c r="G33" i="38"/>
  <c r="G33" i="28"/>
  <c r="BZ34" i="67"/>
  <c r="CB36" i="67"/>
  <c r="CU37" i="67"/>
  <c r="H37" i="76"/>
  <c r="H37" i="77"/>
  <c r="H37" i="75"/>
  <c r="F37" i="32"/>
  <c r="F37" i="28"/>
  <c r="F37" i="30"/>
  <c r="CT44" i="67"/>
  <c r="G44" i="75"/>
  <c r="G44" i="76"/>
  <c r="E44" i="30"/>
  <c r="E44" i="28"/>
  <c r="CC45" i="67"/>
  <c r="L46" i="77"/>
  <c r="J46" i="36"/>
  <c r="J46" i="32"/>
  <c r="I48" i="75"/>
  <c r="G48" i="38"/>
  <c r="G48" i="28"/>
  <c r="I51" i="75"/>
  <c r="G51" i="38"/>
  <c r="G51" i="28"/>
  <c r="CH51" i="67"/>
  <c r="L53" i="77"/>
  <c r="J53" i="36"/>
  <c r="J53" i="32"/>
  <c r="BR66" i="67"/>
  <c r="K54" i="76"/>
  <c r="J54" i="75"/>
  <c r="I54" i="34"/>
  <c r="H54" i="38"/>
  <c r="I54" i="30"/>
  <c r="H54" i="28"/>
  <c r="H56" i="76"/>
  <c r="H56" i="77"/>
  <c r="H56" i="75"/>
  <c r="F56" i="32"/>
  <c r="F56" i="30"/>
  <c r="F56" i="28"/>
  <c r="CA58" i="67"/>
  <c r="CF59" i="67"/>
  <c r="G59" i="76"/>
  <c r="G59" i="75"/>
  <c r="E59" i="30"/>
  <c r="E59" i="28"/>
  <c r="I61" i="75"/>
  <c r="G61" i="28"/>
  <c r="G61" i="38"/>
  <c r="BT109" i="67"/>
  <c r="L61" i="76"/>
  <c r="K61" i="75"/>
  <c r="K61" i="77"/>
  <c r="I61" i="36"/>
  <c r="J61" i="34"/>
  <c r="I61" i="38"/>
  <c r="I61" i="32"/>
  <c r="J61" i="30"/>
  <c r="I61" i="28"/>
  <c r="I63" i="75"/>
  <c r="G63" i="38"/>
  <c r="G63" i="28"/>
  <c r="H65" i="77"/>
  <c r="H65" i="76"/>
  <c r="H65" i="75"/>
  <c r="F65" i="32"/>
  <c r="F65" i="30"/>
  <c r="F65" i="28"/>
  <c r="CD68" i="67"/>
  <c r="L71" i="77"/>
  <c r="J71" i="36"/>
  <c r="J71" i="32"/>
  <c r="DA71" i="67"/>
  <c r="L72" i="77"/>
  <c r="J72" i="36"/>
  <c r="J72" i="32"/>
  <c r="CI72" i="67"/>
  <c r="BR73" i="67"/>
  <c r="H74" i="77"/>
  <c r="H74" i="76"/>
  <c r="H74" i="75"/>
  <c r="F74" i="30"/>
  <c r="F74" i="32"/>
  <c r="F74" i="28"/>
  <c r="L75" i="77"/>
  <c r="J75" i="36"/>
  <c r="J75" i="32"/>
  <c r="CH76" i="67"/>
  <c r="CP77" i="67"/>
  <c r="CQ79" i="67"/>
  <c r="CA81" i="67"/>
  <c r="L87" i="77"/>
  <c r="J87" i="36"/>
  <c r="J87" i="32"/>
  <c r="CZ88" i="67"/>
  <c r="CM91" i="67"/>
  <c r="K92" i="77"/>
  <c r="L92" i="76"/>
  <c r="K92" i="75"/>
  <c r="I92" i="36"/>
  <c r="I92" i="38"/>
  <c r="I140" i="38" s="1"/>
  <c r="J92" i="30"/>
  <c r="J92" i="34"/>
  <c r="I92" i="32"/>
  <c r="I92" i="28"/>
  <c r="CR97" i="67"/>
  <c r="CK98" i="67"/>
  <c r="CJ100" i="67"/>
  <c r="CX103" i="67"/>
  <c r="G103" i="77"/>
  <c r="E103" i="32"/>
  <c r="CX104" i="67"/>
  <c r="G104" i="77"/>
  <c r="E104" i="32"/>
  <c r="CG109" i="67"/>
  <c r="H109" i="77"/>
  <c r="H109" i="76"/>
  <c r="H109" i="75"/>
  <c r="F109" i="32"/>
  <c r="F109" i="30"/>
  <c r="F109" i="28"/>
  <c r="CC110" i="67"/>
  <c r="CQ111" i="67"/>
  <c r="CN112" i="67"/>
  <c r="G114" i="76"/>
  <c r="G114" i="75"/>
  <c r="E114" i="30"/>
  <c r="M114" i="30" s="1"/>
  <c r="E114" i="28"/>
  <c r="L114" i="28" s="1"/>
  <c r="L4" i="77"/>
  <c r="J4" i="36"/>
  <c r="J4" i="32"/>
  <c r="CY7" i="67"/>
  <c r="CW9" i="67"/>
  <c r="CC12" i="67"/>
  <c r="CX13" i="67"/>
  <c r="G13" i="77"/>
  <c r="E13" i="32"/>
  <c r="CJ14" i="67"/>
  <c r="CF17" i="67"/>
  <c r="G17" i="76"/>
  <c r="G17" i="75"/>
  <c r="E17" i="30"/>
  <c r="E17" i="28"/>
  <c r="CE18" i="67"/>
  <c r="CU19" i="67"/>
  <c r="H19" i="76"/>
  <c r="H19" i="77"/>
  <c r="H19" i="75"/>
  <c r="F19" i="32"/>
  <c r="F19" i="30"/>
  <c r="F19" i="28"/>
  <c r="L25" i="77"/>
  <c r="J25" i="36"/>
  <c r="J25" i="32"/>
  <c r="CI27" i="67"/>
  <c r="CJ30" i="67"/>
  <c r="G30" i="77"/>
  <c r="E30" i="32"/>
  <c r="L32" i="77"/>
  <c r="J32" i="32"/>
  <c r="J32" i="36"/>
  <c r="CF35" i="67"/>
  <c r="G35" i="76"/>
  <c r="G35" i="75"/>
  <c r="E35" i="30"/>
  <c r="E35" i="28"/>
  <c r="CC36" i="67"/>
  <c r="I38" i="75"/>
  <c r="G38" i="38"/>
  <c r="G38" i="28"/>
  <c r="CA41" i="67"/>
  <c r="CT42" i="67"/>
  <c r="G42" i="76"/>
  <c r="G42" i="75"/>
  <c r="E42" i="30"/>
  <c r="E42" i="28"/>
  <c r="CG44" i="67"/>
  <c r="H44" i="77"/>
  <c r="H44" i="76"/>
  <c r="H44" i="75"/>
  <c r="F44" i="32"/>
  <c r="F44" i="30"/>
  <c r="F44" i="28"/>
  <c r="G49" i="77"/>
  <c r="E49" i="32"/>
  <c r="CK51" i="67"/>
  <c r="BT102" i="67"/>
  <c r="K54" i="77"/>
  <c r="L54" i="76"/>
  <c r="J54" i="34"/>
  <c r="K54" i="75"/>
  <c r="I54" i="36"/>
  <c r="I54" i="38"/>
  <c r="I54" i="32"/>
  <c r="I54" i="28"/>
  <c r="J54" i="30"/>
  <c r="BR69" i="67"/>
  <c r="K57" i="76"/>
  <c r="J57" i="75"/>
  <c r="I57" i="34"/>
  <c r="H57" i="38"/>
  <c r="I57" i="30"/>
  <c r="H57" i="28"/>
  <c r="H59" i="76"/>
  <c r="H59" i="77"/>
  <c r="H59" i="75"/>
  <c r="F59" i="32"/>
  <c r="F59" i="30"/>
  <c r="F59" i="28"/>
  <c r="CH61" i="67"/>
  <c r="BO74" i="67"/>
  <c r="J62" i="77"/>
  <c r="H62" i="36"/>
  <c r="H62" i="32"/>
  <c r="CO64" i="67"/>
  <c r="CT69" i="67"/>
  <c r="G69" i="76"/>
  <c r="G69" i="75"/>
  <c r="E69" i="30"/>
  <c r="E69" i="28"/>
  <c r="I70" i="75"/>
  <c r="G70" i="38"/>
  <c r="G70" i="28"/>
  <c r="L73" i="77"/>
  <c r="J73" i="36"/>
  <c r="J73" i="32"/>
  <c r="K73" i="77"/>
  <c r="L73" i="76"/>
  <c r="L127" i="76" s="1"/>
  <c r="T127" i="76" s="1"/>
  <c r="I73" i="36"/>
  <c r="K73" i="75"/>
  <c r="J73" i="34"/>
  <c r="I73" i="38"/>
  <c r="I73" i="32"/>
  <c r="J73" i="30"/>
  <c r="I73" i="28"/>
  <c r="G77" i="76"/>
  <c r="G77" i="75"/>
  <c r="E77" i="30"/>
  <c r="E77" i="28"/>
  <c r="L78" i="77"/>
  <c r="J78" i="36"/>
  <c r="J78" i="32"/>
  <c r="CT82" i="67"/>
  <c r="G82" i="75"/>
  <c r="G82" i="76"/>
  <c r="E82" i="30"/>
  <c r="E82" i="28"/>
  <c r="K83" i="77"/>
  <c r="L83" i="76"/>
  <c r="L137" i="76" s="1"/>
  <c r="T137" i="76" s="1"/>
  <c r="I83" i="36"/>
  <c r="K83" i="75"/>
  <c r="J83" i="34"/>
  <c r="I83" i="38"/>
  <c r="I131" i="38" s="1"/>
  <c r="I83" i="32"/>
  <c r="J83" i="30"/>
  <c r="I83" i="28"/>
  <c r="K85" i="75"/>
  <c r="K85" i="77"/>
  <c r="I85" i="36"/>
  <c r="L85" i="76"/>
  <c r="L139" i="76" s="1"/>
  <c r="T139" i="76" s="1"/>
  <c r="I85" i="38"/>
  <c r="I133" i="38" s="1"/>
  <c r="J85" i="34"/>
  <c r="J85" i="30"/>
  <c r="I85" i="32"/>
  <c r="I85" i="28"/>
  <c r="CF86" i="67"/>
  <c r="G86" i="76"/>
  <c r="G86" i="75"/>
  <c r="E86" i="30"/>
  <c r="E86" i="28"/>
  <c r="G88" i="76"/>
  <c r="G88" i="75"/>
  <c r="E88" i="30"/>
  <c r="E88" i="28"/>
  <c r="K89" i="77"/>
  <c r="L89" i="76"/>
  <c r="L143" i="76" s="1"/>
  <c r="T143" i="76" s="1"/>
  <c r="I89" i="36"/>
  <c r="K89" i="75"/>
  <c r="J89" i="34"/>
  <c r="I89" i="38"/>
  <c r="I137" i="38" s="1"/>
  <c r="I89" i="32"/>
  <c r="J89" i="30"/>
  <c r="I89" i="28"/>
  <c r="G90" i="77"/>
  <c r="E90" i="32"/>
  <c r="CC92" i="67"/>
  <c r="CX93" i="67"/>
  <c r="G93" i="77"/>
  <c r="E93" i="32"/>
  <c r="CJ94" i="67"/>
  <c r="G94" i="77"/>
  <c r="E94" i="32"/>
  <c r="CS97" i="67"/>
  <c r="CK99" i="67"/>
  <c r="CL100" i="67"/>
  <c r="CX102" i="67"/>
  <c r="G102" i="77"/>
  <c r="E102" i="32"/>
  <c r="I103" i="75"/>
  <c r="G103" i="38"/>
  <c r="G103" i="28"/>
  <c r="G108" i="75"/>
  <c r="G108" i="76"/>
  <c r="E108" i="30"/>
  <c r="E108" i="28"/>
  <c r="DA111" i="67"/>
  <c r="CR112" i="67"/>
  <c r="H114" i="77"/>
  <c r="H114" i="76"/>
  <c r="H114" i="75"/>
  <c r="F114" i="30"/>
  <c r="N114" i="30" s="1"/>
  <c r="F114" i="32"/>
  <c r="N114" i="32" s="1"/>
  <c r="F114" i="28"/>
  <c r="M114" i="28" s="1"/>
  <c r="I23" i="75"/>
  <c r="G23" i="38"/>
  <c r="G23" i="28"/>
  <c r="CT2" i="67"/>
  <c r="G2" i="76"/>
  <c r="G2" i="75"/>
  <c r="E2" i="30"/>
  <c r="E2" i="28"/>
  <c r="L6" i="77"/>
  <c r="J6" i="36"/>
  <c r="J6" i="32"/>
  <c r="BZ8" i="67"/>
  <c r="L10" i="77"/>
  <c r="J10" i="36"/>
  <c r="J10" i="32"/>
  <c r="I14" i="75"/>
  <c r="G14" i="38"/>
  <c r="G14" i="28"/>
  <c r="CQ14" i="67"/>
  <c r="G15" i="76"/>
  <c r="G15" i="75"/>
  <c r="E15" i="30"/>
  <c r="E15" i="28"/>
  <c r="BZ16" i="67"/>
  <c r="H17" i="77"/>
  <c r="H17" i="76"/>
  <c r="H17" i="75"/>
  <c r="F17" i="32"/>
  <c r="F17" i="30"/>
  <c r="F17" i="28"/>
  <c r="CI18" i="67"/>
  <c r="CB20" i="67"/>
  <c r="G21" i="76"/>
  <c r="G21" i="75"/>
  <c r="E21" i="30"/>
  <c r="E21" i="28"/>
  <c r="CN22" i="67"/>
  <c r="G23" i="77"/>
  <c r="E23" i="32"/>
  <c r="I27" i="75"/>
  <c r="G27" i="38"/>
  <c r="G27" i="28"/>
  <c r="CJ27" i="67"/>
  <c r="CY29" i="67"/>
  <c r="CK34" i="67"/>
  <c r="H35" i="76"/>
  <c r="H35" i="77"/>
  <c r="H35" i="75"/>
  <c r="F35" i="32"/>
  <c r="F35" i="30"/>
  <c r="F35" i="28"/>
  <c r="CE36" i="67"/>
  <c r="CY38" i="67"/>
  <c r="G39" i="77"/>
  <c r="E39" i="32"/>
  <c r="I40" i="75"/>
  <c r="G40" i="38"/>
  <c r="G40" i="28"/>
  <c r="CD41" i="67"/>
  <c r="H42" i="77"/>
  <c r="H42" i="76"/>
  <c r="H42" i="75"/>
  <c r="F42" i="32"/>
  <c r="F42" i="30"/>
  <c r="F42" i="28"/>
  <c r="CE43" i="67"/>
  <c r="CG46" i="67"/>
  <c r="CX47" i="67"/>
  <c r="G47" i="77"/>
  <c r="E47" i="32"/>
  <c r="CX52" i="67"/>
  <c r="G52" i="77"/>
  <c r="E52" i="32"/>
  <c r="I54" i="75"/>
  <c r="G54" i="38"/>
  <c r="G54" i="28"/>
  <c r="CA54" i="67"/>
  <c r="CP55" i="67"/>
  <c r="BT105" i="67"/>
  <c r="K57" i="77"/>
  <c r="I57" i="36"/>
  <c r="L57" i="76"/>
  <c r="K57" i="75"/>
  <c r="J57" i="34"/>
  <c r="I57" i="38"/>
  <c r="I57" i="32"/>
  <c r="J57" i="30"/>
  <c r="I57" i="28"/>
  <c r="CI61" i="67"/>
  <c r="CJ62" i="67"/>
  <c r="G62" i="77"/>
  <c r="E62" i="32"/>
  <c r="BT110" i="67"/>
  <c r="K62" i="77"/>
  <c r="L62" i="76"/>
  <c r="J62" i="34"/>
  <c r="I62" i="36"/>
  <c r="K62" i="75"/>
  <c r="I62" i="38"/>
  <c r="J62" i="30"/>
  <c r="I62" i="32"/>
  <c r="I62" i="28"/>
  <c r="CP64" i="67"/>
  <c r="BO77" i="67"/>
  <c r="J65" i="77"/>
  <c r="H65" i="36"/>
  <c r="H65" i="32"/>
  <c r="I67" i="75"/>
  <c r="G67" i="38"/>
  <c r="G67" i="28"/>
  <c r="H69" i="76"/>
  <c r="H69" i="77"/>
  <c r="H69" i="75"/>
  <c r="F69" i="30"/>
  <c r="F69" i="32"/>
  <c r="F69" i="28"/>
  <c r="CC73" i="67"/>
  <c r="K75" i="77"/>
  <c r="K75" i="75"/>
  <c r="I75" i="36"/>
  <c r="L75" i="76"/>
  <c r="L129" i="76" s="1"/>
  <c r="T129" i="76" s="1"/>
  <c r="J75" i="34"/>
  <c r="I75" i="32"/>
  <c r="I75" i="38"/>
  <c r="I123" i="38" s="1"/>
  <c r="J75" i="30"/>
  <c r="I75" i="28"/>
  <c r="CN76" i="67"/>
  <c r="CU77" i="67"/>
  <c r="H77" i="76"/>
  <c r="H77" i="77"/>
  <c r="H77" i="75"/>
  <c r="F77" i="32"/>
  <c r="F77" i="30"/>
  <c r="F77" i="28"/>
  <c r="CS79" i="67"/>
  <c r="CX80" i="67"/>
  <c r="G80" i="77"/>
  <c r="E80" i="32"/>
  <c r="I81" i="75"/>
  <c r="G81" i="38"/>
  <c r="G81" i="28"/>
  <c r="H82" i="77"/>
  <c r="H82" i="75"/>
  <c r="H82" i="76"/>
  <c r="F82" i="32"/>
  <c r="F82" i="30"/>
  <c r="F82" i="28"/>
  <c r="CK83" i="67"/>
  <c r="CX84" i="67"/>
  <c r="G84" i="77"/>
  <c r="E84" i="32"/>
  <c r="I85" i="75"/>
  <c r="G85" i="38"/>
  <c r="G85" i="28"/>
  <c r="H86" i="77"/>
  <c r="H86" i="76"/>
  <c r="H86" i="75"/>
  <c r="F86" i="32"/>
  <c r="F86" i="30"/>
  <c r="F86" i="28"/>
  <c r="L87" i="76"/>
  <c r="L141" i="76" s="1"/>
  <c r="T141" i="76" s="1"/>
  <c r="K87" i="77"/>
  <c r="K87" i="75"/>
  <c r="I87" i="36"/>
  <c r="J87" i="34"/>
  <c r="I87" i="38"/>
  <c r="I135" i="38" s="1"/>
  <c r="I87" i="32"/>
  <c r="J87" i="30"/>
  <c r="I87" i="28"/>
  <c r="H88" i="76"/>
  <c r="H88" i="77"/>
  <c r="H88" i="75"/>
  <c r="F88" i="30"/>
  <c r="F88" i="32"/>
  <c r="F88" i="28"/>
  <c r="CB89" i="67"/>
  <c r="CR95" i="67"/>
  <c r="DA98" i="67"/>
  <c r="CP99" i="67"/>
  <c r="CX106" i="67"/>
  <c r="G106" i="77"/>
  <c r="E106" i="32"/>
  <c r="G107" i="75"/>
  <c r="G107" i="76"/>
  <c r="E107" i="30"/>
  <c r="E107" i="28"/>
  <c r="CU108" i="67"/>
  <c r="H108" i="77"/>
  <c r="H108" i="75"/>
  <c r="H108" i="76"/>
  <c r="F108" i="32"/>
  <c r="F108" i="30"/>
  <c r="F108" i="28"/>
  <c r="CN110" i="67"/>
  <c r="G113" i="76"/>
  <c r="G113" i="75"/>
  <c r="E113" i="30"/>
  <c r="M113" i="30" s="1"/>
  <c r="E113" i="28"/>
  <c r="L113" i="28" s="1"/>
  <c r="CJ115" i="67"/>
  <c r="G115" i="77"/>
  <c r="E115" i="32"/>
  <c r="M115" i="32" s="1"/>
  <c r="CU2" i="67"/>
  <c r="H2" i="77"/>
  <c r="H2" i="76"/>
  <c r="H2" i="75"/>
  <c r="F2" i="32"/>
  <c r="F2" i="30"/>
  <c r="F2" i="28"/>
  <c r="CF4" i="67"/>
  <c r="CT7" i="67"/>
  <c r="G7" i="76"/>
  <c r="G7" i="75"/>
  <c r="E7" i="28"/>
  <c r="E7" i="30"/>
  <c r="CA8" i="67"/>
  <c r="CF11" i="67"/>
  <c r="G11" i="76"/>
  <c r="G11" i="75"/>
  <c r="E11" i="28"/>
  <c r="E11" i="30"/>
  <c r="CR12" i="67"/>
  <c r="L13" i="77"/>
  <c r="J13" i="36"/>
  <c r="J13" i="32"/>
  <c r="CR14" i="67"/>
  <c r="CU15" i="67"/>
  <c r="H15" i="77"/>
  <c r="H15" i="76"/>
  <c r="H15" i="75"/>
  <c r="F15" i="32"/>
  <c r="F15" i="30"/>
  <c r="F15" i="28"/>
  <c r="CK18" i="67"/>
  <c r="CC20" i="67"/>
  <c r="CG21" i="67"/>
  <c r="H21" i="76"/>
  <c r="H21" i="77"/>
  <c r="H21" i="75"/>
  <c r="F21" i="32"/>
  <c r="F21" i="30"/>
  <c r="F21" i="28"/>
  <c r="CO22" i="67"/>
  <c r="CF24" i="67"/>
  <c r="G24" i="76"/>
  <c r="G24" i="75"/>
  <c r="E24" i="28"/>
  <c r="E24" i="30"/>
  <c r="CX25" i="67"/>
  <c r="CJ26" i="67"/>
  <c r="G26" i="77"/>
  <c r="E26" i="32"/>
  <c r="CN27" i="67"/>
  <c r="CJ28" i="67"/>
  <c r="G28" i="77"/>
  <c r="E28" i="32"/>
  <c r="L30" i="77"/>
  <c r="J30" i="36"/>
  <c r="J30" i="32"/>
  <c r="CA32" i="67"/>
  <c r="I36" i="75"/>
  <c r="G36" i="38"/>
  <c r="G36" i="28"/>
  <c r="CJ37" i="67"/>
  <c r="G37" i="77"/>
  <c r="E37" i="32"/>
  <c r="CZ38" i="67"/>
  <c r="I45" i="75"/>
  <c r="G45" i="38"/>
  <c r="G45" i="28"/>
  <c r="CU46" i="67"/>
  <c r="CZ48" i="67"/>
  <c r="L49" i="77"/>
  <c r="J49" i="36"/>
  <c r="J49" i="32"/>
  <c r="BR62" i="67"/>
  <c r="J50" i="75"/>
  <c r="K50" i="76"/>
  <c r="I50" i="34"/>
  <c r="H50" i="38"/>
  <c r="I50" i="30"/>
  <c r="H50" i="28"/>
  <c r="CT51" i="67"/>
  <c r="G51" i="76"/>
  <c r="G51" i="75"/>
  <c r="E51" i="30"/>
  <c r="E51" i="28"/>
  <c r="G55" i="76"/>
  <c r="G55" i="75"/>
  <c r="E55" i="30"/>
  <c r="E55" i="28"/>
  <c r="CJ56" i="67"/>
  <c r="G56" i="77"/>
  <c r="E56" i="32"/>
  <c r="CI58" i="67"/>
  <c r="BR72" i="67"/>
  <c r="K60" i="76"/>
  <c r="J60" i="75"/>
  <c r="H60" i="38"/>
  <c r="I60" i="34"/>
  <c r="I60" i="30"/>
  <c r="H60" i="28"/>
  <c r="CB62" i="67"/>
  <c r="CR64" i="67"/>
  <c r="CJ65" i="67"/>
  <c r="G65" i="77"/>
  <c r="E65" i="32"/>
  <c r="BT113" i="67"/>
  <c r="K65" i="77"/>
  <c r="K65" i="75"/>
  <c r="I65" i="36"/>
  <c r="L65" i="76"/>
  <c r="I65" i="32"/>
  <c r="I65" i="38"/>
  <c r="J65" i="34"/>
  <c r="J65" i="30"/>
  <c r="I65" i="28"/>
  <c r="CJ74" i="67"/>
  <c r="G74" i="77"/>
  <c r="E74" i="32"/>
  <c r="CF76" i="67"/>
  <c r="G76" i="75"/>
  <c r="G76" i="76"/>
  <c r="E76" i="30"/>
  <c r="E76" i="28"/>
  <c r="CP76" i="67"/>
  <c r="K78" i="77"/>
  <c r="I78" i="36"/>
  <c r="L78" i="76"/>
  <c r="L132" i="76" s="1"/>
  <c r="T132" i="76" s="1"/>
  <c r="K78" i="75"/>
  <c r="I78" i="38"/>
  <c r="I126" i="38" s="1"/>
  <c r="J78" i="34"/>
  <c r="I78" i="32"/>
  <c r="J78" i="30"/>
  <c r="I78" i="28"/>
  <c r="CF79" i="67"/>
  <c r="G79" i="75"/>
  <c r="G79" i="76"/>
  <c r="E79" i="30"/>
  <c r="E79" i="28"/>
  <c r="CT79" i="67"/>
  <c r="CQ81" i="67"/>
  <c r="CD87" i="67"/>
  <c r="CI89" i="67"/>
  <c r="I91" i="75"/>
  <c r="G91" i="38"/>
  <c r="G91" i="28"/>
  <c r="K96" i="77"/>
  <c r="K96" i="75"/>
  <c r="L96" i="76"/>
  <c r="I96" i="36"/>
  <c r="I96" i="38"/>
  <c r="I144" i="38" s="1"/>
  <c r="J96" i="34"/>
  <c r="I96" i="32"/>
  <c r="J96" i="30"/>
  <c r="I96" i="28"/>
  <c r="I97" i="75"/>
  <c r="G97" i="38"/>
  <c r="G97" i="28"/>
  <c r="CF97" i="67"/>
  <c r="G97" i="75"/>
  <c r="G97" i="76"/>
  <c r="E97" i="30"/>
  <c r="E97" i="28"/>
  <c r="CR99" i="67"/>
  <c r="BZ105" i="67"/>
  <c r="I107" i="75"/>
  <c r="G107" i="38"/>
  <c r="G107" i="28"/>
  <c r="H107" i="77"/>
  <c r="H107" i="75"/>
  <c r="H107" i="76"/>
  <c r="F107" i="30"/>
  <c r="F107" i="32"/>
  <c r="F107" i="28"/>
  <c r="I109" i="75"/>
  <c r="G109" i="38"/>
  <c r="G109" i="28"/>
  <c r="CJ109" i="67"/>
  <c r="G109" i="77"/>
  <c r="E109" i="32"/>
  <c r="CO110" i="67"/>
  <c r="CF112" i="67"/>
  <c r="G112" i="76"/>
  <c r="G112" i="75"/>
  <c r="E112" i="30"/>
  <c r="M112" i="30" s="1"/>
  <c r="E112" i="28"/>
  <c r="L112" i="28" s="1"/>
  <c r="CG113" i="67"/>
  <c r="H113" i="77"/>
  <c r="H113" i="75"/>
  <c r="H113" i="76"/>
  <c r="F113" i="32"/>
  <c r="N113" i="32" s="1"/>
  <c r="F113" i="30"/>
  <c r="N113" i="30" s="1"/>
  <c r="F113" i="28"/>
  <c r="M113" i="28" s="1"/>
  <c r="I114" i="75"/>
  <c r="G114" i="38"/>
  <c r="G114" i="28"/>
  <c r="CF5" i="67"/>
  <c r="G5" i="76"/>
  <c r="G5" i="75"/>
  <c r="E5" i="30"/>
  <c r="E5" i="28"/>
  <c r="BZ6" i="67"/>
  <c r="H7" i="77"/>
  <c r="H7" i="75"/>
  <c r="H7" i="76"/>
  <c r="F7" i="32"/>
  <c r="F7" i="28"/>
  <c r="F7" i="30"/>
  <c r="CT9" i="67"/>
  <c r="G9" i="76"/>
  <c r="G9" i="75"/>
  <c r="E9" i="28"/>
  <c r="E9" i="30"/>
  <c r="CG11" i="67"/>
  <c r="H11" i="76"/>
  <c r="H11" i="77"/>
  <c r="H11" i="75"/>
  <c r="F11" i="32"/>
  <c r="F11" i="30"/>
  <c r="F11" i="28"/>
  <c r="I12" i="75"/>
  <c r="G12" i="38"/>
  <c r="G12" i="28"/>
  <c r="I18" i="75"/>
  <c r="G18" i="38"/>
  <c r="G18" i="28"/>
  <c r="CJ19" i="67"/>
  <c r="G19" i="77"/>
  <c r="E19" i="32"/>
  <c r="I22" i="75"/>
  <c r="G22" i="38"/>
  <c r="G22" i="28"/>
  <c r="L23" i="77"/>
  <c r="J23" i="36"/>
  <c r="J23" i="32"/>
  <c r="H24" i="76"/>
  <c r="H24" i="77"/>
  <c r="H24" i="75"/>
  <c r="F24" i="30"/>
  <c r="F24" i="32"/>
  <c r="F24" i="28"/>
  <c r="CT29" i="67"/>
  <c r="G29" i="76"/>
  <c r="G29" i="75"/>
  <c r="E29" i="30"/>
  <c r="E29" i="28"/>
  <c r="CT31" i="67"/>
  <c r="G31" i="76"/>
  <c r="G31" i="75"/>
  <c r="E31" i="30"/>
  <c r="E31" i="28"/>
  <c r="L39" i="77"/>
  <c r="J39" i="36"/>
  <c r="J39" i="32"/>
  <c r="I43" i="75"/>
  <c r="G43" i="38"/>
  <c r="G43" i="28"/>
  <c r="CJ44" i="67"/>
  <c r="G44" i="77"/>
  <c r="E44" i="32"/>
  <c r="L47" i="77"/>
  <c r="J47" i="36"/>
  <c r="J47" i="32"/>
  <c r="I50" i="75"/>
  <c r="G50" i="38"/>
  <c r="G50" i="28"/>
  <c r="BT98" i="67"/>
  <c r="L50" i="76"/>
  <c r="K50" i="77"/>
  <c r="K50" i="75"/>
  <c r="J50" i="34"/>
  <c r="I50" i="36"/>
  <c r="I50" i="38"/>
  <c r="I50" i="32"/>
  <c r="J50" i="30"/>
  <c r="I50" i="28"/>
  <c r="H51" i="76"/>
  <c r="H51" i="77"/>
  <c r="H51" i="75"/>
  <c r="F51" i="30"/>
  <c r="F51" i="28"/>
  <c r="F51" i="32"/>
  <c r="L52" i="77"/>
  <c r="J52" i="36"/>
  <c r="J52" i="32"/>
  <c r="BR65" i="67"/>
  <c r="J53" i="75"/>
  <c r="I53" i="34"/>
  <c r="K53" i="76"/>
  <c r="H53" i="38"/>
  <c r="I53" i="30"/>
  <c r="H53" i="28"/>
  <c r="CG55" i="67"/>
  <c r="H55" i="77"/>
  <c r="H55" i="76"/>
  <c r="H55" i="75"/>
  <c r="F55" i="32"/>
  <c r="F55" i="30"/>
  <c r="F55" i="28"/>
  <c r="CK57" i="67"/>
  <c r="CT58" i="67"/>
  <c r="G58" i="76"/>
  <c r="G58" i="75"/>
  <c r="E58" i="30"/>
  <c r="E58" i="28"/>
  <c r="CJ59" i="67"/>
  <c r="G59" i="77"/>
  <c r="E59" i="32"/>
  <c r="BT108" i="67"/>
  <c r="K60" i="77"/>
  <c r="L60" i="76"/>
  <c r="K60" i="75"/>
  <c r="I60" i="36"/>
  <c r="I60" i="32"/>
  <c r="I60" i="38"/>
  <c r="J60" i="34"/>
  <c r="J60" i="30"/>
  <c r="I60" i="28"/>
  <c r="CL61" i="67"/>
  <c r="L62" i="77"/>
  <c r="J62" i="36"/>
  <c r="J62" i="32"/>
  <c r="I64" i="75"/>
  <c r="G64" i="38"/>
  <c r="G64" i="28"/>
  <c r="G66" i="76"/>
  <c r="G66" i="75"/>
  <c r="E66" i="30"/>
  <c r="E66" i="28"/>
  <c r="CV68" i="67"/>
  <c r="BO81" i="67"/>
  <c r="J69" i="77"/>
  <c r="H69" i="36"/>
  <c r="H69" i="32"/>
  <c r="H76" i="77"/>
  <c r="H76" i="75"/>
  <c r="H76" i="76"/>
  <c r="F76" i="32"/>
  <c r="F76" i="30"/>
  <c r="F76" i="28"/>
  <c r="CF78" i="67"/>
  <c r="CU79" i="67"/>
  <c r="H79" i="77"/>
  <c r="H79" i="75"/>
  <c r="H79" i="76"/>
  <c r="F79" i="30"/>
  <c r="F79" i="32"/>
  <c r="F79" i="28"/>
  <c r="L80" i="77"/>
  <c r="J80" i="36"/>
  <c r="J80" i="32"/>
  <c r="I83" i="75"/>
  <c r="G83" i="38"/>
  <c r="G83" i="28"/>
  <c r="L84" i="77"/>
  <c r="J84" i="36"/>
  <c r="J84" i="32"/>
  <c r="CT91" i="67"/>
  <c r="G91" i="76"/>
  <c r="G91" i="75"/>
  <c r="E91" i="30"/>
  <c r="E91" i="28"/>
  <c r="I95" i="75"/>
  <c r="G95" i="38"/>
  <c r="G95" i="28"/>
  <c r="CT95" i="67"/>
  <c r="G95" i="76"/>
  <c r="G95" i="75"/>
  <c r="E95" i="30"/>
  <c r="E95" i="28"/>
  <c r="CG97" i="67"/>
  <c r="H97" i="77"/>
  <c r="H97" i="75"/>
  <c r="H97" i="76"/>
  <c r="F97" i="32"/>
  <c r="F97" i="30"/>
  <c r="F97" i="28"/>
  <c r="CF101" i="67"/>
  <c r="CW110" i="67"/>
  <c r="I112" i="75"/>
  <c r="G112" i="38"/>
  <c r="G112" i="28"/>
  <c r="CU112" i="67"/>
  <c r="H112" i="77"/>
  <c r="H112" i="76"/>
  <c r="H112" i="75"/>
  <c r="F112" i="32"/>
  <c r="N112" i="32" s="1"/>
  <c r="F112" i="30"/>
  <c r="N112" i="30" s="1"/>
  <c r="F112" i="28"/>
  <c r="M112" i="28" s="1"/>
  <c r="CJ114" i="67"/>
  <c r="G114" i="77"/>
  <c r="E114" i="32"/>
  <c r="M114" i="32" s="1"/>
  <c r="CG5" i="67"/>
  <c r="H5" i="77"/>
  <c r="H5" i="76"/>
  <c r="H5" i="75"/>
  <c r="F5" i="32"/>
  <c r="F5" i="30"/>
  <c r="F5" i="28"/>
  <c r="H9" i="77"/>
  <c r="H9" i="76"/>
  <c r="H9" i="75"/>
  <c r="F9" i="32"/>
  <c r="F9" i="28"/>
  <c r="F9" i="30"/>
  <c r="I16" i="75"/>
  <c r="G16" i="38"/>
  <c r="G16" i="28"/>
  <c r="CP16" i="67"/>
  <c r="CX17" i="67"/>
  <c r="G17" i="77"/>
  <c r="E17" i="32"/>
  <c r="CQ18" i="67"/>
  <c r="I20" i="75"/>
  <c r="G20" i="38"/>
  <c r="G20" i="28"/>
  <c r="L26" i="77"/>
  <c r="J26" i="36"/>
  <c r="J26" i="32"/>
  <c r="L28" i="77"/>
  <c r="J28" i="36"/>
  <c r="J28" i="32"/>
  <c r="CU29" i="67"/>
  <c r="H29" i="76"/>
  <c r="H29" i="77"/>
  <c r="H29" i="75"/>
  <c r="F29" i="32"/>
  <c r="F29" i="30"/>
  <c r="F29" i="28"/>
  <c r="CU31" i="67"/>
  <c r="H31" i="77"/>
  <c r="H31" i="75"/>
  <c r="H31" i="76"/>
  <c r="F31" i="32"/>
  <c r="F31" i="30"/>
  <c r="F31" i="28"/>
  <c r="CT33" i="67"/>
  <c r="G33" i="76"/>
  <c r="G33" i="75"/>
  <c r="E33" i="30"/>
  <c r="E33" i="28"/>
  <c r="CP34" i="67"/>
  <c r="CX35" i="67"/>
  <c r="G35" i="77"/>
  <c r="E35" i="32"/>
  <c r="L37" i="77"/>
  <c r="J37" i="36"/>
  <c r="J37" i="32"/>
  <c r="CF38" i="67"/>
  <c r="G38" i="75"/>
  <c r="G38" i="76"/>
  <c r="E38" i="30"/>
  <c r="E38" i="28"/>
  <c r="CX42" i="67"/>
  <c r="G42" i="77"/>
  <c r="E42" i="32"/>
  <c r="G48" i="76"/>
  <c r="G48" i="75"/>
  <c r="E48" i="30"/>
  <c r="E48" i="28"/>
  <c r="BZ49" i="67"/>
  <c r="I53" i="75"/>
  <c r="G53" i="38"/>
  <c r="G53" i="28"/>
  <c r="BT101" i="67"/>
  <c r="L53" i="76"/>
  <c r="K53" i="75"/>
  <c r="K53" i="77"/>
  <c r="I53" i="36"/>
  <c r="J53" i="34"/>
  <c r="I53" i="38"/>
  <c r="I53" i="32"/>
  <c r="J53" i="30"/>
  <c r="I53" i="28"/>
  <c r="L56" i="77"/>
  <c r="J56" i="36"/>
  <c r="J56" i="32"/>
  <c r="H58" i="77"/>
  <c r="H58" i="76"/>
  <c r="H58" i="75"/>
  <c r="F58" i="32"/>
  <c r="F58" i="30"/>
  <c r="F58" i="28"/>
  <c r="DA58" i="67"/>
  <c r="G61" i="76"/>
  <c r="G61" i="75"/>
  <c r="E61" i="30"/>
  <c r="E61" i="28"/>
  <c r="G63" i="76"/>
  <c r="G63" i="75"/>
  <c r="E63" i="30"/>
  <c r="E63" i="28"/>
  <c r="L65" i="77"/>
  <c r="J65" i="36"/>
  <c r="J65" i="32"/>
  <c r="CU66" i="67"/>
  <c r="H66" i="77"/>
  <c r="H66" i="76"/>
  <c r="H66" i="75"/>
  <c r="F66" i="32"/>
  <c r="F66" i="28"/>
  <c r="F66" i="30"/>
  <c r="CT67" i="67"/>
  <c r="G67" i="76"/>
  <c r="G67" i="75"/>
  <c r="E67" i="30"/>
  <c r="E67" i="28"/>
  <c r="CX69" i="67"/>
  <c r="G69" i="77"/>
  <c r="E69" i="32"/>
  <c r="K69" i="75"/>
  <c r="K69" i="77"/>
  <c r="L69" i="76"/>
  <c r="L123" i="76" s="1"/>
  <c r="T123" i="76" s="1"/>
  <c r="I69" i="36"/>
  <c r="I69" i="38"/>
  <c r="J69" i="34"/>
  <c r="I69" i="32"/>
  <c r="J69" i="30"/>
  <c r="I69" i="28"/>
  <c r="CT70" i="67"/>
  <c r="G70" i="75"/>
  <c r="G70" i="76"/>
  <c r="E70" i="30"/>
  <c r="E70" i="28"/>
  <c r="I71" i="75"/>
  <c r="G71" i="38"/>
  <c r="G71" i="28"/>
  <c r="L74" i="77"/>
  <c r="J74" i="36"/>
  <c r="J74" i="32"/>
  <c r="I75" i="75"/>
  <c r="G75" i="38"/>
  <c r="G75" i="28"/>
  <c r="CG75" i="67"/>
  <c r="G77" i="77"/>
  <c r="E77" i="32"/>
  <c r="G82" i="77"/>
  <c r="E82" i="32"/>
  <c r="G86" i="77"/>
  <c r="E86" i="32"/>
  <c r="I87" i="75"/>
  <c r="G87" i="38"/>
  <c r="G87" i="28"/>
  <c r="G88" i="77"/>
  <c r="E88" i="32"/>
  <c r="K90" i="77"/>
  <c r="L90" i="76"/>
  <c r="L144" i="76" s="1"/>
  <c r="T144" i="76" s="1"/>
  <c r="K90" i="75"/>
  <c r="I90" i="36"/>
  <c r="I90" i="38"/>
  <c r="I138" i="38" s="1"/>
  <c r="J90" i="34"/>
  <c r="J90" i="30"/>
  <c r="I90" i="32"/>
  <c r="I90" i="28"/>
  <c r="CU91" i="67"/>
  <c r="H91" i="77"/>
  <c r="H91" i="76"/>
  <c r="H91" i="75"/>
  <c r="F91" i="30"/>
  <c r="F91" i="32"/>
  <c r="F91" i="28"/>
  <c r="CW92" i="67"/>
  <c r="L93" i="76"/>
  <c r="K93" i="77"/>
  <c r="K93" i="75"/>
  <c r="I93" i="36"/>
  <c r="I93" i="38"/>
  <c r="I141" i="38" s="1"/>
  <c r="J93" i="34"/>
  <c r="J93" i="30"/>
  <c r="I93" i="32"/>
  <c r="I93" i="28"/>
  <c r="CU95" i="67"/>
  <c r="H95" i="77"/>
  <c r="H95" i="75"/>
  <c r="H95" i="76"/>
  <c r="F95" i="32"/>
  <c r="F95" i="30"/>
  <c r="F95" i="28"/>
  <c r="CH101" i="67"/>
  <c r="CA102" i="67"/>
  <c r="G108" i="77"/>
  <c r="E108" i="32"/>
  <c r="CP8" i="67"/>
  <c r="CX15" i="67"/>
  <c r="G15" i="77"/>
  <c r="E15" i="32"/>
  <c r="CQ16" i="67"/>
  <c r="L19" i="77"/>
  <c r="J19" i="36"/>
  <c r="J19" i="32"/>
  <c r="CJ21" i="67"/>
  <c r="G21" i="77"/>
  <c r="E21" i="32"/>
  <c r="I25" i="75"/>
  <c r="G25" i="38"/>
  <c r="G25" i="28"/>
  <c r="I32" i="75"/>
  <c r="G32" i="38"/>
  <c r="G32" i="28"/>
  <c r="H33" i="77"/>
  <c r="H33" i="76"/>
  <c r="H33" i="75"/>
  <c r="F33" i="30"/>
  <c r="F33" i="32"/>
  <c r="F33" i="28"/>
  <c r="CS34" i="67"/>
  <c r="H38" i="77"/>
  <c r="H38" i="75"/>
  <c r="H38" i="76"/>
  <c r="F38" i="32"/>
  <c r="F38" i="30"/>
  <c r="F38" i="28"/>
  <c r="CF40" i="67"/>
  <c r="G40" i="76"/>
  <c r="G40" i="75"/>
  <c r="E40" i="30"/>
  <c r="E40" i="28"/>
  <c r="L44" i="77"/>
  <c r="J44" i="32"/>
  <c r="J44" i="36"/>
  <c r="CU48" i="67"/>
  <c r="H48" i="76"/>
  <c r="H48" i="77"/>
  <c r="H48" i="75"/>
  <c r="F48" i="32"/>
  <c r="F48" i="28"/>
  <c r="F48" i="30"/>
  <c r="CJ50" i="67"/>
  <c r="CD53" i="67"/>
  <c r="CT54" i="67"/>
  <c r="G54" i="75"/>
  <c r="G54" i="76"/>
  <c r="E54" i="30"/>
  <c r="E54" i="28"/>
  <c r="CP57" i="67"/>
  <c r="L59" i="77"/>
  <c r="J59" i="36"/>
  <c r="J59" i="32"/>
  <c r="CM60" i="67"/>
  <c r="H61" i="76"/>
  <c r="H61" i="77"/>
  <c r="H61" i="75"/>
  <c r="F61" i="32"/>
  <c r="F61" i="30"/>
  <c r="F61" i="28"/>
  <c r="CR61" i="67"/>
  <c r="CH62" i="67"/>
  <c r="CU63" i="67"/>
  <c r="H63" i="77"/>
  <c r="H63" i="75"/>
  <c r="H63" i="76"/>
  <c r="F63" i="32"/>
  <c r="F63" i="30"/>
  <c r="F63" i="28"/>
  <c r="CP65" i="67"/>
  <c r="CU67" i="67"/>
  <c r="H67" i="76"/>
  <c r="H67" i="77"/>
  <c r="H67" i="75"/>
  <c r="F67" i="32"/>
  <c r="F67" i="30"/>
  <c r="F67" i="28"/>
  <c r="DA68" i="67"/>
  <c r="CG69" i="67"/>
  <c r="CG70" i="67"/>
  <c r="H70" i="77"/>
  <c r="H70" i="76"/>
  <c r="H70" i="75"/>
  <c r="F70" i="30"/>
  <c r="F70" i="32"/>
  <c r="F70" i="28"/>
  <c r="I72" i="75"/>
  <c r="G72" i="38"/>
  <c r="G72" i="28"/>
  <c r="CL75" i="67"/>
  <c r="CJ78" i="67"/>
  <c r="CT81" i="67"/>
  <c r="G81" i="75"/>
  <c r="G81" i="76"/>
  <c r="E81" i="30"/>
  <c r="E81" i="28"/>
  <c r="K84" i="77"/>
  <c r="L84" i="76"/>
  <c r="L138" i="76" s="1"/>
  <c r="T138" i="76" s="1"/>
  <c r="K84" i="75"/>
  <c r="I84" i="36"/>
  <c r="I84" i="38"/>
  <c r="I132" i="38" s="1"/>
  <c r="I84" i="32"/>
  <c r="J84" i="34"/>
  <c r="J84" i="30"/>
  <c r="I84" i="28"/>
  <c r="CY85" i="67"/>
  <c r="DA92" i="67"/>
  <c r="CD93" i="67"/>
  <c r="K94" i="77"/>
  <c r="L94" i="76"/>
  <c r="I94" i="36"/>
  <c r="K94" i="75"/>
  <c r="I94" i="38"/>
  <c r="I142" i="38" s="1"/>
  <c r="J94" i="34"/>
  <c r="I94" i="32"/>
  <c r="J94" i="30"/>
  <c r="I94" i="28"/>
  <c r="CB96" i="67"/>
  <c r="CT99" i="67"/>
  <c r="G99" i="76"/>
  <c r="G99" i="75"/>
  <c r="E99" i="30"/>
  <c r="E99" i="28"/>
  <c r="CD102" i="67"/>
  <c r="CG103" i="67"/>
  <c r="CE104" i="67"/>
  <c r="CE105" i="67"/>
  <c r="BZ106" i="67"/>
  <c r="G107" i="77"/>
  <c r="E107" i="32"/>
  <c r="CY110" i="67"/>
  <c r="G111" i="75"/>
  <c r="G111" i="76"/>
  <c r="E111" i="30"/>
  <c r="M111" i="30" s="1"/>
  <c r="E111" i="28"/>
  <c r="L111" i="28" s="1"/>
  <c r="I113" i="75"/>
  <c r="G113" i="38"/>
  <c r="G113" i="28"/>
  <c r="G113" i="77"/>
  <c r="E113" i="32"/>
  <c r="M113" i="32" s="1"/>
  <c r="BZ115" i="67"/>
  <c r="CF18" i="67"/>
  <c r="G18" i="76"/>
  <c r="G18" i="75"/>
  <c r="E18" i="30"/>
  <c r="E18" i="28"/>
  <c r="CX24" i="67"/>
  <c r="G24" i="77"/>
  <c r="E24" i="32"/>
  <c r="CF27" i="67"/>
  <c r="G27" i="76"/>
  <c r="G27" i="75"/>
  <c r="E27" i="30"/>
  <c r="E27" i="28"/>
  <c r="L35" i="77"/>
  <c r="J35" i="36"/>
  <c r="J35" i="32"/>
  <c r="H40" i="76"/>
  <c r="H40" i="77"/>
  <c r="H40" i="75"/>
  <c r="F40" i="32"/>
  <c r="F40" i="30"/>
  <c r="F40" i="28"/>
  <c r="L42" i="77"/>
  <c r="J42" i="36"/>
  <c r="J42" i="32"/>
  <c r="CJ51" i="67"/>
  <c r="G51" i="77"/>
  <c r="E51" i="32"/>
  <c r="CU54" i="67"/>
  <c r="H54" i="77"/>
  <c r="H54" i="76"/>
  <c r="H54" i="75"/>
  <c r="F54" i="30"/>
  <c r="F54" i="32"/>
  <c r="F54" i="28"/>
  <c r="CX55" i="67"/>
  <c r="G55" i="77"/>
  <c r="E55" i="32"/>
  <c r="CT57" i="67"/>
  <c r="G57" i="76"/>
  <c r="G57" i="75"/>
  <c r="E57" i="30"/>
  <c r="E57" i="28"/>
  <c r="BO78" i="67"/>
  <c r="J66" i="77"/>
  <c r="H66" i="36"/>
  <c r="H66" i="32"/>
  <c r="L69" i="77"/>
  <c r="J69" i="36"/>
  <c r="J69" i="32"/>
  <c r="G76" i="77"/>
  <c r="E76" i="32"/>
  <c r="L77" i="77"/>
  <c r="J77" i="36"/>
  <c r="J77" i="32"/>
  <c r="I78" i="75"/>
  <c r="G78" i="38"/>
  <c r="G78" i="28"/>
  <c r="CX79" i="67"/>
  <c r="G79" i="77"/>
  <c r="E79" i="32"/>
  <c r="CG81" i="67"/>
  <c r="H81" i="77"/>
  <c r="H81" i="75"/>
  <c r="H81" i="76"/>
  <c r="F81" i="32"/>
  <c r="F81" i="30"/>
  <c r="F81" i="28"/>
  <c r="L82" i="77"/>
  <c r="J82" i="36"/>
  <c r="J82" i="32"/>
  <c r="CF83" i="67"/>
  <c r="G83" i="76"/>
  <c r="G83" i="75"/>
  <c r="E83" i="30"/>
  <c r="E83" i="28"/>
  <c r="CC84" i="67"/>
  <c r="G85" i="76"/>
  <c r="G85" i="75"/>
  <c r="E85" i="30"/>
  <c r="E85" i="28"/>
  <c r="L86" i="77"/>
  <c r="J86" i="36"/>
  <c r="J86" i="32"/>
  <c r="CV87" i="67"/>
  <c r="L88" i="77"/>
  <c r="J88" i="36"/>
  <c r="J88" i="32"/>
  <c r="CG96" i="67"/>
  <c r="CJ97" i="67"/>
  <c r="G97" i="77"/>
  <c r="E97" i="32"/>
  <c r="H99" i="76"/>
  <c r="H99" i="77"/>
  <c r="H99" i="75"/>
  <c r="F99" i="32"/>
  <c r="F99" i="30"/>
  <c r="F99" i="28"/>
  <c r="CF100" i="67"/>
  <c r="G100" i="75"/>
  <c r="G100" i="76"/>
  <c r="E100" i="30"/>
  <c r="E100" i="28"/>
  <c r="CE102" i="67"/>
  <c r="CU111" i="67"/>
  <c r="H111" i="77"/>
  <c r="H111" i="75"/>
  <c r="H111" i="76"/>
  <c r="F111" i="30"/>
  <c r="N111" i="30" s="1"/>
  <c r="F111" i="32"/>
  <c r="N111" i="32" s="1"/>
  <c r="F111" i="28"/>
  <c r="M111" i="28" s="1"/>
  <c r="G112" i="77"/>
  <c r="E112" i="32"/>
  <c r="M112" i="32" s="1"/>
  <c r="CJ9" i="67"/>
  <c r="G9" i="77"/>
  <c r="E9" i="32"/>
  <c r="CA44" i="67"/>
  <c r="G45" i="76"/>
  <c r="G45" i="75"/>
  <c r="E45" i="30"/>
  <c r="E45" i="28"/>
  <c r="BR64" i="67"/>
  <c r="K52" i="76"/>
  <c r="J52" i="75"/>
  <c r="I52" i="34"/>
  <c r="H52" i="38"/>
  <c r="I52" i="30"/>
  <c r="H52" i="28"/>
  <c r="CU57" i="67"/>
  <c r="H57" i="77"/>
  <c r="H57" i="76"/>
  <c r="H57" i="75"/>
  <c r="F57" i="32"/>
  <c r="F57" i="30"/>
  <c r="F57" i="28"/>
  <c r="CX57" i="67"/>
  <c r="G58" i="77"/>
  <c r="E58" i="32"/>
  <c r="CP60" i="67"/>
  <c r="BO75" i="67"/>
  <c r="J63" i="77"/>
  <c r="H63" i="36"/>
  <c r="H63" i="32"/>
  <c r="CJ66" i="67"/>
  <c r="G66" i="77"/>
  <c r="E66" i="32"/>
  <c r="BT114" i="67"/>
  <c r="L66" i="76"/>
  <c r="K66" i="77"/>
  <c r="K66" i="75"/>
  <c r="I66" i="36"/>
  <c r="I66" i="38"/>
  <c r="I66" i="32"/>
  <c r="J66" i="34"/>
  <c r="J66" i="30"/>
  <c r="I66" i="28"/>
  <c r="BO79" i="67"/>
  <c r="J67" i="77"/>
  <c r="H67" i="36"/>
  <c r="H67" i="32"/>
  <c r="CL69" i="67"/>
  <c r="BO82" i="67"/>
  <c r="J70" i="77"/>
  <c r="H70" i="36"/>
  <c r="H70" i="32"/>
  <c r="K80" i="77"/>
  <c r="L80" i="76"/>
  <c r="L134" i="76" s="1"/>
  <c r="T134" i="76" s="1"/>
  <c r="K80" i="75"/>
  <c r="I80" i="36"/>
  <c r="I80" i="38"/>
  <c r="I128" i="38" s="1"/>
  <c r="J80" i="34"/>
  <c r="I80" i="32"/>
  <c r="J80" i="30"/>
  <c r="I80" i="28"/>
  <c r="CU83" i="67"/>
  <c r="H83" i="77"/>
  <c r="H83" i="76"/>
  <c r="H83" i="75"/>
  <c r="F83" i="32"/>
  <c r="F83" i="30"/>
  <c r="F83" i="28"/>
  <c r="CE84" i="67"/>
  <c r="H85" i="76"/>
  <c r="H85" i="77"/>
  <c r="H85" i="75"/>
  <c r="F85" i="32"/>
  <c r="F85" i="30"/>
  <c r="F85" i="28"/>
  <c r="CJ91" i="67"/>
  <c r="G91" i="77"/>
  <c r="E91" i="32"/>
  <c r="CT92" i="67"/>
  <c r="G92" i="75"/>
  <c r="G92" i="76"/>
  <c r="E92" i="30"/>
  <c r="E92" i="28"/>
  <c r="CX95" i="67"/>
  <c r="G95" i="77"/>
  <c r="E95" i="32"/>
  <c r="CH96" i="67"/>
  <c r="CF98" i="67"/>
  <c r="G98" i="76"/>
  <c r="G98" i="75"/>
  <c r="E98" i="30"/>
  <c r="E98" i="28"/>
  <c r="I99" i="75"/>
  <c r="G99" i="38"/>
  <c r="G99" i="28"/>
  <c r="CU100" i="67"/>
  <c r="H100" i="77"/>
  <c r="H100" i="75"/>
  <c r="H100" i="76"/>
  <c r="F100" i="32"/>
  <c r="F100" i="30"/>
  <c r="F100" i="28"/>
  <c r="CU104" i="67"/>
  <c r="CP105" i="67"/>
  <c r="CT110" i="67"/>
  <c r="G110" i="76"/>
  <c r="G110" i="75"/>
  <c r="E110" i="30"/>
  <c r="M110" i="30" s="1"/>
  <c r="E110" i="28"/>
  <c r="L110" i="28" s="1"/>
  <c r="CU3" i="67"/>
  <c r="H3" i="76"/>
  <c r="H3" i="77"/>
  <c r="H3" i="75"/>
  <c r="F3" i="32"/>
  <c r="F3" i="30"/>
  <c r="F3" i="28"/>
  <c r="L2" i="77"/>
  <c r="J2" i="36"/>
  <c r="J2" i="32"/>
  <c r="CF12" i="67"/>
  <c r="G12" i="75"/>
  <c r="G12" i="76"/>
  <c r="E12" i="30"/>
  <c r="E12" i="28"/>
  <c r="L21" i="77"/>
  <c r="J21" i="36"/>
  <c r="J21" i="32"/>
  <c r="CT22" i="67"/>
  <c r="G22" i="75"/>
  <c r="G22" i="76"/>
  <c r="E22" i="28"/>
  <c r="E22" i="30"/>
  <c r="CU27" i="67"/>
  <c r="H27" i="76"/>
  <c r="H27" i="75"/>
  <c r="H27" i="77"/>
  <c r="F27" i="32"/>
  <c r="F27" i="30"/>
  <c r="F27" i="28"/>
  <c r="I30" i="75"/>
  <c r="G30" i="38"/>
  <c r="G30" i="28"/>
  <c r="CJ31" i="67"/>
  <c r="G31" i="77"/>
  <c r="E31" i="32"/>
  <c r="G34" i="76"/>
  <c r="G34" i="75"/>
  <c r="E34" i="30"/>
  <c r="E34" i="28"/>
  <c r="CT36" i="67"/>
  <c r="G36" i="76"/>
  <c r="G36" i="75"/>
  <c r="E36" i="30"/>
  <c r="E36" i="28"/>
  <c r="L7" i="77"/>
  <c r="J7" i="36"/>
  <c r="J7" i="32"/>
  <c r="L11" i="77"/>
  <c r="J11" i="36"/>
  <c r="J11" i="32"/>
  <c r="CG12" i="67"/>
  <c r="H12" i="77"/>
  <c r="H12" i="76"/>
  <c r="H12" i="75"/>
  <c r="F12" i="32"/>
  <c r="F12" i="28"/>
  <c r="F12" i="30"/>
  <c r="H22" i="77"/>
  <c r="H22" i="76"/>
  <c r="H22" i="75"/>
  <c r="F22" i="32"/>
  <c r="F22" i="30"/>
  <c r="F22" i="28"/>
  <c r="L24" i="77"/>
  <c r="J24" i="32"/>
  <c r="J24" i="36"/>
  <c r="CM26" i="67"/>
  <c r="CT32" i="67"/>
  <c r="CX33" i="67"/>
  <c r="G33" i="77"/>
  <c r="E33" i="32"/>
  <c r="H34" i="77"/>
  <c r="H34" i="76"/>
  <c r="H34" i="75"/>
  <c r="F34" i="32"/>
  <c r="F34" i="30"/>
  <c r="F34" i="28"/>
  <c r="CG36" i="67"/>
  <c r="H36" i="77"/>
  <c r="H36" i="76"/>
  <c r="H36" i="75"/>
  <c r="F36" i="30"/>
  <c r="F36" i="32"/>
  <c r="F36" i="28"/>
  <c r="G38" i="77"/>
  <c r="E38" i="32"/>
  <c r="I39" i="75"/>
  <c r="G39" i="38"/>
  <c r="G39" i="28"/>
  <c r="G41" i="76"/>
  <c r="G41" i="75"/>
  <c r="E41" i="30"/>
  <c r="E41" i="28"/>
  <c r="BZ42" i="67"/>
  <c r="CT43" i="67"/>
  <c r="G43" i="75"/>
  <c r="G43" i="76"/>
  <c r="E43" i="30"/>
  <c r="E43" i="28"/>
  <c r="CE44" i="67"/>
  <c r="H45" i="76"/>
  <c r="H45" i="77"/>
  <c r="H45" i="75"/>
  <c r="F45" i="32"/>
  <c r="F45" i="30"/>
  <c r="F45" i="28"/>
  <c r="I47" i="75"/>
  <c r="G47" i="38"/>
  <c r="G47" i="28"/>
  <c r="CX48" i="67"/>
  <c r="G48" i="77"/>
  <c r="E48" i="32"/>
  <c r="I49" i="75"/>
  <c r="G49" i="38"/>
  <c r="G49" i="28"/>
  <c r="CI49" i="67"/>
  <c r="G50" i="75"/>
  <c r="G50" i="76"/>
  <c r="E50" i="28"/>
  <c r="E50" i="30"/>
  <c r="CS50" i="67"/>
  <c r="L51" i="77"/>
  <c r="J51" i="36"/>
  <c r="J51" i="32"/>
  <c r="BT100" i="67"/>
  <c r="K52" i="77"/>
  <c r="L52" i="76"/>
  <c r="K52" i="75"/>
  <c r="I52" i="36"/>
  <c r="I52" i="32"/>
  <c r="J52" i="34"/>
  <c r="I52" i="38"/>
  <c r="J52" i="30"/>
  <c r="I52" i="28"/>
  <c r="L55" i="77"/>
  <c r="J55" i="36"/>
  <c r="J55" i="32"/>
  <c r="BR68" i="67"/>
  <c r="K56" i="76"/>
  <c r="J56" i="75"/>
  <c r="I56" i="34"/>
  <c r="H56" i="38"/>
  <c r="H56" i="28"/>
  <c r="I56" i="30"/>
  <c r="CT60" i="67"/>
  <c r="G60" i="75"/>
  <c r="G60" i="76"/>
  <c r="E60" i="28"/>
  <c r="E60" i="30"/>
  <c r="CR60" i="67"/>
  <c r="CX61" i="67"/>
  <c r="G61" i="77"/>
  <c r="E61" i="32"/>
  <c r="CU62" i="67"/>
  <c r="CX63" i="67"/>
  <c r="G63" i="77"/>
  <c r="E63" i="32"/>
  <c r="BT111" i="67"/>
  <c r="L63" i="76"/>
  <c r="K63" i="77"/>
  <c r="K63" i="75"/>
  <c r="I63" i="36"/>
  <c r="J63" i="34"/>
  <c r="I63" i="38"/>
  <c r="I63" i="32"/>
  <c r="J63" i="30"/>
  <c r="I63" i="28"/>
  <c r="CT64" i="67"/>
  <c r="G64" i="76"/>
  <c r="G64" i="75"/>
  <c r="E64" i="30"/>
  <c r="E64" i="28"/>
  <c r="CZ65" i="67"/>
  <c r="CJ67" i="67"/>
  <c r="G67" i="77"/>
  <c r="E67" i="32"/>
  <c r="BT115" i="67"/>
  <c r="I115" i="36" s="1"/>
  <c r="Q115" i="36" s="1"/>
  <c r="K67" i="77"/>
  <c r="L67" i="76"/>
  <c r="K67" i="75"/>
  <c r="I67" i="36"/>
  <c r="J67" i="34"/>
  <c r="I67" i="32"/>
  <c r="I67" i="38"/>
  <c r="J67" i="30"/>
  <c r="I67" i="28"/>
  <c r="CF68" i="67"/>
  <c r="G68" i="76"/>
  <c r="G68" i="75"/>
  <c r="E68" i="30"/>
  <c r="E68" i="28"/>
  <c r="CM69" i="67"/>
  <c r="G70" i="77"/>
  <c r="E70" i="32"/>
  <c r="K70" i="77"/>
  <c r="L70" i="76"/>
  <c r="L124" i="76" s="1"/>
  <c r="T124" i="76" s="1"/>
  <c r="I70" i="36"/>
  <c r="K70" i="75"/>
  <c r="J70" i="34"/>
  <c r="I70" i="38"/>
  <c r="J70" i="30"/>
  <c r="I70" i="32"/>
  <c r="I70" i="28"/>
  <c r="L74" i="76"/>
  <c r="L128" i="76" s="1"/>
  <c r="T128" i="76" s="1"/>
  <c r="K74" i="77"/>
  <c r="K74" i="75"/>
  <c r="I74" i="36"/>
  <c r="I74" i="38"/>
  <c r="I122" i="38" s="1"/>
  <c r="J74" i="34"/>
  <c r="I74" i="32"/>
  <c r="J74" i="30"/>
  <c r="I74" i="28"/>
  <c r="L76" i="77"/>
  <c r="J76" i="36"/>
  <c r="J76" i="32"/>
  <c r="K77" i="77"/>
  <c r="K77" i="75"/>
  <c r="L77" i="76"/>
  <c r="L131" i="76" s="1"/>
  <c r="T131" i="76" s="1"/>
  <c r="I77" i="36"/>
  <c r="I77" i="38"/>
  <c r="I125" i="38" s="1"/>
  <c r="J77" i="34"/>
  <c r="I77" i="32"/>
  <c r="I77" i="28"/>
  <c r="J77" i="30"/>
  <c r="L79" i="77"/>
  <c r="J79" i="36"/>
  <c r="J79" i="32"/>
  <c r="I80" i="75"/>
  <c r="G80" i="38"/>
  <c r="G80" i="28"/>
  <c r="CC80" i="67"/>
  <c r="K88" i="75"/>
  <c r="K88" i="77"/>
  <c r="I88" i="36"/>
  <c r="L88" i="76"/>
  <c r="L142" i="76" s="1"/>
  <c r="T142" i="76" s="1"/>
  <c r="I88" i="38"/>
  <c r="I136" i="38" s="1"/>
  <c r="J88" i="34"/>
  <c r="J88" i="30"/>
  <c r="I88" i="32"/>
  <c r="I88" i="28"/>
  <c r="G89" i="75"/>
  <c r="G89" i="76"/>
  <c r="E89" i="30"/>
  <c r="E89" i="28"/>
  <c r="CU92" i="67"/>
  <c r="H92" i="77"/>
  <c r="H92" i="75"/>
  <c r="H92" i="76"/>
  <c r="F92" i="30"/>
  <c r="F92" i="32"/>
  <c r="F92" i="28"/>
  <c r="CS93" i="67"/>
  <c r="CO94" i="67"/>
  <c r="CJ96" i="67"/>
  <c r="I98" i="75"/>
  <c r="G98" i="38"/>
  <c r="G98" i="28"/>
  <c r="CG98" i="67"/>
  <c r="H98" i="77"/>
  <c r="H98" i="76"/>
  <c r="H98" i="75"/>
  <c r="F98" i="32"/>
  <c r="F98" i="30"/>
  <c r="F98" i="28"/>
  <c r="CU101" i="67"/>
  <c r="CJ102" i="67"/>
  <c r="DA105" i="67"/>
  <c r="CG110" i="67"/>
  <c r="H110" i="77"/>
  <c r="H110" i="76"/>
  <c r="H110" i="75"/>
  <c r="F110" i="32"/>
  <c r="N110" i="32" s="1"/>
  <c r="F110" i="30"/>
  <c r="N110" i="30" s="1"/>
  <c r="F110" i="28"/>
  <c r="M110" i="28" s="1"/>
  <c r="CJ7" i="67"/>
  <c r="G7" i="77"/>
  <c r="E7" i="32"/>
  <c r="I10" i="75"/>
  <c r="G10" i="38"/>
  <c r="G10" i="28"/>
  <c r="G11" i="77"/>
  <c r="E11" i="32"/>
  <c r="CF14" i="67"/>
  <c r="G14" i="75"/>
  <c r="G14" i="76"/>
  <c r="E14" i="30"/>
  <c r="E14" i="28"/>
  <c r="L17" i="77"/>
  <c r="J17" i="36"/>
  <c r="J17" i="32"/>
  <c r="G5" i="77"/>
  <c r="E5" i="32"/>
  <c r="H14" i="77"/>
  <c r="H14" i="75"/>
  <c r="H14" i="76"/>
  <c r="F14" i="32"/>
  <c r="F14" i="30"/>
  <c r="F14" i="28"/>
  <c r="L15" i="77"/>
  <c r="J15" i="36"/>
  <c r="J15" i="32"/>
  <c r="H18" i="77"/>
  <c r="H18" i="76"/>
  <c r="H18" i="75"/>
  <c r="F18" i="32"/>
  <c r="F18" i="30"/>
  <c r="F18" i="28"/>
  <c r="CJ29" i="67"/>
  <c r="G29" i="77"/>
  <c r="E29" i="32"/>
  <c r="CK2" i="67"/>
  <c r="CX3" i="67"/>
  <c r="G3" i="77"/>
  <c r="E3" i="32"/>
  <c r="L5" i="77"/>
  <c r="J5" i="36"/>
  <c r="J5" i="32"/>
  <c r="G8" i="76"/>
  <c r="G8" i="75"/>
  <c r="E8" i="30"/>
  <c r="E8" i="28"/>
  <c r="L9" i="77"/>
  <c r="J9" i="36"/>
  <c r="J9" i="32"/>
  <c r="CM13" i="67"/>
  <c r="CT16" i="67"/>
  <c r="G16" i="76"/>
  <c r="G16" i="75"/>
  <c r="E16" i="30"/>
  <c r="E16" i="28"/>
  <c r="CJ17" i="67"/>
  <c r="CT20" i="67"/>
  <c r="G20" i="76"/>
  <c r="G20" i="75"/>
  <c r="E20" i="30"/>
  <c r="E20" i="28"/>
  <c r="I26" i="75"/>
  <c r="G26" i="38"/>
  <c r="G26" i="28"/>
  <c r="I28" i="75"/>
  <c r="G28" i="38"/>
  <c r="G28" i="28"/>
  <c r="L29" i="77"/>
  <c r="J29" i="36"/>
  <c r="J29" i="32"/>
  <c r="L31" i="77"/>
  <c r="J31" i="36"/>
  <c r="J31" i="32"/>
  <c r="CU32" i="67"/>
  <c r="I37" i="75"/>
  <c r="G37" i="38"/>
  <c r="G37" i="28"/>
  <c r="CU39" i="67"/>
  <c r="CJ40" i="67"/>
  <c r="G40" i="77"/>
  <c r="E40" i="32"/>
  <c r="H41" i="77"/>
  <c r="H41" i="76"/>
  <c r="H41" i="75"/>
  <c r="F41" i="32"/>
  <c r="F41" i="30"/>
  <c r="F41" i="28"/>
  <c r="CU43" i="67"/>
  <c r="H43" i="76"/>
  <c r="H43" i="77"/>
  <c r="H43" i="75"/>
  <c r="F43" i="32"/>
  <c r="F43" i="28"/>
  <c r="F43" i="30"/>
  <c r="G46" i="76"/>
  <c r="G46" i="75"/>
  <c r="E46" i="30"/>
  <c r="E46" i="28"/>
  <c r="CJ49" i="67"/>
  <c r="H50" i="77"/>
  <c r="H50" i="76"/>
  <c r="H50" i="75"/>
  <c r="F50" i="32"/>
  <c r="F50" i="28"/>
  <c r="F50" i="30"/>
  <c r="CZ50" i="67"/>
  <c r="BZ52" i="67"/>
  <c r="CF53" i="67"/>
  <c r="G53" i="76"/>
  <c r="G53" i="75"/>
  <c r="E53" i="28"/>
  <c r="E53" i="30"/>
  <c r="CT53" i="67"/>
  <c r="CX54" i="67"/>
  <c r="G54" i="77"/>
  <c r="E54" i="32"/>
  <c r="BT104" i="67"/>
  <c r="K56" i="75"/>
  <c r="L56" i="76"/>
  <c r="K56" i="77"/>
  <c r="I56" i="36"/>
  <c r="J56" i="34"/>
  <c r="I56" i="38"/>
  <c r="I56" i="32"/>
  <c r="I56" i="28"/>
  <c r="J56" i="30"/>
  <c r="L58" i="77"/>
  <c r="J58" i="36"/>
  <c r="J58" i="32"/>
  <c r="BR71" i="67"/>
  <c r="K59" i="76"/>
  <c r="J59" i="75"/>
  <c r="H59" i="38"/>
  <c r="I59" i="34"/>
  <c r="I59" i="30"/>
  <c r="H59" i="28"/>
  <c r="CU60" i="67"/>
  <c r="H60" i="77"/>
  <c r="H60" i="76"/>
  <c r="H60" i="75"/>
  <c r="F60" i="32"/>
  <c r="F60" i="28"/>
  <c r="F60" i="30"/>
  <c r="CW60" i="67"/>
  <c r="DA62" i="67"/>
  <c r="CG64" i="67"/>
  <c r="H64" i="76"/>
  <c r="H64" i="77"/>
  <c r="H64" i="75"/>
  <c r="F64" i="32"/>
  <c r="F64" i="28"/>
  <c r="F64" i="30"/>
  <c r="L66" i="77"/>
  <c r="J66" i="36"/>
  <c r="J66" i="32"/>
  <c r="CO66" i="67"/>
  <c r="CB67" i="67"/>
  <c r="CG68" i="67"/>
  <c r="H68" i="77"/>
  <c r="H68" i="75"/>
  <c r="H68" i="76"/>
  <c r="F68" i="32"/>
  <c r="F68" i="30"/>
  <c r="F68" i="28"/>
  <c r="G71" i="76"/>
  <c r="G71" i="75"/>
  <c r="E71" i="30"/>
  <c r="E71" i="28"/>
  <c r="G72" i="76"/>
  <c r="G72" i="75"/>
  <c r="E72" i="30"/>
  <c r="E72" i="28"/>
  <c r="I74" i="75"/>
  <c r="G74" i="38"/>
  <c r="G74" i="28"/>
  <c r="CT75" i="67"/>
  <c r="G75" i="75"/>
  <c r="G75" i="76"/>
  <c r="E75" i="30"/>
  <c r="E75" i="28"/>
  <c r="CI80" i="67"/>
  <c r="G81" i="77"/>
  <c r="E81" i="32"/>
  <c r="L82" i="76"/>
  <c r="L136" i="76" s="1"/>
  <c r="T136" i="76" s="1"/>
  <c r="K82" i="77"/>
  <c r="K82" i="75"/>
  <c r="I82" i="36"/>
  <c r="I82" i="38"/>
  <c r="I130" i="38" s="1"/>
  <c r="J82" i="34"/>
  <c r="I82" i="32"/>
  <c r="J82" i="30"/>
  <c r="I82" i="28"/>
  <c r="CG84" i="67"/>
  <c r="K86" i="77"/>
  <c r="L86" i="76"/>
  <c r="L140" i="76" s="1"/>
  <c r="T140" i="76" s="1"/>
  <c r="K86" i="75"/>
  <c r="I86" i="36"/>
  <c r="J86" i="34"/>
  <c r="I86" i="38"/>
  <c r="I134" i="38" s="1"/>
  <c r="J86" i="30"/>
  <c r="I86" i="32"/>
  <c r="I86" i="28"/>
  <c r="CT87" i="67"/>
  <c r="G87" i="76"/>
  <c r="G87" i="75"/>
  <c r="E87" i="30"/>
  <c r="E87" i="28"/>
  <c r="BZ88" i="67"/>
  <c r="H89" i="77"/>
  <c r="H89" i="76"/>
  <c r="H89" i="75"/>
  <c r="F89" i="32"/>
  <c r="F89" i="28"/>
  <c r="F89" i="30"/>
  <c r="CM90" i="67"/>
  <c r="I96" i="75"/>
  <c r="G96" i="38"/>
  <c r="G96" i="28"/>
  <c r="G99" i="77"/>
  <c r="E99" i="32"/>
  <c r="CC107" i="67"/>
  <c r="CJ108" i="67"/>
  <c r="I111" i="75"/>
  <c r="G111" i="38"/>
  <c r="G111" i="28"/>
  <c r="CJ111" i="67"/>
  <c r="G111" i="77"/>
  <c r="E111" i="32"/>
  <c r="M111" i="32" s="1"/>
  <c r="CF113" i="67"/>
  <c r="CG114" i="67"/>
  <c r="CM115" i="67"/>
  <c r="AA105" i="67"/>
  <c r="V167" i="65"/>
  <c r="Z100" i="67"/>
  <c r="U162" i="65"/>
  <c r="Z84" i="67"/>
  <c r="U146" i="65"/>
  <c r="AB78" i="67"/>
  <c r="W140" i="65"/>
  <c r="AB2" i="67"/>
  <c r="W64" i="65"/>
  <c r="U54" i="65"/>
  <c r="Z29" i="67"/>
  <c r="U91" i="65"/>
  <c r="AA115" i="67"/>
  <c r="V177" i="65"/>
  <c r="Z46" i="67"/>
  <c r="AA13" i="67"/>
  <c r="V75" i="65"/>
  <c r="AA18" i="67"/>
  <c r="V80" i="65"/>
  <c r="Z35" i="67"/>
  <c r="Z57" i="67"/>
  <c r="AA89" i="67"/>
  <c r="V21" i="65"/>
  <c r="U16" i="65"/>
  <c r="W10" i="65"/>
  <c r="Z34" i="67"/>
  <c r="U96" i="65"/>
  <c r="W90" i="65"/>
  <c r="AA23" i="67"/>
  <c r="V85" i="65"/>
  <c r="U80" i="65"/>
  <c r="AB12" i="67"/>
  <c r="W74" i="65"/>
  <c r="V69" i="65"/>
  <c r="Z2" i="67"/>
  <c r="U64" i="65"/>
  <c r="W58" i="65"/>
  <c r="V53" i="65"/>
  <c r="U48" i="65"/>
  <c r="W42" i="65"/>
  <c r="V37" i="65"/>
  <c r="U32" i="65"/>
  <c r="W26" i="65"/>
  <c r="V182" i="65"/>
  <c r="Z115" i="67"/>
  <c r="U177" i="65"/>
  <c r="AB109" i="67"/>
  <c r="W171" i="65"/>
  <c r="AA104" i="67"/>
  <c r="V166" i="65"/>
  <c r="U161" i="65"/>
  <c r="W155" i="65"/>
  <c r="V150" i="65"/>
  <c r="U145" i="65"/>
  <c r="W139" i="65"/>
  <c r="V102" i="65"/>
  <c r="U186" i="65"/>
  <c r="AB34" i="67"/>
  <c r="W96" i="65"/>
  <c r="AA34" i="67"/>
  <c r="V96" i="65"/>
  <c r="W53" i="65"/>
  <c r="AA24" i="67"/>
  <c r="AA57" i="67"/>
  <c r="U21" i="65"/>
  <c r="W15" i="65"/>
  <c r="V10" i="65"/>
  <c r="W95" i="65"/>
  <c r="V90" i="65"/>
  <c r="U85" i="65"/>
  <c r="AB17" i="67"/>
  <c r="W79" i="65"/>
  <c r="V74" i="65"/>
  <c r="U69" i="65"/>
  <c r="W63" i="65"/>
  <c r="V58" i="65"/>
  <c r="U53" i="65"/>
  <c r="AB114" i="67"/>
  <c r="W176" i="65"/>
  <c r="AA109" i="67"/>
  <c r="V171" i="65"/>
  <c r="Z104" i="67"/>
  <c r="U166" i="65"/>
  <c r="AB98" i="67"/>
  <c r="W160" i="65"/>
  <c r="U102" i="65"/>
  <c r="W185" i="65"/>
  <c r="AA99" i="67"/>
  <c r="V161" i="65"/>
  <c r="W20" i="65"/>
  <c r="V15" i="65"/>
  <c r="U10" i="65"/>
  <c r="AB38" i="67"/>
  <c r="W100" i="65"/>
  <c r="V95" i="65"/>
  <c r="U90" i="65"/>
  <c r="AB22" i="67"/>
  <c r="W84" i="65"/>
  <c r="AA17" i="67"/>
  <c r="V79" i="65"/>
  <c r="U74" i="65"/>
  <c r="W68" i="65"/>
  <c r="V63" i="65"/>
  <c r="AB103" i="67"/>
  <c r="W165" i="65"/>
  <c r="W101" i="65"/>
  <c r="V185" i="65"/>
  <c r="V59" i="65"/>
  <c r="AA110" i="67"/>
  <c r="V172" i="65"/>
  <c r="AB7" i="67"/>
  <c r="W69" i="65"/>
  <c r="V186" i="65"/>
  <c r="W25" i="65"/>
  <c r="V101" i="65"/>
  <c r="U185" i="65"/>
  <c r="Z8" i="67"/>
  <c r="U70" i="65"/>
  <c r="Z3" i="67"/>
  <c r="Z89" i="67"/>
  <c r="AB115" i="67"/>
  <c r="Z13" i="67"/>
  <c r="U75" i="65"/>
  <c r="AB104" i="67"/>
  <c r="W166" i="65"/>
  <c r="AB29" i="67"/>
  <c r="Z52" i="67"/>
  <c r="AA67" i="67"/>
  <c r="U20" i="65"/>
  <c r="W14" i="65"/>
  <c r="V9" i="65"/>
  <c r="U100" i="65"/>
  <c r="W94" i="65"/>
  <c r="V89" i="65"/>
  <c r="U84" i="65"/>
  <c r="W78" i="65"/>
  <c r="V73" i="65"/>
  <c r="U68" i="65"/>
  <c r="W62" i="65"/>
  <c r="V57" i="65"/>
  <c r="U52" i="65"/>
  <c r="W46" i="65"/>
  <c r="V41" i="65"/>
  <c r="U36" i="65"/>
  <c r="W30" i="65"/>
  <c r="V25" i="65"/>
  <c r="U181" i="65"/>
  <c r="W175" i="65"/>
  <c r="V170" i="65"/>
  <c r="U165" i="65"/>
  <c r="W159" i="65"/>
  <c r="V154" i="65"/>
  <c r="U149" i="65"/>
  <c r="W143" i="65"/>
  <c r="V138" i="65"/>
  <c r="U133" i="65"/>
  <c r="W127" i="65"/>
  <c r="V122" i="65"/>
  <c r="U117" i="65"/>
  <c r="W111" i="65"/>
  <c r="V106" i="65"/>
  <c r="U101" i="65"/>
  <c r="W184" i="65"/>
  <c r="AA8" i="67"/>
  <c r="AB67" i="67"/>
  <c r="W19" i="65"/>
  <c r="V14" i="65"/>
  <c r="U9" i="65"/>
  <c r="W99" i="65"/>
  <c r="V94" i="65"/>
  <c r="U89" i="65"/>
  <c r="W83" i="65"/>
  <c r="V78" i="65"/>
  <c r="U73" i="65"/>
  <c r="W67" i="65"/>
  <c r="V62" i="65"/>
  <c r="U57" i="65"/>
  <c r="W51" i="65"/>
  <c r="V46" i="65"/>
  <c r="U41" i="65"/>
  <c r="W35" i="65"/>
  <c r="V30" i="65"/>
  <c r="U25" i="65"/>
  <c r="W180" i="65"/>
  <c r="AA113" i="67"/>
  <c r="V175" i="65"/>
  <c r="Z108" i="67"/>
  <c r="U170" i="65"/>
  <c r="AB102" i="67"/>
  <c r="W164" i="65"/>
  <c r="AA97" i="67"/>
  <c r="V159" i="65"/>
  <c r="Z92" i="67"/>
  <c r="U154" i="65"/>
  <c r="AB86" i="67"/>
  <c r="W148" i="65"/>
  <c r="AA81" i="67"/>
  <c r="V143" i="65"/>
  <c r="Z76" i="67"/>
  <c r="U138" i="65"/>
  <c r="AB70" i="67"/>
  <c r="W132" i="65"/>
  <c r="AA65" i="67"/>
  <c r="V127" i="65"/>
  <c r="Z60" i="67"/>
  <c r="U122" i="65"/>
  <c r="AB54" i="67"/>
  <c r="W116" i="65"/>
  <c r="AA49" i="67"/>
  <c r="V111" i="65"/>
  <c r="Z44" i="67"/>
  <c r="U106" i="65"/>
  <c r="W189" i="65"/>
  <c r="V184" i="65"/>
  <c r="AB23" i="67"/>
  <c r="W85" i="65"/>
  <c r="V19" i="65"/>
  <c r="U14" i="65"/>
  <c r="W8" i="65"/>
  <c r="V99" i="65"/>
  <c r="U94" i="65"/>
  <c r="W88" i="65"/>
  <c r="V83" i="65"/>
  <c r="U78" i="65"/>
  <c r="W72" i="65"/>
  <c r="V67" i="65"/>
  <c r="U62" i="65"/>
  <c r="W56" i="65"/>
  <c r="V51" i="65"/>
  <c r="U46" i="65"/>
  <c r="W40" i="65"/>
  <c r="V35" i="65"/>
  <c r="U30" i="65"/>
  <c r="W24" i="65"/>
  <c r="V180" i="65"/>
  <c r="U175" i="65"/>
  <c r="W169" i="65"/>
  <c r="V164" i="65"/>
  <c r="U159" i="65"/>
  <c r="W153" i="65"/>
  <c r="V148" i="65"/>
  <c r="U143" i="65"/>
  <c r="W137" i="65"/>
  <c r="V132" i="65"/>
  <c r="U127" i="65"/>
  <c r="W121" i="65"/>
  <c r="V116" i="65"/>
  <c r="U111" i="65"/>
  <c r="W105" i="65"/>
  <c r="V189" i="65"/>
  <c r="U184" i="65"/>
  <c r="AB88" i="67"/>
  <c r="V24" i="65"/>
  <c r="Z24" i="67"/>
  <c r="U86" i="65"/>
  <c r="AA2" i="67"/>
  <c r="V64" i="65"/>
  <c r="AB40" i="67"/>
  <c r="AB56" i="67"/>
  <c r="Z68" i="67"/>
  <c r="Z110" i="67"/>
  <c r="U40" i="65"/>
  <c r="W34" i="65"/>
  <c r="V29" i="65"/>
  <c r="U24" i="65"/>
  <c r="W179" i="65"/>
  <c r="V174" i="65"/>
  <c r="AB18" i="67"/>
  <c r="W80" i="65"/>
  <c r="U59" i="65"/>
  <c r="AA51" i="67"/>
  <c r="AB110" i="67"/>
  <c r="W7" i="65"/>
  <c r="W23" i="65"/>
  <c r="AB13" i="67"/>
  <c r="AB51" i="67"/>
  <c r="Z62" i="67"/>
  <c r="Z94" i="67"/>
  <c r="V7" i="65"/>
  <c r="V23" i="65"/>
  <c r="AA29" i="67"/>
  <c r="V91" i="65"/>
  <c r="AB99" i="67"/>
  <c r="W161" i="65"/>
  <c r="Z41" i="67"/>
  <c r="AA62" i="67"/>
  <c r="AA83" i="67"/>
  <c r="AA94" i="67"/>
  <c r="U7" i="65"/>
  <c r="U23" i="65"/>
  <c r="AB100" i="67"/>
  <c r="W162" i="65"/>
  <c r="AA95" i="67"/>
  <c r="V157" i="65"/>
  <c r="AB84" i="67"/>
  <c r="W146" i="65"/>
  <c r="Z19" i="67"/>
  <c r="AA41" i="67"/>
  <c r="AB62" i="67"/>
  <c r="AB72" i="67"/>
  <c r="Z73" i="67"/>
  <c r="AB83" i="67"/>
  <c r="AB94" i="67"/>
  <c r="W22" i="65"/>
  <c r="V17" i="65"/>
  <c r="V97" i="65"/>
  <c r="U92" i="65"/>
  <c r="W86" i="65"/>
  <c r="V81" i="65"/>
  <c r="U76" i="65"/>
  <c r="W70" i="65"/>
  <c r="V65" i="65"/>
  <c r="U60" i="65"/>
  <c r="W54" i="65"/>
  <c r="V49" i="65"/>
  <c r="U44" i="65"/>
  <c r="W38" i="65"/>
  <c r="V33" i="65"/>
  <c r="U28" i="65"/>
  <c r="W183" i="65"/>
  <c r="AA100" i="67"/>
  <c r="V162" i="65"/>
  <c r="W103" i="65"/>
  <c r="J56" i="69"/>
  <c r="K56" i="69" s="1"/>
  <c r="L56" i="69" s="1"/>
  <c r="M56" i="69" s="1"/>
  <c r="N56" i="69" s="1"/>
  <c r="O56" i="69" s="1"/>
  <c r="P56" i="69" s="1"/>
  <c r="Q56" i="69" s="1"/>
  <c r="R56" i="69" s="1"/>
  <c r="S56" i="69" s="1"/>
  <c r="T56" i="69" s="1"/>
  <c r="U56" i="69" s="1"/>
  <c r="V56" i="69" s="1"/>
  <c r="W56" i="69" s="1"/>
  <c r="X56" i="69" s="1"/>
  <c r="Y56" i="69" s="1"/>
  <c r="Z56" i="69" s="1"/>
  <c r="AA56" i="69" s="1"/>
  <c r="DA2" i="67"/>
  <c r="CC6" i="67"/>
  <c r="CA14" i="67"/>
  <c r="CT17" i="67"/>
  <c r="CQ22" i="67"/>
  <c r="CM23" i="67"/>
  <c r="CC24" i="67"/>
  <c r="DA25" i="67"/>
  <c r="BZ28" i="67"/>
  <c r="CQ30" i="67"/>
  <c r="CB35" i="67"/>
  <c r="CM36" i="67"/>
  <c r="BZ46" i="67"/>
  <c r="CN46" i="67"/>
  <c r="CL46" i="67"/>
  <c r="CA48" i="67"/>
  <c r="CE51" i="67"/>
  <c r="CH55" i="67"/>
  <c r="CM63" i="67"/>
  <c r="DA63" i="67"/>
  <c r="CW70" i="67"/>
  <c r="CI70" i="67"/>
  <c r="CJ72" i="67"/>
  <c r="CX72" i="67"/>
  <c r="CN81" i="67"/>
  <c r="BZ81" i="67"/>
  <c r="CM88" i="67"/>
  <c r="DA88" i="67"/>
  <c r="CH108" i="67"/>
  <c r="CV108" i="67"/>
  <c r="CL110" i="67"/>
  <c r="CZ110" i="67"/>
  <c r="CZ3" i="67"/>
  <c r="CD6" i="67"/>
  <c r="CX8" i="67"/>
  <c r="CV9" i="67"/>
  <c r="CH11" i="67"/>
  <c r="CP13" i="67"/>
  <c r="CP18" i="67"/>
  <c r="CS22" i="67"/>
  <c r="CL27" i="67"/>
  <c r="CA28" i="67"/>
  <c r="CX29" i="67"/>
  <c r="CR30" i="67"/>
  <c r="CK31" i="67"/>
  <c r="CJ33" i="67"/>
  <c r="CH34" i="67"/>
  <c r="CN36" i="67"/>
  <c r="CY44" i="67"/>
  <c r="CF51" i="67"/>
  <c r="CK54" i="67"/>
  <c r="CY54" i="67"/>
  <c r="CV57" i="67"/>
  <c r="CE58" i="67"/>
  <c r="CQ59" i="67"/>
  <c r="CV60" i="67"/>
  <c r="CQ61" i="67"/>
  <c r="CJ63" i="67"/>
  <c r="CL85" i="67"/>
  <c r="CC103" i="67"/>
  <c r="CQ103" i="67"/>
  <c r="CK106" i="67"/>
  <c r="CG58" i="67"/>
  <c r="CU58" i="67"/>
  <c r="CD77" i="67"/>
  <c r="CR77" i="67"/>
  <c r="CP81" i="67"/>
  <c r="CB81" i="67"/>
  <c r="CE86" i="67"/>
  <c r="CS86" i="67"/>
  <c r="CT93" i="67"/>
  <c r="CF93" i="67"/>
  <c r="CA95" i="67"/>
  <c r="CO95" i="67"/>
  <c r="CU10" i="67"/>
  <c r="CR31" i="67"/>
  <c r="CU93" i="67"/>
  <c r="CG93" i="67"/>
  <c r="CF7" i="67"/>
  <c r="CV10" i="67"/>
  <c r="CS13" i="67"/>
  <c r="DA17" i="67"/>
  <c r="CF20" i="67"/>
  <c r="BZ21" i="67"/>
  <c r="CY22" i="67"/>
  <c r="CD25" i="67"/>
  <c r="CV30" i="67"/>
  <c r="CS31" i="67"/>
  <c r="CO33" i="67"/>
  <c r="CM35" i="67"/>
  <c r="CC43" i="67"/>
  <c r="CQ43" i="67"/>
  <c r="CN43" i="67"/>
  <c r="CZ45" i="67"/>
  <c r="CL45" i="67"/>
  <c r="CY50" i="67"/>
  <c r="CA53" i="67"/>
  <c r="CO53" i="67"/>
  <c r="DA56" i="67"/>
  <c r="CQ58" i="67"/>
  <c r="CX60" i="67"/>
  <c r="CJ60" i="67"/>
  <c r="CC62" i="67"/>
  <c r="CY63" i="67"/>
  <c r="CQ65" i="67"/>
  <c r="CF69" i="67"/>
  <c r="DA72" i="67"/>
  <c r="CF77" i="67"/>
  <c r="CT77" i="67"/>
  <c r="CH82" i="67"/>
  <c r="CV82" i="67"/>
  <c r="CX9" i="67"/>
  <c r="BZ67" i="67"/>
  <c r="CN67" i="67"/>
  <c r="CX87" i="67"/>
  <c r="CJ87" i="67"/>
  <c r="CD2" i="67"/>
  <c r="CC3" i="67"/>
  <c r="CZ5" i="67"/>
  <c r="CM6" i="67"/>
  <c r="CH7" i="67"/>
  <c r="CF16" i="67"/>
  <c r="CI20" i="67"/>
  <c r="CZ23" i="67"/>
  <c r="CN24" i="67"/>
  <c r="CF25" i="67"/>
  <c r="CT27" i="67"/>
  <c r="CI28" i="67"/>
  <c r="CW30" i="67"/>
  <c r="CY32" i="67"/>
  <c r="CS33" i="67"/>
  <c r="CE33" i="67"/>
  <c r="CP33" i="67"/>
  <c r="DA39" i="67"/>
  <c r="CO42" i="67"/>
  <c r="DA45" i="67"/>
  <c r="CM45" i="67"/>
  <c r="CY47" i="67"/>
  <c r="CK47" i="67"/>
  <c r="CN51" i="67"/>
  <c r="CB53" i="67"/>
  <c r="CJ58" i="67"/>
  <c r="CX58" i="67"/>
  <c r="CY60" i="67"/>
  <c r="CK60" i="67"/>
  <c r="CT65" i="67"/>
  <c r="CT66" i="67"/>
  <c r="CF66" i="67"/>
  <c r="CW67" i="67"/>
  <c r="CL74" i="67"/>
  <c r="CT85" i="67"/>
  <c r="CF85" i="67"/>
  <c r="CN91" i="67"/>
  <c r="BZ91" i="67"/>
  <c r="CF91" i="67"/>
  <c r="CX92" i="67"/>
  <c r="CW97" i="67"/>
  <c r="CI97" i="67"/>
  <c r="CU107" i="67"/>
  <c r="CG107" i="67"/>
  <c r="CZ17" i="67"/>
  <c r="CE2" i="67"/>
  <c r="CD3" i="67"/>
  <c r="DA5" i="67"/>
  <c r="CP6" i="67"/>
  <c r="CE8" i="67"/>
  <c r="CT11" i="67"/>
  <c r="CK12" i="67"/>
  <c r="CG15" i="67"/>
  <c r="CG16" i="67"/>
  <c r="CC17" i="67"/>
  <c r="CZ18" i="67"/>
  <c r="CN19" i="67"/>
  <c r="CK20" i="67"/>
  <c r="CK28" i="67"/>
  <c r="CE29" i="67"/>
  <c r="CZ32" i="67"/>
  <c r="CQ34" i="67"/>
  <c r="CE35" i="67"/>
  <c r="CS35" i="67"/>
  <c r="CM41" i="67"/>
  <c r="CD42" i="67"/>
  <c r="CR42" i="67"/>
  <c r="CP42" i="67"/>
  <c r="DA50" i="67"/>
  <c r="CI51" i="67"/>
  <c r="CW51" i="67"/>
  <c r="CI52" i="67"/>
  <c r="CC53" i="67"/>
  <c r="CQ53" i="67"/>
  <c r="CU55" i="67"/>
  <c r="CK58" i="67"/>
  <c r="CY58" i="67"/>
  <c r="CF62" i="67"/>
  <c r="CX67" i="67"/>
  <c r="CI69" i="67"/>
  <c r="CS71" i="67"/>
  <c r="CE71" i="67"/>
  <c r="CA80" i="67"/>
  <c r="CO80" i="67"/>
  <c r="CG85" i="67"/>
  <c r="CU85" i="67"/>
  <c r="CE112" i="67"/>
  <c r="CS112" i="67"/>
  <c r="CN114" i="67"/>
  <c r="BZ114" i="67"/>
  <c r="CG82" i="67"/>
  <c r="CU82" i="67"/>
  <c r="CF2" i="67"/>
  <c r="CE3" i="67"/>
  <c r="CB4" i="67"/>
  <c r="CL7" i="67"/>
  <c r="CG8" i="67"/>
  <c r="CD9" i="67"/>
  <c r="CU11" i="67"/>
  <c r="CL12" i="67"/>
  <c r="CH15" i="67"/>
  <c r="CJ16" i="67"/>
  <c r="CO19" i="67"/>
  <c r="CL20" i="67"/>
  <c r="CV27" i="67"/>
  <c r="CF29" i="67"/>
  <c r="DA30" i="67"/>
  <c r="DA32" i="67"/>
  <c r="CQ42" i="67"/>
  <c r="CI45" i="67"/>
  <c r="CM47" i="67"/>
  <c r="DA47" i="67"/>
  <c r="CJ52" i="67"/>
  <c r="BZ64" i="67"/>
  <c r="DA67" i="67"/>
  <c r="CV70" i="67"/>
  <c r="CT71" i="67"/>
  <c r="CF71" i="67"/>
  <c r="CW84" i="67"/>
  <c r="CV85" i="67"/>
  <c r="CH85" i="67"/>
  <c r="CK97" i="67"/>
  <c r="CY97" i="67"/>
  <c r="CI98" i="67"/>
  <c r="CE101" i="67"/>
  <c r="CN102" i="67"/>
  <c r="CR96" i="67"/>
  <c r="CD96" i="67"/>
  <c r="CA99" i="67"/>
  <c r="CO99" i="67"/>
  <c r="CI47" i="67"/>
  <c r="CW47" i="67"/>
  <c r="BZ84" i="67"/>
  <c r="CN84" i="67"/>
  <c r="CP92" i="67"/>
  <c r="CB92" i="67"/>
  <c r="CH2" i="67"/>
  <c r="CF3" i="67"/>
  <c r="CB5" i="67"/>
  <c r="CH8" i="67"/>
  <c r="CF9" i="67"/>
  <c r="CK15" i="67"/>
  <c r="CM16" i="67"/>
  <c r="CM20" i="67"/>
  <c r="CK21" i="67"/>
  <c r="CT24" i="67"/>
  <c r="CL25" i="67"/>
  <c r="CH29" i="67"/>
  <c r="BZ30" i="67"/>
  <c r="CU34" i="67"/>
  <c r="CG34" i="67"/>
  <c r="CX34" i="67"/>
  <c r="CV38" i="67"/>
  <c r="CS41" i="67"/>
  <c r="BZ45" i="67"/>
  <c r="CN45" i="67"/>
  <c r="CV46" i="67"/>
  <c r="CH46" i="67"/>
  <c r="CK52" i="67"/>
  <c r="CS53" i="67"/>
  <c r="CE53" i="67"/>
  <c r="CN62" i="67"/>
  <c r="BZ62" i="67"/>
  <c r="CL64" i="67"/>
  <c r="CZ64" i="67"/>
  <c r="CY70" i="67"/>
  <c r="CU71" i="67"/>
  <c r="CG71" i="67"/>
  <c r="CT74" i="67"/>
  <c r="CF74" i="67"/>
  <c r="CI75" i="67"/>
  <c r="CW75" i="67"/>
  <c r="CX77" i="67"/>
  <c r="CJ77" i="67"/>
  <c r="CJ79" i="67"/>
  <c r="CZ82" i="67"/>
  <c r="CL82" i="67"/>
  <c r="CA83" i="67"/>
  <c r="CO83" i="67"/>
  <c r="CE83" i="67"/>
  <c r="CS88" i="67"/>
  <c r="CE88" i="67"/>
  <c r="BZ90" i="67"/>
  <c r="CN90" i="67"/>
  <c r="BZ108" i="67"/>
  <c r="CN108" i="67"/>
  <c r="CA43" i="67"/>
  <c r="CO43" i="67"/>
  <c r="CZ105" i="67"/>
  <c r="CL105" i="67"/>
  <c r="CG3" i="67"/>
  <c r="CI4" i="67"/>
  <c r="CC5" i="67"/>
  <c r="BZ10" i="67"/>
  <c r="BZ13" i="67"/>
  <c r="CI17" i="67"/>
  <c r="CL21" i="67"/>
  <c r="CD22" i="67"/>
  <c r="BZ26" i="67"/>
  <c r="DA27" i="67"/>
  <c r="CB30" i="67"/>
  <c r="DA33" i="67"/>
  <c r="CY36" i="67"/>
  <c r="CK36" i="67"/>
  <c r="CA37" i="67"/>
  <c r="CU42" i="67"/>
  <c r="CG42" i="67"/>
  <c r="CX45" i="67"/>
  <c r="CE54" i="67"/>
  <c r="CZ59" i="67"/>
  <c r="CL59" i="67"/>
  <c r="CY68" i="67"/>
  <c r="CK68" i="67"/>
  <c r="CN69" i="67"/>
  <c r="BZ69" i="67"/>
  <c r="CZ70" i="67"/>
  <c r="CU74" i="67"/>
  <c r="CG74" i="67"/>
  <c r="DA76" i="67"/>
  <c r="CM76" i="67"/>
  <c r="CA78" i="67"/>
  <c r="CK79" i="67"/>
  <c r="CG83" i="67"/>
  <c r="CM93" i="67"/>
  <c r="DA93" i="67"/>
  <c r="CH99" i="67"/>
  <c r="CV99" i="67"/>
  <c r="BZ100" i="67"/>
  <c r="CA104" i="67"/>
  <c r="CW109" i="67"/>
  <c r="CI109" i="67"/>
  <c r="CJ3" i="67"/>
  <c r="CS7" i="67"/>
  <c r="CC10" i="67"/>
  <c r="CS12" i="67"/>
  <c r="BZ18" i="67"/>
  <c r="CV19" i="67"/>
  <c r="CW24" i="67"/>
  <c r="CB26" i="67"/>
  <c r="CZ31" i="67"/>
  <c r="CL31" i="67"/>
  <c r="CW34" i="67"/>
  <c r="CI34" i="67"/>
  <c r="CX41" i="67"/>
  <c r="CY45" i="67"/>
  <c r="CH52" i="67"/>
  <c r="CV52" i="67"/>
  <c r="CF54" i="67"/>
  <c r="DA59" i="67"/>
  <c r="CM59" i="67"/>
  <c r="CS69" i="67"/>
  <c r="CH74" i="67"/>
  <c r="CV74" i="67"/>
  <c r="CK75" i="67"/>
  <c r="CY75" i="67"/>
  <c r="CC78" i="67"/>
  <c r="CJ81" i="67"/>
  <c r="CX81" i="67"/>
  <c r="DA86" i="67"/>
  <c r="CM86" i="67"/>
  <c r="CU88" i="67"/>
  <c r="CG88" i="67"/>
  <c r="CU102" i="67"/>
  <c r="CG102" i="67"/>
  <c r="CT105" i="67"/>
  <c r="CS25" i="67"/>
  <c r="BZ37" i="67"/>
  <c r="CN37" i="67"/>
  <c r="CN55" i="67"/>
  <c r="BZ55" i="67"/>
  <c r="CP69" i="67"/>
  <c r="CB69" i="67"/>
  <c r="BZ73" i="67"/>
  <c r="CN73" i="67"/>
  <c r="CI74" i="67"/>
  <c r="CW74" i="67"/>
  <c r="DA103" i="67"/>
  <c r="CM103" i="67"/>
  <c r="CY109" i="67"/>
  <c r="CK109" i="67"/>
  <c r="CH5" i="67"/>
  <c r="BZ56" i="67"/>
  <c r="CN56" i="67"/>
  <c r="CQ69" i="67"/>
  <c r="CC69" i="67"/>
  <c r="CU4" i="67"/>
  <c r="CZ6" i="67"/>
  <c r="BZ32" i="67"/>
  <c r="CN32" i="67"/>
  <c r="CV37" i="67"/>
  <c r="CS40" i="67"/>
  <c r="CU41" i="67"/>
  <c r="CG41" i="67"/>
  <c r="DA46" i="67"/>
  <c r="CM46" i="67"/>
  <c r="CA50" i="67"/>
  <c r="CO50" i="67"/>
  <c r="CE62" i="67"/>
  <c r="CS62" i="67"/>
  <c r="CR69" i="67"/>
  <c r="CD69" i="67"/>
  <c r="CX71" i="67"/>
  <c r="CG72" i="67"/>
  <c r="CU72" i="67"/>
  <c r="CW87" i="67"/>
  <c r="CV91" i="67"/>
  <c r="CH91" i="67"/>
  <c r="CZ92" i="67"/>
  <c r="CL92" i="67"/>
  <c r="CU105" i="67"/>
  <c r="CG105" i="67"/>
  <c r="CA6" i="67"/>
  <c r="CQ9" i="67"/>
  <c r="CB11" i="67"/>
  <c r="CX20" i="67"/>
  <c r="CX28" i="67"/>
  <c r="CW38" i="67"/>
  <c r="CI38" i="67"/>
  <c r="CT40" i="67"/>
  <c r="CV41" i="67"/>
  <c r="CH41" i="67"/>
  <c r="BZ44" i="67"/>
  <c r="CN44" i="67"/>
  <c r="CA56" i="67"/>
  <c r="CB58" i="67"/>
  <c r="CF61" i="67"/>
  <c r="CT61" i="67"/>
  <c r="CK61" i="67"/>
  <c r="CY67" i="67"/>
  <c r="CK67" i="67"/>
  <c r="CS68" i="67"/>
  <c r="CD75" i="67"/>
  <c r="CI79" i="67"/>
  <c r="CW79" i="67"/>
  <c r="CN89" i="67"/>
  <c r="BZ89" i="67"/>
  <c r="CS98" i="67"/>
  <c r="CE98" i="67"/>
  <c r="CC113" i="67"/>
  <c r="CQ113" i="67"/>
  <c r="CW2" i="67"/>
  <c r="CO10" i="67"/>
  <c r="CZ15" i="67"/>
  <c r="DA21" i="67"/>
  <c r="CP22" i="67"/>
  <c r="CB24" i="67"/>
  <c r="BZ35" i="67"/>
  <c r="CA36" i="67"/>
  <c r="CO36" i="67"/>
  <c r="CX38" i="67"/>
  <c r="CJ38" i="67"/>
  <c r="CP40" i="67"/>
  <c r="CB40" i="67"/>
  <c r="CG45" i="67"/>
  <c r="CU45" i="67"/>
  <c r="CI46" i="67"/>
  <c r="CM48" i="67"/>
  <c r="DA48" i="67"/>
  <c r="CD50" i="67"/>
  <c r="CC56" i="67"/>
  <c r="CQ56" i="67"/>
  <c r="CB56" i="67"/>
  <c r="BZ59" i="67"/>
  <c r="CG61" i="67"/>
  <c r="CU61" i="67"/>
  <c r="CZ67" i="67"/>
  <c r="CL67" i="67"/>
  <c r="CQ76" i="67"/>
  <c r="CC76" i="67"/>
  <c r="CF82" i="67"/>
  <c r="CA89" i="67"/>
  <c r="CO89" i="67"/>
  <c r="CN72" i="67"/>
  <c r="CP102" i="67"/>
  <c r="CK53" i="67"/>
  <c r="CZ79" i="67"/>
  <c r="CW91" i="67"/>
  <c r="BZ94" i="67"/>
  <c r="CC97" i="67"/>
  <c r="CF104" i="67"/>
  <c r="CQ112" i="67"/>
  <c r="CV49" i="67"/>
  <c r="CF57" i="67"/>
  <c r="CC60" i="67"/>
  <c r="CQ72" i="67"/>
  <c r="CP80" i="67"/>
  <c r="CF81" i="67"/>
  <c r="CW82" i="67"/>
  <c r="CN86" i="67"/>
  <c r="CX91" i="67"/>
  <c r="DA95" i="67"/>
  <c r="CQ96" i="67"/>
  <c r="CP104" i="67"/>
  <c r="CA109" i="67"/>
  <c r="CP111" i="67"/>
  <c r="CN113" i="67"/>
  <c r="CR73" i="67"/>
  <c r="CR80" i="67"/>
  <c r="CP86" i="67"/>
  <c r="CG106" i="67"/>
  <c r="CO113" i="67"/>
  <c r="CH114" i="67"/>
  <c r="CF115" i="67"/>
  <c r="CY49" i="67"/>
  <c r="CL66" i="67"/>
  <c r="CS70" i="67"/>
  <c r="CT73" i="67"/>
  <c r="CK76" i="67"/>
  <c r="CV77" i="67"/>
  <c r="CV80" i="67"/>
  <c r="CR84" i="67"/>
  <c r="CL87" i="67"/>
  <c r="DA102" i="67"/>
  <c r="CH106" i="67"/>
  <c r="CH109" i="67"/>
  <c r="CX111" i="67"/>
  <c r="CK114" i="67"/>
  <c r="CG115" i="67"/>
  <c r="CU36" i="67"/>
  <c r="CP37" i="67"/>
  <c r="CP38" i="67"/>
  <c r="CV43" i="67"/>
  <c r="CP44" i="67"/>
  <c r="CO45" i="67"/>
  <c r="CX62" i="67"/>
  <c r="CM66" i="67"/>
  <c r="CG79" i="67"/>
  <c r="CM81" i="67"/>
  <c r="CA82" i="67"/>
  <c r="CM87" i="67"/>
  <c r="CR92" i="67"/>
  <c r="CI93" i="67"/>
  <c r="CE95" i="67"/>
  <c r="CL97" i="67"/>
  <c r="CY103" i="67"/>
  <c r="CB108" i="67"/>
  <c r="CU110" i="67"/>
  <c r="CY111" i="67"/>
  <c r="CO114" i="67"/>
  <c r="CI115" i="67"/>
  <c r="CV33" i="67"/>
  <c r="CV36" i="67"/>
  <c r="CQ38" i="67"/>
  <c r="CO39" i="67"/>
  <c r="CB61" i="67"/>
  <c r="CY62" i="67"/>
  <c r="CU70" i="67"/>
  <c r="CZ73" i="67"/>
  <c r="CB75" i="67"/>
  <c r="DA77" i="67"/>
  <c r="CH79" i="67"/>
  <c r="CB82" i="67"/>
  <c r="CV83" i="67"/>
  <c r="CT86" i="67"/>
  <c r="CP87" i="67"/>
  <c r="CJ93" i="67"/>
  <c r="CF95" i="67"/>
  <c r="CW96" i="67"/>
  <c r="CM97" i="67"/>
  <c r="CH98" i="67"/>
  <c r="CZ104" i="67"/>
  <c r="CJ106" i="67"/>
  <c r="BZ107" i="67"/>
  <c r="CE108" i="67"/>
  <c r="CV110" i="67"/>
  <c r="DA112" i="67"/>
  <c r="CS113" i="67"/>
  <c r="CS109" i="67"/>
  <c r="DA113" i="67"/>
  <c r="CC83" i="67"/>
  <c r="CA86" i="67"/>
  <c r="CW94" i="67"/>
  <c r="CU98" i="67"/>
  <c r="BZ78" i="67"/>
  <c r="CD83" i="67"/>
  <c r="CW114" i="67"/>
  <c r="CD44" i="67"/>
  <c r="CR52" i="67"/>
  <c r="CS55" i="67"/>
  <c r="CN61" i="67"/>
  <c r="CQ64" i="67"/>
  <c r="CY65" i="67"/>
  <c r="CF67" i="67"/>
  <c r="CA68" i="67"/>
  <c r="CC71" i="67"/>
  <c r="CB78" i="67"/>
  <c r="CE92" i="67"/>
  <c r="DA94" i="67"/>
  <c r="BZ97" i="67"/>
  <c r="CX98" i="67"/>
  <c r="CQ99" i="67"/>
  <c r="CO101" i="67"/>
  <c r="CJ103" i="67"/>
  <c r="CE111" i="67"/>
  <c r="CY115" i="67"/>
  <c r="CM8" i="67"/>
  <c r="DA8" i="67"/>
  <c r="CR10" i="67"/>
  <c r="CD10" i="67"/>
  <c r="CL10" i="67"/>
  <c r="CM11" i="67"/>
  <c r="CA20" i="67"/>
  <c r="CO20" i="67"/>
  <c r="CD37" i="67"/>
  <c r="CR37" i="67"/>
  <c r="BZ5" i="67"/>
  <c r="CN5" i="67"/>
  <c r="CM10" i="67"/>
  <c r="CI12" i="67"/>
  <c r="CW12" i="67"/>
  <c r="CZ40" i="67"/>
  <c r="CL40" i="67"/>
  <c r="CI15" i="67"/>
  <c r="CG2" i="67"/>
  <c r="CV6" i="67"/>
  <c r="CH6" i="67"/>
  <c r="CZ13" i="67"/>
  <c r="CN14" i="67"/>
  <c r="BZ14" i="67"/>
  <c r="CJ15" i="67"/>
  <c r="CD20" i="67"/>
  <c r="CR20" i="67"/>
  <c r="CR46" i="67"/>
  <c r="CD46" i="67"/>
  <c r="CC2" i="67"/>
  <c r="CQ2" i="67"/>
  <c r="CC4" i="67"/>
  <c r="CS9" i="67"/>
  <c r="CE9" i="67"/>
  <c r="CM9" i="67"/>
  <c r="CL33" i="67"/>
  <c r="CZ33" i="67"/>
  <c r="CY3" i="67"/>
  <c r="CK3" i="67"/>
  <c r="CD4" i="67"/>
  <c r="CJ11" i="67"/>
  <c r="CX11" i="67"/>
  <c r="DA12" i="67"/>
  <c r="CH14" i="67"/>
  <c r="CF15" i="67"/>
  <c r="CT15" i="67"/>
  <c r="CV16" i="67"/>
  <c r="CL19" i="67"/>
  <c r="CZ19" i="67"/>
  <c r="CK24" i="67"/>
  <c r="CY24" i="67"/>
  <c r="CB25" i="67"/>
  <c r="CP25" i="67"/>
  <c r="CH78" i="67"/>
  <c r="CV78" i="67"/>
  <c r="CW3" i="67"/>
  <c r="CA4" i="67"/>
  <c r="CO4" i="67"/>
  <c r="CE4" i="67"/>
  <c r="CT6" i="67"/>
  <c r="BZ7" i="67"/>
  <c r="CI14" i="67"/>
  <c r="CW16" i="67"/>
  <c r="CL24" i="67"/>
  <c r="CZ24" i="67"/>
  <c r="CC25" i="67"/>
  <c r="CQ25" i="67"/>
  <c r="CL26" i="67"/>
  <c r="CZ26" i="67"/>
  <c r="CB28" i="67"/>
  <c r="CP28" i="67"/>
  <c r="DA29" i="67"/>
  <c r="CM29" i="67"/>
  <c r="CA40" i="67"/>
  <c r="CO40" i="67"/>
  <c r="CA7" i="67"/>
  <c r="CK10" i="67"/>
  <c r="CY10" i="67"/>
  <c r="CO13" i="67"/>
  <c r="CA13" i="67"/>
  <c r="CG18" i="67"/>
  <c r="CU18" i="67"/>
  <c r="CT8" i="67"/>
  <c r="CF8" i="67"/>
  <c r="CM22" i="67"/>
  <c r="DA22" i="67"/>
  <c r="CD23" i="67"/>
  <c r="CR23" i="67"/>
  <c r="CW5" i="67"/>
  <c r="CI5" i="67"/>
  <c r="CP12" i="67"/>
  <c r="CB12" i="67"/>
  <c r="CJ12" i="67"/>
  <c r="CG14" i="67"/>
  <c r="CU14" i="67"/>
  <c r="CJ18" i="67"/>
  <c r="CX18" i="67"/>
  <c r="CE23" i="67"/>
  <c r="CS23" i="67"/>
  <c r="CY27" i="67"/>
  <c r="CK27" i="67"/>
  <c r="CM38" i="67"/>
  <c r="DA38" i="67"/>
  <c r="CX39" i="67"/>
  <c r="CJ39" i="67"/>
  <c r="CU5" i="67"/>
  <c r="CL9" i="67"/>
  <c r="CZ9" i="67"/>
  <c r="CB19" i="67"/>
  <c r="CP19" i="67"/>
  <c r="CF21" i="67"/>
  <c r="CT21" i="67"/>
  <c r="CV25" i="67"/>
  <c r="CH25" i="67"/>
  <c r="CO26" i="67"/>
  <c r="CA26" i="67"/>
  <c r="CB3" i="67"/>
  <c r="CP3" i="67"/>
  <c r="CG17" i="67"/>
  <c r="CU17" i="67"/>
  <c r="CX31" i="67"/>
  <c r="CZ2" i="67"/>
  <c r="CL2" i="67"/>
  <c r="CX2" i="67"/>
  <c r="CR8" i="67"/>
  <c r="CH45" i="67"/>
  <c r="CV45" i="67"/>
  <c r="CU7" i="67"/>
  <c r="CG7" i="67"/>
  <c r="CQ11" i="67"/>
  <c r="CC11" i="67"/>
  <c r="CK11" i="67"/>
  <c r="CN12" i="67"/>
  <c r="CH13" i="67"/>
  <c r="CV13" i="67"/>
  <c r="DA15" i="67"/>
  <c r="CI21" i="67"/>
  <c r="CW21" i="67"/>
  <c r="CX4" i="67"/>
  <c r="CJ4" i="67"/>
  <c r="CV4" i="67"/>
  <c r="CA5" i="67"/>
  <c r="CL11" i="67"/>
  <c r="CE16" i="67"/>
  <c r="CS16" i="67"/>
  <c r="CJ23" i="67"/>
  <c r="CX23" i="67"/>
  <c r="CO30" i="67"/>
  <c r="CA30" i="67"/>
  <c r="CS49" i="67"/>
  <c r="CE49" i="67"/>
  <c r="CT45" i="67"/>
  <c r="CF45" i="67"/>
  <c r="CW48" i="67"/>
  <c r="CC54" i="67"/>
  <c r="CQ54" i="67"/>
  <c r="CW22" i="67"/>
  <c r="CI23" i="67"/>
  <c r="CW23" i="67"/>
  <c r="CG25" i="67"/>
  <c r="CU25" i="67"/>
  <c r="CX26" i="67"/>
  <c r="CO27" i="67"/>
  <c r="CW31" i="67"/>
  <c r="CL36" i="67"/>
  <c r="CQ46" i="67"/>
  <c r="CC46" i="67"/>
  <c r="CJ89" i="67"/>
  <c r="CX89" i="67"/>
  <c r="CY19" i="67"/>
  <c r="CR21" i="67"/>
  <c r="CO23" i="67"/>
  <c r="CR27" i="67"/>
  <c r="CM28" i="67"/>
  <c r="BZ31" i="67"/>
  <c r="CN31" i="67"/>
  <c r="CC31" i="67"/>
  <c r="CJ35" i="67"/>
  <c r="CQ37" i="67"/>
  <c r="CK40" i="67"/>
  <c r="CS46" i="67"/>
  <c r="CG53" i="67"/>
  <c r="CU53" i="67"/>
  <c r="CJ55" i="67"/>
  <c r="CS65" i="67"/>
  <c r="CE65" i="67"/>
  <c r="CV66" i="67"/>
  <c r="CH66" i="67"/>
  <c r="CW73" i="67"/>
  <c r="CI73" i="67"/>
  <c r="CW100" i="67"/>
  <c r="CI100" i="67"/>
  <c r="CR17" i="67"/>
  <c r="CT18" i="67"/>
  <c r="CN20" i="67"/>
  <c r="CP23" i="67"/>
  <c r="CN25" i="67"/>
  <c r="CG29" i="67"/>
  <c r="CE32" i="67"/>
  <c r="CF34" i="67"/>
  <c r="CT34" i="67"/>
  <c r="CK35" i="67"/>
  <c r="CK37" i="67"/>
  <c r="CY37" i="67"/>
  <c r="BZ38" i="67"/>
  <c r="CE39" i="67"/>
  <c r="CF46" i="67"/>
  <c r="CT46" i="67"/>
  <c r="CG47" i="67"/>
  <c r="CG49" i="67"/>
  <c r="CU49" i="67"/>
  <c r="CH53" i="67"/>
  <c r="CV53" i="67"/>
  <c r="CK55" i="67"/>
  <c r="CO57" i="67"/>
  <c r="CA57" i="67"/>
  <c r="CO61" i="67"/>
  <c r="CA61" i="67"/>
  <c r="CJ73" i="67"/>
  <c r="CX73" i="67"/>
  <c r="CQ85" i="67"/>
  <c r="CC85" i="67"/>
  <c r="CP2" i="67"/>
  <c r="CO3" i="67"/>
  <c r="CN4" i="67"/>
  <c r="DA7" i="67"/>
  <c r="CZ8" i="67"/>
  <c r="CY9" i="67"/>
  <c r="CX10" i="67"/>
  <c r="CW11" i="67"/>
  <c r="CV12" i="67"/>
  <c r="CU13" i="67"/>
  <c r="CT14" i="67"/>
  <c r="CS15" i="67"/>
  <c r="CR16" i="67"/>
  <c r="CS17" i="67"/>
  <c r="CU21" i="67"/>
  <c r="CG26" i="67"/>
  <c r="CB32" i="67"/>
  <c r="CP32" i="67"/>
  <c r="CD33" i="67"/>
  <c r="CR33" i="67"/>
  <c r="CI33" i="67"/>
  <c r="CL35" i="67"/>
  <c r="CL37" i="67"/>
  <c r="CZ37" i="67"/>
  <c r="CB39" i="67"/>
  <c r="CP39" i="67"/>
  <c r="CA51" i="67"/>
  <c r="CO51" i="67"/>
  <c r="CT63" i="67"/>
  <c r="CF63" i="67"/>
  <c r="CU65" i="67"/>
  <c r="CG65" i="67"/>
  <c r="CZ68" i="67"/>
  <c r="CK72" i="67"/>
  <c r="CY72" i="67"/>
  <c r="CH26" i="67"/>
  <c r="CF31" i="67"/>
  <c r="CU35" i="67"/>
  <c r="CG35" i="67"/>
  <c r="CI36" i="67"/>
  <c r="CW36" i="67"/>
  <c r="CI39" i="67"/>
  <c r="CN40" i="67"/>
  <c r="CE42" i="67"/>
  <c r="CS42" i="67"/>
  <c r="CX43" i="67"/>
  <c r="CJ43" i="67"/>
  <c r="CB51" i="67"/>
  <c r="CP51" i="67"/>
  <c r="CM55" i="67"/>
  <c r="DA55" i="67"/>
  <c r="CC57" i="67"/>
  <c r="CQ57" i="67"/>
  <c r="BZ57" i="67"/>
  <c r="CN60" i="67"/>
  <c r="CE21" i="67"/>
  <c r="CL22" i="67"/>
  <c r="CJ24" i="67"/>
  <c r="CI26" i="67"/>
  <c r="CL28" i="67"/>
  <c r="CZ28" i="67"/>
  <c r="CH35" i="67"/>
  <c r="CV35" i="67"/>
  <c r="CJ36" i="67"/>
  <c r="CX36" i="67"/>
  <c r="BZ41" i="67"/>
  <c r="CY43" i="67"/>
  <c r="CK43" i="67"/>
  <c r="CW43" i="67"/>
  <c r="CP47" i="67"/>
  <c r="CB47" i="67"/>
  <c r="CX64" i="67"/>
  <c r="CJ64" i="67"/>
  <c r="CM19" i="67"/>
  <c r="CC27" i="67"/>
  <c r="CG33" i="67"/>
  <c r="CU33" i="67"/>
  <c r="CG40" i="67"/>
  <c r="CU40" i="67"/>
  <c r="CQ47" i="67"/>
  <c r="CC47" i="67"/>
  <c r="CT88" i="67"/>
  <c r="CF88" i="67"/>
  <c r="CH18" i="67"/>
  <c r="CJ22" i="67"/>
  <c r="CX22" i="67"/>
  <c r="CC23" i="67"/>
  <c r="CH24" i="67"/>
  <c r="CV24" i="67"/>
  <c r="CA25" i="67"/>
  <c r="CO29" i="67"/>
  <c r="CV40" i="67"/>
  <c r="CH40" i="67"/>
  <c r="CC41" i="67"/>
  <c r="CM43" i="67"/>
  <c r="DA43" i="67"/>
  <c r="CR47" i="67"/>
  <c r="CD47" i="67"/>
  <c r="CW40" i="67"/>
  <c r="CI40" i="67"/>
  <c r="CS47" i="67"/>
  <c r="CE47" i="67"/>
  <c r="CZ58" i="67"/>
  <c r="CL58" i="67"/>
  <c r="CP59" i="67"/>
  <c r="CB59" i="67"/>
  <c r="DA74" i="67"/>
  <c r="CM74" i="67"/>
  <c r="CL29" i="67"/>
  <c r="CZ29" i="67"/>
  <c r="CX40" i="67"/>
  <c r="CB41" i="67"/>
  <c r="CP41" i="67"/>
  <c r="CF50" i="67"/>
  <c r="CT50" i="67"/>
  <c r="DA65" i="67"/>
  <c r="CM65" i="67"/>
  <c r="CV44" i="67"/>
  <c r="CH44" i="67"/>
  <c r="CS48" i="67"/>
  <c r="CE48" i="67"/>
  <c r="CG50" i="67"/>
  <c r="CU50" i="67"/>
  <c r="CL52" i="67"/>
  <c r="CZ52" i="67"/>
  <c r="CE56" i="67"/>
  <c r="CO62" i="67"/>
  <c r="CA62" i="67"/>
  <c r="CZ42" i="67"/>
  <c r="CL42" i="67"/>
  <c r="CW44" i="67"/>
  <c r="CI44" i="67"/>
  <c r="CT48" i="67"/>
  <c r="CF48" i="67"/>
  <c r="CM52" i="67"/>
  <c r="DA52" i="67"/>
  <c r="CN54" i="67"/>
  <c r="BZ54" i="67"/>
  <c r="CF56" i="67"/>
  <c r="CB66" i="67"/>
  <c r="CP66" i="67"/>
  <c r="CT80" i="67"/>
  <c r="CF80" i="67"/>
  <c r="CS19" i="67"/>
  <c r="CE28" i="67"/>
  <c r="CV32" i="67"/>
  <c r="DA34" i="67"/>
  <c r="CA35" i="67"/>
  <c r="CY39" i="67"/>
  <c r="CY42" i="67"/>
  <c r="CO79" i="67"/>
  <c r="CA79" i="67"/>
  <c r="CK23" i="67"/>
  <c r="CI25" i="67"/>
  <c r="CU30" i="67"/>
  <c r="CM37" i="67"/>
  <c r="CS38" i="67"/>
  <c r="CF41" i="67"/>
  <c r="CT41" i="67"/>
  <c r="CZ44" i="67"/>
  <c r="CS45" i="67"/>
  <c r="CE45" i="67"/>
  <c r="CK46" i="67"/>
  <c r="CH48" i="67"/>
  <c r="CV48" i="67"/>
  <c r="CH56" i="67"/>
  <c r="CV56" i="67"/>
  <c r="CH90" i="67"/>
  <c r="CV90" i="67"/>
  <c r="CR72" i="67"/>
  <c r="CD72" i="67"/>
  <c r="CE72" i="67"/>
  <c r="CS72" i="67"/>
  <c r="CY87" i="67"/>
  <c r="CK87" i="67"/>
  <c r="CA98" i="67"/>
  <c r="CO98" i="67"/>
  <c r="CQ33" i="67"/>
  <c r="CR34" i="67"/>
  <c r="CT35" i="67"/>
  <c r="CD40" i="67"/>
  <c r="CD43" i="67"/>
  <c r="CR43" i="67"/>
  <c r="CD45" i="67"/>
  <c r="CB46" i="67"/>
  <c r="BZ48" i="67"/>
  <c r="CN48" i="67"/>
  <c r="CW55" i="67"/>
  <c r="CF58" i="67"/>
  <c r="CT72" i="67"/>
  <c r="CF72" i="67"/>
  <c r="CN77" i="67"/>
  <c r="BZ77" i="67"/>
  <c r="CC44" i="67"/>
  <c r="CQ44" i="67"/>
  <c r="CE52" i="67"/>
  <c r="CR56" i="67"/>
  <c r="BZ68" i="67"/>
  <c r="CN68" i="67"/>
  <c r="CO77" i="67"/>
  <c r="CA77" i="67"/>
  <c r="CB45" i="67"/>
  <c r="CP45" i="67"/>
  <c r="CX46" i="67"/>
  <c r="CD49" i="67"/>
  <c r="BZ53" i="67"/>
  <c r="CL54" i="67"/>
  <c r="CU59" i="67"/>
  <c r="CG59" i="67"/>
  <c r="CD59" i="67"/>
  <c r="CD63" i="67"/>
  <c r="CV64" i="67"/>
  <c r="CV72" i="67"/>
  <c r="CH72" i="67"/>
  <c r="CH75" i="67"/>
  <c r="CV75" i="67"/>
  <c r="CE78" i="67"/>
  <c r="CS78" i="67"/>
  <c r="CL107" i="67"/>
  <c r="CZ107" i="67"/>
  <c r="CA46" i="67"/>
  <c r="CO46" i="67"/>
  <c r="BZ50" i="67"/>
  <c r="CM54" i="67"/>
  <c r="CE63" i="67"/>
  <c r="CW64" i="67"/>
  <c r="CG66" i="67"/>
  <c r="CY69" i="67"/>
  <c r="CA71" i="67"/>
  <c r="CU73" i="67"/>
  <c r="CG73" i="67"/>
  <c r="CL83" i="67"/>
  <c r="CZ83" i="67"/>
  <c r="CA47" i="67"/>
  <c r="CO47" i="67"/>
  <c r="CI59" i="67"/>
  <c r="CW59" i="67"/>
  <c r="CH73" i="67"/>
  <c r="CV73" i="67"/>
  <c r="CS76" i="67"/>
  <c r="CK78" i="67"/>
  <c r="CP85" i="67"/>
  <c r="CB85" i="67"/>
  <c r="CG89" i="67"/>
  <c r="CU89" i="67"/>
  <c r="CS90" i="67"/>
  <c r="CL62" i="67"/>
  <c r="CZ62" i="67"/>
  <c r="CA63" i="67"/>
  <c r="CO63" i="67"/>
  <c r="CM64" i="67"/>
  <c r="DA64" i="67"/>
  <c r="CQ66" i="67"/>
  <c r="CC66" i="67"/>
  <c r="CI56" i="67"/>
  <c r="CW56" i="67"/>
  <c r="CB63" i="67"/>
  <c r="CP63" i="67"/>
  <c r="CI65" i="67"/>
  <c r="CW65" i="67"/>
  <c r="CR66" i="67"/>
  <c r="CD66" i="67"/>
  <c r="CY82" i="67"/>
  <c r="CK82" i="67"/>
  <c r="CK84" i="67"/>
  <c r="CY84" i="67"/>
  <c r="CF96" i="67"/>
  <c r="CT96" i="67"/>
  <c r="CS100" i="67"/>
  <c r="CE100" i="67"/>
  <c r="CC63" i="67"/>
  <c r="CQ63" i="67"/>
  <c r="CE66" i="67"/>
  <c r="CS66" i="67"/>
  <c r="CB71" i="67"/>
  <c r="CP71" i="67"/>
  <c r="CN93" i="67"/>
  <c r="BZ93" i="67"/>
  <c r="CF42" i="67"/>
  <c r="DA51" i="67"/>
  <c r="CA67" i="67"/>
  <c r="CO67" i="67"/>
  <c r="CX68" i="67"/>
  <c r="CJ68" i="67"/>
  <c r="CK74" i="67"/>
  <c r="CY74" i="67"/>
  <c r="CP74" i="67"/>
  <c r="CM82" i="67"/>
  <c r="DA82" i="67"/>
  <c r="CX30" i="67"/>
  <c r="CR36" i="67"/>
  <c r="CX70" i="67"/>
  <c r="CJ70" i="67"/>
  <c r="CE81" i="67"/>
  <c r="CS60" i="67"/>
  <c r="CI76" i="67"/>
  <c r="CW76" i="67"/>
  <c r="CS77" i="67"/>
  <c r="CN87" i="67"/>
  <c r="BZ87" i="67"/>
  <c r="CR57" i="67"/>
  <c r="CX59" i="67"/>
  <c r="CD65" i="67"/>
  <c r="BZ75" i="67"/>
  <c r="CN75" i="67"/>
  <c r="CJ76" i="67"/>
  <c r="CX76" i="67"/>
  <c r="CK81" i="67"/>
  <c r="CY81" i="67"/>
  <c r="CV88" i="67"/>
  <c r="CH88" i="67"/>
  <c r="CT94" i="67"/>
  <c r="CF94" i="67"/>
  <c r="CK100" i="67"/>
  <c r="CY100" i="67"/>
  <c r="CF102" i="67"/>
  <c r="CT102" i="67"/>
  <c r="DA49" i="67"/>
  <c r="CV50" i="67"/>
  <c r="CQ51" i="67"/>
  <c r="CW53" i="67"/>
  <c r="CR54" i="67"/>
  <c r="CX56" i="67"/>
  <c r="CS57" i="67"/>
  <c r="CN58" i="67"/>
  <c r="CY59" i="67"/>
  <c r="CE61" i="67"/>
  <c r="CO75" i="67"/>
  <c r="CR78" i="67"/>
  <c r="CZ81" i="67"/>
  <c r="CL81" i="67"/>
  <c r="CW105" i="67"/>
  <c r="CI105" i="67"/>
  <c r="CN47" i="67"/>
  <c r="CW50" i="67"/>
  <c r="CR51" i="67"/>
  <c r="CF60" i="67"/>
  <c r="BZ63" i="67"/>
  <c r="CV71" i="67"/>
  <c r="CB83" i="67"/>
  <c r="CP83" i="67"/>
  <c r="CB84" i="67"/>
  <c r="CW85" i="67"/>
  <c r="CI85" i="67"/>
  <c r="CS110" i="67"/>
  <c r="CE110" i="67"/>
  <c r="CG60" i="67"/>
  <c r="CW71" i="67"/>
  <c r="CC75" i="67"/>
  <c r="CQ75" i="67"/>
  <c r="CN80" i="67"/>
  <c r="CK88" i="67"/>
  <c r="CY88" i="67"/>
  <c r="CK105" i="67"/>
  <c r="CY105" i="67"/>
  <c r="CE73" i="67"/>
  <c r="CS73" i="67"/>
  <c r="CD74" i="67"/>
  <c r="CU78" i="67"/>
  <c r="CL80" i="67"/>
  <c r="CZ80" i="67"/>
  <c r="CK101" i="67"/>
  <c r="CY101" i="67"/>
  <c r="CY66" i="67"/>
  <c r="CB72" i="67"/>
  <c r="CP72" i="67"/>
  <c r="CP79" i="67"/>
  <c r="DA80" i="67"/>
  <c r="CM80" i="67"/>
  <c r="CR89" i="67"/>
  <c r="CD89" i="67"/>
  <c r="CM101" i="67"/>
  <c r="DA101" i="67"/>
  <c r="CC108" i="67"/>
  <c r="CQ108" i="67"/>
  <c r="CS89" i="67"/>
  <c r="CE89" i="67"/>
  <c r="CT89" i="67"/>
  <c r="CF89" i="67"/>
  <c r="CT107" i="67"/>
  <c r="CF107" i="67"/>
  <c r="CF108" i="67"/>
  <c r="CT108" i="67"/>
  <c r="CW107" i="67"/>
  <c r="CA69" i="67"/>
  <c r="CO69" i="67"/>
  <c r="BZ70" i="67"/>
  <c r="CN70" i="67"/>
  <c r="CK71" i="67"/>
  <c r="CA73" i="67"/>
  <c r="CG76" i="67"/>
  <c r="CU76" i="67"/>
  <c r="CN83" i="67"/>
  <c r="CD85" i="67"/>
  <c r="CR85" i="67"/>
  <c r="CA91" i="67"/>
  <c r="CO91" i="67"/>
  <c r="CO93" i="67"/>
  <c r="CA93" i="67"/>
  <c r="CG94" i="67"/>
  <c r="CU94" i="67"/>
  <c r="CM99" i="67"/>
  <c r="DA99" i="67"/>
  <c r="CC101" i="67"/>
  <c r="CA115" i="67"/>
  <c r="CO115" i="67"/>
  <c r="CL71" i="67"/>
  <c r="CB73" i="67"/>
  <c r="CM84" i="67"/>
  <c r="DA84" i="67"/>
  <c r="CL89" i="67"/>
  <c r="CZ89" i="67"/>
  <c r="CP91" i="67"/>
  <c r="CB91" i="67"/>
  <c r="CP93" i="67"/>
  <c r="CB93" i="67"/>
  <c r="CA103" i="67"/>
  <c r="CO103" i="67"/>
  <c r="CG86" i="67"/>
  <c r="CU86" i="67"/>
  <c r="CC87" i="67"/>
  <c r="CQ87" i="67"/>
  <c r="CQ91" i="67"/>
  <c r="CC91" i="67"/>
  <c r="CQ93" i="67"/>
  <c r="CC93" i="67"/>
  <c r="CN111" i="67"/>
  <c r="BZ111" i="67"/>
  <c r="CI83" i="67"/>
  <c r="CW83" i="67"/>
  <c r="CV86" i="67"/>
  <c r="CH86" i="67"/>
  <c r="CB90" i="67"/>
  <c r="CP90" i="67"/>
  <c r="CA92" i="67"/>
  <c r="CO92" i="67"/>
  <c r="BZ95" i="67"/>
  <c r="CN95" i="67"/>
  <c r="CY113" i="67"/>
  <c r="CK113" i="67"/>
  <c r="CJ83" i="67"/>
  <c r="CX83" i="67"/>
  <c r="CE87" i="67"/>
  <c r="CS87" i="67"/>
  <c r="CQ90" i="67"/>
  <c r="CC90" i="67"/>
  <c r="CY94" i="67"/>
  <c r="CK94" i="67"/>
  <c r="CC100" i="67"/>
  <c r="CQ100" i="67"/>
  <c r="BZ71" i="67"/>
  <c r="CR81" i="67"/>
  <c r="CJ82" i="67"/>
  <c r="CX82" i="67"/>
  <c r="CA84" i="67"/>
  <c r="CO84" i="67"/>
  <c r="CJ86" i="67"/>
  <c r="CX86" i="67"/>
  <c r="CA87" i="67"/>
  <c r="CR90" i="67"/>
  <c r="CD90" i="67"/>
  <c r="CV94" i="67"/>
  <c r="CP95" i="67"/>
  <c r="CB95" i="67"/>
  <c r="CT98" i="67"/>
  <c r="CE103" i="67"/>
  <c r="CS103" i="67"/>
  <c r="CM79" i="67"/>
  <c r="DA79" i="67"/>
  <c r="CS80" i="67"/>
  <c r="CA85" i="67"/>
  <c r="CO85" i="67"/>
  <c r="CI86" i="67"/>
  <c r="CF90" i="67"/>
  <c r="CT90" i="67"/>
  <c r="CG80" i="67"/>
  <c r="CH89" i="67"/>
  <c r="CV89" i="67"/>
  <c r="CY92" i="67"/>
  <c r="CK92" i="67"/>
  <c r="DA96" i="67"/>
  <c r="CM96" i="67"/>
  <c r="CC74" i="67"/>
  <c r="CJ88" i="67"/>
  <c r="CX88" i="67"/>
  <c r="CR98" i="67"/>
  <c r="CD98" i="67"/>
  <c r="CC98" i="67"/>
  <c r="CN99" i="67"/>
  <c r="CJ104" i="67"/>
  <c r="CZ109" i="67"/>
  <c r="CL109" i="67"/>
  <c r="CZ96" i="67"/>
  <c r="CY104" i="67"/>
  <c r="CK104" i="67"/>
  <c r="CB115" i="67"/>
  <c r="CP115" i="67"/>
  <c r="CV93" i="67"/>
  <c r="CF111" i="67"/>
  <c r="CT111" i="67"/>
  <c r="CJ84" i="67"/>
  <c r="CU97" i="67"/>
  <c r="CW99" i="67"/>
  <c r="CO100" i="67"/>
  <c r="CQ102" i="67"/>
  <c r="CD88" i="67"/>
  <c r="CR88" i="67"/>
  <c r="CY90" i="67"/>
  <c r="CZ99" i="67"/>
  <c r="CP100" i="67"/>
  <c r="CD107" i="67"/>
  <c r="CR107" i="67"/>
  <c r="CX99" i="67"/>
  <c r="CJ99" i="67"/>
  <c r="CB101" i="67"/>
  <c r="BZ103" i="67"/>
  <c r="CN103" i="67"/>
  <c r="DA104" i="67"/>
  <c r="CE106" i="67"/>
  <c r="CS106" i="67"/>
  <c r="CS107" i="67"/>
  <c r="CE107" i="67"/>
  <c r="CX112" i="67"/>
  <c r="CJ112" i="67"/>
  <c r="CR113" i="67"/>
  <c r="CD113" i="67"/>
  <c r="CC89" i="67"/>
  <c r="CQ89" i="67"/>
  <c r="CN98" i="67"/>
  <c r="CD100" i="67"/>
  <c r="CR100" i="67"/>
  <c r="CJ101" i="67"/>
  <c r="CX101" i="67"/>
  <c r="CV84" i="67"/>
  <c r="CL91" i="67"/>
  <c r="CQ95" i="67"/>
  <c r="CB98" i="67"/>
  <c r="CY102" i="67"/>
  <c r="CK102" i="67"/>
  <c r="CI104" i="67"/>
  <c r="CJ105" i="67"/>
  <c r="CM106" i="67"/>
  <c r="DA106" i="67"/>
  <c r="DA107" i="67"/>
  <c r="CM107" i="67"/>
  <c r="CQ109" i="67"/>
  <c r="CC109" i="67"/>
  <c r="CP112" i="67"/>
  <c r="CB112" i="67"/>
  <c r="CT114" i="67"/>
  <c r="CF114" i="67"/>
  <c r="CD108" i="67"/>
  <c r="CG111" i="67"/>
  <c r="CH111" i="67"/>
  <c r="CL113" i="67"/>
  <c r="CF110" i="67"/>
  <c r="CI111" i="67"/>
  <c r="CL114" i="67"/>
  <c r="CZ114" i="67"/>
  <c r="CN92" i="67"/>
  <c r="CG108" i="67"/>
  <c r="CD109" i="67"/>
  <c r="CM114" i="67"/>
  <c r="CL101" i="67"/>
  <c r="CR104" i="67"/>
  <c r="CQ105" i="67"/>
  <c r="CF106" i="67"/>
  <c r="DA108" i="67"/>
  <c r="CM108" i="67"/>
  <c r="CF103" i="67"/>
  <c r="CH112" i="67"/>
  <c r="CV112" i="67"/>
  <c r="CH105" i="67"/>
  <c r="CY108" i="67"/>
  <c r="CB109" i="67"/>
  <c r="CP109" i="67"/>
  <c r="CD110" i="67"/>
  <c r="CR110" i="67"/>
  <c r="CJ113" i="67"/>
  <c r="CX113" i="67"/>
  <c r="CV115" i="67"/>
  <c r="CH115" i="67"/>
  <c r="CQ106" i="67"/>
  <c r="CP107" i="67"/>
  <c r="CO108" i="67"/>
  <c r="CN109" i="67"/>
  <c r="CP110" i="67"/>
  <c r="CR111" i="67"/>
  <c r="CT112" i="67"/>
  <c r="CX114" i="67"/>
  <c r="CZ115" i="67"/>
  <c r="D217" i="65" l="1"/>
  <c r="P217" i="65" s="1"/>
  <c r="G218" i="65"/>
  <c r="S218" i="65" s="1"/>
  <c r="G216" i="65"/>
  <c r="S216" i="65" s="1"/>
  <c r="D208" i="65"/>
  <c r="P208" i="65" s="1"/>
  <c r="G209" i="65"/>
  <c r="S209" i="65" s="1"/>
  <c r="D213" i="65"/>
  <c r="P213" i="65" s="1"/>
  <c r="D210" i="65"/>
  <c r="P210" i="65" s="1"/>
  <c r="E217" i="65"/>
  <c r="Q217" i="65" s="1"/>
  <c r="D209" i="65"/>
  <c r="P209" i="65" s="1"/>
  <c r="E216" i="65"/>
  <c r="Q216" i="65" s="1"/>
  <c r="D7" i="25"/>
  <c r="D7" i="74"/>
  <c r="D6" i="25"/>
  <c r="D6" i="74"/>
  <c r="F219" i="65"/>
  <c r="R219" i="65" s="1"/>
  <c r="J145" i="36" s="1"/>
  <c r="E218" i="65"/>
  <c r="Q218" i="65" s="1"/>
  <c r="F208" i="65"/>
  <c r="R208" i="65" s="1"/>
  <c r="J134" i="36" s="1"/>
  <c r="F209" i="65"/>
  <c r="R209" i="65" s="1"/>
  <c r="J135" i="36" s="1"/>
  <c r="F213" i="65"/>
  <c r="R213" i="65" s="1"/>
  <c r="L139" i="77" s="1"/>
  <c r="G211" i="65"/>
  <c r="S211" i="65" s="1"/>
  <c r="G208" i="65"/>
  <c r="S208" i="65" s="1"/>
  <c r="D218" i="65"/>
  <c r="P218" i="65" s="1"/>
  <c r="D216" i="65"/>
  <c r="P216" i="65" s="1"/>
  <c r="F210" i="65"/>
  <c r="R210" i="65" s="1"/>
  <c r="L136" i="77" s="1"/>
  <c r="G217" i="65"/>
  <c r="S217" i="65" s="1"/>
  <c r="G210" i="65"/>
  <c r="S210" i="65" s="1"/>
  <c r="F218" i="65"/>
  <c r="R218" i="65" s="1"/>
  <c r="L144" i="77" s="1"/>
  <c r="F217" i="65"/>
  <c r="R217" i="65" s="1"/>
  <c r="J143" i="36" s="1"/>
  <c r="G212" i="65"/>
  <c r="S212" i="65" s="1"/>
  <c r="E212" i="65"/>
  <c r="Q212" i="65" s="1"/>
  <c r="G213" i="65"/>
  <c r="S213" i="65" s="1"/>
  <c r="D214" i="65"/>
  <c r="P214" i="65" s="1"/>
  <c r="J130" i="36"/>
  <c r="L130" i="77"/>
  <c r="L125" i="77"/>
  <c r="J125" i="36"/>
  <c r="L123" i="77"/>
  <c r="J123" i="36"/>
  <c r="E213" i="65"/>
  <c r="Q213" i="65" s="1"/>
  <c r="E208" i="65"/>
  <c r="Q208" i="65" s="1"/>
  <c r="G219" i="65"/>
  <c r="S219" i="65" s="1"/>
  <c r="L126" i="77"/>
  <c r="J126" i="36"/>
  <c r="F216" i="65"/>
  <c r="R216" i="65" s="1"/>
  <c r="J142" i="36" s="1"/>
  <c r="J128" i="36"/>
  <c r="L128" i="77"/>
  <c r="F211" i="65"/>
  <c r="R211" i="65" s="1"/>
  <c r="J137" i="36" s="1"/>
  <c r="L133" i="77"/>
  <c r="J133" i="36"/>
  <c r="L132" i="77"/>
  <c r="J132" i="36"/>
  <c r="J129" i="36"/>
  <c r="L129" i="77"/>
  <c r="D219" i="65"/>
  <c r="P219" i="65" s="1"/>
  <c r="L127" i="77"/>
  <c r="J127" i="36"/>
  <c r="E209" i="65"/>
  <c r="Q209" i="65" s="1"/>
  <c r="D215" i="65"/>
  <c r="P215" i="65" s="1"/>
  <c r="J131" i="36"/>
  <c r="L131" i="77"/>
  <c r="E210" i="65"/>
  <c r="Q210" i="65" s="1"/>
  <c r="F214" i="65"/>
  <c r="R214" i="65" s="1"/>
  <c r="J140" i="36" s="1"/>
  <c r="L122" i="77"/>
  <c r="J122" i="36"/>
  <c r="L124" i="77"/>
  <c r="J124" i="36"/>
  <c r="G214" i="65"/>
  <c r="S214" i="65" s="1"/>
  <c r="F212" i="65"/>
  <c r="R212" i="65" s="1"/>
  <c r="J138" i="36" s="1"/>
  <c r="G215" i="65"/>
  <c r="S215" i="65" s="1"/>
  <c r="F215" i="65"/>
  <c r="R215" i="65" s="1"/>
  <c r="L141" i="77" s="1"/>
  <c r="D211" i="65"/>
  <c r="P211" i="65" s="1"/>
  <c r="D212" i="65"/>
  <c r="P212" i="65" s="1"/>
  <c r="J136" i="36"/>
  <c r="K180" i="65"/>
  <c r="X117" i="67"/>
  <c r="I104" i="75"/>
  <c r="G104" i="38"/>
  <c r="G104" i="28"/>
  <c r="BR80" i="67"/>
  <c r="K68" i="76"/>
  <c r="J68" i="75"/>
  <c r="I68" i="34"/>
  <c r="H68" i="38"/>
  <c r="I68" i="30"/>
  <c r="H68" i="28"/>
  <c r="BO94" i="67"/>
  <c r="J82" i="77"/>
  <c r="H82" i="36"/>
  <c r="H82" i="32"/>
  <c r="L101" i="76"/>
  <c r="K101" i="75"/>
  <c r="K101" i="77"/>
  <c r="I101" i="36"/>
  <c r="I101" i="38"/>
  <c r="J101" i="34"/>
  <c r="I101" i="32"/>
  <c r="J101" i="30"/>
  <c r="I101" i="28"/>
  <c r="K109" i="77"/>
  <c r="K109" i="75"/>
  <c r="I109" i="36"/>
  <c r="L109" i="76"/>
  <c r="I109" i="38"/>
  <c r="J109" i="34"/>
  <c r="I109" i="32"/>
  <c r="J109" i="30"/>
  <c r="I109" i="28"/>
  <c r="BR75" i="67"/>
  <c r="K63" i="76"/>
  <c r="J63" i="75"/>
  <c r="I63" i="34"/>
  <c r="H63" i="38"/>
  <c r="I63" i="30"/>
  <c r="H63" i="28"/>
  <c r="I57" i="75"/>
  <c r="G57" i="38"/>
  <c r="G57" i="28"/>
  <c r="I24" i="75"/>
  <c r="G24" i="38"/>
  <c r="G24" i="28"/>
  <c r="K102" i="77"/>
  <c r="K102" i="75"/>
  <c r="I102" i="36"/>
  <c r="L102" i="76"/>
  <c r="J102" i="34"/>
  <c r="I102" i="32"/>
  <c r="I102" i="38"/>
  <c r="J102" i="30"/>
  <c r="I102" i="28"/>
  <c r="I60" i="75"/>
  <c r="G60" i="38"/>
  <c r="G60" i="28"/>
  <c r="I100" i="75"/>
  <c r="G100" i="38"/>
  <c r="G100" i="28"/>
  <c r="I92" i="75"/>
  <c r="G92" i="38"/>
  <c r="G92" i="28"/>
  <c r="I73" i="75"/>
  <c r="G73" i="38"/>
  <c r="G73" i="28"/>
  <c r="I41" i="75"/>
  <c r="G41" i="38"/>
  <c r="G41" i="28"/>
  <c r="I52" i="75"/>
  <c r="G52" i="38"/>
  <c r="G52" i="28"/>
  <c r="I2" i="75"/>
  <c r="G2" i="38"/>
  <c r="G2" i="28"/>
  <c r="I84" i="75"/>
  <c r="G84" i="38"/>
  <c r="G84" i="28"/>
  <c r="BO95" i="67"/>
  <c r="J83" i="77"/>
  <c r="H83" i="36"/>
  <c r="H83" i="32"/>
  <c r="I19" i="75"/>
  <c r="G19" i="38"/>
  <c r="G19" i="28"/>
  <c r="I108" i="75"/>
  <c r="G108" i="38"/>
  <c r="G108" i="28"/>
  <c r="I115" i="75"/>
  <c r="G115" i="38"/>
  <c r="G115" i="28"/>
  <c r="I46" i="75"/>
  <c r="G46" i="38"/>
  <c r="G46" i="28"/>
  <c r="K105" i="77"/>
  <c r="I105" i="36"/>
  <c r="K105" i="75"/>
  <c r="L105" i="76"/>
  <c r="J105" i="34"/>
  <c r="I105" i="38"/>
  <c r="J105" i="30"/>
  <c r="I105" i="32"/>
  <c r="I105" i="28"/>
  <c r="BR85" i="67"/>
  <c r="K73" i="76"/>
  <c r="J73" i="75"/>
  <c r="I73" i="34"/>
  <c r="H73" i="38"/>
  <c r="I73" i="30"/>
  <c r="H73" i="28"/>
  <c r="I13" i="75"/>
  <c r="G13" i="38"/>
  <c r="G13" i="28"/>
  <c r="BO91" i="67"/>
  <c r="J79" i="77"/>
  <c r="H79" i="36"/>
  <c r="H79" i="32"/>
  <c r="K108" i="77"/>
  <c r="L108" i="76"/>
  <c r="K108" i="75"/>
  <c r="I108" i="36"/>
  <c r="I108" i="38"/>
  <c r="J108" i="34"/>
  <c r="I108" i="32"/>
  <c r="J108" i="30"/>
  <c r="I108" i="28"/>
  <c r="BR84" i="67"/>
  <c r="J72" i="75"/>
  <c r="K72" i="76"/>
  <c r="I72" i="34"/>
  <c r="H72" i="38"/>
  <c r="I72" i="30"/>
  <c r="H72" i="28"/>
  <c r="BO87" i="67"/>
  <c r="J75" i="77"/>
  <c r="H75" i="36"/>
  <c r="H75" i="32"/>
  <c r="BO90" i="67"/>
  <c r="J78" i="77"/>
  <c r="H78" i="36"/>
  <c r="H78" i="32"/>
  <c r="K110" i="77"/>
  <c r="I110" i="36"/>
  <c r="K110" i="75"/>
  <c r="L110" i="76"/>
  <c r="I110" i="38"/>
  <c r="P110" i="38" s="1"/>
  <c r="J110" i="34"/>
  <c r="J110" i="30"/>
  <c r="R110" i="30" s="1"/>
  <c r="I110" i="32"/>
  <c r="Q110" i="32" s="1"/>
  <c r="I110" i="28"/>
  <c r="P110" i="28" s="1"/>
  <c r="BR78" i="67"/>
  <c r="J66" i="75"/>
  <c r="K66" i="76"/>
  <c r="I66" i="34"/>
  <c r="H66" i="38"/>
  <c r="I66" i="30"/>
  <c r="H66" i="28"/>
  <c r="I89" i="75"/>
  <c r="G89" i="38"/>
  <c r="G89" i="28"/>
  <c r="K104" i="75"/>
  <c r="K104" i="77"/>
  <c r="L104" i="76"/>
  <c r="I104" i="36"/>
  <c r="I104" i="38"/>
  <c r="J104" i="34"/>
  <c r="I104" i="32"/>
  <c r="J104" i="30"/>
  <c r="I104" i="28"/>
  <c r="BR81" i="67"/>
  <c r="J69" i="75"/>
  <c r="K69" i="76"/>
  <c r="H69" i="38"/>
  <c r="I69" i="34"/>
  <c r="I69" i="30"/>
  <c r="H69" i="28"/>
  <c r="K64" i="76"/>
  <c r="J64" i="75"/>
  <c r="H64" i="38"/>
  <c r="I64" i="34"/>
  <c r="I64" i="30"/>
  <c r="H64" i="28"/>
  <c r="BR76" i="67"/>
  <c r="L103" i="76"/>
  <c r="K103" i="77"/>
  <c r="K103" i="75"/>
  <c r="I103" i="36"/>
  <c r="J103" i="34"/>
  <c r="I103" i="32"/>
  <c r="I103" i="38"/>
  <c r="J103" i="30"/>
  <c r="I103" i="28"/>
  <c r="BR79" i="67"/>
  <c r="K67" i="76"/>
  <c r="J67" i="75"/>
  <c r="I67" i="34"/>
  <c r="H67" i="38"/>
  <c r="I67" i="30"/>
  <c r="H67" i="28"/>
  <c r="BO92" i="67"/>
  <c r="J80" i="77"/>
  <c r="H80" i="36"/>
  <c r="H80" i="32"/>
  <c r="I94" i="75"/>
  <c r="G94" i="38"/>
  <c r="G94" i="28"/>
  <c r="I76" i="75"/>
  <c r="G76" i="38"/>
  <c r="G76" i="28"/>
  <c r="I3" i="75"/>
  <c r="G3" i="38"/>
  <c r="G3" i="28"/>
  <c r="I29" i="75"/>
  <c r="G29" i="38"/>
  <c r="G29" i="28"/>
  <c r="I62" i="75"/>
  <c r="G62" i="38"/>
  <c r="G62" i="28"/>
  <c r="I34" i="75"/>
  <c r="G34" i="38"/>
  <c r="G34" i="28"/>
  <c r="K115" i="77"/>
  <c r="K115" i="75"/>
  <c r="L115" i="76"/>
  <c r="J115" i="34"/>
  <c r="I115" i="38"/>
  <c r="P115" i="38" s="1"/>
  <c r="I115" i="32"/>
  <c r="Q115" i="32" s="1"/>
  <c r="J115" i="30"/>
  <c r="R115" i="30" s="1"/>
  <c r="I115" i="28"/>
  <c r="P115" i="28" s="1"/>
  <c r="K113" i="77"/>
  <c r="K113" i="75"/>
  <c r="I113" i="36"/>
  <c r="L113" i="76"/>
  <c r="I113" i="38"/>
  <c r="P113" i="38" s="1"/>
  <c r="J113" i="34"/>
  <c r="I113" i="32"/>
  <c r="Q113" i="32" s="1"/>
  <c r="J113" i="30"/>
  <c r="R113" i="30" s="1"/>
  <c r="I113" i="28"/>
  <c r="P113" i="28" s="1"/>
  <c r="BR74" i="67"/>
  <c r="K62" i="76"/>
  <c r="J62" i="75"/>
  <c r="I62" i="34"/>
  <c r="H62" i="38"/>
  <c r="I62" i="30"/>
  <c r="H62" i="28"/>
  <c r="J74" i="77"/>
  <c r="H74" i="36"/>
  <c r="H74" i="32"/>
  <c r="BO86" i="67"/>
  <c r="BO97" i="67"/>
  <c r="J85" i="77"/>
  <c r="H85" i="36"/>
  <c r="H85" i="32"/>
  <c r="I110" i="75"/>
  <c r="G110" i="38"/>
  <c r="G110" i="28"/>
  <c r="I8" i="75"/>
  <c r="G8" i="38"/>
  <c r="G8" i="28"/>
  <c r="BR83" i="67"/>
  <c r="K71" i="76"/>
  <c r="J71" i="75"/>
  <c r="I71" i="34"/>
  <c r="H71" i="38"/>
  <c r="I71" i="30"/>
  <c r="H71" i="28"/>
  <c r="I68" i="75"/>
  <c r="G68" i="38"/>
  <c r="G68" i="28"/>
  <c r="BO89" i="67"/>
  <c r="J77" i="77"/>
  <c r="H77" i="36"/>
  <c r="H77" i="32"/>
  <c r="K106" i="77"/>
  <c r="K106" i="75"/>
  <c r="L106" i="76"/>
  <c r="I106" i="36"/>
  <c r="I106" i="38"/>
  <c r="J106" i="34"/>
  <c r="I106" i="32"/>
  <c r="J106" i="30"/>
  <c r="I106" i="28"/>
  <c r="K111" i="77"/>
  <c r="L111" i="76"/>
  <c r="I111" i="36"/>
  <c r="K111" i="75"/>
  <c r="J111" i="34"/>
  <c r="I111" i="38"/>
  <c r="P111" i="38" s="1"/>
  <c r="J111" i="30"/>
  <c r="R111" i="30" s="1"/>
  <c r="I111" i="32"/>
  <c r="Q111" i="32" s="1"/>
  <c r="I111" i="28"/>
  <c r="P111" i="28" s="1"/>
  <c r="BR77" i="67"/>
  <c r="J65" i="75"/>
  <c r="K65" i="76"/>
  <c r="I65" i="34"/>
  <c r="H65" i="38"/>
  <c r="I65" i="30"/>
  <c r="H65" i="28"/>
  <c r="BO88" i="67"/>
  <c r="J76" i="77"/>
  <c r="H76" i="36"/>
  <c r="H76" i="32"/>
  <c r="I44" i="75"/>
  <c r="G44" i="38"/>
  <c r="G44" i="28"/>
  <c r="K100" i="77"/>
  <c r="L100" i="76"/>
  <c r="K100" i="75"/>
  <c r="I100" i="36"/>
  <c r="I100" i="38"/>
  <c r="J100" i="34"/>
  <c r="I100" i="32"/>
  <c r="J100" i="30"/>
  <c r="I100" i="28"/>
  <c r="K107" i="77"/>
  <c r="L107" i="76"/>
  <c r="I107" i="36"/>
  <c r="K107" i="75"/>
  <c r="J107" i="34"/>
  <c r="I107" i="32"/>
  <c r="I107" i="38"/>
  <c r="J107" i="30"/>
  <c r="I107" i="28"/>
  <c r="BR82" i="67"/>
  <c r="K70" i="76"/>
  <c r="J70" i="75"/>
  <c r="I70" i="34"/>
  <c r="H70" i="38"/>
  <c r="I70" i="30"/>
  <c r="H70" i="28"/>
  <c r="K99" i="77"/>
  <c r="I99" i="36"/>
  <c r="K99" i="75"/>
  <c r="L99" i="76"/>
  <c r="J99" i="34"/>
  <c r="I99" i="38"/>
  <c r="J99" i="30"/>
  <c r="I99" i="32"/>
  <c r="I99" i="28"/>
  <c r="I35" i="75"/>
  <c r="G35" i="38"/>
  <c r="G35" i="28"/>
  <c r="K114" i="77"/>
  <c r="L114" i="76"/>
  <c r="K114" i="75"/>
  <c r="I114" i="36"/>
  <c r="I114" i="38"/>
  <c r="P114" i="38" s="1"/>
  <c r="J114" i="34"/>
  <c r="J114" i="30"/>
  <c r="R114" i="30" s="1"/>
  <c r="I114" i="32"/>
  <c r="Q114" i="32" s="1"/>
  <c r="I114" i="28"/>
  <c r="P114" i="28" s="1"/>
  <c r="BO93" i="67"/>
  <c r="J81" i="77"/>
  <c r="H81" i="36"/>
  <c r="H81" i="32"/>
  <c r="K98" i="77"/>
  <c r="K98" i="75"/>
  <c r="I98" i="36"/>
  <c r="L98" i="76"/>
  <c r="I98" i="38"/>
  <c r="J98" i="34"/>
  <c r="I98" i="32"/>
  <c r="J98" i="30"/>
  <c r="I98" i="28"/>
  <c r="BO96" i="67"/>
  <c r="J84" i="77"/>
  <c r="H84" i="36"/>
  <c r="H84" i="32"/>
  <c r="L112" i="76"/>
  <c r="K112" i="77"/>
  <c r="I112" i="36"/>
  <c r="K112" i="75"/>
  <c r="I112" i="38"/>
  <c r="P112" i="38" s="1"/>
  <c r="J112" i="34"/>
  <c r="I112" i="32"/>
  <c r="Q112" i="32" s="1"/>
  <c r="J112" i="30"/>
  <c r="R112" i="30" s="1"/>
  <c r="I112" i="28"/>
  <c r="P112" i="28" s="1"/>
  <c r="I38" i="148"/>
  <c r="I39" i="148"/>
  <c r="I40" i="148"/>
  <c r="I41" i="148"/>
  <c r="I42" i="148"/>
  <c r="I43" i="148"/>
  <c r="I44" i="148"/>
  <c r="I45" i="148"/>
  <c r="I46" i="148"/>
  <c r="H60" i="148"/>
  <c r="H58" i="148"/>
  <c r="H57" i="148"/>
  <c r="H56" i="148"/>
  <c r="H55" i="148"/>
  <c r="H54" i="148"/>
  <c r="H53" i="148"/>
  <c r="H52" i="148"/>
  <c r="H51" i="148"/>
  <c r="H49" i="148"/>
  <c r="H48" i="148"/>
  <c r="H47" i="148"/>
  <c r="H46" i="148"/>
  <c r="H45" i="148"/>
  <c r="H44" i="148"/>
  <c r="H43" i="148"/>
  <c r="H42" i="148"/>
  <c r="H41" i="148"/>
  <c r="H39" i="148"/>
  <c r="H38" i="148"/>
  <c r="H37" i="148"/>
  <c r="H36" i="148"/>
  <c r="H35" i="148"/>
  <c r="H34" i="148"/>
  <c r="H33" i="148"/>
  <c r="H32" i="148"/>
  <c r="H31" i="148"/>
  <c r="H30" i="148"/>
  <c r="H28" i="148"/>
  <c r="H27" i="148"/>
  <c r="H26" i="148"/>
  <c r="H25" i="148"/>
  <c r="H24" i="148"/>
  <c r="H23" i="148"/>
  <c r="H22" i="148"/>
  <c r="H21" i="148"/>
  <c r="H20" i="148"/>
  <c r="H19" i="148"/>
  <c r="H18" i="148"/>
  <c r="H16" i="148"/>
  <c r="H15" i="148"/>
  <c r="H14" i="148"/>
  <c r="H13" i="148"/>
  <c r="H12" i="148"/>
  <c r="H11" i="148"/>
  <c r="H10" i="148"/>
  <c r="H9" i="148"/>
  <c r="H8" i="148"/>
  <c r="H7" i="148"/>
  <c r="H6" i="148"/>
  <c r="H5" i="148"/>
  <c r="N29" i="148"/>
  <c r="M29" i="148"/>
  <c r="N28" i="148"/>
  <c r="M28" i="148"/>
  <c r="N27" i="148"/>
  <c r="M27" i="148"/>
  <c r="N26" i="148"/>
  <c r="M26" i="148"/>
  <c r="L26" i="148"/>
  <c r="K26" i="148"/>
  <c r="J26" i="148"/>
  <c r="N18" i="148"/>
  <c r="M18" i="148"/>
  <c r="N17" i="148"/>
  <c r="M17" i="148"/>
  <c r="N16" i="148"/>
  <c r="M16" i="148"/>
  <c r="N15" i="148"/>
  <c r="M15" i="148"/>
  <c r="N14" i="148"/>
  <c r="M14" i="148"/>
  <c r="N13" i="148"/>
  <c r="M13" i="148"/>
  <c r="N12" i="148"/>
  <c r="M12" i="148"/>
  <c r="L12" i="148"/>
  <c r="K12" i="148"/>
  <c r="J12" i="148"/>
  <c r="N11" i="148"/>
  <c r="M11" i="148"/>
  <c r="L11" i="148"/>
  <c r="K11" i="148"/>
  <c r="J11" i="148"/>
  <c r="N10" i="148"/>
  <c r="M10" i="148"/>
  <c r="L10" i="148"/>
  <c r="K10" i="148"/>
  <c r="J10" i="148"/>
  <c r="N9" i="148"/>
  <c r="M9" i="148"/>
  <c r="L9" i="148"/>
  <c r="K9" i="148"/>
  <c r="J9" i="148"/>
  <c r="N8" i="148"/>
  <c r="M8" i="148"/>
  <c r="L8" i="148"/>
  <c r="K8" i="148"/>
  <c r="J8" i="148"/>
  <c r="N7" i="148"/>
  <c r="M7" i="148"/>
  <c r="L7" i="148"/>
  <c r="K7" i="148"/>
  <c r="J7" i="148"/>
  <c r="P25" i="23"/>
  <c r="P26" i="23"/>
  <c r="P28" i="23"/>
  <c r="T28" i="23"/>
  <c r="D26" i="23"/>
  <c r="J33" i="71"/>
  <c r="I33" i="71"/>
  <c r="R16" i="25"/>
  <c r="R17" i="25"/>
  <c r="R18" i="25"/>
  <c r="R20" i="25"/>
  <c r="W2" i="25"/>
  <c r="X2" i="25"/>
  <c r="V2" i="25"/>
  <c r="R5" i="25"/>
  <c r="R6" i="25"/>
  <c r="R11" i="25" s="1"/>
  <c r="R7" i="25"/>
  <c r="R12" i="25" s="1"/>
  <c r="R8" i="25"/>
  <c r="R19" i="25" s="1"/>
  <c r="R4" i="25"/>
  <c r="R15" i="25" s="1"/>
  <c r="L134" i="77" l="1"/>
  <c r="J139" i="36"/>
  <c r="L145" i="77"/>
  <c r="L143" i="77"/>
  <c r="L135" i="77"/>
  <c r="J144" i="36"/>
  <c r="L138" i="77"/>
  <c r="L142" i="77"/>
  <c r="L137" i="77"/>
  <c r="L140" i="77"/>
  <c r="J141" i="36"/>
  <c r="K181" i="65"/>
  <c r="X118" i="67"/>
  <c r="BO109" i="67"/>
  <c r="BO121" i="67" s="1"/>
  <c r="J97" i="77"/>
  <c r="H97" i="36"/>
  <c r="H97" i="32"/>
  <c r="BR96" i="67"/>
  <c r="K84" i="76"/>
  <c r="J84" i="75"/>
  <c r="I84" i="34"/>
  <c r="H84" i="38"/>
  <c r="I84" i="30"/>
  <c r="H84" i="28"/>
  <c r="BR94" i="67"/>
  <c r="J82" i="75"/>
  <c r="K82" i="76"/>
  <c r="I82" i="34"/>
  <c r="I82" i="30"/>
  <c r="H82" i="38"/>
  <c r="H82" i="28"/>
  <c r="BR89" i="67"/>
  <c r="K77" i="76"/>
  <c r="H77" i="38"/>
  <c r="I77" i="34"/>
  <c r="J77" i="75"/>
  <c r="I77" i="30"/>
  <c r="H77" i="28"/>
  <c r="BO98" i="67"/>
  <c r="J86" i="77"/>
  <c r="H86" i="36"/>
  <c r="H86" i="32"/>
  <c r="BO106" i="67"/>
  <c r="BO118" i="67" s="1"/>
  <c r="J94" i="77"/>
  <c r="H94" i="36"/>
  <c r="H94" i="32"/>
  <c r="BO105" i="67"/>
  <c r="BO117" i="67" s="1"/>
  <c r="J93" i="77"/>
  <c r="H93" i="36"/>
  <c r="H93" i="32"/>
  <c r="BO104" i="67"/>
  <c r="BO116" i="67" s="1"/>
  <c r="J92" i="77"/>
  <c r="H92" i="36"/>
  <c r="H92" i="32"/>
  <c r="BR93" i="67"/>
  <c r="K81" i="76"/>
  <c r="J81" i="75"/>
  <c r="I81" i="34"/>
  <c r="H81" i="38"/>
  <c r="H81" i="28"/>
  <c r="I81" i="30"/>
  <c r="BO102" i="67"/>
  <c r="J90" i="77"/>
  <c r="H90" i="36"/>
  <c r="H90" i="32"/>
  <c r="BR95" i="67"/>
  <c r="K83" i="76"/>
  <c r="J83" i="75"/>
  <c r="I83" i="34"/>
  <c r="H83" i="38"/>
  <c r="I83" i="30"/>
  <c r="H83" i="28"/>
  <c r="BO107" i="67"/>
  <c r="BO119" i="67" s="1"/>
  <c r="J95" i="77"/>
  <c r="H95" i="36"/>
  <c r="H95" i="32"/>
  <c r="BO108" i="67"/>
  <c r="BO120" i="67" s="1"/>
  <c r="J96" i="77"/>
  <c r="H96" i="36"/>
  <c r="H96" i="32"/>
  <c r="BR88" i="67"/>
  <c r="K76" i="76"/>
  <c r="J76" i="75"/>
  <c r="H76" i="38"/>
  <c r="I76" i="34"/>
  <c r="I76" i="30"/>
  <c r="H76" i="28"/>
  <c r="BR90" i="67"/>
  <c r="K78" i="76"/>
  <c r="J78" i="75"/>
  <c r="H78" i="38"/>
  <c r="I78" i="34"/>
  <c r="I78" i="30"/>
  <c r="H78" i="28"/>
  <c r="BO101" i="67"/>
  <c r="J89" i="77"/>
  <c r="H89" i="36"/>
  <c r="H89" i="32"/>
  <c r="BO99" i="67"/>
  <c r="J87" i="77"/>
  <c r="H87" i="36"/>
  <c r="H87" i="32"/>
  <c r="BR97" i="67"/>
  <c r="J85" i="75"/>
  <c r="K85" i="76"/>
  <c r="H85" i="38"/>
  <c r="I85" i="34"/>
  <c r="H85" i="28"/>
  <c r="I85" i="30"/>
  <c r="BR92" i="67"/>
  <c r="K80" i="76"/>
  <c r="J80" i="75"/>
  <c r="H80" i="38"/>
  <c r="I80" i="34"/>
  <c r="I80" i="30"/>
  <c r="H80" i="28"/>
  <c r="BO100" i="67"/>
  <c r="J88" i="77"/>
  <c r="H88" i="36"/>
  <c r="H88" i="32"/>
  <c r="BR91" i="67"/>
  <c r="K79" i="76"/>
  <c r="J79" i="75"/>
  <c r="I79" i="34"/>
  <c r="H79" i="38"/>
  <c r="H79" i="28"/>
  <c r="I79" i="30"/>
  <c r="BR87" i="67"/>
  <c r="K75" i="76"/>
  <c r="J75" i="75"/>
  <c r="I75" i="34"/>
  <c r="H75" i="38"/>
  <c r="I75" i="30"/>
  <c r="H75" i="28"/>
  <c r="BR86" i="67"/>
  <c r="J74" i="75"/>
  <c r="K74" i="76"/>
  <c r="I74" i="34"/>
  <c r="H74" i="38"/>
  <c r="I74" i="30"/>
  <c r="H74" i="28"/>
  <c r="BO103" i="67"/>
  <c r="J91" i="77"/>
  <c r="H91" i="36"/>
  <c r="H91" i="32"/>
  <c r="D25" i="23"/>
  <c r="D29" i="23"/>
  <c r="D28" i="23"/>
  <c r="N114" i="38"/>
  <c r="N114" i="28"/>
  <c r="N112" i="38"/>
  <c r="N112" i="28"/>
  <c r="N110" i="38"/>
  <c r="N110" i="28"/>
  <c r="H29" i="23"/>
  <c r="P115" i="30"/>
  <c r="P110" i="30"/>
  <c r="P113" i="30"/>
  <c r="P112" i="30"/>
  <c r="N115" i="38"/>
  <c r="N115" i="28"/>
  <c r="T25" i="23"/>
  <c r="N113" i="38"/>
  <c r="N113" i="28"/>
  <c r="P114" i="30"/>
  <c r="P27" i="23"/>
  <c r="L27" i="23"/>
  <c r="L26" i="23"/>
  <c r="T29" i="23"/>
  <c r="N111" i="38"/>
  <c r="N111" i="28"/>
  <c r="L25" i="23"/>
  <c r="D27" i="23"/>
  <c r="P111" i="30"/>
  <c r="T27" i="23"/>
  <c r="T26" i="23"/>
  <c r="L29" i="23"/>
  <c r="L28" i="23"/>
  <c r="P29" i="23"/>
  <c r="M2" i="67"/>
  <c r="K40" i="148"/>
  <c r="I39" i="67" s="1"/>
  <c r="J39" i="67" s="1"/>
  <c r="J39" i="148"/>
  <c r="E37" i="67" s="1"/>
  <c r="F37" i="67" s="1"/>
  <c r="O12" i="148"/>
  <c r="O9" i="148"/>
  <c r="L42" i="148"/>
  <c r="M62" i="67" s="1"/>
  <c r="L40" i="148"/>
  <c r="M42" i="67" s="1"/>
  <c r="N42" i="67" s="1"/>
  <c r="K39" i="148"/>
  <c r="I28" i="67" s="1"/>
  <c r="J28" i="67" s="1"/>
  <c r="K42" i="148"/>
  <c r="I72" i="67" s="1"/>
  <c r="J72" i="67" s="1"/>
  <c r="O10" i="148"/>
  <c r="J40" i="148"/>
  <c r="E49" i="67" s="1"/>
  <c r="F49" i="67" s="1"/>
  <c r="O7" i="148"/>
  <c r="O11" i="148"/>
  <c r="K38" i="148"/>
  <c r="I16" i="67" s="1"/>
  <c r="J16" i="67" s="1"/>
  <c r="K41" i="148"/>
  <c r="I50" i="67" s="1"/>
  <c r="L39" i="148"/>
  <c r="M34" i="67" s="1"/>
  <c r="N34" i="67" s="1"/>
  <c r="L41" i="148"/>
  <c r="M50" i="67" s="1"/>
  <c r="E10" i="67"/>
  <c r="F10" i="67" s="1"/>
  <c r="I6" i="67"/>
  <c r="J6" i="67" s="1"/>
  <c r="J41" i="148"/>
  <c r="E54" i="67" s="1"/>
  <c r="F54" i="67" s="1"/>
  <c r="J38" i="148"/>
  <c r="E25" i="67" s="1"/>
  <c r="F25" i="67" s="1"/>
  <c r="O8" i="148"/>
  <c r="H61" i="148"/>
  <c r="L38" i="148"/>
  <c r="M14" i="67" s="1"/>
  <c r="J42" i="148"/>
  <c r="E65" i="67" s="1"/>
  <c r="F65" i="67" s="1"/>
  <c r="H117" i="36" l="1"/>
  <c r="P117" i="36" s="1"/>
  <c r="H117" i="32"/>
  <c r="P117" i="32" s="1"/>
  <c r="J117" i="77"/>
  <c r="J121" i="77"/>
  <c r="H121" i="36"/>
  <c r="P121" i="36" s="1"/>
  <c r="H121" i="32"/>
  <c r="P121" i="32" s="1"/>
  <c r="J120" i="77"/>
  <c r="H120" i="32"/>
  <c r="P120" i="32" s="1"/>
  <c r="H120" i="36"/>
  <c r="P120" i="36" s="1"/>
  <c r="H118" i="32"/>
  <c r="P118" i="32" s="1"/>
  <c r="J118" i="77"/>
  <c r="H118" i="36"/>
  <c r="P118" i="36" s="1"/>
  <c r="H119" i="32"/>
  <c r="P119" i="32" s="1"/>
  <c r="H119" i="36"/>
  <c r="P119" i="36" s="1"/>
  <c r="J119" i="77"/>
  <c r="H116" i="36"/>
  <c r="P116" i="36" s="1"/>
  <c r="J116" i="77"/>
  <c r="H116" i="32"/>
  <c r="P116" i="32" s="1"/>
  <c r="K182" i="65"/>
  <c r="X119" i="67"/>
  <c r="BR102" i="67"/>
  <c r="K90" i="76"/>
  <c r="J90" i="75"/>
  <c r="I90" i="34"/>
  <c r="H90" i="38"/>
  <c r="I90" i="30"/>
  <c r="H90" i="28"/>
  <c r="BR106" i="67"/>
  <c r="BR118" i="67" s="1"/>
  <c r="J94" i="75"/>
  <c r="K94" i="76"/>
  <c r="H94" i="38"/>
  <c r="I94" i="34"/>
  <c r="I94" i="30"/>
  <c r="H94" i="28"/>
  <c r="BR98" i="67"/>
  <c r="K86" i="76"/>
  <c r="J86" i="75"/>
  <c r="I86" i="34"/>
  <c r="H86" i="38"/>
  <c r="I86" i="30"/>
  <c r="H86" i="28"/>
  <c r="BR109" i="67"/>
  <c r="BR121" i="67" s="1"/>
  <c r="K97" i="76"/>
  <c r="J97" i="75"/>
  <c r="I97" i="34"/>
  <c r="H97" i="38"/>
  <c r="I97" i="30"/>
  <c r="H97" i="28"/>
  <c r="BR105" i="67"/>
  <c r="BR117" i="67" s="1"/>
  <c r="K93" i="76"/>
  <c r="J93" i="75"/>
  <c r="H93" i="38"/>
  <c r="I93" i="34"/>
  <c r="I93" i="30"/>
  <c r="H93" i="28"/>
  <c r="S246" i="4"/>
  <c r="DP246" i="4"/>
  <c r="D54" i="75"/>
  <c r="D54" i="38"/>
  <c r="D54" i="28"/>
  <c r="BO110" i="67"/>
  <c r="J98" i="77"/>
  <c r="H98" i="36"/>
  <c r="H98" i="32"/>
  <c r="BO112" i="67"/>
  <c r="J100" i="77"/>
  <c r="H100" i="36"/>
  <c r="H100" i="32"/>
  <c r="T198" i="4"/>
  <c r="DQ198" i="4"/>
  <c r="D6" i="76"/>
  <c r="D6" i="34"/>
  <c r="D6" i="30"/>
  <c r="DP229" i="4"/>
  <c r="S229" i="4"/>
  <c r="D37" i="75"/>
  <c r="D37" i="38"/>
  <c r="D37" i="28"/>
  <c r="DP202" i="4"/>
  <c r="S202" i="4"/>
  <c r="D10" i="75"/>
  <c r="D10" i="38"/>
  <c r="D10" i="28"/>
  <c r="T231" i="4"/>
  <c r="DQ231" i="4"/>
  <c r="D39" i="76"/>
  <c r="D39" i="34"/>
  <c r="D39" i="30"/>
  <c r="BO111" i="67"/>
  <c r="J99" i="77"/>
  <c r="H99" i="36"/>
  <c r="H99" i="32"/>
  <c r="J104" i="77"/>
  <c r="H104" i="36"/>
  <c r="H104" i="32"/>
  <c r="DQ208" i="4"/>
  <c r="T208" i="4"/>
  <c r="D16" i="76"/>
  <c r="D16" i="34"/>
  <c r="D16" i="30"/>
  <c r="DP217" i="4"/>
  <c r="S217" i="4"/>
  <c r="D25" i="75"/>
  <c r="D25" i="38"/>
  <c r="D25" i="28"/>
  <c r="N62" i="67"/>
  <c r="DH62" i="67" s="1"/>
  <c r="N2" i="67"/>
  <c r="DH2" i="67" s="1"/>
  <c r="BR107" i="67"/>
  <c r="BR119" i="67" s="1"/>
  <c r="K95" i="76"/>
  <c r="J95" i="75"/>
  <c r="I95" i="34"/>
  <c r="H95" i="38"/>
  <c r="I95" i="30"/>
  <c r="H95" i="28"/>
  <c r="DR234" i="4"/>
  <c r="U234" i="4"/>
  <c r="D42" i="77"/>
  <c r="D42" i="36"/>
  <c r="D42" i="32"/>
  <c r="N50" i="67"/>
  <c r="DK50" i="67" s="1"/>
  <c r="DR226" i="4"/>
  <c r="U226" i="4"/>
  <c r="D34" i="77"/>
  <c r="D34" i="36"/>
  <c r="D34" i="32"/>
  <c r="BR100" i="67"/>
  <c r="J88" i="75"/>
  <c r="K88" i="76"/>
  <c r="I88" i="34"/>
  <c r="H88" i="38"/>
  <c r="I88" i="30"/>
  <c r="H88" i="28"/>
  <c r="BR108" i="67"/>
  <c r="BR120" i="67" s="1"/>
  <c r="K96" i="76"/>
  <c r="J96" i="75"/>
  <c r="H96" i="38"/>
  <c r="I96" i="34"/>
  <c r="I96" i="30"/>
  <c r="H96" i="28"/>
  <c r="J50" i="67"/>
  <c r="DG50" i="67" s="1"/>
  <c r="BR99" i="67"/>
  <c r="K87" i="76"/>
  <c r="J87" i="75"/>
  <c r="I87" i="34"/>
  <c r="H87" i="38"/>
  <c r="I87" i="30"/>
  <c r="H87" i="28"/>
  <c r="BO113" i="67"/>
  <c r="J101" i="77"/>
  <c r="H101" i="36"/>
  <c r="H101" i="32"/>
  <c r="J105" i="77"/>
  <c r="H105" i="36"/>
  <c r="H105" i="32"/>
  <c r="BR101" i="67"/>
  <c r="K89" i="76"/>
  <c r="J89" i="75"/>
  <c r="I89" i="34"/>
  <c r="H89" i="38"/>
  <c r="I89" i="30"/>
  <c r="H89" i="28"/>
  <c r="BO115" i="67"/>
  <c r="H115" i="36" s="1"/>
  <c r="P115" i="36" s="1"/>
  <c r="J103" i="77"/>
  <c r="H103" i="36"/>
  <c r="H103" i="32"/>
  <c r="BR104" i="67"/>
  <c r="BR116" i="67" s="1"/>
  <c r="K92" i="76"/>
  <c r="J92" i="75"/>
  <c r="H92" i="38"/>
  <c r="I92" i="34"/>
  <c r="I92" i="30"/>
  <c r="H92" i="28"/>
  <c r="BO114" i="67"/>
  <c r="J102" i="77"/>
  <c r="H102" i="36"/>
  <c r="H102" i="32"/>
  <c r="J108" i="77"/>
  <c r="H108" i="36"/>
  <c r="H108" i="32"/>
  <c r="J109" i="77"/>
  <c r="H109" i="36"/>
  <c r="H109" i="32"/>
  <c r="DP241" i="4"/>
  <c r="S241" i="4"/>
  <c r="D49" i="75"/>
  <c r="D49" i="38"/>
  <c r="D49" i="28"/>
  <c r="DP257" i="4"/>
  <c r="S257" i="4"/>
  <c r="D65" i="75"/>
  <c r="D65" i="38"/>
  <c r="D65" i="28"/>
  <c r="N14" i="67"/>
  <c r="DH14" i="67" s="1"/>
  <c r="T264" i="4"/>
  <c r="DQ264" i="4"/>
  <c r="D72" i="76"/>
  <c r="D72" i="34"/>
  <c r="D72" i="30"/>
  <c r="J106" i="77"/>
  <c r="H106" i="36"/>
  <c r="H106" i="32"/>
  <c r="T220" i="4"/>
  <c r="DQ220" i="4"/>
  <c r="D28" i="76"/>
  <c r="D28" i="34"/>
  <c r="D28" i="30"/>
  <c r="BR103" i="67"/>
  <c r="J91" i="75"/>
  <c r="K91" i="76"/>
  <c r="I91" i="34"/>
  <c r="H91" i="38"/>
  <c r="I91" i="30"/>
  <c r="H91" i="28"/>
  <c r="J107" i="77"/>
  <c r="H107" i="36"/>
  <c r="H107" i="32"/>
  <c r="H27" i="23"/>
  <c r="H28" i="23"/>
  <c r="H26" i="23"/>
  <c r="H25" i="23"/>
  <c r="E23" i="67"/>
  <c r="F23" i="67" s="1"/>
  <c r="DB23" i="67" s="1"/>
  <c r="DC23" i="67" s="1"/>
  <c r="E61" i="67"/>
  <c r="F61" i="67" s="1"/>
  <c r="DD61" i="67" s="1"/>
  <c r="E60" i="67"/>
  <c r="F60" i="67" s="1"/>
  <c r="DB60" i="67" s="1"/>
  <c r="DC60" i="67" s="1"/>
  <c r="E51" i="67"/>
  <c r="F51" i="67" s="1"/>
  <c r="DB51" i="67" s="1"/>
  <c r="DC51" i="67" s="1"/>
  <c r="E50" i="67"/>
  <c r="I46" i="67"/>
  <c r="J46" i="67" s="1"/>
  <c r="DG46" i="67" s="1"/>
  <c r="E22" i="67"/>
  <c r="F22" i="67" s="1"/>
  <c r="DD22" i="67" s="1"/>
  <c r="I45" i="67"/>
  <c r="J45" i="67" s="1"/>
  <c r="DE45" i="67" s="1"/>
  <c r="DF45" i="67" s="1"/>
  <c r="E21" i="67"/>
  <c r="F21" i="67" s="1"/>
  <c r="DB21" i="67" s="1"/>
  <c r="DC21" i="67" s="1"/>
  <c r="I44" i="67"/>
  <c r="J44" i="67" s="1"/>
  <c r="DG44" i="67" s="1"/>
  <c r="E20" i="67"/>
  <c r="F20" i="67" s="1"/>
  <c r="DD20" i="67" s="1"/>
  <c r="I43" i="67"/>
  <c r="J43" i="67" s="1"/>
  <c r="E19" i="67"/>
  <c r="F19" i="67" s="1"/>
  <c r="I42" i="67"/>
  <c r="J42" i="67" s="1"/>
  <c r="DE42" i="67" s="1"/>
  <c r="DF42" i="67" s="1"/>
  <c r="E18" i="67"/>
  <c r="F18" i="67" s="1"/>
  <c r="I41" i="67"/>
  <c r="J41" i="67" s="1"/>
  <c r="E17" i="67"/>
  <c r="F17" i="67" s="1"/>
  <c r="DB17" i="67" s="1"/>
  <c r="DC17" i="67" s="1"/>
  <c r="I38" i="67"/>
  <c r="I49" i="67"/>
  <c r="J49" i="67" s="1"/>
  <c r="DE49" i="67" s="1"/>
  <c r="DF49" i="67" s="1"/>
  <c r="I48" i="67"/>
  <c r="J48" i="67" s="1"/>
  <c r="DE48" i="67" s="1"/>
  <c r="DF48" i="67" s="1"/>
  <c r="E9" i="67"/>
  <c r="F9" i="67" s="1"/>
  <c r="DB9" i="67" s="1"/>
  <c r="DC9" i="67" s="1"/>
  <c r="I27" i="67"/>
  <c r="J27" i="67" s="1"/>
  <c r="M25" i="67"/>
  <c r="N25" i="67" s="1"/>
  <c r="I69" i="67"/>
  <c r="J69" i="67" s="1"/>
  <c r="DG69" i="67" s="1"/>
  <c r="M23" i="67"/>
  <c r="N23" i="67" s="1"/>
  <c r="DH23" i="67" s="1"/>
  <c r="M41" i="67"/>
  <c r="N41" i="67" s="1"/>
  <c r="DL41" i="67" s="1"/>
  <c r="I5" i="67"/>
  <c r="J5" i="67" s="1"/>
  <c r="E24" i="67"/>
  <c r="F24" i="67" s="1"/>
  <c r="DD24" i="67" s="1"/>
  <c r="I47" i="67"/>
  <c r="J47" i="67" s="1"/>
  <c r="M19" i="67"/>
  <c r="N19" i="67" s="1"/>
  <c r="DK19" i="67" s="1"/>
  <c r="M33" i="67"/>
  <c r="N33" i="67" s="1"/>
  <c r="DK33" i="67" s="1"/>
  <c r="I15" i="67"/>
  <c r="J15" i="67" s="1"/>
  <c r="I71" i="67"/>
  <c r="J71" i="67" s="1"/>
  <c r="DE71" i="67" s="1"/>
  <c r="DF71" i="67" s="1"/>
  <c r="I65" i="67"/>
  <c r="J65" i="67" s="1"/>
  <c r="DG65" i="67" s="1"/>
  <c r="E59" i="67"/>
  <c r="F59" i="67" s="1"/>
  <c r="E36" i="67"/>
  <c r="F36" i="67" s="1"/>
  <c r="E58" i="67"/>
  <c r="F58" i="67" s="1"/>
  <c r="DD58" i="67" s="1"/>
  <c r="M61" i="67"/>
  <c r="N61" i="67" s="1"/>
  <c r="DK61" i="67" s="1"/>
  <c r="E57" i="67"/>
  <c r="F57" i="67" s="1"/>
  <c r="DB57" i="67" s="1"/>
  <c r="DC57" i="67" s="1"/>
  <c r="E56" i="67"/>
  <c r="F56" i="67" s="1"/>
  <c r="DB56" i="67" s="1"/>
  <c r="DC56" i="67" s="1"/>
  <c r="I61" i="67"/>
  <c r="J61" i="67" s="1"/>
  <c r="DE61" i="67" s="1"/>
  <c r="DF61" i="67" s="1"/>
  <c r="E53" i="67"/>
  <c r="F53" i="67" s="1"/>
  <c r="I40" i="67"/>
  <c r="J40" i="67" s="1"/>
  <c r="E16" i="67"/>
  <c r="F16" i="67" s="1"/>
  <c r="DB16" i="67" s="1"/>
  <c r="DC16" i="67" s="1"/>
  <c r="E52" i="67"/>
  <c r="F52" i="67" s="1"/>
  <c r="DH34" i="67"/>
  <c r="DL34" i="67"/>
  <c r="DK34" i="67"/>
  <c r="DG16" i="67"/>
  <c r="DE16" i="67"/>
  <c r="DF16" i="67" s="1"/>
  <c r="DD49" i="67"/>
  <c r="DB49" i="67"/>
  <c r="DC49" i="67" s="1"/>
  <c r="DB65" i="67"/>
  <c r="DC65" i="67" s="1"/>
  <c r="DD65" i="67"/>
  <c r="DG72" i="67"/>
  <c r="DE72" i="67"/>
  <c r="DF72" i="67" s="1"/>
  <c r="DG28" i="67"/>
  <c r="DE28" i="67"/>
  <c r="DF28" i="67" s="1"/>
  <c r="DK42" i="67"/>
  <c r="DH42" i="67"/>
  <c r="DL42" i="67"/>
  <c r="DB54" i="67"/>
  <c r="DC54" i="67" s="1"/>
  <c r="DD54" i="67"/>
  <c r="DB25" i="67"/>
  <c r="DC25" i="67" s="1"/>
  <c r="DD25" i="67"/>
  <c r="DE6" i="67"/>
  <c r="DF6" i="67" s="1"/>
  <c r="DG6" i="67"/>
  <c r="DB37" i="67"/>
  <c r="DC37" i="67" s="1"/>
  <c r="DD37" i="67"/>
  <c r="DD10" i="67"/>
  <c r="DB10" i="67"/>
  <c r="DC10" i="67" s="1"/>
  <c r="I60" i="67"/>
  <c r="J60" i="67" s="1"/>
  <c r="M24" i="67"/>
  <c r="N24" i="67" s="1"/>
  <c r="M40" i="67"/>
  <c r="N40" i="67" s="1"/>
  <c r="I4" i="67"/>
  <c r="J4" i="67" s="1"/>
  <c r="E8" i="67"/>
  <c r="F8" i="67" s="1"/>
  <c r="I26" i="67"/>
  <c r="M32" i="67"/>
  <c r="N32" i="67" s="1"/>
  <c r="I14" i="67"/>
  <c r="I70" i="67"/>
  <c r="J70" i="67" s="1"/>
  <c r="E35" i="67"/>
  <c r="F35" i="67" s="1"/>
  <c r="M60" i="67"/>
  <c r="N60" i="67" s="1"/>
  <c r="I59" i="67"/>
  <c r="J59" i="67" s="1"/>
  <c r="M39" i="67"/>
  <c r="N39" i="67" s="1"/>
  <c r="I3" i="67"/>
  <c r="J3" i="67" s="1"/>
  <c r="E7" i="67"/>
  <c r="F7" i="67" s="1"/>
  <c r="I37" i="67"/>
  <c r="J37" i="67" s="1"/>
  <c r="M31" i="67"/>
  <c r="N31" i="67" s="1"/>
  <c r="I25" i="67"/>
  <c r="J25" i="67" s="1"/>
  <c r="E34" i="67"/>
  <c r="F34" i="67" s="1"/>
  <c r="M59" i="67"/>
  <c r="N59" i="67" s="1"/>
  <c r="I58" i="67"/>
  <c r="J58" i="67" s="1"/>
  <c r="M22" i="67"/>
  <c r="N22" i="67" s="1"/>
  <c r="M38" i="67"/>
  <c r="I2" i="67"/>
  <c r="E6" i="67"/>
  <c r="F6" i="67" s="1"/>
  <c r="I36" i="67"/>
  <c r="J36" i="67" s="1"/>
  <c r="M30" i="67"/>
  <c r="N30" i="67" s="1"/>
  <c r="I24" i="67"/>
  <c r="J24" i="67" s="1"/>
  <c r="I68" i="67"/>
  <c r="J68" i="67" s="1"/>
  <c r="E33" i="67"/>
  <c r="F33" i="67" s="1"/>
  <c r="M58" i="67"/>
  <c r="N58" i="67" s="1"/>
  <c r="I57" i="67"/>
  <c r="J57" i="67" s="1"/>
  <c r="M13" i="67"/>
  <c r="N13" i="67" s="1"/>
  <c r="M21" i="67"/>
  <c r="N21" i="67" s="1"/>
  <c r="M49" i="67"/>
  <c r="N49" i="67" s="1"/>
  <c r="E5" i="67"/>
  <c r="F5" i="67" s="1"/>
  <c r="E48" i="67"/>
  <c r="F48" i="67" s="1"/>
  <c r="I35" i="67"/>
  <c r="J35" i="67" s="1"/>
  <c r="M73" i="67"/>
  <c r="N73" i="67" s="1"/>
  <c r="I23" i="67"/>
  <c r="J23" i="67" s="1"/>
  <c r="I67" i="67"/>
  <c r="J67" i="67" s="1"/>
  <c r="E64" i="67"/>
  <c r="F64" i="67" s="1"/>
  <c r="M57" i="67"/>
  <c r="N57" i="67" s="1"/>
  <c r="I56" i="67"/>
  <c r="J56" i="67" s="1"/>
  <c r="M12" i="67"/>
  <c r="N12" i="67" s="1"/>
  <c r="M20" i="67"/>
  <c r="N20" i="67" s="1"/>
  <c r="M48" i="67"/>
  <c r="N48" i="67" s="1"/>
  <c r="E4" i="67"/>
  <c r="F4" i="67" s="1"/>
  <c r="E47" i="67"/>
  <c r="F47" i="67" s="1"/>
  <c r="I34" i="67"/>
  <c r="J34" i="67" s="1"/>
  <c r="M72" i="67"/>
  <c r="N72" i="67" s="1"/>
  <c r="I22" i="67"/>
  <c r="J22" i="67" s="1"/>
  <c r="I66" i="67"/>
  <c r="J66" i="67" s="1"/>
  <c r="E63" i="67"/>
  <c r="F63" i="67" s="1"/>
  <c r="M56" i="67"/>
  <c r="N56" i="67" s="1"/>
  <c r="I55" i="67"/>
  <c r="J55" i="67" s="1"/>
  <c r="M11" i="67"/>
  <c r="N11" i="67" s="1"/>
  <c r="M47" i="67"/>
  <c r="N47" i="67" s="1"/>
  <c r="E3" i="67"/>
  <c r="F3" i="67" s="1"/>
  <c r="E46" i="67"/>
  <c r="F46" i="67" s="1"/>
  <c r="I33" i="67"/>
  <c r="J33" i="67" s="1"/>
  <c r="M71" i="67"/>
  <c r="N71" i="67" s="1"/>
  <c r="I21" i="67"/>
  <c r="J21" i="67" s="1"/>
  <c r="E62" i="67"/>
  <c r="M55" i="67"/>
  <c r="N55" i="67" s="1"/>
  <c r="I54" i="67"/>
  <c r="J54" i="67" s="1"/>
  <c r="M10" i="67"/>
  <c r="N10" i="67" s="1"/>
  <c r="M18" i="67"/>
  <c r="N18" i="67" s="1"/>
  <c r="M46" i="67"/>
  <c r="N46" i="67" s="1"/>
  <c r="E2" i="67"/>
  <c r="E45" i="67"/>
  <c r="F45" i="67" s="1"/>
  <c r="I32" i="67"/>
  <c r="J32" i="67" s="1"/>
  <c r="M70" i="67"/>
  <c r="N70" i="67" s="1"/>
  <c r="I20" i="67"/>
  <c r="J20" i="67" s="1"/>
  <c r="I64" i="67"/>
  <c r="J64" i="67" s="1"/>
  <c r="E73" i="67"/>
  <c r="F73" i="67" s="1"/>
  <c r="M54" i="67"/>
  <c r="N54" i="67" s="1"/>
  <c r="I53" i="67"/>
  <c r="J53" i="67" s="1"/>
  <c r="M9" i="67"/>
  <c r="N9" i="67" s="1"/>
  <c r="M17" i="67"/>
  <c r="N17" i="67" s="1"/>
  <c r="I13" i="67"/>
  <c r="J13" i="67" s="1"/>
  <c r="DG39" i="67"/>
  <c r="DE39" i="67"/>
  <c r="DF39" i="67" s="1"/>
  <c r="E44" i="67"/>
  <c r="F44" i="67" s="1"/>
  <c r="M29" i="67"/>
  <c r="N29" i="67" s="1"/>
  <c r="M69" i="67"/>
  <c r="N69" i="67" s="1"/>
  <c r="I19" i="67"/>
  <c r="J19" i="67" s="1"/>
  <c r="E32" i="67"/>
  <c r="F32" i="67" s="1"/>
  <c r="E72" i="67"/>
  <c r="F72" i="67" s="1"/>
  <c r="M53" i="67"/>
  <c r="N53" i="67" s="1"/>
  <c r="I52" i="67"/>
  <c r="J52" i="67" s="1"/>
  <c r="M8" i="67"/>
  <c r="N8" i="67" s="1"/>
  <c r="M16" i="67"/>
  <c r="N16" i="67" s="1"/>
  <c r="I12" i="67"/>
  <c r="J12" i="67" s="1"/>
  <c r="E43" i="67"/>
  <c r="F43" i="67" s="1"/>
  <c r="M28" i="67"/>
  <c r="N28" i="67" s="1"/>
  <c r="M68" i="67"/>
  <c r="N68" i="67" s="1"/>
  <c r="I18" i="67"/>
  <c r="J18" i="67" s="1"/>
  <c r="E31" i="67"/>
  <c r="F31" i="67" s="1"/>
  <c r="E71" i="67"/>
  <c r="F71" i="67" s="1"/>
  <c r="M52" i="67"/>
  <c r="N52" i="67" s="1"/>
  <c r="I51" i="67"/>
  <c r="J51" i="67" s="1"/>
  <c r="M7" i="67"/>
  <c r="N7" i="67" s="1"/>
  <c r="M15" i="67"/>
  <c r="N15" i="67" s="1"/>
  <c r="I11" i="67"/>
  <c r="J11" i="67" s="1"/>
  <c r="E42" i="67"/>
  <c r="F42" i="67" s="1"/>
  <c r="M27" i="67"/>
  <c r="N27" i="67" s="1"/>
  <c r="M67" i="67"/>
  <c r="N67" i="67" s="1"/>
  <c r="I17" i="67"/>
  <c r="J17" i="67" s="1"/>
  <c r="E30" i="67"/>
  <c r="F30" i="67" s="1"/>
  <c r="E70" i="67"/>
  <c r="F70" i="67" s="1"/>
  <c r="M51" i="67"/>
  <c r="N51" i="67" s="1"/>
  <c r="M6" i="67"/>
  <c r="N6" i="67" s="1"/>
  <c r="I10" i="67"/>
  <c r="J10" i="67" s="1"/>
  <c r="E41" i="67"/>
  <c r="F41" i="67" s="1"/>
  <c r="M26" i="67"/>
  <c r="M66" i="67"/>
  <c r="N66" i="67" s="1"/>
  <c r="E29" i="67"/>
  <c r="F29" i="67" s="1"/>
  <c r="E69" i="67"/>
  <c r="F69" i="67" s="1"/>
  <c r="M5" i="67"/>
  <c r="N5" i="67" s="1"/>
  <c r="M45" i="67"/>
  <c r="N45" i="67" s="1"/>
  <c r="I9" i="67"/>
  <c r="J9" i="67" s="1"/>
  <c r="E13" i="67"/>
  <c r="F13" i="67" s="1"/>
  <c r="E40" i="67"/>
  <c r="F40" i="67" s="1"/>
  <c r="I31" i="67"/>
  <c r="J31" i="67" s="1"/>
  <c r="M37" i="67"/>
  <c r="N37" i="67" s="1"/>
  <c r="M65" i="67"/>
  <c r="N65" i="67" s="1"/>
  <c r="I63" i="67"/>
  <c r="J63" i="67" s="1"/>
  <c r="E28" i="67"/>
  <c r="F28" i="67" s="1"/>
  <c r="E68" i="67"/>
  <c r="F68" i="67" s="1"/>
  <c r="E15" i="67"/>
  <c r="F15" i="67" s="1"/>
  <c r="M4" i="67"/>
  <c r="N4" i="67" s="1"/>
  <c r="M44" i="67"/>
  <c r="N44" i="67" s="1"/>
  <c r="I8" i="67"/>
  <c r="J8" i="67" s="1"/>
  <c r="E12" i="67"/>
  <c r="F12" i="67" s="1"/>
  <c r="E39" i="67"/>
  <c r="F39" i="67" s="1"/>
  <c r="I30" i="67"/>
  <c r="J30" i="67" s="1"/>
  <c r="M36" i="67"/>
  <c r="N36" i="67" s="1"/>
  <c r="M64" i="67"/>
  <c r="N64" i="67" s="1"/>
  <c r="I62" i="67"/>
  <c r="E27" i="67"/>
  <c r="F27" i="67" s="1"/>
  <c r="E67" i="67"/>
  <c r="F67" i="67" s="1"/>
  <c r="E14" i="67"/>
  <c r="E55" i="67"/>
  <c r="F55" i="67" s="1"/>
  <c r="M3" i="67"/>
  <c r="N3" i="67" s="1"/>
  <c r="M43" i="67"/>
  <c r="N43" i="67" s="1"/>
  <c r="I7" i="67"/>
  <c r="J7" i="67" s="1"/>
  <c r="E11" i="67"/>
  <c r="F11" i="67" s="1"/>
  <c r="E38" i="67"/>
  <c r="I29" i="67"/>
  <c r="J29" i="67" s="1"/>
  <c r="M35" i="67"/>
  <c r="N35" i="67" s="1"/>
  <c r="M63" i="67"/>
  <c r="N63" i="67" s="1"/>
  <c r="I73" i="67"/>
  <c r="J73" i="67" s="1"/>
  <c r="E26" i="67"/>
  <c r="E66" i="67"/>
  <c r="F66" i="67" s="1"/>
  <c r="W110" i="67"/>
  <c r="H62" i="148"/>
  <c r="DK2" i="67" l="1"/>
  <c r="DL2" i="67"/>
  <c r="DL14" i="67"/>
  <c r="DK14" i="67"/>
  <c r="J121" i="75"/>
  <c r="K121" i="76"/>
  <c r="H121" i="38"/>
  <c r="O121" i="38" s="1"/>
  <c r="I121" i="34"/>
  <c r="Q121" i="34" s="1"/>
  <c r="I121" i="30"/>
  <c r="Q121" i="30" s="1"/>
  <c r="H121" i="28"/>
  <c r="O121" i="28" s="1"/>
  <c r="Q121" i="28" s="1"/>
  <c r="J120" i="75"/>
  <c r="H120" i="28"/>
  <c r="O120" i="28" s="1"/>
  <c r="Q120" i="28" s="1"/>
  <c r="I120" i="34"/>
  <c r="Q120" i="34" s="1"/>
  <c r="I120" i="30"/>
  <c r="Q120" i="30" s="1"/>
  <c r="H120" i="38"/>
  <c r="O120" i="38" s="1"/>
  <c r="K120" i="76"/>
  <c r="H118" i="38"/>
  <c r="O118" i="38" s="1"/>
  <c r="I118" i="34"/>
  <c r="Q118" i="34" s="1"/>
  <c r="J118" i="75"/>
  <c r="I118" i="30"/>
  <c r="Q118" i="30" s="1"/>
  <c r="H118" i="28"/>
  <c r="O118" i="28" s="1"/>
  <c r="Q118" i="28" s="1"/>
  <c r="K118" i="76"/>
  <c r="K117" i="76"/>
  <c r="I117" i="30"/>
  <c r="Q117" i="30" s="1"/>
  <c r="H117" i="28"/>
  <c r="O117" i="28" s="1"/>
  <c r="Q117" i="28" s="1"/>
  <c r="J117" i="75"/>
  <c r="H117" i="38"/>
  <c r="O117" i="38" s="1"/>
  <c r="I117" i="34"/>
  <c r="Q117" i="34" s="1"/>
  <c r="H116" i="38"/>
  <c r="O116" i="38" s="1"/>
  <c r="I116" i="34"/>
  <c r="Q116" i="34" s="1"/>
  <c r="H116" i="28"/>
  <c r="O116" i="28" s="1"/>
  <c r="Q116" i="28" s="1"/>
  <c r="J116" i="75"/>
  <c r="I116" i="30"/>
  <c r="Q116" i="30" s="1"/>
  <c r="K116" i="76"/>
  <c r="H119" i="38"/>
  <c r="O119" i="38" s="1"/>
  <c r="K119" i="76"/>
  <c r="I119" i="30"/>
  <c r="Q119" i="30" s="1"/>
  <c r="H119" i="28"/>
  <c r="O119" i="28" s="1"/>
  <c r="Q119" i="28" s="1"/>
  <c r="I119" i="34"/>
  <c r="Q119" i="34" s="1"/>
  <c r="J119" i="75"/>
  <c r="DB61" i="67"/>
  <c r="DC61" i="67" s="1"/>
  <c r="DK62" i="67"/>
  <c r="DL62" i="67"/>
  <c r="DE50" i="67"/>
  <c r="DF50" i="67" s="1"/>
  <c r="DL50" i="67"/>
  <c r="DH50" i="67"/>
  <c r="DJ50" i="67" s="1"/>
  <c r="K183" i="65"/>
  <c r="X121" i="67" s="1"/>
  <c r="X120" i="67"/>
  <c r="DD56" i="67"/>
  <c r="DB22" i="67"/>
  <c r="DC22" i="67" s="1"/>
  <c r="DG45" i="67"/>
  <c r="DL23" i="67"/>
  <c r="DK23" i="67"/>
  <c r="DE44" i="67"/>
  <c r="DF44" i="67" s="1"/>
  <c r="DG61" i="67"/>
  <c r="DB20" i="67"/>
  <c r="DC20" i="67" s="1"/>
  <c r="DD17" i="67"/>
  <c r="DD16" i="67"/>
  <c r="DH41" i="67"/>
  <c r="DD21" i="67"/>
  <c r="DK41" i="67"/>
  <c r="DH33" i="67"/>
  <c r="DL19" i="67"/>
  <c r="DG49" i="67"/>
  <c r="U229" i="4"/>
  <c r="DR229" i="4"/>
  <c r="D37" i="77"/>
  <c r="D37" i="36"/>
  <c r="D37" i="32"/>
  <c r="D54" i="77"/>
  <c r="U246" i="4"/>
  <c r="DR246" i="4"/>
  <c r="D54" i="36"/>
  <c r="D54" i="32"/>
  <c r="U197" i="4"/>
  <c r="D5" i="77"/>
  <c r="DR197" i="4"/>
  <c r="D5" i="36"/>
  <c r="D5" i="32"/>
  <c r="DP233" i="4"/>
  <c r="S233" i="4"/>
  <c r="D41" i="75"/>
  <c r="D41" i="38"/>
  <c r="D41" i="28"/>
  <c r="DR259" i="4"/>
  <c r="U259" i="4"/>
  <c r="D67" i="77"/>
  <c r="D67" i="36"/>
  <c r="D67" i="32"/>
  <c r="S263" i="4"/>
  <c r="DP263" i="4"/>
  <c r="D71" i="75"/>
  <c r="D71" i="38"/>
  <c r="D71" i="28"/>
  <c r="S237" i="4"/>
  <c r="DP237" i="4"/>
  <c r="D45" i="75"/>
  <c r="D45" i="38"/>
  <c r="D45" i="28"/>
  <c r="T213" i="4"/>
  <c r="DQ213" i="4"/>
  <c r="D21" i="76"/>
  <c r="D21" i="34"/>
  <c r="D21" i="30"/>
  <c r="U248" i="4"/>
  <c r="D56" i="77"/>
  <c r="DR248" i="4"/>
  <c r="D56" i="36"/>
  <c r="D56" i="32"/>
  <c r="DR241" i="4"/>
  <c r="U241" i="4"/>
  <c r="D49" i="77"/>
  <c r="D49" i="36"/>
  <c r="D49" i="32"/>
  <c r="T260" i="4"/>
  <c r="DQ260" i="4"/>
  <c r="D68" i="76"/>
  <c r="D68" i="34"/>
  <c r="D68" i="30"/>
  <c r="J26" i="67"/>
  <c r="DE26" i="67" s="1"/>
  <c r="DF26" i="67" s="1"/>
  <c r="DP249" i="4"/>
  <c r="S249" i="4"/>
  <c r="D57" i="75"/>
  <c r="D57" i="38"/>
  <c r="D57" i="28"/>
  <c r="DR217" i="4"/>
  <c r="U217" i="4"/>
  <c r="D25" i="77"/>
  <c r="D25" i="36"/>
  <c r="D25" i="32"/>
  <c r="S214" i="4"/>
  <c r="DP214" i="4"/>
  <c r="D22" i="75"/>
  <c r="D22" i="38"/>
  <c r="D22" i="28"/>
  <c r="J115" i="77"/>
  <c r="H115" i="32"/>
  <c r="P115" i="32" s="1"/>
  <c r="BR112" i="67"/>
  <c r="K100" i="76"/>
  <c r="J100" i="75"/>
  <c r="I100" i="34"/>
  <c r="H100" i="38"/>
  <c r="I100" i="30"/>
  <c r="H100" i="28"/>
  <c r="Z6" i="17"/>
  <c r="J112" i="77"/>
  <c r="H112" i="36"/>
  <c r="H112" i="32"/>
  <c r="P112" i="32" s="1"/>
  <c r="J109" i="75"/>
  <c r="K109" i="76"/>
  <c r="H109" i="38"/>
  <c r="I109" i="34"/>
  <c r="I133" i="34" s="1"/>
  <c r="I145" i="34" s="1"/>
  <c r="I109" i="30"/>
  <c r="H109" i="28"/>
  <c r="F38" i="67"/>
  <c r="S259" i="4"/>
  <c r="DP259" i="4"/>
  <c r="D67" i="75"/>
  <c r="D67" i="38"/>
  <c r="D67" i="28"/>
  <c r="DG48" i="67"/>
  <c r="D27" i="77"/>
  <c r="DR219" i="4"/>
  <c r="U219" i="4"/>
  <c r="D27" i="36"/>
  <c r="D27" i="32"/>
  <c r="D71" i="77"/>
  <c r="U263" i="4"/>
  <c r="DR263" i="4"/>
  <c r="D71" i="36"/>
  <c r="D71" i="32"/>
  <c r="U213" i="4"/>
  <c r="DR213" i="4"/>
  <c r="D21" i="77"/>
  <c r="D21" i="36"/>
  <c r="D21" i="32"/>
  <c r="DQ219" i="4"/>
  <c r="T219" i="4"/>
  <c r="D27" i="76"/>
  <c r="D27" i="34"/>
  <c r="D27" i="30"/>
  <c r="D2" i="77"/>
  <c r="DR194" i="4"/>
  <c r="U194" i="4"/>
  <c r="D2" i="36"/>
  <c r="D2" i="32"/>
  <c r="S236" i="4"/>
  <c r="DP236" i="4"/>
  <c r="D44" i="75"/>
  <c r="D44" i="38"/>
  <c r="D44" i="28"/>
  <c r="T221" i="4"/>
  <c r="DQ221" i="4"/>
  <c r="D29" i="76"/>
  <c r="D29" i="34"/>
  <c r="D29" i="30"/>
  <c r="DP223" i="4"/>
  <c r="S223" i="4"/>
  <c r="D31" i="75"/>
  <c r="D31" i="38"/>
  <c r="D31" i="28"/>
  <c r="F2" i="67"/>
  <c r="DD2" i="67" s="1"/>
  <c r="D6" i="17"/>
  <c r="DP255" i="4"/>
  <c r="S255" i="4"/>
  <c r="D63" i="75"/>
  <c r="D63" i="38"/>
  <c r="D63" i="28"/>
  <c r="T216" i="4"/>
  <c r="DQ216" i="4"/>
  <c r="D24" i="76"/>
  <c r="D24" i="34"/>
  <c r="D24" i="30"/>
  <c r="DD51" i="67"/>
  <c r="S200" i="4"/>
  <c r="DP200" i="4"/>
  <c r="D8" i="75"/>
  <c r="D8" i="38"/>
  <c r="D8" i="28"/>
  <c r="DL61" i="67"/>
  <c r="D61" i="77"/>
  <c r="U253" i="4"/>
  <c r="DR253" i="4"/>
  <c r="D61" i="32"/>
  <c r="D61" i="36"/>
  <c r="DQ238" i="4"/>
  <c r="T238" i="4"/>
  <c r="D46" i="76"/>
  <c r="D46" i="34"/>
  <c r="D46" i="30"/>
  <c r="S203" i="4"/>
  <c r="DP203" i="4"/>
  <c r="D11" i="75"/>
  <c r="D11" i="38"/>
  <c r="D11" i="28"/>
  <c r="S219" i="4"/>
  <c r="DP219" i="4"/>
  <c r="D27" i="75"/>
  <c r="D27" i="38"/>
  <c r="D27" i="28"/>
  <c r="DD57" i="67"/>
  <c r="DP234" i="4"/>
  <c r="S234" i="4"/>
  <c r="D42" i="75"/>
  <c r="D42" i="38"/>
  <c r="D42" i="28"/>
  <c r="DQ210" i="4"/>
  <c r="T210" i="4"/>
  <c r="D18" i="76"/>
  <c r="D18" i="34"/>
  <c r="D18" i="30"/>
  <c r="T245" i="4"/>
  <c r="DQ245" i="4"/>
  <c r="D53" i="76"/>
  <c r="D53" i="34"/>
  <c r="D53" i="30"/>
  <c r="DR238" i="4"/>
  <c r="U238" i="4"/>
  <c r="D46" i="77"/>
  <c r="D46" i="36"/>
  <c r="D46" i="32"/>
  <c r="DQ225" i="4"/>
  <c r="T225" i="4"/>
  <c r="D33" i="76"/>
  <c r="D33" i="34"/>
  <c r="D33" i="30"/>
  <c r="DQ258" i="4"/>
  <c r="T258" i="4"/>
  <c r="D66" i="76"/>
  <c r="D66" i="34"/>
  <c r="D66" i="30"/>
  <c r="D13" i="77"/>
  <c r="U205" i="4"/>
  <c r="DR205" i="4"/>
  <c r="D13" i="36"/>
  <c r="D13" i="32"/>
  <c r="D30" i="77"/>
  <c r="DR222" i="4"/>
  <c r="U222" i="4"/>
  <c r="D30" i="36"/>
  <c r="D30" i="32"/>
  <c r="DE46" i="67"/>
  <c r="DF46" i="67" s="1"/>
  <c r="DB58" i="67"/>
  <c r="DC58" i="67" s="1"/>
  <c r="DP250" i="4"/>
  <c r="S250" i="4"/>
  <c r="D58" i="75"/>
  <c r="D58" i="38"/>
  <c r="D58" i="28"/>
  <c r="DP201" i="4"/>
  <c r="S201" i="4"/>
  <c r="D9" i="75"/>
  <c r="D9" i="38"/>
  <c r="D9" i="28"/>
  <c r="F50" i="67"/>
  <c r="S243" i="4"/>
  <c r="DP243" i="4"/>
  <c r="D51" i="75"/>
  <c r="D51" i="38"/>
  <c r="D51" i="28"/>
  <c r="K107" i="76"/>
  <c r="J107" i="75"/>
  <c r="I107" i="34"/>
  <c r="I131" i="34" s="1"/>
  <c r="I143" i="34" s="1"/>
  <c r="H107" i="38"/>
  <c r="H131" i="38" s="1"/>
  <c r="H143" i="38" s="1"/>
  <c r="I107" i="30"/>
  <c r="H107" i="28"/>
  <c r="DQ202" i="4"/>
  <c r="T202" i="4"/>
  <c r="D10" i="76"/>
  <c r="D10" i="34"/>
  <c r="D10" i="30"/>
  <c r="T214" i="4"/>
  <c r="DQ214" i="4"/>
  <c r="D22" i="76"/>
  <c r="D22" i="34"/>
  <c r="D22" i="30"/>
  <c r="U198" i="4"/>
  <c r="D6" i="77"/>
  <c r="DR198" i="4"/>
  <c r="D6" i="36"/>
  <c r="D6" i="32"/>
  <c r="S195" i="4"/>
  <c r="DP195" i="4"/>
  <c r="D3" i="75"/>
  <c r="D3" i="38"/>
  <c r="D3" i="28"/>
  <c r="DP226" i="4"/>
  <c r="S226" i="4"/>
  <c r="D34" i="75"/>
  <c r="D34" i="38"/>
  <c r="D34" i="28"/>
  <c r="DQ241" i="4"/>
  <c r="T241" i="4"/>
  <c r="D49" i="76"/>
  <c r="D49" i="34"/>
  <c r="D49" i="30"/>
  <c r="J62" i="67"/>
  <c r="DG62" i="67" s="1"/>
  <c r="J114" i="77"/>
  <c r="H114" i="36"/>
  <c r="H114" i="32"/>
  <c r="P114" i="32" s="1"/>
  <c r="BR111" i="67"/>
  <c r="J99" i="75"/>
  <c r="K99" i="76"/>
  <c r="I99" i="34"/>
  <c r="H99" i="38"/>
  <c r="I99" i="30"/>
  <c r="H99" i="28"/>
  <c r="S238" i="4"/>
  <c r="DP238" i="4"/>
  <c r="D46" i="75"/>
  <c r="D46" i="38"/>
  <c r="D46" i="28"/>
  <c r="DD36" i="67"/>
  <c r="DP228" i="4"/>
  <c r="S228" i="4"/>
  <c r="D36" i="75"/>
  <c r="D36" i="38"/>
  <c r="D36" i="28"/>
  <c r="U220" i="4"/>
  <c r="D28" i="77"/>
  <c r="DR220" i="4"/>
  <c r="D28" i="36"/>
  <c r="D28" i="32"/>
  <c r="U264" i="4"/>
  <c r="D72" i="77"/>
  <c r="DR264" i="4"/>
  <c r="D72" i="36"/>
  <c r="D72" i="32"/>
  <c r="T196" i="4"/>
  <c r="DQ196" i="4"/>
  <c r="D4" i="76"/>
  <c r="D4" i="34"/>
  <c r="D4" i="30"/>
  <c r="S252" i="4"/>
  <c r="DP252" i="4"/>
  <c r="D60" i="75"/>
  <c r="D60" i="38"/>
  <c r="D60" i="28"/>
  <c r="DR195" i="4"/>
  <c r="U195" i="4"/>
  <c r="D3" i="77"/>
  <c r="D3" i="36"/>
  <c r="D3" i="32"/>
  <c r="S264" i="4"/>
  <c r="DP264" i="4"/>
  <c r="D72" i="75"/>
  <c r="D72" i="38"/>
  <c r="D72" i="28"/>
  <c r="DQ226" i="4"/>
  <c r="T226" i="4"/>
  <c r="D34" i="76"/>
  <c r="D34" i="34"/>
  <c r="D34" i="30"/>
  <c r="U232" i="4"/>
  <c r="D40" i="77"/>
  <c r="DR232" i="4"/>
  <c r="D40" i="36"/>
  <c r="D40" i="32"/>
  <c r="DE65" i="67"/>
  <c r="DF65" i="67" s="1"/>
  <c r="DQ257" i="4"/>
  <c r="T257" i="4"/>
  <c r="D65" i="76"/>
  <c r="D65" i="34"/>
  <c r="D65" i="30"/>
  <c r="J38" i="67"/>
  <c r="S253" i="4"/>
  <c r="DP253" i="4"/>
  <c r="D61" i="75"/>
  <c r="D61" i="38"/>
  <c r="D61" i="28"/>
  <c r="S247" i="4"/>
  <c r="DP247" i="4"/>
  <c r="D55" i="75"/>
  <c r="D55" i="38"/>
  <c r="D55" i="28"/>
  <c r="DQ222" i="4"/>
  <c r="T222" i="4"/>
  <c r="D30" i="76"/>
  <c r="D30" i="34"/>
  <c r="D30" i="30"/>
  <c r="DP260" i="4"/>
  <c r="S260" i="4"/>
  <c r="D68" i="75"/>
  <c r="D68" i="38"/>
  <c r="D68" i="28"/>
  <c r="DD9" i="67"/>
  <c r="DR207" i="4"/>
  <c r="D15" i="77"/>
  <c r="U207" i="4"/>
  <c r="D15" i="36"/>
  <c r="D15" i="32"/>
  <c r="DP224" i="4"/>
  <c r="S224" i="4"/>
  <c r="D32" i="75"/>
  <c r="D32" i="38"/>
  <c r="D32" i="28"/>
  <c r="DH19" i="67"/>
  <c r="DJ19" i="67" s="1"/>
  <c r="DP239" i="4"/>
  <c r="S239" i="4"/>
  <c r="D47" i="75"/>
  <c r="D47" i="38"/>
  <c r="D47" i="28"/>
  <c r="DR249" i="4"/>
  <c r="U249" i="4"/>
  <c r="D57" i="77"/>
  <c r="D57" i="36"/>
  <c r="D57" i="32"/>
  <c r="DK25" i="67"/>
  <c r="DQ217" i="4"/>
  <c r="T217" i="4"/>
  <c r="D25" i="76"/>
  <c r="D25" i="34"/>
  <c r="D25" i="30"/>
  <c r="U216" i="4"/>
  <c r="DR216" i="4"/>
  <c r="D24" i="77"/>
  <c r="D24" i="36"/>
  <c r="D24" i="32"/>
  <c r="DG71" i="67"/>
  <c r="T263" i="4"/>
  <c r="DQ263" i="4"/>
  <c r="D71" i="76"/>
  <c r="D71" i="34"/>
  <c r="D71" i="30"/>
  <c r="DP209" i="4"/>
  <c r="S209" i="4"/>
  <c r="D17" i="75"/>
  <c r="D17" i="38"/>
  <c r="D17" i="28"/>
  <c r="S215" i="4"/>
  <c r="DP215" i="4"/>
  <c r="D23" i="75"/>
  <c r="D23" i="38"/>
  <c r="D23" i="28"/>
  <c r="D18" i="77"/>
  <c r="DR210" i="4"/>
  <c r="U210" i="4"/>
  <c r="D18" i="32"/>
  <c r="D18" i="36"/>
  <c r="D59" i="77"/>
  <c r="DR251" i="4"/>
  <c r="U251" i="4"/>
  <c r="D59" i="36"/>
  <c r="D59" i="32"/>
  <c r="D43" i="77"/>
  <c r="DR235" i="4"/>
  <c r="U235" i="4"/>
  <c r="D43" i="36"/>
  <c r="D43" i="32"/>
  <c r="DR202" i="4"/>
  <c r="D10" i="77"/>
  <c r="U202" i="4"/>
  <c r="D10" i="36"/>
  <c r="D10" i="32"/>
  <c r="S198" i="4"/>
  <c r="DP198" i="4"/>
  <c r="D6" i="75"/>
  <c r="D6" i="38"/>
  <c r="D6" i="28"/>
  <c r="S251" i="4"/>
  <c r="DP251" i="4"/>
  <c r="D59" i="75"/>
  <c r="D59" i="38"/>
  <c r="D59" i="28"/>
  <c r="U228" i="4"/>
  <c r="DR228" i="4"/>
  <c r="D36" i="77"/>
  <c r="D36" i="36"/>
  <c r="D36" i="32"/>
  <c r="DQ203" i="4"/>
  <c r="T203" i="4"/>
  <c r="D11" i="76"/>
  <c r="D11" i="34"/>
  <c r="D11" i="30"/>
  <c r="S235" i="4"/>
  <c r="DP235" i="4"/>
  <c r="D43" i="75"/>
  <c r="D43" i="38"/>
  <c r="D43" i="28"/>
  <c r="D47" i="77"/>
  <c r="DR239" i="4"/>
  <c r="U239" i="4"/>
  <c r="D47" i="36"/>
  <c r="D47" i="32"/>
  <c r="DQ249" i="4"/>
  <c r="T249" i="4"/>
  <c r="D57" i="76"/>
  <c r="D57" i="34"/>
  <c r="D57" i="30"/>
  <c r="DQ251" i="4"/>
  <c r="T251" i="4"/>
  <c r="D59" i="76"/>
  <c r="D59" i="34"/>
  <c r="D59" i="30"/>
  <c r="BR115" i="67"/>
  <c r="J103" i="75"/>
  <c r="K103" i="76"/>
  <c r="I103" i="34"/>
  <c r="H103" i="38"/>
  <c r="I103" i="30"/>
  <c r="H103" i="28"/>
  <c r="BR113" i="67"/>
  <c r="J101" i="75"/>
  <c r="K101" i="76"/>
  <c r="H101" i="38"/>
  <c r="I101" i="34"/>
  <c r="I101" i="30"/>
  <c r="H101" i="28"/>
  <c r="D50" i="77"/>
  <c r="DR242" i="4"/>
  <c r="U242" i="4"/>
  <c r="D50" i="36"/>
  <c r="D50" i="32"/>
  <c r="BR110" i="67"/>
  <c r="J98" i="75"/>
  <c r="K98" i="76"/>
  <c r="I98" i="34"/>
  <c r="H98" i="38"/>
  <c r="I98" i="30"/>
  <c r="H98" i="28"/>
  <c r="U260" i="4"/>
  <c r="DR260" i="4"/>
  <c r="D68" i="77"/>
  <c r="D68" i="36"/>
  <c r="D68" i="32"/>
  <c r="T228" i="4"/>
  <c r="DQ228" i="4"/>
  <c r="D36" i="76"/>
  <c r="D36" i="34"/>
  <c r="D36" i="30"/>
  <c r="DQ240" i="4"/>
  <c r="T240" i="4"/>
  <c r="D48" i="76"/>
  <c r="D48" i="34"/>
  <c r="D48" i="30"/>
  <c r="DR256" i="4"/>
  <c r="U256" i="4"/>
  <c r="D64" i="77"/>
  <c r="D64" i="36"/>
  <c r="D64" i="32"/>
  <c r="D53" i="77"/>
  <c r="U245" i="4"/>
  <c r="DR245" i="4"/>
  <c r="D53" i="36"/>
  <c r="D53" i="32"/>
  <c r="S231" i="4"/>
  <c r="DP231" i="4"/>
  <c r="D39" i="75"/>
  <c r="D39" i="38"/>
  <c r="D39" i="28"/>
  <c r="DQ211" i="4"/>
  <c r="T211" i="4"/>
  <c r="D19" i="76"/>
  <c r="D19" i="34"/>
  <c r="D19" i="30"/>
  <c r="DP196" i="4"/>
  <c r="S196" i="4"/>
  <c r="D4" i="75"/>
  <c r="D4" i="38"/>
  <c r="D4" i="28"/>
  <c r="DL25" i="67"/>
  <c r="J2" i="67"/>
  <c r="DG2" i="67" s="1"/>
  <c r="O6" i="17"/>
  <c r="DG15" i="67"/>
  <c r="DQ207" i="4"/>
  <c r="T207" i="4"/>
  <c r="D15" i="76"/>
  <c r="D15" i="34"/>
  <c r="D15" i="30"/>
  <c r="DE41" i="67"/>
  <c r="DF41" i="67" s="1"/>
  <c r="DQ233" i="4"/>
  <c r="T233" i="4"/>
  <c r="D41" i="76"/>
  <c r="D41" i="34"/>
  <c r="D41" i="30"/>
  <c r="DE27" i="67"/>
  <c r="DF27" i="67" s="1"/>
  <c r="S204" i="4"/>
  <c r="DP204" i="4"/>
  <c r="D12" i="75"/>
  <c r="D12" i="38"/>
  <c r="D12" i="28"/>
  <c r="DQ255" i="4"/>
  <c r="T255" i="4"/>
  <c r="D63" i="76"/>
  <c r="D63" i="34"/>
  <c r="D63" i="30"/>
  <c r="DB59" i="67"/>
  <c r="DC59" i="67" s="1"/>
  <c r="T204" i="4"/>
  <c r="DQ204" i="4"/>
  <c r="D12" i="76"/>
  <c r="D12" i="34"/>
  <c r="D12" i="30"/>
  <c r="U261" i="4"/>
  <c r="DR261" i="4"/>
  <c r="D69" i="77"/>
  <c r="D69" i="36"/>
  <c r="D69" i="32"/>
  <c r="DQ259" i="4"/>
  <c r="T259" i="4"/>
  <c r="D67" i="76"/>
  <c r="D67" i="34"/>
  <c r="D67" i="30"/>
  <c r="DH25" i="67"/>
  <c r="DJ25" i="67" s="1"/>
  <c r="N38" i="67"/>
  <c r="DH38" i="67" s="1"/>
  <c r="T229" i="4"/>
  <c r="DQ229" i="4"/>
  <c r="D37" i="76"/>
  <c r="D37" i="34"/>
  <c r="D37" i="30"/>
  <c r="DD23" i="67"/>
  <c r="DL33" i="67"/>
  <c r="DR225" i="4"/>
  <c r="D33" i="77"/>
  <c r="U225" i="4"/>
  <c r="D33" i="36"/>
  <c r="D33" i="32"/>
  <c r="DB18" i="67"/>
  <c r="DC18" i="67" s="1"/>
  <c r="DP210" i="4"/>
  <c r="S210" i="4"/>
  <c r="D18" i="75"/>
  <c r="D18" i="38"/>
  <c r="D18" i="28"/>
  <c r="DQ242" i="4"/>
  <c r="T242" i="4"/>
  <c r="D50" i="76"/>
  <c r="D50" i="34"/>
  <c r="D50" i="30"/>
  <c r="J106" i="75"/>
  <c r="K106" i="76"/>
  <c r="I106" i="34"/>
  <c r="I130" i="34" s="1"/>
  <c r="I142" i="34" s="1"/>
  <c r="H106" i="38"/>
  <c r="H130" i="38" s="1"/>
  <c r="H142" i="38" s="1"/>
  <c r="I106" i="30"/>
  <c r="H106" i="28"/>
  <c r="F14" i="67"/>
  <c r="DD14" i="67" s="1"/>
  <c r="S220" i="4"/>
  <c r="DP220" i="4"/>
  <c r="D28" i="75"/>
  <c r="D28" i="38"/>
  <c r="D28" i="28"/>
  <c r="U199" i="4"/>
  <c r="DR199" i="4"/>
  <c r="D7" i="77"/>
  <c r="D7" i="36"/>
  <c r="D7" i="32"/>
  <c r="T246" i="4"/>
  <c r="DQ246" i="4"/>
  <c r="D54" i="76"/>
  <c r="D54" i="34"/>
  <c r="D54" i="30"/>
  <c r="DP256" i="4"/>
  <c r="S256" i="4"/>
  <c r="D64" i="38"/>
  <c r="D64" i="75"/>
  <c r="D64" i="28"/>
  <c r="DR223" i="4"/>
  <c r="U223" i="4"/>
  <c r="D31" i="77"/>
  <c r="D31" i="36"/>
  <c r="D31" i="32"/>
  <c r="DG27" i="67"/>
  <c r="T200" i="4"/>
  <c r="DQ200" i="4"/>
  <c r="D8" i="76"/>
  <c r="D8" i="34"/>
  <c r="D8" i="30"/>
  <c r="D65" i="77"/>
  <c r="DR257" i="4"/>
  <c r="U257" i="4"/>
  <c r="D65" i="36"/>
  <c r="D65" i="32"/>
  <c r="DD59" i="67"/>
  <c r="DR208" i="4"/>
  <c r="D16" i="77"/>
  <c r="U208" i="4"/>
  <c r="D16" i="36"/>
  <c r="D16" i="32"/>
  <c r="U221" i="4"/>
  <c r="D29" i="77"/>
  <c r="DR221" i="4"/>
  <c r="D29" i="36"/>
  <c r="D29" i="32"/>
  <c r="DR203" i="4"/>
  <c r="U203" i="4"/>
  <c r="D11" i="77"/>
  <c r="D11" i="36"/>
  <c r="D11" i="32"/>
  <c r="D48" i="77"/>
  <c r="DR240" i="4"/>
  <c r="U240" i="4"/>
  <c r="D48" i="36"/>
  <c r="D48" i="32"/>
  <c r="T215" i="4"/>
  <c r="DQ215" i="4"/>
  <c r="D23" i="76"/>
  <c r="D23" i="34"/>
  <c r="D23" i="30"/>
  <c r="D22" i="77"/>
  <c r="U214" i="4"/>
  <c r="DR214" i="4"/>
  <c r="D22" i="36"/>
  <c r="D22" i="32"/>
  <c r="S199" i="4"/>
  <c r="DP199" i="4"/>
  <c r="D7" i="75"/>
  <c r="D7" i="38"/>
  <c r="D7" i="28"/>
  <c r="T252" i="4"/>
  <c r="DQ252" i="4"/>
  <c r="D60" i="76"/>
  <c r="D60" i="34"/>
  <c r="D60" i="30"/>
  <c r="DR211" i="4"/>
  <c r="U211" i="4"/>
  <c r="D19" i="77"/>
  <c r="D19" i="36"/>
  <c r="D19" i="32"/>
  <c r="DG42" i="67"/>
  <c r="DQ234" i="4"/>
  <c r="T234" i="4"/>
  <c r="D42" i="76"/>
  <c r="D42" i="34"/>
  <c r="D42" i="30"/>
  <c r="DR206" i="4"/>
  <c r="D14" i="77"/>
  <c r="U206" i="4"/>
  <c r="D14" i="36"/>
  <c r="D14" i="32"/>
  <c r="K108" i="76"/>
  <c r="J108" i="75"/>
  <c r="H108" i="38"/>
  <c r="I108" i="34"/>
  <c r="I108" i="30"/>
  <c r="H108" i="28"/>
  <c r="DR254" i="4"/>
  <c r="D62" i="77"/>
  <c r="U254" i="4"/>
  <c r="D62" i="36"/>
  <c r="D62" i="32"/>
  <c r="J105" i="75"/>
  <c r="K105" i="76"/>
  <c r="I105" i="34"/>
  <c r="H105" i="38"/>
  <c r="H129" i="38" s="1"/>
  <c r="H141" i="38" s="1"/>
  <c r="I105" i="30"/>
  <c r="H105" i="28"/>
  <c r="DR265" i="4"/>
  <c r="U265" i="4"/>
  <c r="D73" i="77"/>
  <c r="D73" i="36"/>
  <c r="D73" i="32"/>
  <c r="DD52" i="67"/>
  <c r="DP244" i="4"/>
  <c r="S244" i="4"/>
  <c r="D52" i="75"/>
  <c r="D52" i="38"/>
  <c r="D52" i="28"/>
  <c r="DG47" i="67"/>
  <c r="DQ239" i="4"/>
  <c r="T239" i="4"/>
  <c r="D47" i="76"/>
  <c r="D47" i="34"/>
  <c r="D47" i="30"/>
  <c r="S211" i="4"/>
  <c r="DP211" i="4"/>
  <c r="D19" i="75"/>
  <c r="D19" i="38"/>
  <c r="D19" i="28"/>
  <c r="J111" i="77"/>
  <c r="H111" i="36"/>
  <c r="H111" i="32"/>
  <c r="P111" i="32" s="1"/>
  <c r="U200" i="4"/>
  <c r="D8" i="77"/>
  <c r="DR200" i="4"/>
  <c r="D8" i="36"/>
  <c r="D8" i="32"/>
  <c r="DQ223" i="4"/>
  <c r="T223" i="4"/>
  <c r="D31" i="76"/>
  <c r="D31" i="34"/>
  <c r="D31" i="30"/>
  <c r="DQ227" i="4"/>
  <c r="T227" i="4"/>
  <c r="D35" i="76"/>
  <c r="D35" i="34"/>
  <c r="D35" i="30"/>
  <c r="DP261" i="4"/>
  <c r="S261" i="4"/>
  <c r="D69" i="75"/>
  <c r="D69" i="38"/>
  <c r="D69" i="28"/>
  <c r="DQ256" i="4"/>
  <c r="T256" i="4"/>
  <c r="D64" i="76"/>
  <c r="D64" i="34"/>
  <c r="D64" i="30"/>
  <c r="DB19" i="67"/>
  <c r="DC19" i="67" s="1"/>
  <c r="DQ195" i="4"/>
  <c r="T195" i="4"/>
  <c r="D3" i="76"/>
  <c r="D3" i="34"/>
  <c r="D3" i="30"/>
  <c r="S227" i="4"/>
  <c r="DP227" i="4"/>
  <c r="D35" i="75"/>
  <c r="D35" i="38"/>
  <c r="D35" i="28"/>
  <c r="DE5" i="67"/>
  <c r="DF5" i="67" s="1"/>
  <c r="T197" i="4"/>
  <c r="DQ197" i="4"/>
  <c r="D5" i="76"/>
  <c r="D5" i="34"/>
  <c r="D5" i="30"/>
  <c r="K104" i="76"/>
  <c r="J104" i="75"/>
  <c r="I104" i="34"/>
  <c r="I128" i="34" s="1"/>
  <c r="I140" i="34" s="1"/>
  <c r="H104" i="38"/>
  <c r="H128" i="38" s="1"/>
  <c r="H140" i="38" s="1"/>
  <c r="I104" i="30"/>
  <c r="H104" i="28"/>
  <c r="T199" i="4"/>
  <c r="DQ199" i="4"/>
  <c r="D7" i="76"/>
  <c r="D7" i="34"/>
  <c r="D7" i="30"/>
  <c r="U212" i="4"/>
  <c r="DR212" i="4"/>
  <c r="D20" i="77"/>
  <c r="D20" i="36"/>
  <c r="D20" i="32"/>
  <c r="DP265" i="4"/>
  <c r="S265" i="4"/>
  <c r="D73" i="75"/>
  <c r="D73" i="38"/>
  <c r="D73" i="28"/>
  <c r="D60" i="77"/>
  <c r="U252" i="4"/>
  <c r="DR252" i="4"/>
  <c r="D60" i="36"/>
  <c r="D60" i="32"/>
  <c r="DQ235" i="4"/>
  <c r="T235" i="4"/>
  <c r="D43" i="76"/>
  <c r="D43" i="34"/>
  <c r="D43" i="30"/>
  <c r="F26" i="67"/>
  <c r="DB26" i="67" s="1"/>
  <c r="DC26" i="67" s="1"/>
  <c r="DR243" i="4"/>
  <c r="U243" i="4"/>
  <c r="D51" i="77"/>
  <c r="D51" i="36"/>
  <c r="D51" i="32"/>
  <c r="DD60" i="67"/>
  <c r="DP240" i="4"/>
  <c r="S240" i="4"/>
  <c r="D48" i="75"/>
  <c r="D48" i="38"/>
  <c r="D48" i="28"/>
  <c r="DE40" i="67"/>
  <c r="DF40" i="67" s="1"/>
  <c r="T232" i="4"/>
  <c r="DQ232" i="4"/>
  <c r="D40" i="76"/>
  <c r="D40" i="34"/>
  <c r="D40" i="30"/>
  <c r="DQ265" i="4"/>
  <c r="T265" i="4"/>
  <c r="D73" i="76"/>
  <c r="D73" i="34"/>
  <c r="D73" i="30"/>
  <c r="S205" i="4"/>
  <c r="DP205" i="4"/>
  <c r="D13" i="75"/>
  <c r="D13" i="38"/>
  <c r="D13" i="28"/>
  <c r="S221" i="4"/>
  <c r="DP221" i="4"/>
  <c r="D29" i="75"/>
  <c r="D29" i="38"/>
  <c r="D29" i="28"/>
  <c r="S262" i="4"/>
  <c r="DP262" i="4"/>
  <c r="D70" i="75"/>
  <c r="D70" i="38"/>
  <c r="D70" i="28"/>
  <c r="T244" i="4"/>
  <c r="DQ244" i="4"/>
  <c r="D52" i="76"/>
  <c r="D52" i="34"/>
  <c r="D52" i="30"/>
  <c r="T205" i="4"/>
  <c r="DQ205" i="4"/>
  <c r="D13" i="76"/>
  <c r="D13" i="34"/>
  <c r="D13" i="30"/>
  <c r="T212" i="4"/>
  <c r="DQ212" i="4"/>
  <c r="D20" i="76"/>
  <c r="D20" i="34"/>
  <c r="D20" i="30"/>
  <c r="U247" i="4"/>
  <c r="DR247" i="4"/>
  <c r="D55" i="77"/>
  <c r="D55" i="36"/>
  <c r="D55" i="32"/>
  <c r="DD19" i="67"/>
  <c r="DP197" i="4"/>
  <c r="S197" i="4"/>
  <c r="D5" i="75"/>
  <c r="D5" i="38"/>
  <c r="D5" i="28"/>
  <c r="DQ250" i="4"/>
  <c r="T250" i="4"/>
  <c r="D58" i="76"/>
  <c r="D58" i="34"/>
  <c r="D58" i="30"/>
  <c r="D39" i="77"/>
  <c r="U231" i="4"/>
  <c r="DR231" i="4"/>
  <c r="D39" i="36"/>
  <c r="D39" i="32"/>
  <c r="T262" i="4"/>
  <c r="DQ262" i="4"/>
  <c r="D70" i="76"/>
  <c r="D70" i="34"/>
  <c r="D70" i="30"/>
  <c r="DD53" i="67"/>
  <c r="DP245" i="4"/>
  <c r="S245" i="4"/>
  <c r="D53" i="75"/>
  <c r="D53" i="38"/>
  <c r="D53" i="28"/>
  <c r="DR233" i="4"/>
  <c r="U233" i="4"/>
  <c r="D41" i="77"/>
  <c r="D41" i="36"/>
  <c r="D41" i="32"/>
  <c r="T236" i="4"/>
  <c r="DQ236" i="4"/>
  <c r="D44" i="76"/>
  <c r="D44" i="34"/>
  <c r="D44" i="30"/>
  <c r="D44" i="77"/>
  <c r="U236" i="4"/>
  <c r="DR236" i="4"/>
  <c r="D44" i="36"/>
  <c r="D44" i="32"/>
  <c r="T247" i="4"/>
  <c r="DQ247" i="4"/>
  <c r="D55" i="76"/>
  <c r="D55" i="34"/>
  <c r="D55" i="30"/>
  <c r="U196" i="4"/>
  <c r="DR196" i="4"/>
  <c r="D4" i="77"/>
  <c r="D4" i="36"/>
  <c r="D4" i="32"/>
  <c r="DP208" i="4"/>
  <c r="S208" i="4"/>
  <c r="D16" i="75"/>
  <c r="D16" i="38"/>
  <c r="D16" i="28"/>
  <c r="S232" i="4"/>
  <c r="DP232" i="4"/>
  <c r="D40" i="75"/>
  <c r="D40" i="38"/>
  <c r="D40" i="28"/>
  <c r="DP212" i="4"/>
  <c r="S212" i="4"/>
  <c r="D20" i="75"/>
  <c r="D20" i="38"/>
  <c r="D20" i="28"/>
  <c r="DR255" i="4"/>
  <c r="U255" i="4"/>
  <c r="D63" i="77"/>
  <c r="D63" i="36"/>
  <c r="D63" i="32"/>
  <c r="DP207" i="4"/>
  <c r="S207" i="4"/>
  <c r="D15" i="75"/>
  <c r="D15" i="38"/>
  <c r="D15" i="28"/>
  <c r="DQ201" i="4"/>
  <c r="T201" i="4"/>
  <c r="D9" i="76"/>
  <c r="D9" i="34"/>
  <c r="D9" i="30"/>
  <c r="D66" i="77"/>
  <c r="DR258" i="4"/>
  <c r="U258" i="4"/>
  <c r="D66" i="36"/>
  <c r="D66" i="32"/>
  <c r="S222" i="4"/>
  <c r="DP222" i="4"/>
  <c r="D30" i="75"/>
  <c r="D30" i="38"/>
  <c r="D30" i="28"/>
  <c r="D17" i="77"/>
  <c r="DR209" i="4"/>
  <c r="U209" i="4"/>
  <c r="D17" i="36"/>
  <c r="D17" i="32"/>
  <c r="D70" i="77"/>
  <c r="U262" i="4"/>
  <c r="DR262" i="4"/>
  <c r="D70" i="36"/>
  <c r="D70" i="32"/>
  <c r="F62" i="67"/>
  <c r="DD62" i="67" s="1"/>
  <c r="T248" i="4"/>
  <c r="DQ248" i="4"/>
  <c r="D56" i="76"/>
  <c r="D56" i="34"/>
  <c r="D56" i="30"/>
  <c r="DE43" i="67"/>
  <c r="DF43" i="67" s="1"/>
  <c r="DR250" i="4"/>
  <c r="U250" i="4"/>
  <c r="D58" i="77"/>
  <c r="D58" i="36"/>
  <c r="D58" i="32"/>
  <c r="J14" i="67"/>
  <c r="DG14" i="67" s="1"/>
  <c r="T253" i="4"/>
  <c r="DQ253" i="4"/>
  <c r="D61" i="76"/>
  <c r="D61" i="34"/>
  <c r="D61" i="30"/>
  <c r="U215" i="4"/>
  <c r="D23" i="77"/>
  <c r="DR215" i="4"/>
  <c r="D23" i="36"/>
  <c r="D23" i="32"/>
  <c r="DP213" i="4"/>
  <c r="S213" i="4"/>
  <c r="D21" i="75"/>
  <c r="D21" i="38"/>
  <c r="D21" i="28"/>
  <c r="J113" i="77"/>
  <c r="H113" i="36"/>
  <c r="H113" i="32"/>
  <c r="P113" i="32" s="1"/>
  <c r="J110" i="77"/>
  <c r="H110" i="36"/>
  <c r="H110" i="32"/>
  <c r="P110" i="32" s="1"/>
  <c r="DQ243" i="4"/>
  <c r="T243" i="4"/>
  <c r="D51" i="76"/>
  <c r="D51" i="34"/>
  <c r="D51" i="30"/>
  <c r="DP258" i="4"/>
  <c r="S258" i="4"/>
  <c r="D66" i="75"/>
  <c r="D66" i="38"/>
  <c r="D66" i="28"/>
  <c r="U204" i="4"/>
  <c r="DR204" i="4"/>
  <c r="D12" i="77"/>
  <c r="D12" i="36"/>
  <c r="D12" i="32"/>
  <c r="S216" i="4"/>
  <c r="DP216" i="4"/>
  <c r="D24" i="75"/>
  <c r="D24" i="38"/>
  <c r="D24" i="28"/>
  <c r="DR227" i="4"/>
  <c r="U227" i="4"/>
  <c r="D35" i="77"/>
  <c r="D35" i="36"/>
  <c r="D35" i="32"/>
  <c r="D45" i="77"/>
  <c r="U237" i="4"/>
  <c r="DR237" i="4"/>
  <c r="D45" i="36"/>
  <c r="D45" i="32"/>
  <c r="N26" i="67"/>
  <c r="DL26" i="67" s="1"/>
  <c r="DQ209" i="4"/>
  <c r="T209" i="4"/>
  <c r="D17" i="76"/>
  <c r="D17" i="34"/>
  <c r="D17" i="30"/>
  <c r="U244" i="4"/>
  <c r="DR244" i="4"/>
  <c r="D52" i="77"/>
  <c r="D52" i="36"/>
  <c r="D52" i="32"/>
  <c r="DR201" i="4"/>
  <c r="D9" i="77"/>
  <c r="U201" i="4"/>
  <c r="D9" i="36"/>
  <c r="D9" i="32"/>
  <c r="DQ224" i="4"/>
  <c r="T224" i="4"/>
  <c r="D32" i="76"/>
  <c r="D32" i="34"/>
  <c r="D32" i="30"/>
  <c r="DB24" i="67"/>
  <c r="DC24" i="67" s="1"/>
  <c r="DG43" i="67"/>
  <c r="DP225" i="4"/>
  <c r="S225" i="4"/>
  <c r="D33" i="75"/>
  <c r="D33" i="38"/>
  <c r="D33" i="28"/>
  <c r="DR224" i="4"/>
  <c r="D32" i="77"/>
  <c r="U224" i="4"/>
  <c r="D32" i="36"/>
  <c r="D32" i="32"/>
  <c r="DH61" i="67"/>
  <c r="DJ61" i="67" s="1"/>
  <c r="S248" i="4"/>
  <c r="DP248" i="4"/>
  <c r="D56" i="75"/>
  <c r="D56" i="38"/>
  <c r="D56" i="28"/>
  <c r="DE69" i="67"/>
  <c r="DF69" i="67" s="1"/>
  <c r="T261" i="4"/>
  <c r="DQ261" i="4"/>
  <c r="D69" i="76"/>
  <c r="D69" i="34"/>
  <c r="D69" i="30"/>
  <c r="T237" i="4"/>
  <c r="DQ237" i="4"/>
  <c r="D45" i="76"/>
  <c r="D45" i="34"/>
  <c r="D45" i="30"/>
  <c r="BR114" i="67"/>
  <c r="J102" i="75"/>
  <c r="K102" i="76"/>
  <c r="I102" i="34"/>
  <c r="H102" i="38"/>
  <c r="I102" i="30"/>
  <c r="H102" i="28"/>
  <c r="DG41" i="67"/>
  <c r="DE15" i="67"/>
  <c r="DF15" i="67" s="1"/>
  <c r="DD18" i="67"/>
  <c r="DG5" i="67"/>
  <c r="DB36" i="67"/>
  <c r="DC36" i="67" s="1"/>
  <c r="DE47" i="67"/>
  <c r="DF47" i="67" s="1"/>
  <c r="DB52" i="67"/>
  <c r="DC52" i="67" s="1"/>
  <c r="DB53" i="67"/>
  <c r="DC53" i="67" s="1"/>
  <c r="DG40" i="67"/>
  <c r="DL57" i="67"/>
  <c r="DK57" i="67"/>
  <c r="DH57" i="67"/>
  <c r="DK59" i="67"/>
  <c r="DH59" i="67"/>
  <c r="DL59" i="67"/>
  <c r="DL5" i="67"/>
  <c r="DH5" i="67"/>
  <c r="DK5" i="67"/>
  <c r="DB41" i="67"/>
  <c r="DC41" i="67" s="1"/>
  <c r="DD41" i="67"/>
  <c r="DG17" i="67"/>
  <c r="DE17" i="67"/>
  <c r="DF17" i="67" s="1"/>
  <c r="DH52" i="67"/>
  <c r="DK52" i="67"/>
  <c r="DL52" i="67"/>
  <c r="DG55" i="67"/>
  <c r="DE55" i="67"/>
  <c r="DF55" i="67" s="1"/>
  <c r="DD64" i="67"/>
  <c r="DB64" i="67"/>
  <c r="DC64" i="67" s="1"/>
  <c r="DD34" i="67"/>
  <c r="DB34" i="67"/>
  <c r="DC34" i="67" s="1"/>
  <c r="DE7" i="67"/>
  <c r="DF7" i="67" s="1"/>
  <c r="DG7" i="67"/>
  <c r="DE62" i="67"/>
  <c r="DF62" i="67" s="1"/>
  <c r="DH67" i="67"/>
  <c r="DL67" i="67"/>
  <c r="DK67" i="67"/>
  <c r="DD71" i="67"/>
  <c r="DB71" i="67"/>
  <c r="DC71" i="67" s="1"/>
  <c r="DE53" i="67"/>
  <c r="DF53" i="67" s="1"/>
  <c r="DG53" i="67"/>
  <c r="DG67" i="67"/>
  <c r="DE67" i="67"/>
  <c r="DF67" i="67" s="1"/>
  <c r="DG4" i="67"/>
  <c r="DE4" i="67"/>
  <c r="DF4" i="67" s="1"/>
  <c r="DD30" i="67"/>
  <c r="DB30" i="67"/>
  <c r="DC30" i="67" s="1"/>
  <c r="DK64" i="67"/>
  <c r="DL64" i="67"/>
  <c r="DH64" i="67"/>
  <c r="DH27" i="67"/>
  <c r="DL27" i="67"/>
  <c r="DK27" i="67"/>
  <c r="DD31" i="67"/>
  <c r="DB31" i="67"/>
  <c r="DC31" i="67" s="1"/>
  <c r="DE21" i="67"/>
  <c r="DF21" i="67" s="1"/>
  <c r="DG21" i="67"/>
  <c r="DH48" i="67"/>
  <c r="DL48" i="67"/>
  <c r="DK48" i="67"/>
  <c r="DG23" i="67"/>
  <c r="DE23" i="67"/>
  <c r="DF23" i="67" s="1"/>
  <c r="DH22" i="67"/>
  <c r="DL22" i="67"/>
  <c r="DK22" i="67"/>
  <c r="DG59" i="67"/>
  <c r="DE59" i="67"/>
  <c r="DF59" i="67" s="1"/>
  <c r="DL40" i="67"/>
  <c r="DH40" i="67"/>
  <c r="DK40" i="67"/>
  <c r="DH3" i="67"/>
  <c r="DL3" i="67"/>
  <c r="DK3" i="67"/>
  <c r="DH36" i="67"/>
  <c r="DK36" i="67"/>
  <c r="DL36" i="67"/>
  <c r="DG10" i="67"/>
  <c r="DE10" i="67"/>
  <c r="DF10" i="67" s="1"/>
  <c r="DD42" i="67"/>
  <c r="DB42" i="67"/>
  <c r="DC42" i="67" s="1"/>
  <c r="DG18" i="67"/>
  <c r="DE18" i="67"/>
  <c r="DF18" i="67" s="1"/>
  <c r="DL53" i="67"/>
  <c r="DH53" i="67"/>
  <c r="DK53" i="67"/>
  <c r="DL46" i="67"/>
  <c r="DK46" i="67"/>
  <c r="DH46" i="67"/>
  <c r="DH71" i="67"/>
  <c r="DK71" i="67"/>
  <c r="DL71" i="67"/>
  <c r="DH20" i="67"/>
  <c r="DL20" i="67"/>
  <c r="DK20" i="67"/>
  <c r="DL73" i="67"/>
  <c r="DK73" i="67"/>
  <c r="DH73" i="67"/>
  <c r="DE25" i="67"/>
  <c r="DF25" i="67" s="1"/>
  <c r="DG25" i="67"/>
  <c r="DL24" i="67"/>
  <c r="DK24" i="67"/>
  <c r="DH24" i="67"/>
  <c r="DE30" i="67"/>
  <c r="DF30" i="67" s="1"/>
  <c r="DG30" i="67"/>
  <c r="DL6" i="67"/>
  <c r="DK6" i="67"/>
  <c r="DH6" i="67"/>
  <c r="DL68" i="67"/>
  <c r="DK68" i="67"/>
  <c r="DH68" i="67"/>
  <c r="DB72" i="67"/>
  <c r="DC72" i="67" s="1"/>
  <c r="DD72" i="67"/>
  <c r="DL18" i="67"/>
  <c r="DK18" i="67"/>
  <c r="DH18" i="67"/>
  <c r="DG33" i="67"/>
  <c r="DE33" i="67"/>
  <c r="DF33" i="67" s="1"/>
  <c r="DK12" i="67"/>
  <c r="DH12" i="67"/>
  <c r="DL12" i="67"/>
  <c r="DG35" i="67"/>
  <c r="DE35" i="67"/>
  <c r="DF35" i="67" s="1"/>
  <c r="DH31" i="67"/>
  <c r="DL31" i="67"/>
  <c r="DK31" i="67"/>
  <c r="DJ14" i="67"/>
  <c r="DI14" i="67"/>
  <c r="DL28" i="67"/>
  <c r="DK28" i="67"/>
  <c r="DH28" i="67"/>
  <c r="DB32" i="67"/>
  <c r="DC32" i="67" s="1"/>
  <c r="DD32" i="67"/>
  <c r="DK10" i="67"/>
  <c r="DL10" i="67"/>
  <c r="DH10" i="67"/>
  <c r="DD46" i="67"/>
  <c r="DB46" i="67"/>
  <c r="DC46" i="67" s="1"/>
  <c r="DD48" i="67"/>
  <c r="DB48" i="67"/>
  <c r="DC48" i="67" s="1"/>
  <c r="DG37" i="67"/>
  <c r="DE37" i="67"/>
  <c r="DF37" i="67" s="1"/>
  <c r="DD27" i="67"/>
  <c r="DB27" i="67"/>
  <c r="DC27" i="67" s="1"/>
  <c r="DD68" i="67"/>
  <c r="DB68" i="67"/>
  <c r="DC68" i="67" s="1"/>
  <c r="DE11" i="67"/>
  <c r="DF11" i="67" s="1"/>
  <c r="DG11" i="67"/>
  <c r="DD43" i="67"/>
  <c r="DB43" i="67"/>
  <c r="DC43" i="67" s="1"/>
  <c r="DE19" i="67"/>
  <c r="DF19" i="67" s="1"/>
  <c r="DG19" i="67"/>
  <c r="DD3" i="67"/>
  <c r="DB3" i="67"/>
  <c r="DC3" i="67" s="1"/>
  <c r="DD5" i="67"/>
  <c r="DB5" i="67"/>
  <c r="DC5" i="67" s="1"/>
  <c r="DD7" i="67"/>
  <c r="DB7" i="67"/>
  <c r="DC7" i="67" s="1"/>
  <c r="DG8" i="67"/>
  <c r="DE8" i="67"/>
  <c r="DF8" i="67" s="1"/>
  <c r="DB28" i="67"/>
  <c r="DC28" i="67" s="1"/>
  <c r="DD28" i="67"/>
  <c r="DH15" i="67"/>
  <c r="DL15" i="67"/>
  <c r="DK15" i="67"/>
  <c r="DH69" i="67"/>
  <c r="DL69" i="67"/>
  <c r="DK69" i="67"/>
  <c r="DG56" i="67"/>
  <c r="DE56" i="67"/>
  <c r="DF56" i="67" s="1"/>
  <c r="DH58" i="67"/>
  <c r="DK58" i="67"/>
  <c r="DL58" i="67"/>
  <c r="DG58" i="67"/>
  <c r="DE58" i="67"/>
  <c r="DF58" i="67" s="1"/>
  <c r="DJ62" i="67"/>
  <c r="DI62" i="67"/>
  <c r="DD45" i="67"/>
  <c r="DB45" i="67"/>
  <c r="DC45" i="67" s="1"/>
  <c r="DH44" i="67"/>
  <c r="DK44" i="67"/>
  <c r="DL44" i="67"/>
  <c r="DE63" i="67"/>
  <c r="DF63" i="67" s="1"/>
  <c r="DG63" i="67"/>
  <c r="DH7" i="67"/>
  <c r="DK7" i="67"/>
  <c r="DL7" i="67"/>
  <c r="DL29" i="67"/>
  <c r="DK29" i="67"/>
  <c r="DH29" i="67"/>
  <c r="DE54" i="67"/>
  <c r="DF54" i="67" s="1"/>
  <c r="DG54" i="67"/>
  <c r="DL56" i="67"/>
  <c r="DH56" i="67"/>
  <c r="DK56" i="67"/>
  <c r="DD33" i="67"/>
  <c r="DB33" i="67"/>
  <c r="DC33" i="67" s="1"/>
  <c r="DL60" i="67"/>
  <c r="DH60" i="67"/>
  <c r="DK60" i="67"/>
  <c r="DG60" i="67"/>
  <c r="DE60" i="67"/>
  <c r="DF60" i="67" s="1"/>
  <c r="DE12" i="67"/>
  <c r="DF12" i="67" s="1"/>
  <c r="DG12" i="67"/>
  <c r="DB44" i="67"/>
  <c r="DC44" i="67" s="1"/>
  <c r="DD44" i="67"/>
  <c r="DL54" i="67"/>
  <c r="DK54" i="67"/>
  <c r="DH54" i="67"/>
  <c r="DK47" i="67"/>
  <c r="DH47" i="67"/>
  <c r="DL47" i="67"/>
  <c r="DD63" i="67"/>
  <c r="DB63" i="67"/>
  <c r="DC63" i="67" s="1"/>
  <c r="DL49" i="67"/>
  <c r="DK49" i="67"/>
  <c r="DH49" i="67"/>
  <c r="DE68" i="67"/>
  <c r="DF68" i="67" s="1"/>
  <c r="DG68" i="67"/>
  <c r="DG3" i="67"/>
  <c r="DE3" i="67"/>
  <c r="DF3" i="67" s="1"/>
  <c r="DD35" i="67"/>
  <c r="DB35" i="67"/>
  <c r="DC35" i="67" s="1"/>
  <c r="DH45" i="67"/>
  <c r="DL45" i="67"/>
  <c r="DK45" i="67"/>
  <c r="DD11" i="67"/>
  <c r="DB11" i="67"/>
  <c r="DC11" i="67" s="1"/>
  <c r="DD39" i="67"/>
  <c r="DB39" i="67"/>
  <c r="DC39" i="67" s="1"/>
  <c r="DD12" i="67"/>
  <c r="DB12" i="67"/>
  <c r="DC12" i="67" s="1"/>
  <c r="DL4" i="67"/>
  <c r="DK4" i="67"/>
  <c r="DH4" i="67"/>
  <c r="DL37" i="67"/>
  <c r="DK37" i="67"/>
  <c r="DH37" i="67"/>
  <c r="DL16" i="67"/>
  <c r="DK16" i="67"/>
  <c r="DH16" i="67"/>
  <c r="DB73" i="67"/>
  <c r="DC73" i="67" s="1"/>
  <c r="DD73" i="67"/>
  <c r="DE66" i="67"/>
  <c r="DF66" i="67" s="1"/>
  <c r="DG66" i="67"/>
  <c r="DL21" i="67"/>
  <c r="DK21" i="67"/>
  <c r="DH21" i="67"/>
  <c r="DG24" i="67"/>
  <c r="DE24" i="67"/>
  <c r="DF24" i="67" s="1"/>
  <c r="DL39" i="67"/>
  <c r="DK39" i="67"/>
  <c r="DH39" i="67"/>
  <c r="DE70" i="67"/>
  <c r="DF70" i="67" s="1"/>
  <c r="DG70" i="67"/>
  <c r="DD4" i="67"/>
  <c r="DB4" i="67"/>
  <c r="DC4" i="67" s="1"/>
  <c r="DE31" i="67"/>
  <c r="DF31" i="67" s="1"/>
  <c r="DG31" i="67"/>
  <c r="DG51" i="67"/>
  <c r="DE51" i="67"/>
  <c r="DF51" i="67" s="1"/>
  <c r="DL8" i="67"/>
  <c r="DK8" i="67"/>
  <c r="DH8" i="67"/>
  <c r="DE64" i="67"/>
  <c r="DF64" i="67" s="1"/>
  <c r="DG64" i="67"/>
  <c r="DG22" i="67"/>
  <c r="DE22" i="67"/>
  <c r="DF22" i="67" s="1"/>
  <c r="DH13" i="67"/>
  <c r="DK13" i="67"/>
  <c r="DL13" i="67"/>
  <c r="DL30" i="67"/>
  <c r="DK30" i="67"/>
  <c r="DH30" i="67"/>
  <c r="DI2" i="67"/>
  <c r="DJ2" i="67"/>
  <c r="DJ42" i="67"/>
  <c r="DI42" i="67"/>
  <c r="DJ34" i="67"/>
  <c r="DI34" i="67"/>
  <c r="DD38" i="67"/>
  <c r="DB38" i="67"/>
  <c r="DC38" i="67" s="1"/>
  <c r="DH65" i="67"/>
  <c r="DL65" i="67"/>
  <c r="DK65" i="67"/>
  <c r="DG73" i="67"/>
  <c r="DE73" i="67"/>
  <c r="DF73" i="67" s="1"/>
  <c r="DL63" i="67"/>
  <c r="DK63" i="67"/>
  <c r="DH63" i="67"/>
  <c r="DB15" i="67"/>
  <c r="DC15" i="67" s="1"/>
  <c r="DD15" i="67"/>
  <c r="DB40" i="67"/>
  <c r="DC40" i="67" s="1"/>
  <c r="DD40" i="67"/>
  <c r="DB69" i="67"/>
  <c r="DC69" i="67" s="1"/>
  <c r="DD69" i="67"/>
  <c r="DI33" i="67"/>
  <c r="DJ33" i="67"/>
  <c r="DG13" i="67"/>
  <c r="DE13" i="67"/>
  <c r="DF13" i="67" s="1"/>
  <c r="DG20" i="67"/>
  <c r="DE20" i="67"/>
  <c r="DF20" i="67" s="1"/>
  <c r="DK72" i="67"/>
  <c r="DL72" i="67"/>
  <c r="DH72" i="67"/>
  <c r="DG36" i="67"/>
  <c r="DE36" i="67"/>
  <c r="DF36" i="67" s="1"/>
  <c r="DK32" i="67"/>
  <c r="DH32" i="67"/>
  <c r="DL32" i="67"/>
  <c r="DD55" i="67"/>
  <c r="DB55" i="67"/>
  <c r="DC55" i="67" s="1"/>
  <c r="DK35" i="67"/>
  <c r="DL35" i="67"/>
  <c r="DH35" i="67"/>
  <c r="DD13" i="67"/>
  <c r="DB13" i="67"/>
  <c r="DC13" i="67" s="1"/>
  <c r="DD29" i="67"/>
  <c r="DB29" i="67"/>
  <c r="DC29" i="67" s="1"/>
  <c r="DL51" i="67"/>
  <c r="DH51" i="67"/>
  <c r="DK51" i="67"/>
  <c r="DL17" i="67"/>
  <c r="DK17" i="67"/>
  <c r="DH17" i="67"/>
  <c r="DH70" i="67"/>
  <c r="DL70" i="67"/>
  <c r="DK70" i="67"/>
  <c r="DL11" i="67"/>
  <c r="DK11" i="67"/>
  <c r="DH11" i="67"/>
  <c r="DE34" i="67"/>
  <c r="DF34" i="67" s="1"/>
  <c r="DG34" i="67"/>
  <c r="DD6" i="67"/>
  <c r="DB6" i="67"/>
  <c r="DC6" i="67" s="1"/>
  <c r="DJ23" i="67"/>
  <c r="DI23" i="67"/>
  <c r="DG26" i="67"/>
  <c r="DD67" i="67"/>
  <c r="DB67" i="67"/>
  <c r="DC67" i="67" s="1"/>
  <c r="DH43" i="67"/>
  <c r="DL43" i="67"/>
  <c r="DK43" i="67"/>
  <c r="DJ41" i="67"/>
  <c r="DI41" i="67"/>
  <c r="DD66" i="67"/>
  <c r="DB66" i="67"/>
  <c r="DC66" i="67" s="1"/>
  <c r="DG29" i="67"/>
  <c r="DE29" i="67"/>
  <c r="DF29" i="67" s="1"/>
  <c r="DG9" i="67"/>
  <c r="DE9" i="67"/>
  <c r="DF9" i="67" s="1"/>
  <c r="DL66" i="67"/>
  <c r="DK66" i="67"/>
  <c r="DH66" i="67"/>
  <c r="DD70" i="67"/>
  <c r="DB70" i="67"/>
  <c r="DC70" i="67" s="1"/>
  <c r="DE52" i="67"/>
  <c r="DF52" i="67" s="1"/>
  <c r="DG52" i="67"/>
  <c r="DH9" i="67"/>
  <c r="DK9" i="67"/>
  <c r="DL9" i="67"/>
  <c r="DG32" i="67"/>
  <c r="DE32" i="67"/>
  <c r="DF32" i="67" s="1"/>
  <c r="DH55" i="67"/>
  <c r="DL55" i="67"/>
  <c r="DK55" i="67"/>
  <c r="DD47" i="67"/>
  <c r="DB47" i="67"/>
  <c r="DC47" i="67" s="1"/>
  <c r="DE57" i="67"/>
  <c r="DF57" i="67" s="1"/>
  <c r="DG57" i="67"/>
  <c r="DB8" i="67"/>
  <c r="DC8" i="67" s="1"/>
  <c r="DD8" i="67"/>
  <c r="H63" i="148"/>
  <c r="I129" i="34" l="1"/>
  <c r="I141" i="34" s="1"/>
  <c r="I132" i="34"/>
  <c r="I144" i="34" s="1"/>
  <c r="H133" i="38"/>
  <c r="H145" i="38" s="1"/>
  <c r="H132" i="38"/>
  <c r="H144" i="38" s="1"/>
  <c r="DB2" i="67"/>
  <c r="DC2" i="67" s="1"/>
  <c r="DB14" i="67"/>
  <c r="DC14" i="67" s="1"/>
  <c r="DD26" i="67"/>
  <c r="DI19" i="67"/>
  <c r="DB62" i="67"/>
  <c r="DC62" i="67" s="1"/>
  <c r="DI50" i="67"/>
  <c r="DL38" i="67"/>
  <c r="DK38" i="67"/>
  <c r="DI25" i="67"/>
  <c r="DE14" i="67"/>
  <c r="DF14" i="67" s="1"/>
  <c r="DE2" i="67"/>
  <c r="DF2" i="67" s="1"/>
  <c r="DI61" i="67"/>
  <c r="DK26" i="67"/>
  <c r="DH26" i="67"/>
  <c r="DJ26" i="67" s="1"/>
  <c r="U230" i="4"/>
  <c r="DR230" i="4"/>
  <c r="D38" i="77"/>
  <c r="D38" i="32"/>
  <c r="D38" i="36"/>
  <c r="DQ206" i="4"/>
  <c r="T206" i="4"/>
  <c r="D14" i="76"/>
  <c r="D14" i="34"/>
  <c r="D14" i="30"/>
  <c r="K129" i="76"/>
  <c r="K115" i="76"/>
  <c r="K127" i="76" s="1"/>
  <c r="J115" i="75"/>
  <c r="I115" i="34"/>
  <c r="I127" i="34" s="1"/>
  <c r="I139" i="34" s="1"/>
  <c r="H115" i="38"/>
  <c r="I115" i="30"/>
  <c r="Q115" i="30" s="1"/>
  <c r="H115" i="28"/>
  <c r="O115" i="28" s="1"/>
  <c r="Q115" i="28" s="1"/>
  <c r="K130" i="76"/>
  <c r="K131" i="76"/>
  <c r="S230" i="4"/>
  <c r="DP230" i="4"/>
  <c r="D38" i="75"/>
  <c r="D38" i="38"/>
  <c r="D38" i="28"/>
  <c r="K112" i="76"/>
  <c r="K124" i="76" s="1"/>
  <c r="H112" i="38"/>
  <c r="J112" i="75"/>
  <c r="I112" i="34"/>
  <c r="I124" i="34" s="1"/>
  <c r="I136" i="34" s="1"/>
  <c r="I112" i="30"/>
  <c r="Q112" i="30" s="1"/>
  <c r="H112" i="28"/>
  <c r="O112" i="28" s="1"/>
  <c r="Q112" i="28" s="1"/>
  <c r="DP218" i="4"/>
  <c r="S218" i="4"/>
  <c r="D26" i="75"/>
  <c r="D26" i="38"/>
  <c r="D26" i="28"/>
  <c r="J114" i="75"/>
  <c r="K114" i="76"/>
  <c r="K126" i="76" s="1"/>
  <c r="I114" i="34"/>
  <c r="I126" i="34" s="1"/>
  <c r="I138" i="34" s="1"/>
  <c r="H114" i="38"/>
  <c r="H114" i="28"/>
  <c r="O114" i="28" s="1"/>
  <c r="Q114" i="28" s="1"/>
  <c r="I114" i="30"/>
  <c r="Q114" i="30" s="1"/>
  <c r="T230" i="4"/>
  <c r="DQ230" i="4"/>
  <c r="D38" i="76"/>
  <c r="D38" i="34"/>
  <c r="D38" i="30"/>
  <c r="DG38" i="67"/>
  <c r="DE38" i="67"/>
  <c r="DF38" i="67" s="1"/>
  <c r="DP194" i="4"/>
  <c r="S194" i="4"/>
  <c r="D2" i="75"/>
  <c r="D2" i="38"/>
  <c r="D2" i="28"/>
  <c r="K133" i="76"/>
  <c r="K111" i="76"/>
  <c r="K123" i="76" s="1"/>
  <c r="J111" i="75"/>
  <c r="I111" i="34"/>
  <c r="I123" i="34" s="1"/>
  <c r="I135" i="34" s="1"/>
  <c r="H111" i="38"/>
  <c r="I111" i="30"/>
  <c r="Q111" i="30" s="1"/>
  <c r="H111" i="28"/>
  <c r="O111" i="28" s="1"/>
  <c r="Q111" i="28" s="1"/>
  <c r="DQ218" i="4"/>
  <c r="T218" i="4"/>
  <c r="D26" i="76"/>
  <c r="D26" i="34"/>
  <c r="D26" i="30"/>
  <c r="K128" i="76"/>
  <c r="J113" i="75"/>
  <c r="K113" i="76"/>
  <c r="K125" i="76" s="1"/>
  <c r="I113" i="34"/>
  <c r="I125" i="34" s="1"/>
  <c r="I137" i="34" s="1"/>
  <c r="H113" i="38"/>
  <c r="I113" i="30"/>
  <c r="Q113" i="30" s="1"/>
  <c r="H113" i="28"/>
  <c r="O113" i="28" s="1"/>
  <c r="Q113" i="28" s="1"/>
  <c r="DD50" i="67"/>
  <c r="DP242" i="4"/>
  <c r="S242" i="4"/>
  <c r="D50" i="75"/>
  <c r="D50" i="38"/>
  <c r="D50" i="28"/>
  <c r="DB50" i="67"/>
  <c r="DC50" i="67" s="1"/>
  <c r="D26" i="77"/>
  <c r="DR218" i="4"/>
  <c r="U218" i="4"/>
  <c r="D26" i="36"/>
  <c r="D26" i="32"/>
  <c r="DQ194" i="4"/>
  <c r="T194" i="4"/>
  <c r="D2" i="76"/>
  <c r="D2" i="34"/>
  <c r="D2" i="30"/>
  <c r="J110" i="75"/>
  <c r="K110" i="76"/>
  <c r="K122" i="76" s="1"/>
  <c r="H110" i="38"/>
  <c r="I110" i="34"/>
  <c r="I122" i="34" s="1"/>
  <c r="I134" i="34" s="1"/>
  <c r="I110" i="30"/>
  <c r="Q110" i="30" s="1"/>
  <c r="H110" i="28"/>
  <c r="O110" i="28" s="1"/>
  <c r="Q110" i="28" s="1"/>
  <c r="K132" i="76"/>
  <c r="S206" i="4"/>
  <c r="DP206" i="4"/>
  <c r="D14" i="75"/>
  <c r="D14" i="38"/>
  <c r="D14" i="28"/>
  <c r="DQ254" i="4"/>
  <c r="T254" i="4"/>
  <c r="D62" i="76"/>
  <c r="D62" i="34"/>
  <c r="D62" i="30"/>
  <c r="S254" i="4"/>
  <c r="DP254" i="4"/>
  <c r="D62" i="75"/>
  <c r="D62" i="38"/>
  <c r="D62" i="28"/>
  <c r="DJ72" i="67"/>
  <c r="DI72" i="67"/>
  <c r="DJ49" i="67"/>
  <c r="DI49" i="67"/>
  <c r="DJ7" i="67"/>
  <c r="DI7" i="67"/>
  <c r="DI52" i="67"/>
  <c r="DJ52" i="67"/>
  <c r="DJ55" i="67"/>
  <c r="DI55" i="67"/>
  <c r="DI60" i="67"/>
  <c r="DJ60" i="67"/>
  <c r="DI10" i="67"/>
  <c r="DJ10" i="67"/>
  <c r="DJ12" i="67"/>
  <c r="DI12" i="67"/>
  <c r="DJ71" i="67"/>
  <c r="DI71" i="67"/>
  <c r="DJ63" i="67"/>
  <c r="DI63" i="67"/>
  <c r="DJ69" i="67"/>
  <c r="DI69" i="67"/>
  <c r="DJ46" i="67"/>
  <c r="DI46" i="67"/>
  <c r="DJ36" i="67"/>
  <c r="DI36" i="67"/>
  <c r="DJ48" i="67"/>
  <c r="DI48" i="67"/>
  <c r="DJ38" i="67"/>
  <c r="DI38" i="67"/>
  <c r="DI44" i="67"/>
  <c r="DJ44" i="67"/>
  <c r="DJ24" i="67"/>
  <c r="DI24" i="67"/>
  <c r="DJ16" i="67"/>
  <c r="DI16" i="67"/>
  <c r="DI47" i="67"/>
  <c r="DJ47" i="67"/>
  <c r="DJ15" i="67"/>
  <c r="DI15" i="67"/>
  <c r="DI18" i="67"/>
  <c r="DJ18" i="67"/>
  <c r="DI3" i="67"/>
  <c r="DJ3" i="67"/>
  <c r="DI5" i="67"/>
  <c r="DJ5" i="67"/>
  <c r="DJ56" i="67"/>
  <c r="DI56" i="67"/>
  <c r="DJ28" i="67"/>
  <c r="DI28" i="67"/>
  <c r="DI53" i="67"/>
  <c r="DJ53" i="67"/>
  <c r="DJ54" i="67"/>
  <c r="DI54" i="67"/>
  <c r="DI40" i="67"/>
  <c r="DJ40" i="67"/>
  <c r="DJ35" i="67"/>
  <c r="DI35" i="67"/>
  <c r="DI37" i="67"/>
  <c r="DJ37" i="67"/>
  <c r="DI45" i="67"/>
  <c r="DJ45" i="67"/>
  <c r="DJ39" i="67"/>
  <c r="DI39" i="67"/>
  <c r="DI73" i="67"/>
  <c r="DJ73" i="67"/>
  <c r="DI27" i="67"/>
  <c r="DJ27" i="67"/>
  <c r="DI9" i="67"/>
  <c r="DJ9" i="67"/>
  <c r="DI30" i="67"/>
  <c r="DJ30" i="67"/>
  <c r="DJ29" i="67"/>
  <c r="DI29" i="67"/>
  <c r="DJ68" i="67"/>
  <c r="DI68" i="67"/>
  <c r="DJ64" i="67"/>
  <c r="DI64" i="67"/>
  <c r="DI59" i="67"/>
  <c r="DJ59" i="67"/>
  <c r="DJ11" i="67"/>
  <c r="DI11" i="67"/>
  <c r="DJ66" i="67"/>
  <c r="DI66" i="67"/>
  <c r="DI21" i="67"/>
  <c r="DJ21" i="67"/>
  <c r="DJ57" i="67"/>
  <c r="DI57" i="67"/>
  <c r="DJ43" i="67"/>
  <c r="DI43" i="67"/>
  <c r="DJ17" i="67"/>
  <c r="DI17" i="67"/>
  <c r="DJ32" i="67"/>
  <c r="DI32" i="67"/>
  <c r="DJ13" i="67"/>
  <c r="DI13" i="67"/>
  <c r="DJ8" i="67"/>
  <c r="DI8" i="67"/>
  <c r="DI51" i="67"/>
  <c r="DJ51" i="67"/>
  <c r="DJ4" i="67"/>
  <c r="DI4" i="67"/>
  <c r="DI58" i="67"/>
  <c r="DJ58" i="67"/>
  <c r="DJ31" i="67"/>
  <c r="DI31" i="67"/>
  <c r="DI6" i="67"/>
  <c r="DJ6" i="67"/>
  <c r="DJ22" i="67"/>
  <c r="DI22" i="67"/>
  <c r="DJ70" i="67"/>
  <c r="DI70" i="67"/>
  <c r="DI65" i="67"/>
  <c r="DJ65" i="67"/>
  <c r="DJ20" i="67"/>
  <c r="DI20" i="67"/>
  <c r="DJ67" i="67"/>
  <c r="DI67" i="67"/>
  <c r="H64" i="148"/>
  <c r="DI26" i="67" l="1"/>
  <c r="H127" i="38"/>
  <c r="H139" i="38" s="1"/>
  <c r="O115" i="38"/>
  <c r="H125" i="38"/>
  <c r="H137" i="38" s="1"/>
  <c r="O113" i="38"/>
  <c r="S123" i="76"/>
  <c r="K135" i="76"/>
  <c r="S135" i="76" s="1"/>
  <c r="S133" i="76"/>
  <c r="K145" i="76"/>
  <c r="S145" i="76" s="1"/>
  <c r="H126" i="38"/>
  <c r="H138" i="38" s="1"/>
  <c r="O114" i="38"/>
  <c r="K137" i="76"/>
  <c r="S137" i="76" s="1"/>
  <c r="S125" i="76"/>
  <c r="H124" i="38"/>
  <c r="H136" i="38" s="1"/>
  <c r="O112" i="38"/>
  <c r="S127" i="76"/>
  <c r="K139" i="76"/>
  <c r="S139" i="76" s="1"/>
  <c r="S126" i="76"/>
  <c r="K138" i="76"/>
  <c r="S138" i="76" s="1"/>
  <c r="K136" i="76"/>
  <c r="S136" i="76" s="1"/>
  <c r="S124" i="76"/>
  <c r="S129" i="76"/>
  <c r="K141" i="76"/>
  <c r="S141" i="76" s="1"/>
  <c r="S128" i="76"/>
  <c r="K140" i="76"/>
  <c r="S140" i="76" s="1"/>
  <c r="S132" i="76"/>
  <c r="K144" i="76"/>
  <c r="S144" i="76" s="1"/>
  <c r="S131" i="76"/>
  <c r="K143" i="76"/>
  <c r="S143" i="76" s="1"/>
  <c r="H122" i="38"/>
  <c r="H134" i="38" s="1"/>
  <c r="O110" i="38"/>
  <c r="S122" i="76"/>
  <c r="K134" i="76"/>
  <c r="S134" i="76" s="1"/>
  <c r="S130" i="76"/>
  <c r="K142" i="76"/>
  <c r="S142" i="76" s="1"/>
  <c r="H123" i="38"/>
  <c r="H135" i="38" s="1"/>
  <c r="O111" i="38"/>
  <c r="H65" i="148"/>
  <c r="H66" i="148" l="1"/>
  <c r="DD29" i="4" l="1"/>
  <c r="DE29" i="4"/>
  <c r="DF29" i="4"/>
  <c r="DG29" i="4"/>
  <c r="DH29" i="4"/>
  <c r="DI29" i="4"/>
  <c r="DJ29" i="4"/>
  <c r="DK29" i="4"/>
  <c r="DL29" i="4"/>
  <c r="DM29" i="4"/>
  <c r="DN29" i="4"/>
  <c r="DD30" i="4"/>
  <c r="DE30" i="4"/>
  <c r="DF30" i="4"/>
  <c r="DG30" i="4"/>
  <c r="DH30" i="4"/>
  <c r="DI30" i="4"/>
  <c r="DJ30" i="4"/>
  <c r="DK30" i="4"/>
  <c r="DL30" i="4"/>
  <c r="DM30" i="4"/>
  <c r="DN30" i="4"/>
  <c r="DD31" i="4"/>
  <c r="DE31" i="4"/>
  <c r="DF31" i="4"/>
  <c r="DG31" i="4"/>
  <c r="DH31" i="4"/>
  <c r="DI31" i="4"/>
  <c r="DJ31" i="4"/>
  <c r="DK31" i="4"/>
  <c r="DL31" i="4"/>
  <c r="DM31" i="4"/>
  <c r="DN31" i="4"/>
  <c r="DD32" i="4"/>
  <c r="DE32" i="4"/>
  <c r="DF32" i="4"/>
  <c r="DG32" i="4"/>
  <c r="DH32" i="4"/>
  <c r="DI32" i="4"/>
  <c r="DJ32" i="4"/>
  <c r="DK32" i="4"/>
  <c r="DL32" i="4"/>
  <c r="DM32" i="4"/>
  <c r="DN32" i="4"/>
  <c r="DD33" i="4"/>
  <c r="DE33" i="4"/>
  <c r="DF33" i="4"/>
  <c r="DG33" i="4"/>
  <c r="DH33" i="4"/>
  <c r="DI33" i="4"/>
  <c r="DJ33" i="4"/>
  <c r="DK33" i="4"/>
  <c r="DL33" i="4"/>
  <c r="DM33" i="4"/>
  <c r="DN33" i="4"/>
  <c r="DD34" i="4"/>
  <c r="DE34" i="4"/>
  <c r="DF34" i="4"/>
  <c r="DG34" i="4"/>
  <c r="DH34" i="4"/>
  <c r="DI34" i="4"/>
  <c r="DJ34" i="4"/>
  <c r="DK34" i="4"/>
  <c r="DL34" i="4"/>
  <c r="DM34" i="4"/>
  <c r="DN34" i="4"/>
  <c r="DD35" i="4"/>
  <c r="DE35" i="4"/>
  <c r="DF35" i="4"/>
  <c r="DG35" i="4"/>
  <c r="DH35" i="4"/>
  <c r="DI35" i="4"/>
  <c r="DJ35" i="4"/>
  <c r="DK35" i="4"/>
  <c r="DL35" i="4"/>
  <c r="DM35" i="4"/>
  <c r="DN35" i="4"/>
  <c r="DD36" i="4"/>
  <c r="DE36" i="4"/>
  <c r="DF36" i="4"/>
  <c r="DG36" i="4"/>
  <c r="DH36" i="4"/>
  <c r="DI36" i="4"/>
  <c r="DJ36" i="4"/>
  <c r="DK36" i="4"/>
  <c r="DL36" i="4"/>
  <c r="DM36" i="4"/>
  <c r="DN36" i="4"/>
  <c r="DD37" i="4"/>
  <c r="DE37" i="4"/>
  <c r="DF37" i="4"/>
  <c r="DG37" i="4"/>
  <c r="DH37" i="4"/>
  <c r="DI37" i="4"/>
  <c r="DJ37" i="4"/>
  <c r="DK37" i="4"/>
  <c r="DL37" i="4"/>
  <c r="DM37" i="4"/>
  <c r="DN37" i="4"/>
  <c r="DD38" i="4"/>
  <c r="DE38" i="4"/>
  <c r="DF38" i="4"/>
  <c r="DG38" i="4"/>
  <c r="DH38" i="4"/>
  <c r="DI38" i="4"/>
  <c r="DJ38" i="4"/>
  <c r="DK38" i="4"/>
  <c r="DL38" i="4"/>
  <c r="DM38" i="4"/>
  <c r="DN38" i="4"/>
  <c r="DD39" i="4"/>
  <c r="DE39" i="4"/>
  <c r="DF39" i="4"/>
  <c r="DG39" i="4"/>
  <c r="DH39" i="4"/>
  <c r="DI39" i="4"/>
  <c r="DJ39" i="4"/>
  <c r="DK39" i="4"/>
  <c r="DL39" i="4"/>
  <c r="DM39" i="4"/>
  <c r="DN39" i="4"/>
  <c r="DD40" i="4"/>
  <c r="DE40" i="4"/>
  <c r="DF40" i="4"/>
  <c r="DG40" i="4"/>
  <c r="DH40" i="4"/>
  <c r="DI40" i="4"/>
  <c r="DJ40" i="4"/>
  <c r="DK40" i="4"/>
  <c r="DL40" i="4"/>
  <c r="DM40" i="4"/>
  <c r="DN40" i="4"/>
  <c r="DD41" i="4"/>
  <c r="DE41" i="4"/>
  <c r="DF41" i="4"/>
  <c r="DG41" i="4"/>
  <c r="DH41" i="4"/>
  <c r="DI41" i="4"/>
  <c r="DJ41" i="4"/>
  <c r="DK41" i="4"/>
  <c r="DL41" i="4"/>
  <c r="DM41" i="4"/>
  <c r="DN41" i="4"/>
  <c r="DD42" i="4"/>
  <c r="DE42" i="4"/>
  <c r="DF42" i="4"/>
  <c r="DG42" i="4"/>
  <c r="DH42" i="4"/>
  <c r="DI42" i="4"/>
  <c r="DJ42" i="4"/>
  <c r="DK42" i="4"/>
  <c r="DL42" i="4"/>
  <c r="DM42" i="4"/>
  <c r="DN42" i="4"/>
  <c r="DD43" i="4"/>
  <c r="DE43" i="4"/>
  <c r="DF43" i="4"/>
  <c r="DG43" i="4"/>
  <c r="DH43" i="4"/>
  <c r="DI43" i="4"/>
  <c r="DJ43" i="4"/>
  <c r="DK43" i="4"/>
  <c r="DL43" i="4"/>
  <c r="DM43" i="4"/>
  <c r="DN43" i="4"/>
  <c r="DD44" i="4"/>
  <c r="DE44" i="4"/>
  <c r="DF44" i="4"/>
  <c r="DG44" i="4"/>
  <c r="DH44" i="4"/>
  <c r="DI44" i="4"/>
  <c r="DJ44" i="4"/>
  <c r="DK44" i="4"/>
  <c r="DL44" i="4"/>
  <c r="DM44" i="4"/>
  <c r="DN44" i="4"/>
  <c r="DD45" i="4"/>
  <c r="DE45" i="4"/>
  <c r="DF45" i="4"/>
  <c r="DG45" i="4"/>
  <c r="DH45" i="4"/>
  <c r="DI45" i="4"/>
  <c r="DJ45" i="4"/>
  <c r="DK45" i="4"/>
  <c r="DL45" i="4"/>
  <c r="DM45" i="4"/>
  <c r="DN45" i="4"/>
  <c r="DD46" i="4"/>
  <c r="DE46" i="4"/>
  <c r="DF46" i="4"/>
  <c r="DG46" i="4"/>
  <c r="DH46" i="4"/>
  <c r="DI46" i="4"/>
  <c r="DJ46" i="4"/>
  <c r="DK46" i="4"/>
  <c r="DL46" i="4"/>
  <c r="DM46" i="4"/>
  <c r="DN46" i="4"/>
  <c r="DC30" i="4"/>
  <c r="DC31" i="4"/>
  <c r="DC32" i="4"/>
  <c r="DC33" i="4"/>
  <c r="DC34" i="4"/>
  <c r="DC35" i="4"/>
  <c r="DC36" i="4"/>
  <c r="DC37" i="4"/>
  <c r="DC38" i="4"/>
  <c r="DC39" i="4"/>
  <c r="DC40" i="4"/>
  <c r="DC41" i="4"/>
  <c r="DC42" i="4"/>
  <c r="DC43" i="4"/>
  <c r="DC44" i="4"/>
  <c r="DC45" i="4"/>
  <c r="DC46" i="4"/>
  <c r="DC29" i="4"/>
  <c r="DD4" i="4"/>
  <c r="DE4" i="4"/>
  <c r="DF4" i="4"/>
  <c r="DG4" i="4"/>
  <c r="DH4" i="4"/>
  <c r="DI4" i="4"/>
  <c r="DJ4" i="4"/>
  <c r="DK4" i="4"/>
  <c r="DL4" i="4"/>
  <c r="DM4" i="4"/>
  <c r="DN4" i="4"/>
  <c r="DD5" i="4"/>
  <c r="DE5" i="4"/>
  <c r="DF5" i="4"/>
  <c r="DG5" i="4"/>
  <c r="DH5" i="4"/>
  <c r="DI5" i="4"/>
  <c r="DJ5" i="4"/>
  <c r="DK5" i="4"/>
  <c r="DL5" i="4"/>
  <c r="DM5" i="4"/>
  <c r="DN5" i="4"/>
  <c r="DD6" i="4"/>
  <c r="DE6" i="4"/>
  <c r="DF6" i="4"/>
  <c r="DG6" i="4"/>
  <c r="DH6" i="4"/>
  <c r="DI6" i="4"/>
  <c r="DJ6" i="4"/>
  <c r="DK6" i="4"/>
  <c r="DL6" i="4"/>
  <c r="DM6" i="4"/>
  <c r="DN6" i="4"/>
  <c r="DD7" i="4"/>
  <c r="DE7" i="4"/>
  <c r="DF7" i="4"/>
  <c r="DG7" i="4"/>
  <c r="DH7" i="4"/>
  <c r="DI7" i="4"/>
  <c r="DJ7" i="4"/>
  <c r="DK7" i="4"/>
  <c r="DL7" i="4"/>
  <c r="DM7" i="4"/>
  <c r="DN7" i="4"/>
  <c r="DD8" i="4"/>
  <c r="DE8" i="4"/>
  <c r="DF8" i="4"/>
  <c r="DG8" i="4"/>
  <c r="DH8" i="4"/>
  <c r="DI8" i="4"/>
  <c r="DJ8" i="4"/>
  <c r="DK8" i="4"/>
  <c r="DL8" i="4"/>
  <c r="DM8" i="4"/>
  <c r="DN8" i="4"/>
  <c r="DD9" i="4"/>
  <c r="DE9" i="4"/>
  <c r="DF9" i="4"/>
  <c r="DG9" i="4"/>
  <c r="DH9" i="4"/>
  <c r="DI9" i="4"/>
  <c r="DJ9" i="4"/>
  <c r="DK9" i="4"/>
  <c r="DL9" i="4"/>
  <c r="DM9" i="4"/>
  <c r="DN9" i="4"/>
  <c r="DD10" i="4"/>
  <c r="DE10" i="4"/>
  <c r="DF10" i="4"/>
  <c r="DG10" i="4"/>
  <c r="DH10" i="4"/>
  <c r="DI10" i="4"/>
  <c r="DJ10" i="4"/>
  <c r="DK10" i="4"/>
  <c r="DL10" i="4"/>
  <c r="DM10" i="4"/>
  <c r="DN10" i="4"/>
  <c r="DD11" i="4"/>
  <c r="DE11" i="4"/>
  <c r="DF11" i="4"/>
  <c r="DG11" i="4"/>
  <c r="DH11" i="4"/>
  <c r="DI11" i="4"/>
  <c r="DJ11" i="4"/>
  <c r="DK11" i="4"/>
  <c r="DL11" i="4"/>
  <c r="DM11" i="4"/>
  <c r="DN11" i="4"/>
  <c r="DD12" i="4"/>
  <c r="DE12" i="4"/>
  <c r="DF12" i="4"/>
  <c r="DG12" i="4"/>
  <c r="DH12" i="4"/>
  <c r="DI12" i="4"/>
  <c r="DJ12" i="4"/>
  <c r="DK12" i="4"/>
  <c r="DL12" i="4"/>
  <c r="DM12" i="4"/>
  <c r="DN12" i="4"/>
  <c r="DD13" i="4"/>
  <c r="DE13" i="4"/>
  <c r="DF13" i="4"/>
  <c r="DG13" i="4"/>
  <c r="DH13" i="4"/>
  <c r="DI13" i="4"/>
  <c r="DJ13" i="4"/>
  <c r="DK13" i="4"/>
  <c r="DL13" i="4"/>
  <c r="DM13" i="4"/>
  <c r="DN13" i="4"/>
  <c r="DD14" i="4"/>
  <c r="DE14" i="4"/>
  <c r="DF14" i="4"/>
  <c r="DG14" i="4"/>
  <c r="DH14" i="4"/>
  <c r="DI14" i="4"/>
  <c r="DJ14" i="4"/>
  <c r="DK14" i="4"/>
  <c r="DL14" i="4"/>
  <c r="DM14" i="4"/>
  <c r="DN14" i="4"/>
  <c r="DD15" i="4"/>
  <c r="DE15" i="4"/>
  <c r="DF15" i="4"/>
  <c r="DG15" i="4"/>
  <c r="DH15" i="4"/>
  <c r="DI15" i="4"/>
  <c r="DJ15" i="4"/>
  <c r="DK15" i="4"/>
  <c r="DL15" i="4"/>
  <c r="DM15" i="4"/>
  <c r="DN15" i="4"/>
  <c r="DD16" i="4"/>
  <c r="DE16" i="4"/>
  <c r="DF16" i="4"/>
  <c r="DG16" i="4"/>
  <c r="DH16" i="4"/>
  <c r="DI16" i="4"/>
  <c r="DJ16" i="4"/>
  <c r="DK16" i="4"/>
  <c r="DL16" i="4"/>
  <c r="DM16" i="4"/>
  <c r="DN16" i="4"/>
  <c r="DD17" i="4"/>
  <c r="DE17" i="4"/>
  <c r="DF17" i="4"/>
  <c r="DG17" i="4"/>
  <c r="DH17" i="4"/>
  <c r="DI17" i="4"/>
  <c r="DJ17" i="4"/>
  <c r="DK17" i="4"/>
  <c r="DL17" i="4"/>
  <c r="DM17" i="4"/>
  <c r="DN17" i="4"/>
  <c r="DD18" i="4"/>
  <c r="DE18" i="4"/>
  <c r="DF18" i="4"/>
  <c r="DG18" i="4"/>
  <c r="DH18" i="4"/>
  <c r="DI18" i="4"/>
  <c r="DJ18" i="4"/>
  <c r="DK18" i="4"/>
  <c r="DL18" i="4"/>
  <c r="DM18" i="4"/>
  <c r="DN18" i="4"/>
  <c r="DD19" i="4"/>
  <c r="DE19" i="4"/>
  <c r="DF19" i="4"/>
  <c r="DG19" i="4"/>
  <c r="DH19" i="4"/>
  <c r="DI19" i="4"/>
  <c r="DJ19" i="4"/>
  <c r="DK19" i="4"/>
  <c r="DL19" i="4"/>
  <c r="DM19" i="4"/>
  <c r="DN19" i="4"/>
  <c r="DD20" i="4"/>
  <c r="DE20" i="4"/>
  <c r="DF20" i="4"/>
  <c r="DG20" i="4"/>
  <c r="DH20" i="4"/>
  <c r="DI20" i="4"/>
  <c r="DJ20" i="4"/>
  <c r="DK20" i="4"/>
  <c r="DL20" i="4"/>
  <c r="DM20" i="4"/>
  <c r="DN20" i="4"/>
  <c r="DC5" i="4"/>
  <c r="DC6" i="4"/>
  <c r="DC7" i="4"/>
  <c r="DC8" i="4"/>
  <c r="DC9" i="4"/>
  <c r="DC10" i="4"/>
  <c r="DC11" i="4"/>
  <c r="DC12" i="4"/>
  <c r="DC13" i="4"/>
  <c r="DC14" i="4"/>
  <c r="DC15" i="4"/>
  <c r="DC16" i="4"/>
  <c r="DC17" i="4"/>
  <c r="DC18" i="4"/>
  <c r="DC19" i="4"/>
  <c r="DC20" i="4"/>
  <c r="DC4" i="4"/>
  <c r="CP29" i="4"/>
  <c r="CQ29" i="4"/>
  <c r="CR29" i="4"/>
  <c r="CS29" i="4"/>
  <c r="CT29" i="4"/>
  <c r="CU29" i="4"/>
  <c r="CV29" i="4"/>
  <c r="CW29" i="4"/>
  <c r="CX29" i="4"/>
  <c r="CY29" i="4"/>
  <c r="CZ29" i="4"/>
  <c r="CP30" i="4"/>
  <c r="CQ30" i="4"/>
  <c r="CR30" i="4"/>
  <c r="CS30" i="4"/>
  <c r="CT30" i="4"/>
  <c r="CU30" i="4"/>
  <c r="CV30" i="4"/>
  <c r="CW30" i="4"/>
  <c r="CX30" i="4"/>
  <c r="CY30" i="4"/>
  <c r="CZ30" i="4"/>
  <c r="CP31" i="4"/>
  <c r="CQ31" i="4"/>
  <c r="CR31" i="4"/>
  <c r="CS31" i="4"/>
  <c r="CT31" i="4"/>
  <c r="CU31" i="4"/>
  <c r="CV31" i="4"/>
  <c r="CW31" i="4"/>
  <c r="CX31" i="4"/>
  <c r="CY31" i="4"/>
  <c r="CZ31" i="4"/>
  <c r="CP32" i="4"/>
  <c r="CQ32" i="4"/>
  <c r="CR32" i="4"/>
  <c r="CS32" i="4"/>
  <c r="CT32" i="4"/>
  <c r="CU32" i="4"/>
  <c r="CV32" i="4"/>
  <c r="CW32" i="4"/>
  <c r="CX32" i="4"/>
  <c r="CY32" i="4"/>
  <c r="CZ32" i="4"/>
  <c r="CP33" i="4"/>
  <c r="CQ33" i="4"/>
  <c r="CR33" i="4"/>
  <c r="CS33" i="4"/>
  <c r="CT33" i="4"/>
  <c r="CU33" i="4"/>
  <c r="CV33" i="4"/>
  <c r="CW33" i="4"/>
  <c r="CX33" i="4"/>
  <c r="CY33" i="4"/>
  <c r="CZ33" i="4"/>
  <c r="CP34" i="4"/>
  <c r="CQ34" i="4"/>
  <c r="CR34" i="4"/>
  <c r="CS34" i="4"/>
  <c r="CT34" i="4"/>
  <c r="CU34" i="4"/>
  <c r="CV34" i="4"/>
  <c r="CW34" i="4"/>
  <c r="CX34" i="4"/>
  <c r="CY34" i="4"/>
  <c r="CZ34" i="4"/>
  <c r="CP35" i="4"/>
  <c r="CQ35" i="4"/>
  <c r="CR35" i="4"/>
  <c r="CS35" i="4"/>
  <c r="CT35" i="4"/>
  <c r="CU35" i="4"/>
  <c r="CV35" i="4"/>
  <c r="CW35" i="4"/>
  <c r="CX35" i="4"/>
  <c r="CY35" i="4"/>
  <c r="CZ35" i="4"/>
  <c r="CP36" i="4"/>
  <c r="CQ36" i="4"/>
  <c r="CR36" i="4"/>
  <c r="CS36" i="4"/>
  <c r="CT36" i="4"/>
  <c r="CU36" i="4"/>
  <c r="CV36" i="4"/>
  <c r="CW36" i="4"/>
  <c r="CX36" i="4"/>
  <c r="CY36" i="4"/>
  <c r="CZ36" i="4"/>
  <c r="CP37" i="4"/>
  <c r="CQ37" i="4"/>
  <c r="CR37" i="4"/>
  <c r="CS37" i="4"/>
  <c r="CT37" i="4"/>
  <c r="CU37" i="4"/>
  <c r="CV37" i="4"/>
  <c r="CW37" i="4"/>
  <c r="CX37" i="4"/>
  <c r="CY37" i="4"/>
  <c r="CZ37" i="4"/>
  <c r="CP38" i="4"/>
  <c r="CQ38" i="4"/>
  <c r="CR38" i="4"/>
  <c r="CS38" i="4"/>
  <c r="CT38" i="4"/>
  <c r="CU38" i="4"/>
  <c r="CV38" i="4"/>
  <c r="CW38" i="4"/>
  <c r="CX38" i="4"/>
  <c r="CY38" i="4"/>
  <c r="CZ38" i="4"/>
  <c r="CP39" i="4"/>
  <c r="CQ39" i="4"/>
  <c r="CR39" i="4"/>
  <c r="CS39" i="4"/>
  <c r="CT39" i="4"/>
  <c r="CU39" i="4"/>
  <c r="CV39" i="4"/>
  <c r="CW39" i="4"/>
  <c r="CX39" i="4"/>
  <c r="CY39" i="4"/>
  <c r="CZ39" i="4"/>
  <c r="CP40" i="4"/>
  <c r="CQ40" i="4"/>
  <c r="CR40" i="4"/>
  <c r="CS40" i="4"/>
  <c r="CT40" i="4"/>
  <c r="CU40" i="4"/>
  <c r="CV40" i="4"/>
  <c r="CW40" i="4"/>
  <c r="CX40" i="4"/>
  <c r="CY40" i="4"/>
  <c r="CZ40" i="4"/>
  <c r="CP41" i="4"/>
  <c r="CQ41" i="4"/>
  <c r="CR41" i="4"/>
  <c r="CS41" i="4"/>
  <c r="CT41" i="4"/>
  <c r="CU41" i="4"/>
  <c r="CV41" i="4"/>
  <c r="CW41" i="4"/>
  <c r="CX41" i="4"/>
  <c r="CY41" i="4"/>
  <c r="CZ41" i="4"/>
  <c r="CP42" i="4"/>
  <c r="CQ42" i="4"/>
  <c r="CR42" i="4"/>
  <c r="CS42" i="4"/>
  <c r="CT42" i="4"/>
  <c r="CU42" i="4"/>
  <c r="CV42" i="4"/>
  <c r="CW42" i="4"/>
  <c r="CX42" i="4"/>
  <c r="CY42" i="4"/>
  <c r="CZ42" i="4"/>
  <c r="CP43" i="4"/>
  <c r="CQ43" i="4"/>
  <c r="CR43" i="4"/>
  <c r="CS43" i="4"/>
  <c r="CT43" i="4"/>
  <c r="CU43" i="4"/>
  <c r="CV43" i="4"/>
  <c r="CW43" i="4"/>
  <c r="CX43" i="4"/>
  <c r="CY43" i="4"/>
  <c r="CZ43" i="4"/>
  <c r="CP44" i="4"/>
  <c r="CQ44" i="4"/>
  <c r="CR44" i="4"/>
  <c r="CS44" i="4"/>
  <c r="CT44" i="4"/>
  <c r="CU44" i="4"/>
  <c r="CV44" i="4"/>
  <c r="CW44" i="4"/>
  <c r="CX44" i="4"/>
  <c r="CY44" i="4"/>
  <c r="CZ44" i="4"/>
  <c r="CP45" i="4"/>
  <c r="CQ45" i="4"/>
  <c r="CR45" i="4"/>
  <c r="CS45" i="4"/>
  <c r="CT45" i="4"/>
  <c r="CU45" i="4"/>
  <c r="CV45" i="4"/>
  <c r="CW45" i="4"/>
  <c r="CX45" i="4"/>
  <c r="CY45" i="4"/>
  <c r="CZ45" i="4"/>
  <c r="CP46" i="4"/>
  <c r="CQ46" i="4"/>
  <c r="CR46" i="4"/>
  <c r="CS46" i="4"/>
  <c r="CT46" i="4"/>
  <c r="CU46" i="4"/>
  <c r="CV46" i="4"/>
  <c r="CW46" i="4"/>
  <c r="CX46" i="4"/>
  <c r="CY46" i="4"/>
  <c r="CZ46" i="4"/>
  <c r="CP47" i="4"/>
  <c r="CQ47" i="4"/>
  <c r="CR47" i="4"/>
  <c r="CP48" i="4"/>
  <c r="CQ48" i="4"/>
  <c r="CR48" i="4"/>
  <c r="CO30" i="4"/>
  <c r="CO31" i="4"/>
  <c r="CO32" i="4"/>
  <c r="CO33" i="4"/>
  <c r="CO34" i="4"/>
  <c r="CO35" i="4"/>
  <c r="CO36" i="4"/>
  <c r="CO37" i="4"/>
  <c r="CO38" i="4"/>
  <c r="CO39" i="4"/>
  <c r="CO40" i="4"/>
  <c r="CO41" i="4"/>
  <c r="CO42" i="4"/>
  <c r="CO43" i="4"/>
  <c r="CO44" i="4"/>
  <c r="CO45" i="4"/>
  <c r="CO46" i="4"/>
  <c r="CO47" i="4"/>
  <c r="CO48" i="4"/>
  <c r="CO29" i="4"/>
  <c r="CA30" i="4"/>
  <c r="CB30" i="4"/>
  <c r="CC30" i="4"/>
  <c r="CD30" i="4"/>
  <c r="CE30" i="4"/>
  <c r="CF30" i="4"/>
  <c r="CG30" i="4"/>
  <c r="CH30" i="4"/>
  <c r="CI30" i="4"/>
  <c r="CJ30" i="4"/>
  <c r="CK30" i="4"/>
  <c r="CL30" i="4"/>
  <c r="CA31" i="4"/>
  <c r="CB31" i="4"/>
  <c r="CC31" i="4"/>
  <c r="CD31" i="4"/>
  <c r="CE31" i="4"/>
  <c r="CF31" i="4"/>
  <c r="CG31" i="4"/>
  <c r="CH31" i="4"/>
  <c r="CI31" i="4"/>
  <c r="CJ31" i="4"/>
  <c r="CK31" i="4"/>
  <c r="CL31" i="4"/>
  <c r="CA32" i="4"/>
  <c r="CB32" i="4"/>
  <c r="CC32" i="4"/>
  <c r="CD32" i="4"/>
  <c r="CE32" i="4"/>
  <c r="CF32" i="4"/>
  <c r="CG32" i="4"/>
  <c r="CH32" i="4"/>
  <c r="CI32" i="4"/>
  <c r="CJ32" i="4"/>
  <c r="CK32" i="4"/>
  <c r="CL32" i="4"/>
  <c r="CA33" i="4"/>
  <c r="CB33" i="4"/>
  <c r="CC33" i="4"/>
  <c r="CD33" i="4"/>
  <c r="CE33" i="4"/>
  <c r="CF33" i="4"/>
  <c r="CG33" i="4"/>
  <c r="CH33" i="4"/>
  <c r="CI33" i="4"/>
  <c r="CJ33" i="4"/>
  <c r="CK33" i="4"/>
  <c r="CL33" i="4"/>
  <c r="CA34" i="4"/>
  <c r="CB34" i="4"/>
  <c r="CC34" i="4"/>
  <c r="CD34" i="4"/>
  <c r="CE34" i="4"/>
  <c r="CF34" i="4"/>
  <c r="CG34" i="4"/>
  <c r="CH34" i="4"/>
  <c r="CI34" i="4"/>
  <c r="CJ34" i="4"/>
  <c r="CK34" i="4"/>
  <c r="CL34" i="4"/>
  <c r="CA35" i="4"/>
  <c r="CB35" i="4"/>
  <c r="CC35" i="4"/>
  <c r="CD35" i="4"/>
  <c r="CE35" i="4"/>
  <c r="CF35" i="4"/>
  <c r="CG35" i="4"/>
  <c r="CH35" i="4"/>
  <c r="CI35" i="4"/>
  <c r="CJ35" i="4"/>
  <c r="CK35" i="4"/>
  <c r="CL35" i="4"/>
  <c r="CA36" i="4"/>
  <c r="CB36" i="4"/>
  <c r="CC36" i="4"/>
  <c r="CD36" i="4"/>
  <c r="CE36" i="4"/>
  <c r="CF36" i="4"/>
  <c r="CG36" i="4"/>
  <c r="CH36" i="4"/>
  <c r="CI36" i="4"/>
  <c r="CJ36" i="4"/>
  <c r="CK36" i="4"/>
  <c r="CL36" i="4"/>
  <c r="CA37" i="4"/>
  <c r="CB37" i="4"/>
  <c r="CC37" i="4"/>
  <c r="CD37" i="4"/>
  <c r="CE37" i="4"/>
  <c r="CF37" i="4"/>
  <c r="CG37" i="4"/>
  <c r="CH37" i="4"/>
  <c r="CI37" i="4"/>
  <c r="CJ37" i="4"/>
  <c r="CK37" i="4"/>
  <c r="CL37" i="4"/>
  <c r="CA38" i="4"/>
  <c r="CB38" i="4"/>
  <c r="CC38" i="4"/>
  <c r="CD38" i="4"/>
  <c r="CE38" i="4"/>
  <c r="CF38" i="4"/>
  <c r="CG38" i="4"/>
  <c r="CH38" i="4"/>
  <c r="CI38" i="4"/>
  <c r="CJ38" i="4"/>
  <c r="CK38" i="4"/>
  <c r="CL38" i="4"/>
  <c r="CA39" i="4"/>
  <c r="CB39" i="4"/>
  <c r="CC39" i="4"/>
  <c r="CD39" i="4"/>
  <c r="CE39" i="4"/>
  <c r="CF39" i="4"/>
  <c r="CG39" i="4"/>
  <c r="CH39" i="4"/>
  <c r="CI39" i="4"/>
  <c r="CJ39" i="4"/>
  <c r="CK39" i="4"/>
  <c r="CL39" i="4"/>
  <c r="CA40" i="4"/>
  <c r="CB40" i="4"/>
  <c r="CC40" i="4"/>
  <c r="CD40" i="4"/>
  <c r="CE40" i="4"/>
  <c r="CF40" i="4"/>
  <c r="CG40" i="4"/>
  <c r="CH40" i="4"/>
  <c r="CI40" i="4"/>
  <c r="CJ40" i="4"/>
  <c r="CK40" i="4"/>
  <c r="CL40" i="4"/>
  <c r="CA41" i="4"/>
  <c r="CB41" i="4"/>
  <c r="CC41" i="4"/>
  <c r="CD41" i="4"/>
  <c r="CE41" i="4"/>
  <c r="CF41" i="4"/>
  <c r="CG41" i="4"/>
  <c r="CH41" i="4"/>
  <c r="CI41" i="4"/>
  <c r="CJ41" i="4"/>
  <c r="CK41" i="4"/>
  <c r="CL41" i="4"/>
  <c r="CA42" i="4"/>
  <c r="CB42" i="4"/>
  <c r="CC42" i="4"/>
  <c r="CD42" i="4"/>
  <c r="CE42" i="4"/>
  <c r="CF42" i="4"/>
  <c r="CG42" i="4"/>
  <c r="CH42" i="4"/>
  <c r="CI42" i="4"/>
  <c r="CJ42" i="4"/>
  <c r="CK42" i="4"/>
  <c r="CL42" i="4"/>
  <c r="CA43" i="4"/>
  <c r="CB43" i="4"/>
  <c r="CC43" i="4"/>
  <c r="CD43" i="4"/>
  <c r="CE43" i="4"/>
  <c r="CF43" i="4"/>
  <c r="CG43" i="4"/>
  <c r="CH43" i="4"/>
  <c r="CI43" i="4"/>
  <c r="CJ43" i="4"/>
  <c r="CK43" i="4"/>
  <c r="CL43" i="4"/>
  <c r="CA44" i="4"/>
  <c r="CB44" i="4"/>
  <c r="CC44" i="4"/>
  <c r="CD44" i="4"/>
  <c r="CE44" i="4"/>
  <c r="CF44" i="4"/>
  <c r="CG44" i="4"/>
  <c r="CH44" i="4"/>
  <c r="CI44" i="4"/>
  <c r="CJ44" i="4"/>
  <c r="CK44" i="4"/>
  <c r="CL44" i="4"/>
  <c r="CA45" i="4"/>
  <c r="CB45" i="4"/>
  <c r="CC45" i="4"/>
  <c r="CD45" i="4"/>
  <c r="CE45" i="4"/>
  <c r="CF45" i="4"/>
  <c r="CG45" i="4"/>
  <c r="CH45" i="4"/>
  <c r="CI45" i="4"/>
  <c r="CJ45" i="4"/>
  <c r="CK45" i="4"/>
  <c r="CL45" i="4"/>
  <c r="CA46" i="4"/>
  <c r="CB46" i="4"/>
  <c r="CC46" i="4"/>
  <c r="CD46" i="4"/>
  <c r="CE46" i="4"/>
  <c r="CF46" i="4"/>
  <c r="CG46" i="4"/>
  <c r="CH46" i="4"/>
  <c r="CI46" i="4"/>
  <c r="CJ46" i="4"/>
  <c r="CK46" i="4"/>
  <c r="CL46" i="4"/>
  <c r="CA47" i="4"/>
  <c r="CB47" i="4"/>
  <c r="CC47" i="4"/>
  <c r="CD47" i="4"/>
  <c r="CE47" i="4"/>
  <c r="CF47" i="4"/>
  <c r="CG47" i="4"/>
  <c r="CH47" i="4"/>
  <c r="CI47" i="4"/>
  <c r="CJ47" i="4"/>
  <c r="CK47" i="4"/>
  <c r="CL47" i="4"/>
  <c r="CA48" i="4"/>
  <c r="CB48" i="4"/>
  <c r="CB29" i="4"/>
  <c r="CC29" i="4"/>
  <c r="CD29" i="4"/>
  <c r="CE29" i="4"/>
  <c r="CF29" i="4"/>
  <c r="CG29" i="4"/>
  <c r="CH29" i="4"/>
  <c r="CI29" i="4"/>
  <c r="CJ29" i="4"/>
  <c r="CK29" i="4"/>
  <c r="CL29" i="4"/>
  <c r="CA29" i="4"/>
  <c r="CP4" i="4"/>
  <c r="CQ4" i="4"/>
  <c r="CR4" i="4"/>
  <c r="CS4" i="4"/>
  <c r="CT4" i="4"/>
  <c r="CU4" i="4"/>
  <c r="CV4" i="4"/>
  <c r="CW4" i="4"/>
  <c r="CX4" i="4"/>
  <c r="CY4" i="4"/>
  <c r="CZ4" i="4"/>
  <c r="CP5" i="4"/>
  <c r="CQ5" i="4"/>
  <c r="CR5" i="4"/>
  <c r="CS5" i="4"/>
  <c r="CT5" i="4"/>
  <c r="CU5" i="4"/>
  <c r="CV5" i="4"/>
  <c r="CW5" i="4"/>
  <c r="CX5" i="4"/>
  <c r="CY5" i="4"/>
  <c r="CZ5" i="4"/>
  <c r="CP6" i="4"/>
  <c r="CQ6" i="4"/>
  <c r="CR6" i="4"/>
  <c r="CS6" i="4"/>
  <c r="CT6" i="4"/>
  <c r="CU6" i="4"/>
  <c r="CV6" i="4"/>
  <c r="CW6" i="4"/>
  <c r="CX6" i="4"/>
  <c r="CY6" i="4"/>
  <c r="CZ6" i="4"/>
  <c r="CP7" i="4"/>
  <c r="CQ7" i="4"/>
  <c r="CR7" i="4"/>
  <c r="CS7" i="4"/>
  <c r="CT7" i="4"/>
  <c r="CU7" i="4"/>
  <c r="CV7" i="4"/>
  <c r="CW7" i="4"/>
  <c r="CX7" i="4"/>
  <c r="CY7" i="4"/>
  <c r="CZ7" i="4"/>
  <c r="CP8" i="4"/>
  <c r="CQ8" i="4"/>
  <c r="CR8" i="4"/>
  <c r="CS8" i="4"/>
  <c r="CT8" i="4"/>
  <c r="CU8" i="4"/>
  <c r="CV8" i="4"/>
  <c r="CW8" i="4"/>
  <c r="CX8" i="4"/>
  <c r="CY8" i="4"/>
  <c r="CZ8" i="4"/>
  <c r="CP9" i="4"/>
  <c r="CQ9" i="4"/>
  <c r="CR9" i="4"/>
  <c r="CS9" i="4"/>
  <c r="CT9" i="4"/>
  <c r="CU9" i="4"/>
  <c r="CV9" i="4"/>
  <c r="CW9" i="4"/>
  <c r="CX9" i="4"/>
  <c r="CY9" i="4"/>
  <c r="CZ9" i="4"/>
  <c r="CP10" i="4"/>
  <c r="CQ10" i="4"/>
  <c r="CR10" i="4"/>
  <c r="CS10" i="4"/>
  <c r="CT10" i="4"/>
  <c r="CU10" i="4"/>
  <c r="CV10" i="4"/>
  <c r="CW10" i="4"/>
  <c r="CX10" i="4"/>
  <c r="CY10" i="4"/>
  <c r="CZ10" i="4"/>
  <c r="CP11" i="4"/>
  <c r="CQ11" i="4"/>
  <c r="CR11" i="4"/>
  <c r="CS11" i="4"/>
  <c r="CT11" i="4"/>
  <c r="CU11" i="4"/>
  <c r="CV11" i="4"/>
  <c r="CW11" i="4"/>
  <c r="CX11" i="4"/>
  <c r="CY11" i="4"/>
  <c r="CZ11" i="4"/>
  <c r="CP12" i="4"/>
  <c r="CQ12" i="4"/>
  <c r="CR12" i="4"/>
  <c r="CS12" i="4"/>
  <c r="CT12" i="4"/>
  <c r="CU12" i="4"/>
  <c r="CV12" i="4"/>
  <c r="CW12" i="4"/>
  <c r="CX12" i="4"/>
  <c r="CY12" i="4"/>
  <c r="CZ12" i="4"/>
  <c r="CP13" i="4"/>
  <c r="CQ13" i="4"/>
  <c r="CR13" i="4"/>
  <c r="CS13" i="4"/>
  <c r="CT13" i="4"/>
  <c r="CU13" i="4"/>
  <c r="CV13" i="4"/>
  <c r="CW13" i="4"/>
  <c r="CX13" i="4"/>
  <c r="CY13" i="4"/>
  <c r="CZ13" i="4"/>
  <c r="CP14" i="4"/>
  <c r="CQ14" i="4"/>
  <c r="CR14" i="4"/>
  <c r="CS14" i="4"/>
  <c r="CT14" i="4"/>
  <c r="CU14" i="4"/>
  <c r="CV14" i="4"/>
  <c r="CW14" i="4"/>
  <c r="CX14" i="4"/>
  <c r="CY14" i="4"/>
  <c r="CZ14" i="4"/>
  <c r="CP15" i="4"/>
  <c r="CQ15" i="4"/>
  <c r="CR15" i="4"/>
  <c r="CS15" i="4"/>
  <c r="CT15" i="4"/>
  <c r="CU15" i="4"/>
  <c r="CV15" i="4"/>
  <c r="CW15" i="4"/>
  <c r="CX15" i="4"/>
  <c r="CY15" i="4"/>
  <c r="CZ15" i="4"/>
  <c r="CP16" i="4"/>
  <c r="CQ16" i="4"/>
  <c r="CR16" i="4"/>
  <c r="CS16" i="4"/>
  <c r="CT16" i="4"/>
  <c r="CU16" i="4"/>
  <c r="CV16" i="4"/>
  <c r="CW16" i="4"/>
  <c r="CX16" i="4"/>
  <c r="CY16" i="4"/>
  <c r="CZ16" i="4"/>
  <c r="CP17" i="4"/>
  <c r="CQ17" i="4"/>
  <c r="CR17" i="4"/>
  <c r="CS17" i="4"/>
  <c r="CT17" i="4"/>
  <c r="CU17" i="4"/>
  <c r="CV17" i="4"/>
  <c r="CW17" i="4"/>
  <c r="CX17" i="4"/>
  <c r="CY17" i="4"/>
  <c r="CZ17" i="4"/>
  <c r="CP18" i="4"/>
  <c r="CQ18" i="4"/>
  <c r="CR18" i="4"/>
  <c r="CS18" i="4"/>
  <c r="CT18" i="4"/>
  <c r="CU18" i="4"/>
  <c r="CV18" i="4"/>
  <c r="CW18" i="4"/>
  <c r="CX18" i="4"/>
  <c r="CY18" i="4"/>
  <c r="CZ18" i="4"/>
  <c r="CP19" i="4"/>
  <c r="CQ19" i="4"/>
  <c r="CR19" i="4"/>
  <c r="CS19" i="4"/>
  <c r="CT19" i="4"/>
  <c r="CU19" i="4"/>
  <c r="CV19" i="4"/>
  <c r="CW19" i="4"/>
  <c r="CX19" i="4"/>
  <c r="CY19" i="4"/>
  <c r="CZ19" i="4"/>
  <c r="CP20" i="4"/>
  <c r="CQ20" i="4"/>
  <c r="CR20" i="4"/>
  <c r="CS20" i="4"/>
  <c r="CT20" i="4"/>
  <c r="CU20" i="4"/>
  <c r="CV20" i="4"/>
  <c r="CW20" i="4"/>
  <c r="CX20" i="4"/>
  <c r="CY20" i="4"/>
  <c r="CZ20" i="4"/>
  <c r="CP21" i="4"/>
  <c r="CQ21" i="4"/>
  <c r="CR21" i="4"/>
  <c r="CS21" i="4"/>
  <c r="CT21" i="4"/>
  <c r="CU21" i="4"/>
  <c r="CV21" i="4"/>
  <c r="CW21" i="4"/>
  <c r="CX21" i="4"/>
  <c r="CY21" i="4"/>
  <c r="CZ21" i="4"/>
  <c r="CP22" i="4"/>
  <c r="CQ22" i="4"/>
  <c r="CR22" i="4"/>
  <c r="CS22" i="4"/>
  <c r="CP23" i="4"/>
  <c r="CQ23" i="4"/>
  <c r="CR23" i="4"/>
  <c r="CS23" i="4"/>
  <c r="CO5" i="4"/>
  <c r="CO6" i="4"/>
  <c r="CO7" i="4"/>
  <c r="CO8" i="4"/>
  <c r="CO9" i="4"/>
  <c r="CO10" i="4"/>
  <c r="CO11" i="4"/>
  <c r="CO12" i="4"/>
  <c r="CO13" i="4"/>
  <c r="CO14" i="4"/>
  <c r="CO15" i="4"/>
  <c r="CO16" i="4"/>
  <c r="CO17" i="4"/>
  <c r="CO18" i="4"/>
  <c r="CO19" i="4"/>
  <c r="CO20" i="4"/>
  <c r="CO21" i="4"/>
  <c r="CO22" i="4"/>
  <c r="CO23" i="4"/>
  <c r="CO4" i="4"/>
  <c r="CB4" i="4"/>
  <c r="CC4" i="4"/>
  <c r="CD4" i="4"/>
  <c r="CE4" i="4"/>
  <c r="CF4" i="4"/>
  <c r="CG4" i="4"/>
  <c r="CH4" i="4"/>
  <c r="CI4" i="4"/>
  <c r="CJ4" i="4"/>
  <c r="CK4" i="4"/>
  <c r="CL4" i="4"/>
  <c r="CB5" i="4"/>
  <c r="CC5" i="4"/>
  <c r="CD5" i="4"/>
  <c r="CE5" i="4"/>
  <c r="CF5" i="4"/>
  <c r="CG5" i="4"/>
  <c r="CH5" i="4"/>
  <c r="CI5" i="4"/>
  <c r="CJ5" i="4"/>
  <c r="CK5" i="4"/>
  <c r="CL5" i="4"/>
  <c r="CB6" i="4"/>
  <c r="CC6" i="4"/>
  <c r="CD6" i="4"/>
  <c r="CE6" i="4"/>
  <c r="CF6" i="4"/>
  <c r="CG6" i="4"/>
  <c r="CH6" i="4"/>
  <c r="CI6" i="4"/>
  <c r="CJ6" i="4"/>
  <c r="CK6" i="4"/>
  <c r="CL6" i="4"/>
  <c r="CB7" i="4"/>
  <c r="CC7" i="4"/>
  <c r="CD7" i="4"/>
  <c r="CE7" i="4"/>
  <c r="CF7" i="4"/>
  <c r="CG7" i="4"/>
  <c r="CH7" i="4"/>
  <c r="CI7" i="4"/>
  <c r="CJ7" i="4"/>
  <c r="CK7" i="4"/>
  <c r="CL7" i="4"/>
  <c r="CB8" i="4"/>
  <c r="CC8" i="4"/>
  <c r="CD8" i="4"/>
  <c r="CE8" i="4"/>
  <c r="CF8" i="4"/>
  <c r="CG8" i="4"/>
  <c r="CH8" i="4"/>
  <c r="CI8" i="4"/>
  <c r="CJ8" i="4"/>
  <c r="CK8" i="4"/>
  <c r="CL8" i="4"/>
  <c r="CB9" i="4"/>
  <c r="CC9" i="4"/>
  <c r="CD9" i="4"/>
  <c r="CE9" i="4"/>
  <c r="CF9" i="4"/>
  <c r="CG9" i="4"/>
  <c r="CH9" i="4"/>
  <c r="CI9" i="4"/>
  <c r="CJ9" i="4"/>
  <c r="CK9" i="4"/>
  <c r="CL9" i="4"/>
  <c r="CB10" i="4"/>
  <c r="CC10" i="4"/>
  <c r="CD10" i="4"/>
  <c r="CE10" i="4"/>
  <c r="CF10" i="4"/>
  <c r="CG10" i="4"/>
  <c r="CH10" i="4"/>
  <c r="CI10" i="4"/>
  <c r="CJ10" i="4"/>
  <c r="CK10" i="4"/>
  <c r="CL10" i="4"/>
  <c r="CB11" i="4"/>
  <c r="CC11" i="4"/>
  <c r="CD11" i="4"/>
  <c r="CE11" i="4"/>
  <c r="CF11" i="4"/>
  <c r="CG11" i="4"/>
  <c r="CH11" i="4"/>
  <c r="CI11" i="4"/>
  <c r="CJ11" i="4"/>
  <c r="CK11" i="4"/>
  <c r="CL11" i="4"/>
  <c r="CB12" i="4"/>
  <c r="CC12" i="4"/>
  <c r="CD12" i="4"/>
  <c r="CE12" i="4"/>
  <c r="CF12" i="4"/>
  <c r="CG12" i="4"/>
  <c r="CH12" i="4"/>
  <c r="CI12" i="4"/>
  <c r="CJ12" i="4"/>
  <c r="CK12" i="4"/>
  <c r="CL12" i="4"/>
  <c r="CB13" i="4"/>
  <c r="CC13" i="4"/>
  <c r="CD13" i="4"/>
  <c r="CE13" i="4"/>
  <c r="CF13" i="4"/>
  <c r="CG13" i="4"/>
  <c r="CH13" i="4"/>
  <c r="CI13" i="4"/>
  <c r="CJ13" i="4"/>
  <c r="CK13" i="4"/>
  <c r="CL13" i="4"/>
  <c r="CB14" i="4"/>
  <c r="CC14" i="4"/>
  <c r="CD14" i="4"/>
  <c r="CE14" i="4"/>
  <c r="CF14" i="4"/>
  <c r="CG14" i="4"/>
  <c r="CH14" i="4"/>
  <c r="CI14" i="4"/>
  <c r="CJ14" i="4"/>
  <c r="CK14" i="4"/>
  <c r="CL14" i="4"/>
  <c r="CB15" i="4"/>
  <c r="CC15" i="4"/>
  <c r="CD15" i="4"/>
  <c r="CE15" i="4"/>
  <c r="CF15" i="4"/>
  <c r="CG15" i="4"/>
  <c r="CH15" i="4"/>
  <c r="CI15" i="4"/>
  <c r="CJ15" i="4"/>
  <c r="CK15" i="4"/>
  <c r="CL15" i="4"/>
  <c r="CB16" i="4"/>
  <c r="CC16" i="4"/>
  <c r="CD16" i="4"/>
  <c r="CE16" i="4"/>
  <c r="CF16" i="4"/>
  <c r="CG16" i="4"/>
  <c r="CH16" i="4"/>
  <c r="CI16" i="4"/>
  <c r="CJ16" i="4"/>
  <c r="CK16" i="4"/>
  <c r="CL16" i="4"/>
  <c r="CB17" i="4"/>
  <c r="CC17" i="4"/>
  <c r="CD17" i="4"/>
  <c r="CE17" i="4"/>
  <c r="CF17" i="4"/>
  <c r="CG17" i="4"/>
  <c r="CH17" i="4"/>
  <c r="CI17" i="4"/>
  <c r="CJ17" i="4"/>
  <c r="CK17" i="4"/>
  <c r="CL17" i="4"/>
  <c r="CB18" i="4"/>
  <c r="CC18" i="4"/>
  <c r="CD18" i="4"/>
  <c r="CE18" i="4"/>
  <c r="CF18" i="4"/>
  <c r="CG18" i="4"/>
  <c r="CH18" i="4"/>
  <c r="CI18" i="4"/>
  <c r="CJ18" i="4"/>
  <c r="CK18" i="4"/>
  <c r="CL18" i="4"/>
  <c r="CB19" i="4"/>
  <c r="CC19" i="4"/>
  <c r="CD19" i="4"/>
  <c r="CE19" i="4"/>
  <c r="CF19" i="4"/>
  <c r="CG19" i="4"/>
  <c r="CH19" i="4"/>
  <c r="CI19" i="4"/>
  <c r="CJ19" i="4"/>
  <c r="CK19" i="4"/>
  <c r="CL19" i="4"/>
  <c r="CB20" i="4"/>
  <c r="CC20" i="4"/>
  <c r="CD20" i="4"/>
  <c r="CE20" i="4"/>
  <c r="CF20" i="4"/>
  <c r="CG20" i="4"/>
  <c r="CH20" i="4"/>
  <c r="CI20" i="4"/>
  <c r="CJ20" i="4"/>
  <c r="CK20" i="4"/>
  <c r="CL20" i="4"/>
  <c r="CB21" i="4"/>
  <c r="CC21" i="4"/>
  <c r="CD21" i="4"/>
  <c r="CE21" i="4"/>
  <c r="CF21" i="4"/>
  <c r="CG21" i="4"/>
  <c r="CH21" i="4"/>
  <c r="CI21" i="4"/>
  <c r="CJ21" i="4"/>
  <c r="CK21" i="4"/>
  <c r="CL21" i="4"/>
  <c r="CB22" i="4"/>
  <c r="CC22" i="4"/>
  <c r="CD22" i="4"/>
  <c r="CE22" i="4"/>
  <c r="CF22" i="4"/>
  <c r="CG22" i="4"/>
  <c r="CH22" i="4"/>
  <c r="CI22" i="4"/>
  <c r="CJ22" i="4"/>
  <c r="CK22" i="4"/>
  <c r="CL22" i="4"/>
  <c r="CB23" i="4"/>
  <c r="CC23" i="4"/>
  <c r="CD23" i="4"/>
  <c r="CE23" i="4"/>
  <c r="CF23" i="4"/>
  <c r="CG23" i="4"/>
  <c r="CH23" i="4"/>
  <c r="CI23" i="4"/>
  <c r="CJ23" i="4"/>
  <c r="CK23" i="4"/>
  <c r="CL23" i="4"/>
  <c r="CA5" i="4"/>
  <c r="CA6" i="4"/>
  <c r="CA7" i="4"/>
  <c r="CA8" i="4"/>
  <c r="CA9" i="4"/>
  <c r="CA10" i="4"/>
  <c r="CA11" i="4"/>
  <c r="CA12" i="4"/>
  <c r="CA13" i="4"/>
  <c r="CA14" i="4"/>
  <c r="CA15" i="4"/>
  <c r="CA16" i="4"/>
  <c r="CA17" i="4"/>
  <c r="CA18" i="4"/>
  <c r="CA19" i="4"/>
  <c r="CA20" i="4"/>
  <c r="CA21" i="4"/>
  <c r="CA22" i="4"/>
  <c r="CA23" i="4"/>
  <c r="CA4" i="4"/>
  <c r="CB25" i="4" l="1"/>
  <c r="CP25" i="4"/>
  <c r="CA25" i="4"/>
  <c r="O1" i="77"/>
  <c r="P1" i="77"/>
  <c r="P1" i="76"/>
  <c r="O1" i="76"/>
  <c r="N1" i="75"/>
  <c r="O1" i="75"/>
  <c r="N145" i="77"/>
  <c r="C145" i="77"/>
  <c r="B145" i="77"/>
  <c r="N144" i="77"/>
  <c r="C144" i="77"/>
  <c r="B144" i="77"/>
  <c r="N143" i="77"/>
  <c r="C143" i="77"/>
  <c r="B143" i="77"/>
  <c r="N142" i="77"/>
  <c r="C142" i="77"/>
  <c r="B142" i="77"/>
  <c r="N141" i="77"/>
  <c r="C141" i="77"/>
  <c r="B141" i="77"/>
  <c r="N140" i="77"/>
  <c r="C140" i="77"/>
  <c r="B140" i="77"/>
  <c r="N139" i="77"/>
  <c r="C139" i="77"/>
  <c r="B139" i="77"/>
  <c r="N138" i="77"/>
  <c r="C138" i="77"/>
  <c r="B138" i="77"/>
  <c r="N137" i="77"/>
  <c r="C137" i="77"/>
  <c r="B137" i="77"/>
  <c r="N136" i="77"/>
  <c r="C136" i="77"/>
  <c r="B136" i="77"/>
  <c r="N135" i="77"/>
  <c r="C135" i="77"/>
  <c r="B135" i="77"/>
  <c r="N134" i="77"/>
  <c r="C134" i="77"/>
  <c r="B134" i="77"/>
  <c r="N133" i="77"/>
  <c r="C133" i="77"/>
  <c r="B133" i="77"/>
  <c r="N132" i="77"/>
  <c r="C132" i="77"/>
  <c r="B132" i="77"/>
  <c r="N131" i="77"/>
  <c r="C131" i="77"/>
  <c r="B131" i="77"/>
  <c r="N130" i="77"/>
  <c r="C130" i="77"/>
  <c r="B130" i="77"/>
  <c r="N129" i="77"/>
  <c r="C129" i="77"/>
  <c r="B129" i="77"/>
  <c r="N128" i="77"/>
  <c r="C128" i="77"/>
  <c r="B128" i="77"/>
  <c r="N127" i="77"/>
  <c r="C127" i="77"/>
  <c r="B127" i="77"/>
  <c r="N126" i="77"/>
  <c r="C126" i="77"/>
  <c r="B126" i="77"/>
  <c r="N125" i="77"/>
  <c r="C125" i="77"/>
  <c r="B125" i="77"/>
  <c r="N124" i="77"/>
  <c r="C124" i="77"/>
  <c r="B124" i="77"/>
  <c r="N123" i="77"/>
  <c r="C123" i="77"/>
  <c r="B123" i="77"/>
  <c r="N122" i="77"/>
  <c r="C122" i="77"/>
  <c r="B122" i="77"/>
  <c r="C121" i="77"/>
  <c r="B121" i="77"/>
  <c r="C120" i="77"/>
  <c r="B120" i="77"/>
  <c r="C119" i="77"/>
  <c r="B119" i="77"/>
  <c r="C118" i="77"/>
  <c r="B118" i="77"/>
  <c r="J129" i="77"/>
  <c r="C117" i="77"/>
  <c r="B117" i="77"/>
  <c r="C116" i="77"/>
  <c r="B116" i="77"/>
  <c r="J123" i="77"/>
  <c r="K145" i="77"/>
  <c r="S145" i="77" s="1"/>
  <c r="K144" i="77"/>
  <c r="S144" i="77" s="1"/>
  <c r="K142" i="77"/>
  <c r="S142" i="77" s="1"/>
  <c r="K141" i="77"/>
  <c r="S141" i="77" s="1"/>
  <c r="K140" i="77"/>
  <c r="S140" i="77" s="1"/>
  <c r="K136" i="77"/>
  <c r="S136" i="77" s="1"/>
  <c r="K135" i="77"/>
  <c r="S135" i="77" s="1"/>
  <c r="K133" i="77"/>
  <c r="S133" i="77" s="1"/>
  <c r="K132" i="77"/>
  <c r="S132" i="77" s="1"/>
  <c r="K131" i="77"/>
  <c r="S131" i="77" s="1"/>
  <c r="K130" i="77"/>
  <c r="S130" i="77" s="1"/>
  <c r="K129" i="77"/>
  <c r="S129" i="77" s="1"/>
  <c r="K128" i="77"/>
  <c r="S128" i="77" s="1"/>
  <c r="K126" i="77"/>
  <c r="S126" i="77" s="1"/>
  <c r="K125" i="77"/>
  <c r="S125" i="77" s="1"/>
  <c r="Q1" i="77"/>
  <c r="T1" i="77"/>
  <c r="S1" i="77"/>
  <c r="R1" i="77"/>
  <c r="N145" i="76"/>
  <c r="C145" i="76"/>
  <c r="B145" i="76"/>
  <c r="N144" i="76"/>
  <c r="C144" i="76"/>
  <c r="B144" i="76"/>
  <c r="N143" i="76"/>
  <c r="C143" i="76"/>
  <c r="B143" i="76"/>
  <c r="N142" i="76"/>
  <c r="C142" i="76"/>
  <c r="B142" i="76"/>
  <c r="N141" i="76"/>
  <c r="C141" i="76"/>
  <c r="B141" i="76"/>
  <c r="N140" i="76"/>
  <c r="C140" i="76"/>
  <c r="B140" i="76"/>
  <c r="N139" i="76"/>
  <c r="C139" i="76"/>
  <c r="B139" i="76"/>
  <c r="N138" i="76"/>
  <c r="C138" i="76"/>
  <c r="B138" i="76"/>
  <c r="N137" i="76"/>
  <c r="C137" i="76"/>
  <c r="B137" i="76"/>
  <c r="N136" i="76"/>
  <c r="C136" i="76"/>
  <c r="B136" i="76"/>
  <c r="N135" i="76"/>
  <c r="C135" i="76"/>
  <c r="B135" i="76"/>
  <c r="N134" i="76"/>
  <c r="C134" i="76"/>
  <c r="B134" i="76"/>
  <c r="N133" i="76"/>
  <c r="C133" i="76"/>
  <c r="B133" i="76"/>
  <c r="N132" i="76"/>
  <c r="C132" i="76"/>
  <c r="B132" i="76"/>
  <c r="N131" i="76"/>
  <c r="C131" i="76"/>
  <c r="B131" i="76"/>
  <c r="N130" i="76"/>
  <c r="C130" i="76"/>
  <c r="B130" i="76"/>
  <c r="N129" i="76"/>
  <c r="C129" i="76"/>
  <c r="B129" i="76"/>
  <c r="N128" i="76"/>
  <c r="C128" i="76"/>
  <c r="B128" i="76"/>
  <c r="N127" i="76"/>
  <c r="C127" i="76"/>
  <c r="B127" i="76"/>
  <c r="N126" i="76"/>
  <c r="C126" i="76"/>
  <c r="B126" i="76"/>
  <c r="N125" i="76"/>
  <c r="C125" i="76"/>
  <c r="B125" i="76"/>
  <c r="N124" i="76"/>
  <c r="C124" i="76"/>
  <c r="B124" i="76"/>
  <c r="N123" i="76"/>
  <c r="C123" i="76"/>
  <c r="B123" i="76"/>
  <c r="N122" i="76"/>
  <c r="C122" i="76"/>
  <c r="B122" i="76"/>
  <c r="C121" i="76"/>
  <c r="B121" i="76"/>
  <c r="C120" i="76"/>
  <c r="B120" i="76"/>
  <c r="C119" i="76"/>
  <c r="B119" i="76"/>
  <c r="C118" i="76"/>
  <c r="B118" i="76"/>
  <c r="C117" i="76"/>
  <c r="B117" i="76"/>
  <c r="C116" i="76"/>
  <c r="B116" i="76"/>
  <c r="M145" i="75"/>
  <c r="C145" i="75"/>
  <c r="B145" i="75"/>
  <c r="M144" i="75"/>
  <c r="C144" i="75"/>
  <c r="B144" i="75"/>
  <c r="M143" i="75"/>
  <c r="C143" i="75"/>
  <c r="B143" i="75"/>
  <c r="M142" i="75"/>
  <c r="C142" i="75"/>
  <c r="B142" i="75"/>
  <c r="M141" i="75"/>
  <c r="C141" i="75"/>
  <c r="B141" i="75"/>
  <c r="M140" i="75"/>
  <c r="C140" i="75"/>
  <c r="B140" i="75"/>
  <c r="M139" i="75"/>
  <c r="C139" i="75"/>
  <c r="B139" i="75"/>
  <c r="M138" i="75"/>
  <c r="C138" i="75"/>
  <c r="B138" i="75"/>
  <c r="M137" i="75"/>
  <c r="C137" i="75"/>
  <c r="B137" i="75"/>
  <c r="M136" i="75"/>
  <c r="C136" i="75"/>
  <c r="B136" i="75"/>
  <c r="M135" i="75"/>
  <c r="C135" i="75"/>
  <c r="B135" i="75"/>
  <c r="M134" i="75"/>
  <c r="C134" i="75"/>
  <c r="B134" i="75"/>
  <c r="M133" i="75"/>
  <c r="C133" i="75"/>
  <c r="B133" i="75"/>
  <c r="M132" i="75"/>
  <c r="C132" i="75"/>
  <c r="B132" i="75"/>
  <c r="M131" i="75"/>
  <c r="C131" i="75"/>
  <c r="B131" i="75"/>
  <c r="M130" i="75"/>
  <c r="C130" i="75"/>
  <c r="B130" i="75"/>
  <c r="M129" i="75"/>
  <c r="C129" i="75"/>
  <c r="B129" i="75"/>
  <c r="M128" i="75"/>
  <c r="C128" i="75"/>
  <c r="B128" i="75"/>
  <c r="M127" i="75"/>
  <c r="C127" i="75"/>
  <c r="B127" i="75"/>
  <c r="M126" i="75"/>
  <c r="C126" i="75"/>
  <c r="B126" i="75"/>
  <c r="M125" i="75"/>
  <c r="C125" i="75"/>
  <c r="B125" i="75"/>
  <c r="M124" i="75"/>
  <c r="C124" i="75"/>
  <c r="B124" i="75"/>
  <c r="M123" i="75"/>
  <c r="C123" i="75"/>
  <c r="B123" i="75"/>
  <c r="M122" i="75"/>
  <c r="C122" i="75"/>
  <c r="B122" i="75"/>
  <c r="C121" i="75"/>
  <c r="B121" i="75"/>
  <c r="C120" i="75"/>
  <c r="B120" i="75"/>
  <c r="C119" i="75"/>
  <c r="B119" i="75"/>
  <c r="C118" i="75"/>
  <c r="B118" i="75"/>
  <c r="C117" i="75"/>
  <c r="B117" i="75"/>
  <c r="C116" i="75"/>
  <c r="B116" i="75"/>
  <c r="J133" i="75"/>
  <c r="J125" i="75"/>
  <c r="K141" i="75"/>
  <c r="R141" i="75" s="1"/>
  <c r="K139" i="75"/>
  <c r="R139" i="75" s="1"/>
  <c r="K135" i="75"/>
  <c r="R135" i="75" s="1"/>
  <c r="K134" i="75"/>
  <c r="R134" i="75" s="1"/>
  <c r="K133" i="75"/>
  <c r="R133" i="75" s="1"/>
  <c r="K132" i="75"/>
  <c r="R132" i="75" s="1"/>
  <c r="K131" i="75"/>
  <c r="R131" i="75" s="1"/>
  <c r="K130" i="75"/>
  <c r="R130" i="75" s="1"/>
  <c r="K127" i="75"/>
  <c r="R127" i="75" s="1"/>
  <c r="K126" i="75"/>
  <c r="R126" i="75" s="1"/>
  <c r="K125" i="75"/>
  <c r="R125" i="75" s="1"/>
  <c r="K123" i="75"/>
  <c r="R123" i="75" s="1"/>
  <c r="K122" i="75"/>
  <c r="R122" i="75" s="1"/>
  <c r="R1" i="75"/>
  <c r="Q1" i="75"/>
  <c r="P1" i="75"/>
  <c r="B37" i="74"/>
  <c r="B46" i="74" s="1"/>
  <c r="B36" i="74"/>
  <c r="B45" i="74" s="1"/>
  <c r="B35" i="74"/>
  <c r="B44" i="74" s="1"/>
  <c r="B34" i="74"/>
  <c r="B43" i="74" s="1"/>
  <c r="B33" i="74"/>
  <c r="B42" i="74" s="1"/>
  <c r="B28" i="74"/>
  <c r="B27" i="74"/>
  <c r="B16" i="74"/>
  <c r="B15" i="74"/>
  <c r="B14" i="74"/>
  <c r="B13" i="74"/>
  <c r="B12" i="74"/>
  <c r="R1" i="36"/>
  <c r="Q1" i="34"/>
  <c r="R1" i="32"/>
  <c r="L2" i="28"/>
  <c r="L3" i="28"/>
  <c r="L4" i="28"/>
  <c r="L5" i="28"/>
  <c r="L9" i="28"/>
  <c r="L10" i="28"/>
  <c r="L12" i="28"/>
  <c r="L13" i="28"/>
  <c r="L14" i="28"/>
  <c r="L15" i="28"/>
  <c r="L16" i="28"/>
  <c r="L17" i="28"/>
  <c r="L18" i="28"/>
  <c r="L19" i="28"/>
  <c r="L20" i="28"/>
  <c r="L21" i="28"/>
  <c r="L25" i="28"/>
  <c r="L26" i="28"/>
  <c r="L29" i="28"/>
  <c r="L31" i="28"/>
  <c r="L32" i="28"/>
  <c r="L33" i="28"/>
  <c r="L34" i="28"/>
  <c r="L35" i="28"/>
  <c r="L36" i="28"/>
  <c r="L37" i="28"/>
  <c r="L42" i="28"/>
  <c r="L43" i="28"/>
  <c r="L44" i="28"/>
  <c r="L45" i="28"/>
  <c r="L46" i="28"/>
  <c r="L47" i="28"/>
  <c r="L48" i="28"/>
  <c r="L49" i="28"/>
  <c r="L50" i="28"/>
  <c r="L51" i="28"/>
  <c r="L52" i="28"/>
  <c r="L53" i="28"/>
  <c r="L57" i="28"/>
  <c r="L61" i="28"/>
  <c r="L62" i="28"/>
  <c r="L63" i="28"/>
  <c r="L64" i="28"/>
  <c r="L65" i="28"/>
  <c r="L66" i="28"/>
  <c r="L67" i="28"/>
  <c r="L68" i="28"/>
  <c r="L69" i="28"/>
  <c r="L74" i="28"/>
  <c r="L76" i="28"/>
  <c r="L77" i="28"/>
  <c r="L78" i="28"/>
  <c r="L79" i="28"/>
  <c r="L80" i="28"/>
  <c r="L81" i="28"/>
  <c r="L82" i="28"/>
  <c r="L83" i="28"/>
  <c r="L84" i="28"/>
  <c r="L85" i="28"/>
  <c r="L89" i="28"/>
  <c r="L90" i="28"/>
  <c r="L91" i="28"/>
  <c r="L92" i="28"/>
  <c r="L93" i="28"/>
  <c r="L94" i="28"/>
  <c r="L95" i="28"/>
  <c r="L96" i="28"/>
  <c r="L97" i="28"/>
  <c r="L98" i="28"/>
  <c r="L99" i="28"/>
  <c r="L100" i="28"/>
  <c r="L101" i="28"/>
  <c r="L105" i="28"/>
  <c r="L106" i="28"/>
  <c r="D31" i="70"/>
  <c r="L2" i="36"/>
  <c r="R2" i="36"/>
  <c r="L3" i="36"/>
  <c r="P3" i="36"/>
  <c r="Q3" i="36"/>
  <c r="R3" i="36"/>
  <c r="L4" i="36"/>
  <c r="P4" i="36"/>
  <c r="Q4" i="36"/>
  <c r="R4" i="36"/>
  <c r="L5" i="36"/>
  <c r="R5" i="36"/>
  <c r="L6" i="36"/>
  <c r="R6" i="36"/>
  <c r="L7" i="36"/>
  <c r="P7" i="36"/>
  <c r="Q7" i="36"/>
  <c r="R7" i="36"/>
  <c r="L8" i="36"/>
  <c r="R8" i="36"/>
  <c r="L9" i="36"/>
  <c r="Q9" i="36"/>
  <c r="R9" i="36"/>
  <c r="L10" i="36"/>
  <c r="P10" i="36"/>
  <c r="Q10" i="36"/>
  <c r="R10" i="36"/>
  <c r="L11" i="36"/>
  <c r="Q11" i="36"/>
  <c r="R11" i="36"/>
  <c r="L12" i="36"/>
  <c r="P12" i="36"/>
  <c r="Q12" i="36"/>
  <c r="R12" i="36"/>
  <c r="L13" i="36"/>
  <c r="P13" i="36"/>
  <c r="Q13" i="36"/>
  <c r="R13" i="36"/>
  <c r="L14" i="36"/>
  <c r="R14" i="36"/>
  <c r="L15" i="36"/>
  <c r="R15" i="36"/>
  <c r="L16" i="36"/>
  <c r="R16" i="36"/>
  <c r="L17" i="36"/>
  <c r="R17" i="36"/>
  <c r="L18" i="36"/>
  <c r="R18" i="36"/>
  <c r="L19" i="36"/>
  <c r="P19" i="36"/>
  <c r="Q19" i="36"/>
  <c r="R19" i="36"/>
  <c r="L20" i="36"/>
  <c r="P20" i="36"/>
  <c r="Q20" i="36"/>
  <c r="R20" i="36"/>
  <c r="L21" i="36"/>
  <c r="R21" i="36"/>
  <c r="L22" i="36"/>
  <c r="R22" i="36"/>
  <c r="L23" i="36"/>
  <c r="P23" i="36"/>
  <c r="Q23" i="36"/>
  <c r="R23" i="36"/>
  <c r="L24" i="36"/>
  <c r="R24" i="36"/>
  <c r="L25" i="36"/>
  <c r="Q25" i="36"/>
  <c r="R25" i="36"/>
  <c r="L26" i="36"/>
  <c r="P26" i="36"/>
  <c r="Q26" i="36"/>
  <c r="R26" i="36"/>
  <c r="L27" i="36"/>
  <c r="Q27" i="36"/>
  <c r="R27" i="36"/>
  <c r="L28" i="36"/>
  <c r="P28" i="36"/>
  <c r="Q28" i="36"/>
  <c r="R28" i="36"/>
  <c r="L29" i="36"/>
  <c r="P29" i="36"/>
  <c r="Q29" i="36"/>
  <c r="R29" i="36"/>
  <c r="L30" i="36"/>
  <c r="R30" i="36"/>
  <c r="L31" i="36"/>
  <c r="R31" i="36"/>
  <c r="L32" i="36"/>
  <c r="R32" i="36"/>
  <c r="L33" i="36"/>
  <c r="R33" i="36"/>
  <c r="L34" i="36"/>
  <c r="R34" i="36"/>
  <c r="L35" i="36"/>
  <c r="P35" i="36"/>
  <c r="Q35" i="36"/>
  <c r="R35" i="36"/>
  <c r="L36" i="36"/>
  <c r="P36" i="36"/>
  <c r="Q36" i="36"/>
  <c r="R36" i="36"/>
  <c r="L37" i="36"/>
  <c r="R37" i="36"/>
  <c r="L38" i="36"/>
  <c r="R38" i="36"/>
  <c r="L39" i="36"/>
  <c r="P39" i="36"/>
  <c r="Q39" i="36"/>
  <c r="R39" i="36"/>
  <c r="L40" i="36"/>
  <c r="R40" i="36"/>
  <c r="L41" i="36"/>
  <c r="Q41" i="36"/>
  <c r="R41" i="36"/>
  <c r="L42" i="36"/>
  <c r="P42" i="36"/>
  <c r="Q42" i="36"/>
  <c r="R42" i="36"/>
  <c r="L43" i="36"/>
  <c r="Q43" i="36"/>
  <c r="R43" i="36"/>
  <c r="L44" i="36"/>
  <c r="P44" i="36"/>
  <c r="Q44" i="36"/>
  <c r="R44" i="36"/>
  <c r="L45" i="36"/>
  <c r="P45" i="36"/>
  <c r="Q45" i="36"/>
  <c r="R45" i="36"/>
  <c r="L46" i="36"/>
  <c r="R46" i="36"/>
  <c r="L47" i="36"/>
  <c r="R47" i="36"/>
  <c r="L48" i="36"/>
  <c r="R48" i="36"/>
  <c r="L49" i="36"/>
  <c r="R49" i="36"/>
  <c r="L50" i="36"/>
  <c r="R50" i="36"/>
  <c r="L51" i="36"/>
  <c r="P51" i="36"/>
  <c r="Q51" i="36"/>
  <c r="R51" i="36"/>
  <c r="L52" i="36"/>
  <c r="P52" i="36"/>
  <c r="Q52" i="36"/>
  <c r="R52" i="36"/>
  <c r="L53" i="36"/>
  <c r="R53" i="36"/>
  <c r="L54" i="36"/>
  <c r="R54" i="36"/>
  <c r="L55" i="36"/>
  <c r="P55" i="36"/>
  <c r="Q55" i="36"/>
  <c r="R55" i="36"/>
  <c r="L56" i="36"/>
  <c r="R56" i="36"/>
  <c r="L57" i="36"/>
  <c r="Q57" i="36"/>
  <c r="R57" i="36"/>
  <c r="L58" i="36"/>
  <c r="P58" i="36"/>
  <c r="Q58" i="36"/>
  <c r="R58" i="36"/>
  <c r="L59" i="36"/>
  <c r="Q59" i="36"/>
  <c r="R59" i="36"/>
  <c r="L60" i="36"/>
  <c r="P60" i="36"/>
  <c r="Q60" i="36"/>
  <c r="R60" i="36"/>
  <c r="L61" i="36"/>
  <c r="P61" i="36"/>
  <c r="Q61" i="36"/>
  <c r="R61" i="36"/>
  <c r="L62" i="36"/>
  <c r="R62" i="36"/>
  <c r="L63" i="36"/>
  <c r="R63" i="36"/>
  <c r="L64" i="36"/>
  <c r="R64" i="36"/>
  <c r="L65" i="36"/>
  <c r="R65" i="36"/>
  <c r="L66" i="36"/>
  <c r="R66" i="36"/>
  <c r="L67" i="36"/>
  <c r="P67" i="36"/>
  <c r="Q67" i="36"/>
  <c r="R67" i="36"/>
  <c r="L68" i="36"/>
  <c r="P68" i="36"/>
  <c r="Q68" i="36"/>
  <c r="R68" i="36"/>
  <c r="L69" i="36"/>
  <c r="R69" i="36"/>
  <c r="L70" i="36"/>
  <c r="R70" i="36"/>
  <c r="L71" i="36"/>
  <c r="P71" i="36"/>
  <c r="Q71" i="36"/>
  <c r="R71" i="36"/>
  <c r="L72" i="36"/>
  <c r="R72" i="36"/>
  <c r="L73" i="36"/>
  <c r="Q73" i="36"/>
  <c r="R73" i="36"/>
  <c r="L74" i="36"/>
  <c r="P74" i="36"/>
  <c r="Q74" i="36"/>
  <c r="R74" i="36"/>
  <c r="L75" i="36"/>
  <c r="Q75" i="36"/>
  <c r="R75" i="36"/>
  <c r="L76" i="36"/>
  <c r="P76" i="36"/>
  <c r="Q76" i="36"/>
  <c r="R76" i="36"/>
  <c r="L77" i="36"/>
  <c r="P77" i="36"/>
  <c r="Q77" i="36"/>
  <c r="R77" i="36"/>
  <c r="L78" i="36"/>
  <c r="R78" i="36"/>
  <c r="L79" i="36"/>
  <c r="R79" i="36"/>
  <c r="L80" i="36"/>
  <c r="R80" i="36"/>
  <c r="L81" i="36"/>
  <c r="R81" i="36"/>
  <c r="L82" i="36"/>
  <c r="R82" i="36"/>
  <c r="L83" i="36"/>
  <c r="P83" i="36"/>
  <c r="Q83" i="36"/>
  <c r="R83" i="36"/>
  <c r="L84" i="36"/>
  <c r="P84" i="36"/>
  <c r="Q84" i="36"/>
  <c r="R84" i="36"/>
  <c r="L85" i="36"/>
  <c r="R85" i="36"/>
  <c r="L86" i="36"/>
  <c r="R86" i="36"/>
  <c r="L87" i="36"/>
  <c r="P87" i="36"/>
  <c r="Q87" i="36"/>
  <c r="R87" i="36"/>
  <c r="L88" i="36"/>
  <c r="R88" i="36"/>
  <c r="L89" i="36"/>
  <c r="Q89" i="36"/>
  <c r="R89" i="36"/>
  <c r="L90" i="36"/>
  <c r="P90" i="36"/>
  <c r="Q90" i="36"/>
  <c r="L91" i="36"/>
  <c r="Q91" i="36"/>
  <c r="L92" i="36"/>
  <c r="P92" i="36"/>
  <c r="Q92" i="36"/>
  <c r="L93" i="36"/>
  <c r="P93" i="36"/>
  <c r="Q93" i="36"/>
  <c r="L94" i="36"/>
  <c r="L95" i="36"/>
  <c r="L96" i="36"/>
  <c r="L97" i="36"/>
  <c r="P97" i="36"/>
  <c r="L98" i="36"/>
  <c r="L99" i="36"/>
  <c r="P99" i="36"/>
  <c r="Q99" i="36"/>
  <c r="L100" i="36"/>
  <c r="P100" i="36"/>
  <c r="Q100" i="36"/>
  <c r="L101" i="36"/>
  <c r="L102" i="36"/>
  <c r="L103" i="36"/>
  <c r="P103" i="36"/>
  <c r="Q103" i="36"/>
  <c r="L104" i="36"/>
  <c r="L105" i="36"/>
  <c r="Q105" i="36"/>
  <c r="L106" i="36"/>
  <c r="P106" i="36"/>
  <c r="Q106" i="36"/>
  <c r="L107" i="36"/>
  <c r="Q107" i="36"/>
  <c r="L108" i="36"/>
  <c r="P108" i="36"/>
  <c r="Q108" i="36"/>
  <c r="L109" i="36"/>
  <c r="P109" i="36"/>
  <c r="Q109" i="36"/>
  <c r="L110" i="36"/>
  <c r="P110" i="36"/>
  <c r="Q110" i="36"/>
  <c r="L111" i="36"/>
  <c r="P111" i="36"/>
  <c r="Q111" i="36"/>
  <c r="L112" i="36"/>
  <c r="P112" i="36"/>
  <c r="Q112" i="36"/>
  <c r="L113" i="36"/>
  <c r="P113" i="36"/>
  <c r="Q113" i="36"/>
  <c r="L114" i="36"/>
  <c r="P114" i="36"/>
  <c r="Q114" i="36"/>
  <c r="L122" i="36"/>
  <c r="L123" i="36"/>
  <c r="L124" i="36"/>
  <c r="L125" i="36"/>
  <c r="L126" i="36"/>
  <c r="L127" i="36"/>
  <c r="L128" i="36"/>
  <c r="L129" i="36"/>
  <c r="L130" i="36"/>
  <c r="L131" i="36"/>
  <c r="L132" i="36"/>
  <c r="L133" i="36"/>
  <c r="L134" i="36"/>
  <c r="L135" i="36"/>
  <c r="L136" i="36"/>
  <c r="L137" i="36"/>
  <c r="L138" i="36"/>
  <c r="L139" i="36"/>
  <c r="L140" i="36"/>
  <c r="L141" i="36"/>
  <c r="L142" i="36"/>
  <c r="L143" i="36"/>
  <c r="L144" i="36"/>
  <c r="L145" i="36"/>
  <c r="O1" i="36"/>
  <c r="P2" i="36"/>
  <c r="Q2" i="36"/>
  <c r="P5" i="36"/>
  <c r="Q5" i="36"/>
  <c r="P6" i="36"/>
  <c r="Q6" i="36"/>
  <c r="P8" i="36"/>
  <c r="Q8" i="36"/>
  <c r="P9" i="36"/>
  <c r="P11" i="36"/>
  <c r="P14" i="36"/>
  <c r="Q14" i="36"/>
  <c r="P15" i="36"/>
  <c r="Q15" i="36"/>
  <c r="P16" i="36"/>
  <c r="Q16" i="36"/>
  <c r="P17" i="36"/>
  <c r="Q17" i="36"/>
  <c r="P18" i="36"/>
  <c r="Q18" i="36"/>
  <c r="P21" i="36"/>
  <c r="Q21" i="36"/>
  <c r="P22" i="36"/>
  <c r="Q22" i="36"/>
  <c r="P24" i="36"/>
  <c r="Q24" i="36"/>
  <c r="P25" i="36"/>
  <c r="P27" i="36"/>
  <c r="P30" i="36"/>
  <c r="Q30" i="36"/>
  <c r="P31" i="36"/>
  <c r="Q31" i="36"/>
  <c r="P32" i="36"/>
  <c r="Q32" i="36"/>
  <c r="P33" i="36"/>
  <c r="Q33" i="36"/>
  <c r="P34" i="36"/>
  <c r="Q34" i="36"/>
  <c r="P37" i="36"/>
  <c r="Q37" i="36"/>
  <c r="P38" i="36"/>
  <c r="Q38" i="36"/>
  <c r="P40" i="36"/>
  <c r="Q40" i="36"/>
  <c r="P41" i="36"/>
  <c r="P43" i="36"/>
  <c r="P46" i="36"/>
  <c r="Q46" i="36"/>
  <c r="P47" i="36"/>
  <c r="Q47" i="36"/>
  <c r="P48" i="36"/>
  <c r="Q48" i="36"/>
  <c r="P49" i="36"/>
  <c r="Q49" i="36"/>
  <c r="P50" i="36"/>
  <c r="Q50" i="36"/>
  <c r="P53" i="36"/>
  <c r="Q53" i="36"/>
  <c r="P54" i="36"/>
  <c r="Q54" i="36"/>
  <c r="P56" i="36"/>
  <c r="Q56" i="36"/>
  <c r="P57" i="36"/>
  <c r="P59" i="36"/>
  <c r="P62" i="36"/>
  <c r="Q62" i="36"/>
  <c r="P63" i="36"/>
  <c r="Q63" i="36"/>
  <c r="P64" i="36"/>
  <c r="Q64" i="36"/>
  <c r="P65" i="36"/>
  <c r="Q65" i="36"/>
  <c r="P66" i="36"/>
  <c r="Q66" i="36"/>
  <c r="P69" i="36"/>
  <c r="Q69" i="36"/>
  <c r="P70" i="36"/>
  <c r="Q70" i="36"/>
  <c r="P72" i="36"/>
  <c r="Q72" i="36"/>
  <c r="P73" i="36"/>
  <c r="P75" i="36"/>
  <c r="P78" i="36"/>
  <c r="Q78" i="36"/>
  <c r="P79" i="36"/>
  <c r="Q79" i="36"/>
  <c r="P80" i="36"/>
  <c r="Q80" i="36"/>
  <c r="P81" i="36"/>
  <c r="Q81" i="36"/>
  <c r="P82" i="36"/>
  <c r="Q82" i="36"/>
  <c r="P85" i="36"/>
  <c r="Q85" i="36"/>
  <c r="P86" i="36"/>
  <c r="Q86" i="36"/>
  <c r="P88" i="36"/>
  <c r="Q88" i="36"/>
  <c r="P89" i="36"/>
  <c r="P91" i="36"/>
  <c r="P94" i="36"/>
  <c r="Q94" i="36"/>
  <c r="P95" i="36"/>
  <c r="Q95" i="36"/>
  <c r="P96" i="36"/>
  <c r="Q96" i="36"/>
  <c r="Q97" i="36"/>
  <c r="P98" i="36"/>
  <c r="Q98" i="36"/>
  <c r="H123" i="36"/>
  <c r="H135" i="36" s="1"/>
  <c r="P135" i="36" s="1"/>
  <c r="H124" i="36"/>
  <c r="H136" i="36" s="1"/>
  <c r="P136" i="36" s="1"/>
  <c r="H125" i="36"/>
  <c r="H137" i="36" s="1"/>
  <c r="P137" i="36" s="1"/>
  <c r="Q101" i="36"/>
  <c r="H126" i="36"/>
  <c r="H138" i="36" s="1"/>
  <c r="P138" i="36" s="1"/>
  <c r="Q102" i="36"/>
  <c r="H127" i="36"/>
  <c r="H139" i="36" s="1"/>
  <c r="P139" i="36" s="1"/>
  <c r="H128" i="36"/>
  <c r="H140" i="36" s="1"/>
  <c r="P140" i="36" s="1"/>
  <c r="Q104" i="36"/>
  <c r="H130" i="36"/>
  <c r="H142" i="36" s="1"/>
  <c r="P142" i="36" s="1"/>
  <c r="H131" i="36"/>
  <c r="H143" i="36" s="1"/>
  <c r="P143" i="36" s="1"/>
  <c r="H132" i="36"/>
  <c r="H144" i="36" s="1"/>
  <c r="P144" i="36" s="1"/>
  <c r="H133" i="36"/>
  <c r="H145" i="36" s="1"/>
  <c r="P145" i="36" s="1"/>
  <c r="H122" i="36"/>
  <c r="H134" i="36" s="1"/>
  <c r="P134" i="36" s="1"/>
  <c r="O1" i="32"/>
  <c r="L2" i="32"/>
  <c r="L3" i="32"/>
  <c r="L4" i="32"/>
  <c r="L5" i="32"/>
  <c r="L6" i="32"/>
  <c r="L7" i="32"/>
  <c r="L8" i="32"/>
  <c r="L9" i="32"/>
  <c r="L10" i="32"/>
  <c r="L11" i="32"/>
  <c r="L12" i="32"/>
  <c r="L13" i="32"/>
  <c r="L14" i="32"/>
  <c r="L15" i="32"/>
  <c r="L16" i="32"/>
  <c r="L17" i="32"/>
  <c r="L18" i="32"/>
  <c r="L19" i="32"/>
  <c r="L20" i="32"/>
  <c r="L21" i="32"/>
  <c r="L22" i="32"/>
  <c r="L23" i="32"/>
  <c r="L24" i="32"/>
  <c r="L25" i="32"/>
  <c r="L26" i="32"/>
  <c r="L27" i="32"/>
  <c r="L28" i="32"/>
  <c r="L29" i="32"/>
  <c r="L30" i="32"/>
  <c r="L31" i="32"/>
  <c r="L32" i="32"/>
  <c r="L33" i="32"/>
  <c r="L34" i="32"/>
  <c r="L35" i="32"/>
  <c r="L36" i="32"/>
  <c r="L37" i="32"/>
  <c r="L38" i="32"/>
  <c r="L39" i="32"/>
  <c r="L40" i="32"/>
  <c r="L41" i="32"/>
  <c r="L42" i="32"/>
  <c r="L43" i="32"/>
  <c r="L44" i="32"/>
  <c r="L45" i="32"/>
  <c r="L46" i="32"/>
  <c r="L47" i="32"/>
  <c r="L48" i="32"/>
  <c r="L49" i="32"/>
  <c r="L50" i="32"/>
  <c r="L51" i="32"/>
  <c r="L52" i="32"/>
  <c r="L53" i="32"/>
  <c r="L54" i="32"/>
  <c r="L55" i="32"/>
  <c r="L56" i="32"/>
  <c r="L57" i="32"/>
  <c r="L58" i="32"/>
  <c r="L59" i="32"/>
  <c r="L60" i="32"/>
  <c r="L61" i="32"/>
  <c r="L62" i="32"/>
  <c r="L63" i="32"/>
  <c r="L64" i="32"/>
  <c r="L65" i="32"/>
  <c r="L66" i="32"/>
  <c r="L67" i="32"/>
  <c r="L68" i="32"/>
  <c r="L69" i="32"/>
  <c r="L70" i="32"/>
  <c r="L71" i="32"/>
  <c r="L72" i="32"/>
  <c r="L73" i="32"/>
  <c r="L74" i="32"/>
  <c r="L75" i="32"/>
  <c r="L76" i="32"/>
  <c r="L77" i="32"/>
  <c r="L78" i="32"/>
  <c r="L79" i="32"/>
  <c r="L80" i="32"/>
  <c r="L81" i="32"/>
  <c r="L82" i="32"/>
  <c r="L83" i="32"/>
  <c r="L84" i="32"/>
  <c r="L85" i="32"/>
  <c r="L86" i="32"/>
  <c r="L87" i="32"/>
  <c r="L88" i="32"/>
  <c r="L89" i="32"/>
  <c r="L90" i="32"/>
  <c r="L91" i="32"/>
  <c r="L92" i="32"/>
  <c r="L93" i="32"/>
  <c r="L94" i="32"/>
  <c r="L95" i="32"/>
  <c r="L96" i="32"/>
  <c r="L97" i="32"/>
  <c r="L98" i="32"/>
  <c r="L99" i="32"/>
  <c r="L100" i="32"/>
  <c r="L101" i="32"/>
  <c r="L102" i="32"/>
  <c r="L103" i="32"/>
  <c r="L104" i="32"/>
  <c r="L105" i="32"/>
  <c r="L106" i="32"/>
  <c r="L107" i="32"/>
  <c r="L108" i="32"/>
  <c r="L109" i="32"/>
  <c r="J124" i="34"/>
  <c r="J140" i="34"/>
  <c r="R110" i="34"/>
  <c r="R111" i="34"/>
  <c r="R112" i="34"/>
  <c r="J122" i="34"/>
  <c r="J123" i="34"/>
  <c r="J125" i="34"/>
  <c r="J126" i="34"/>
  <c r="J127" i="34"/>
  <c r="J128" i="34"/>
  <c r="J129" i="34"/>
  <c r="J130" i="34"/>
  <c r="J131" i="34"/>
  <c r="J132" i="34"/>
  <c r="J133" i="34"/>
  <c r="J134" i="34"/>
  <c r="J135" i="34"/>
  <c r="J136" i="34"/>
  <c r="J137" i="34"/>
  <c r="J138" i="34"/>
  <c r="J139" i="34"/>
  <c r="J141" i="34"/>
  <c r="J142" i="34"/>
  <c r="J143" i="34"/>
  <c r="J144" i="34"/>
  <c r="J145" i="34"/>
  <c r="Q109" i="34"/>
  <c r="R109" i="34"/>
  <c r="M2" i="30"/>
  <c r="N2" i="30"/>
  <c r="Q2" i="30"/>
  <c r="P2" i="30"/>
  <c r="R2" i="30"/>
  <c r="M3" i="30"/>
  <c r="N3" i="30"/>
  <c r="Q3" i="30"/>
  <c r="P3" i="30"/>
  <c r="R3" i="30"/>
  <c r="M4" i="30"/>
  <c r="N4" i="30"/>
  <c r="Q4" i="30"/>
  <c r="P4" i="30"/>
  <c r="R4" i="30"/>
  <c r="M5" i="30"/>
  <c r="N5" i="30"/>
  <c r="Q5" i="30"/>
  <c r="P5" i="30"/>
  <c r="R5" i="30"/>
  <c r="M6" i="30"/>
  <c r="N6" i="30"/>
  <c r="Q6" i="30"/>
  <c r="P6" i="30"/>
  <c r="R6" i="30"/>
  <c r="M7" i="30"/>
  <c r="N7" i="30"/>
  <c r="Q7" i="30"/>
  <c r="P7" i="30"/>
  <c r="R7" i="30"/>
  <c r="M8" i="30"/>
  <c r="N8" i="30"/>
  <c r="Q8" i="30"/>
  <c r="P8" i="30"/>
  <c r="R8" i="30"/>
  <c r="M9" i="30"/>
  <c r="N9" i="30"/>
  <c r="Q9" i="30"/>
  <c r="P9" i="30"/>
  <c r="R9" i="30"/>
  <c r="M10" i="30"/>
  <c r="N10" i="30"/>
  <c r="Q10" i="30"/>
  <c r="P10" i="30"/>
  <c r="R10" i="30"/>
  <c r="M11" i="30"/>
  <c r="N11" i="30"/>
  <c r="Q11" i="30"/>
  <c r="P11" i="30"/>
  <c r="R11" i="30"/>
  <c r="M12" i="30"/>
  <c r="N12" i="30"/>
  <c r="Q12" i="30"/>
  <c r="P12" i="30"/>
  <c r="R12" i="30"/>
  <c r="M13" i="30"/>
  <c r="N13" i="30"/>
  <c r="Q13" i="30"/>
  <c r="P13" i="30"/>
  <c r="R13" i="30"/>
  <c r="M14" i="30"/>
  <c r="N14" i="30"/>
  <c r="Q14" i="30"/>
  <c r="P14" i="30"/>
  <c r="R14" i="30"/>
  <c r="M15" i="30"/>
  <c r="N15" i="30"/>
  <c r="Q15" i="30"/>
  <c r="P15" i="30"/>
  <c r="R15" i="30"/>
  <c r="M16" i="30"/>
  <c r="N16" i="30"/>
  <c r="Q16" i="30"/>
  <c r="P16" i="30"/>
  <c r="R16" i="30"/>
  <c r="M17" i="30"/>
  <c r="N17" i="30"/>
  <c r="Q17" i="30"/>
  <c r="P17" i="30"/>
  <c r="R17" i="30"/>
  <c r="M18" i="30"/>
  <c r="N18" i="30"/>
  <c r="Q18" i="30"/>
  <c r="P18" i="30"/>
  <c r="R18" i="30"/>
  <c r="M19" i="30"/>
  <c r="N19" i="30"/>
  <c r="Q19" i="30"/>
  <c r="P19" i="30"/>
  <c r="R19" i="30"/>
  <c r="M20" i="30"/>
  <c r="N20" i="30"/>
  <c r="Q20" i="30"/>
  <c r="P20" i="30"/>
  <c r="R20" i="30"/>
  <c r="M21" i="30"/>
  <c r="N21" i="30"/>
  <c r="Q21" i="30"/>
  <c r="P21" i="30"/>
  <c r="R21" i="30"/>
  <c r="M22" i="30"/>
  <c r="N22" i="30"/>
  <c r="Q22" i="30"/>
  <c r="P22" i="30"/>
  <c r="R22" i="30"/>
  <c r="M23" i="30"/>
  <c r="N23" i="30"/>
  <c r="Q23" i="30"/>
  <c r="P23" i="30"/>
  <c r="R23" i="30"/>
  <c r="M24" i="30"/>
  <c r="N24" i="30"/>
  <c r="Q24" i="30"/>
  <c r="P24" i="30"/>
  <c r="R24" i="30"/>
  <c r="M25" i="30"/>
  <c r="N25" i="30"/>
  <c r="Q25" i="30"/>
  <c r="P25" i="30"/>
  <c r="R25" i="30"/>
  <c r="M26" i="30"/>
  <c r="N26" i="30"/>
  <c r="Q26" i="30"/>
  <c r="P26" i="30"/>
  <c r="R26" i="30"/>
  <c r="M27" i="30"/>
  <c r="N27" i="30"/>
  <c r="Q27" i="30"/>
  <c r="P27" i="30"/>
  <c r="R27" i="30"/>
  <c r="M28" i="30"/>
  <c r="N28" i="30"/>
  <c r="Q28" i="30"/>
  <c r="P28" i="30"/>
  <c r="R28" i="30"/>
  <c r="M29" i="30"/>
  <c r="N29" i="30"/>
  <c r="Q29" i="30"/>
  <c r="P29" i="30"/>
  <c r="R29" i="30"/>
  <c r="M30" i="30"/>
  <c r="N30" i="30"/>
  <c r="Q30" i="30"/>
  <c r="P30" i="30"/>
  <c r="R30" i="30"/>
  <c r="M31" i="30"/>
  <c r="N31" i="30"/>
  <c r="Q31" i="30"/>
  <c r="P31" i="30"/>
  <c r="R31" i="30"/>
  <c r="M32" i="30"/>
  <c r="N32" i="30"/>
  <c r="Q32" i="30"/>
  <c r="P32" i="30"/>
  <c r="R32" i="30"/>
  <c r="M33" i="30"/>
  <c r="N33" i="30"/>
  <c r="Q33" i="30"/>
  <c r="P33" i="30"/>
  <c r="R33" i="30"/>
  <c r="M34" i="30"/>
  <c r="N34" i="30"/>
  <c r="Q34" i="30"/>
  <c r="P34" i="30"/>
  <c r="R34" i="30"/>
  <c r="M35" i="30"/>
  <c r="N35" i="30"/>
  <c r="Q35" i="30"/>
  <c r="P35" i="30"/>
  <c r="R35" i="30"/>
  <c r="M36" i="30"/>
  <c r="N36" i="30"/>
  <c r="Q36" i="30"/>
  <c r="P36" i="30"/>
  <c r="R36" i="30"/>
  <c r="M37" i="30"/>
  <c r="N37" i="30"/>
  <c r="Q37" i="30"/>
  <c r="P37" i="30"/>
  <c r="R37" i="30"/>
  <c r="M38" i="30"/>
  <c r="N38" i="30"/>
  <c r="Q38" i="30"/>
  <c r="P38" i="30"/>
  <c r="R38" i="30"/>
  <c r="M39" i="30"/>
  <c r="N39" i="30"/>
  <c r="Q39" i="30"/>
  <c r="P39" i="30"/>
  <c r="R39" i="30"/>
  <c r="M40" i="30"/>
  <c r="N40" i="30"/>
  <c r="Q40" i="30"/>
  <c r="P40" i="30"/>
  <c r="R40" i="30"/>
  <c r="M41" i="30"/>
  <c r="N41" i="30"/>
  <c r="Q41" i="30"/>
  <c r="P41" i="30"/>
  <c r="R41" i="30"/>
  <c r="M42" i="30"/>
  <c r="N42" i="30"/>
  <c r="Q42" i="30"/>
  <c r="P42" i="30"/>
  <c r="R42" i="30"/>
  <c r="M43" i="30"/>
  <c r="N43" i="30"/>
  <c r="Q43" i="30"/>
  <c r="P43" i="30"/>
  <c r="R43" i="30"/>
  <c r="M44" i="30"/>
  <c r="N44" i="30"/>
  <c r="Q44" i="30"/>
  <c r="P44" i="30"/>
  <c r="R44" i="30"/>
  <c r="M45" i="30"/>
  <c r="N45" i="30"/>
  <c r="Q45" i="30"/>
  <c r="P45" i="30"/>
  <c r="R45" i="30"/>
  <c r="M46" i="30"/>
  <c r="N46" i="30"/>
  <c r="Q46" i="30"/>
  <c r="P46" i="30"/>
  <c r="R46" i="30"/>
  <c r="M47" i="30"/>
  <c r="N47" i="30"/>
  <c r="Q47" i="30"/>
  <c r="P47" i="30"/>
  <c r="R47" i="30"/>
  <c r="M48" i="30"/>
  <c r="N48" i="30"/>
  <c r="Q48" i="30"/>
  <c r="P48" i="30"/>
  <c r="R48" i="30"/>
  <c r="M49" i="30"/>
  <c r="N49" i="30"/>
  <c r="Q49" i="30"/>
  <c r="P49" i="30"/>
  <c r="R49" i="30"/>
  <c r="M50" i="30"/>
  <c r="N50" i="30"/>
  <c r="Q50" i="30"/>
  <c r="P50" i="30"/>
  <c r="R50" i="30"/>
  <c r="M51" i="30"/>
  <c r="N51" i="30"/>
  <c r="Q51" i="30"/>
  <c r="P51" i="30"/>
  <c r="R51" i="30"/>
  <c r="M52" i="30"/>
  <c r="N52" i="30"/>
  <c r="Q52" i="30"/>
  <c r="P52" i="30"/>
  <c r="R52" i="30"/>
  <c r="M53" i="30"/>
  <c r="N53" i="30"/>
  <c r="Q53" i="30"/>
  <c r="P53" i="30"/>
  <c r="R53" i="30"/>
  <c r="M54" i="30"/>
  <c r="N54" i="30"/>
  <c r="Q54" i="30"/>
  <c r="P54" i="30"/>
  <c r="R54" i="30"/>
  <c r="M55" i="30"/>
  <c r="N55" i="30"/>
  <c r="Q55" i="30"/>
  <c r="P55" i="30"/>
  <c r="R55" i="30"/>
  <c r="M56" i="30"/>
  <c r="N56" i="30"/>
  <c r="Q56" i="30"/>
  <c r="P56" i="30"/>
  <c r="R56" i="30"/>
  <c r="M57" i="30"/>
  <c r="N57" i="30"/>
  <c r="Q57" i="30"/>
  <c r="P57" i="30"/>
  <c r="R57" i="30"/>
  <c r="M58" i="30"/>
  <c r="N58" i="30"/>
  <c r="Q58" i="30"/>
  <c r="P58" i="30"/>
  <c r="R58" i="30"/>
  <c r="M59" i="30"/>
  <c r="N59" i="30"/>
  <c r="Q59" i="30"/>
  <c r="P59" i="30"/>
  <c r="R59" i="30"/>
  <c r="M60" i="30"/>
  <c r="N60" i="30"/>
  <c r="Q60" i="30"/>
  <c r="P60" i="30"/>
  <c r="R60" i="30"/>
  <c r="M61" i="30"/>
  <c r="N61" i="30"/>
  <c r="Q61" i="30"/>
  <c r="P61" i="30"/>
  <c r="R61" i="30"/>
  <c r="M62" i="30"/>
  <c r="N62" i="30"/>
  <c r="Q62" i="30"/>
  <c r="P62" i="30"/>
  <c r="R62" i="30"/>
  <c r="M63" i="30"/>
  <c r="N63" i="30"/>
  <c r="Q63" i="30"/>
  <c r="P63" i="30"/>
  <c r="R63" i="30"/>
  <c r="M64" i="30"/>
  <c r="N64" i="30"/>
  <c r="Q64" i="30"/>
  <c r="P64" i="30"/>
  <c r="R64" i="30"/>
  <c r="M65" i="30"/>
  <c r="N65" i="30"/>
  <c r="Q65" i="30"/>
  <c r="P65" i="30"/>
  <c r="R65" i="30"/>
  <c r="M66" i="30"/>
  <c r="N66" i="30"/>
  <c r="Q66" i="30"/>
  <c r="P66" i="30"/>
  <c r="R66" i="30"/>
  <c r="M67" i="30"/>
  <c r="N67" i="30"/>
  <c r="Q67" i="30"/>
  <c r="P67" i="30"/>
  <c r="R67" i="30"/>
  <c r="M68" i="30"/>
  <c r="N68" i="30"/>
  <c r="Q68" i="30"/>
  <c r="P68" i="30"/>
  <c r="R68" i="30"/>
  <c r="M69" i="30"/>
  <c r="N69" i="30"/>
  <c r="Q69" i="30"/>
  <c r="P69" i="30"/>
  <c r="R69" i="30"/>
  <c r="M70" i="30"/>
  <c r="N70" i="30"/>
  <c r="Q70" i="30"/>
  <c r="P70" i="30"/>
  <c r="R70" i="30"/>
  <c r="M71" i="30"/>
  <c r="N71" i="30"/>
  <c r="Q71" i="30"/>
  <c r="P71" i="30"/>
  <c r="R71" i="30"/>
  <c r="M72" i="30"/>
  <c r="N72" i="30"/>
  <c r="Q72" i="30"/>
  <c r="P72" i="30"/>
  <c r="R72" i="30"/>
  <c r="M73" i="30"/>
  <c r="N73" i="30"/>
  <c r="Q73" i="30"/>
  <c r="P73" i="30"/>
  <c r="R73" i="30"/>
  <c r="M74" i="30"/>
  <c r="N74" i="30"/>
  <c r="Q74" i="30"/>
  <c r="P74" i="30"/>
  <c r="R74" i="30"/>
  <c r="M75" i="30"/>
  <c r="N75" i="30"/>
  <c r="Q75" i="30"/>
  <c r="P75" i="30"/>
  <c r="R75" i="30"/>
  <c r="M76" i="30"/>
  <c r="N76" i="30"/>
  <c r="Q76" i="30"/>
  <c r="P76" i="30"/>
  <c r="R76" i="30"/>
  <c r="M77" i="30"/>
  <c r="N77" i="30"/>
  <c r="Q77" i="30"/>
  <c r="P77" i="30"/>
  <c r="R77" i="30"/>
  <c r="M78" i="30"/>
  <c r="N78" i="30"/>
  <c r="Q78" i="30"/>
  <c r="P78" i="30"/>
  <c r="R78" i="30"/>
  <c r="M79" i="30"/>
  <c r="N79" i="30"/>
  <c r="Q79" i="30"/>
  <c r="P79" i="30"/>
  <c r="R79" i="30"/>
  <c r="M80" i="30"/>
  <c r="N80" i="30"/>
  <c r="Q80" i="30"/>
  <c r="P80" i="30"/>
  <c r="R80" i="30"/>
  <c r="M81" i="30"/>
  <c r="N81" i="30"/>
  <c r="Q81" i="30"/>
  <c r="P81" i="30"/>
  <c r="R81" i="30"/>
  <c r="M82" i="30"/>
  <c r="N82" i="30"/>
  <c r="Q82" i="30"/>
  <c r="P82" i="30"/>
  <c r="R82" i="30"/>
  <c r="M83" i="30"/>
  <c r="N83" i="30"/>
  <c r="Q83" i="30"/>
  <c r="P83" i="30"/>
  <c r="R83" i="30"/>
  <c r="M84" i="30"/>
  <c r="N84" i="30"/>
  <c r="Q84" i="30"/>
  <c r="P84" i="30"/>
  <c r="R84" i="30"/>
  <c r="M85" i="30"/>
  <c r="N85" i="30"/>
  <c r="Q85" i="30"/>
  <c r="P85" i="30"/>
  <c r="R85" i="30"/>
  <c r="M86" i="30"/>
  <c r="N86" i="30"/>
  <c r="Q86" i="30"/>
  <c r="P86" i="30"/>
  <c r="R86" i="30"/>
  <c r="M87" i="30"/>
  <c r="N87" i="30"/>
  <c r="Q87" i="30"/>
  <c r="P87" i="30"/>
  <c r="R87" i="30"/>
  <c r="M88" i="30"/>
  <c r="N88" i="30"/>
  <c r="Q88" i="30"/>
  <c r="P88" i="30"/>
  <c r="R88" i="30"/>
  <c r="M89" i="30"/>
  <c r="N89" i="30"/>
  <c r="Q89" i="30"/>
  <c r="P89" i="30"/>
  <c r="R89" i="30"/>
  <c r="M90" i="30"/>
  <c r="N90" i="30"/>
  <c r="Q90" i="30"/>
  <c r="P90" i="30"/>
  <c r="R90" i="30"/>
  <c r="M91" i="30"/>
  <c r="N91" i="30"/>
  <c r="Q91" i="30"/>
  <c r="P91" i="30"/>
  <c r="R91" i="30"/>
  <c r="M92" i="30"/>
  <c r="N92" i="30"/>
  <c r="Q92" i="30"/>
  <c r="P92" i="30"/>
  <c r="R92" i="30"/>
  <c r="M93" i="30"/>
  <c r="N93" i="30"/>
  <c r="Q93" i="30"/>
  <c r="P93" i="30"/>
  <c r="R93" i="30"/>
  <c r="M94" i="30"/>
  <c r="N94" i="30"/>
  <c r="Q94" i="30"/>
  <c r="P94" i="30"/>
  <c r="R94" i="30"/>
  <c r="M95" i="30"/>
  <c r="N95" i="30"/>
  <c r="Q95" i="30"/>
  <c r="P95" i="30"/>
  <c r="R95" i="30"/>
  <c r="M96" i="30"/>
  <c r="N96" i="30"/>
  <c r="Q96" i="30"/>
  <c r="P96" i="30"/>
  <c r="R96" i="30"/>
  <c r="M97" i="30"/>
  <c r="N97" i="30"/>
  <c r="Q97" i="30"/>
  <c r="P97" i="30"/>
  <c r="R97" i="30"/>
  <c r="M98" i="30"/>
  <c r="N98" i="30"/>
  <c r="Q98" i="30"/>
  <c r="P98" i="30"/>
  <c r="R98" i="30"/>
  <c r="M99" i="30"/>
  <c r="N99" i="30"/>
  <c r="Q99" i="30"/>
  <c r="P99" i="30"/>
  <c r="R99" i="30"/>
  <c r="M100" i="30"/>
  <c r="N100" i="30"/>
  <c r="Q100" i="30"/>
  <c r="P100" i="30"/>
  <c r="R100" i="30"/>
  <c r="M101" i="30"/>
  <c r="N101" i="30"/>
  <c r="Q101" i="30"/>
  <c r="P101" i="30"/>
  <c r="R101" i="30"/>
  <c r="M102" i="30"/>
  <c r="N102" i="30"/>
  <c r="Q102" i="30"/>
  <c r="P102" i="30"/>
  <c r="R102" i="30"/>
  <c r="M103" i="30"/>
  <c r="N103" i="30"/>
  <c r="Q103" i="30"/>
  <c r="P103" i="30"/>
  <c r="R103" i="30"/>
  <c r="M104" i="30"/>
  <c r="N104" i="30"/>
  <c r="Q104" i="30"/>
  <c r="P104" i="30"/>
  <c r="R104" i="30"/>
  <c r="M105" i="30"/>
  <c r="N105" i="30"/>
  <c r="Q105" i="30"/>
  <c r="P105" i="30"/>
  <c r="R105" i="30"/>
  <c r="M106" i="30"/>
  <c r="N106" i="30"/>
  <c r="Q106" i="30"/>
  <c r="P106" i="30"/>
  <c r="R106" i="30"/>
  <c r="M107" i="30"/>
  <c r="N107" i="30"/>
  <c r="Q107" i="30"/>
  <c r="P107" i="30"/>
  <c r="R107" i="30"/>
  <c r="Q108" i="30"/>
  <c r="P108" i="30"/>
  <c r="R108" i="30"/>
  <c r="Q109" i="30"/>
  <c r="P109" i="30"/>
  <c r="R109" i="30"/>
  <c r="R1" i="30"/>
  <c r="P1" i="30"/>
  <c r="Q1" i="30"/>
  <c r="O2" i="38"/>
  <c r="P2" i="38"/>
  <c r="O3" i="38"/>
  <c r="P3" i="38"/>
  <c r="O4" i="38"/>
  <c r="P4" i="38"/>
  <c r="O5" i="38"/>
  <c r="P5" i="38"/>
  <c r="O6" i="38"/>
  <c r="P6" i="38"/>
  <c r="O7" i="38"/>
  <c r="P7" i="38"/>
  <c r="O8" i="38"/>
  <c r="P8" i="38"/>
  <c r="O9" i="38"/>
  <c r="P9" i="38"/>
  <c r="O10" i="38"/>
  <c r="P10" i="38"/>
  <c r="O11" i="38"/>
  <c r="P11" i="38"/>
  <c r="O12" i="38"/>
  <c r="P12" i="38"/>
  <c r="O13" i="38"/>
  <c r="P13" i="38"/>
  <c r="O14" i="38"/>
  <c r="P14" i="38"/>
  <c r="O15" i="38"/>
  <c r="P15" i="38"/>
  <c r="O16" i="38"/>
  <c r="P16" i="38"/>
  <c r="O17" i="38"/>
  <c r="P17" i="38"/>
  <c r="O18" i="38"/>
  <c r="P18" i="38"/>
  <c r="O19" i="38"/>
  <c r="P19" i="38"/>
  <c r="O20" i="38"/>
  <c r="P20" i="38"/>
  <c r="O21" i="38"/>
  <c r="P21" i="38"/>
  <c r="O22" i="38"/>
  <c r="P22" i="38"/>
  <c r="O23" i="38"/>
  <c r="P23" i="38"/>
  <c r="O24" i="38"/>
  <c r="P24" i="38"/>
  <c r="O25" i="38"/>
  <c r="P25" i="38"/>
  <c r="O26" i="38"/>
  <c r="P26" i="38"/>
  <c r="O27" i="38"/>
  <c r="P27" i="38"/>
  <c r="O28" i="38"/>
  <c r="P28" i="38"/>
  <c r="O29" i="38"/>
  <c r="P29" i="38"/>
  <c r="O30" i="38"/>
  <c r="P30" i="38"/>
  <c r="O31" i="38"/>
  <c r="P31" i="38"/>
  <c r="O32" i="38"/>
  <c r="P32" i="38"/>
  <c r="O33" i="38"/>
  <c r="P33" i="38"/>
  <c r="O34" i="38"/>
  <c r="P34" i="38"/>
  <c r="O35" i="38"/>
  <c r="P35" i="38"/>
  <c r="O36" i="38"/>
  <c r="P36" i="38"/>
  <c r="O37" i="38"/>
  <c r="P37" i="38"/>
  <c r="O38" i="38"/>
  <c r="P38" i="38"/>
  <c r="O39" i="38"/>
  <c r="P39" i="38"/>
  <c r="O40" i="38"/>
  <c r="P40" i="38"/>
  <c r="O41" i="38"/>
  <c r="P41" i="38"/>
  <c r="O42" i="38"/>
  <c r="P42" i="38"/>
  <c r="O43" i="38"/>
  <c r="P43" i="38"/>
  <c r="O44" i="38"/>
  <c r="P44" i="38"/>
  <c r="O45" i="38"/>
  <c r="P45" i="38"/>
  <c r="O46" i="38"/>
  <c r="P46" i="38"/>
  <c r="O47" i="38"/>
  <c r="P47" i="38"/>
  <c r="O48" i="38"/>
  <c r="P48" i="38"/>
  <c r="O49" i="38"/>
  <c r="P49" i="38"/>
  <c r="O50" i="38"/>
  <c r="P50" i="38"/>
  <c r="O51" i="38"/>
  <c r="P51" i="38"/>
  <c r="O52" i="38"/>
  <c r="P52" i="38"/>
  <c r="O53" i="38"/>
  <c r="P53" i="38"/>
  <c r="O54" i="38"/>
  <c r="P54" i="38"/>
  <c r="O55" i="38"/>
  <c r="P55" i="38"/>
  <c r="O56" i="38"/>
  <c r="P56" i="38"/>
  <c r="O57" i="38"/>
  <c r="P57" i="38"/>
  <c r="O58" i="38"/>
  <c r="P58" i="38"/>
  <c r="O59" i="38"/>
  <c r="P59" i="38"/>
  <c r="O60" i="38"/>
  <c r="P60" i="38"/>
  <c r="O61" i="38"/>
  <c r="P61" i="38"/>
  <c r="O62" i="38"/>
  <c r="P62" i="38"/>
  <c r="O63" i="38"/>
  <c r="P63" i="38"/>
  <c r="O64" i="38"/>
  <c r="P64" i="38"/>
  <c r="O65" i="38"/>
  <c r="P65" i="38"/>
  <c r="O66" i="38"/>
  <c r="P66" i="38"/>
  <c r="O67" i="38"/>
  <c r="P67" i="38"/>
  <c r="O68" i="38"/>
  <c r="P68" i="38"/>
  <c r="O69" i="38"/>
  <c r="P69" i="38"/>
  <c r="O70" i="38"/>
  <c r="P70" i="38"/>
  <c r="O71" i="38"/>
  <c r="P71" i="38"/>
  <c r="O72" i="38"/>
  <c r="P72" i="38"/>
  <c r="O73" i="38"/>
  <c r="P73" i="38"/>
  <c r="O74" i="38"/>
  <c r="P74" i="38"/>
  <c r="O75" i="38"/>
  <c r="P75" i="38"/>
  <c r="O76" i="38"/>
  <c r="P76" i="38"/>
  <c r="O77" i="38"/>
  <c r="P77" i="38"/>
  <c r="O78" i="38"/>
  <c r="P78" i="38"/>
  <c r="O79" i="38"/>
  <c r="P79" i="38"/>
  <c r="O80" i="38"/>
  <c r="P80" i="38"/>
  <c r="O81" i="38"/>
  <c r="P81" i="38"/>
  <c r="O82" i="38"/>
  <c r="P82" i="38"/>
  <c r="O83" i="38"/>
  <c r="P83" i="38"/>
  <c r="O84" i="38"/>
  <c r="P84" i="38"/>
  <c r="O85" i="38"/>
  <c r="P85" i="38"/>
  <c r="O86" i="38"/>
  <c r="P86" i="38"/>
  <c r="O87" i="38"/>
  <c r="P87" i="38"/>
  <c r="O88" i="38"/>
  <c r="P88" i="38"/>
  <c r="O89" i="38"/>
  <c r="P89" i="38"/>
  <c r="O90" i="38"/>
  <c r="P90" i="38"/>
  <c r="O91" i="38"/>
  <c r="P91" i="38"/>
  <c r="O92" i="38"/>
  <c r="P92" i="38"/>
  <c r="O93" i="38"/>
  <c r="P93" i="38"/>
  <c r="O94" i="38"/>
  <c r="P94" i="38"/>
  <c r="O95" i="38"/>
  <c r="P95" i="38"/>
  <c r="O96" i="38"/>
  <c r="P96" i="38"/>
  <c r="O97" i="38"/>
  <c r="P97" i="38"/>
  <c r="O98" i="38"/>
  <c r="P98" i="38"/>
  <c r="O99" i="38"/>
  <c r="P99" i="38"/>
  <c r="O100" i="38"/>
  <c r="P100" i="38"/>
  <c r="O101" i="38"/>
  <c r="P101" i="38"/>
  <c r="O102" i="38"/>
  <c r="P102" i="38"/>
  <c r="O103" i="38"/>
  <c r="P103" i="38"/>
  <c r="O104" i="38"/>
  <c r="P104" i="38"/>
  <c r="O105" i="38"/>
  <c r="P105" i="38"/>
  <c r="O106" i="38"/>
  <c r="P106" i="38"/>
  <c r="O107" i="38"/>
  <c r="P107" i="38"/>
  <c r="O108" i="38"/>
  <c r="P108" i="38"/>
  <c r="O109" i="38"/>
  <c r="P109" i="38"/>
  <c r="K2" i="28"/>
  <c r="K3" i="28"/>
  <c r="K4" i="28"/>
  <c r="K5" i="28"/>
  <c r="K6" i="28"/>
  <c r="L6" i="28"/>
  <c r="K7" i="28"/>
  <c r="L7" i="28"/>
  <c r="K8" i="28"/>
  <c r="L8" i="28"/>
  <c r="K9" i="28"/>
  <c r="K10" i="28"/>
  <c r="K11" i="28"/>
  <c r="L11" i="28"/>
  <c r="K12" i="28"/>
  <c r="K13" i="28"/>
  <c r="K14" i="28"/>
  <c r="K15" i="28"/>
  <c r="K16" i="28"/>
  <c r="K17" i="28"/>
  <c r="K18" i="28"/>
  <c r="K19" i="28"/>
  <c r="K20" i="28"/>
  <c r="K21" i="28"/>
  <c r="K22" i="28"/>
  <c r="L22" i="28"/>
  <c r="K23" i="28"/>
  <c r="L23" i="28"/>
  <c r="K24" i="28"/>
  <c r="L24" i="28"/>
  <c r="K25" i="28"/>
  <c r="K26" i="28"/>
  <c r="K27" i="28"/>
  <c r="L27" i="28"/>
  <c r="K28" i="28"/>
  <c r="L28" i="28"/>
  <c r="K29" i="28"/>
  <c r="K30" i="28"/>
  <c r="L30" i="28"/>
  <c r="K31" i="28"/>
  <c r="K32" i="28"/>
  <c r="K33" i="28"/>
  <c r="K34" i="28"/>
  <c r="K35" i="28"/>
  <c r="K36" i="28"/>
  <c r="K37" i="28"/>
  <c r="K38" i="28"/>
  <c r="L38" i="28"/>
  <c r="K39" i="28"/>
  <c r="L39" i="28"/>
  <c r="K40" i="28"/>
  <c r="L40" i="28"/>
  <c r="K41" i="28"/>
  <c r="L41" i="28"/>
  <c r="K42" i="28"/>
  <c r="K43" i="28"/>
  <c r="K44" i="28"/>
  <c r="K45" i="28"/>
  <c r="K46" i="28"/>
  <c r="K47" i="28"/>
  <c r="K48" i="28"/>
  <c r="K49" i="28"/>
  <c r="K50" i="28"/>
  <c r="K51" i="28"/>
  <c r="K52" i="28"/>
  <c r="K53" i="28"/>
  <c r="K54" i="28"/>
  <c r="L54" i="28"/>
  <c r="K55" i="28"/>
  <c r="L55" i="28"/>
  <c r="K56" i="28"/>
  <c r="L56" i="28"/>
  <c r="K57" i="28"/>
  <c r="K58" i="28"/>
  <c r="L58" i="28"/>
  <c r="K59" i="28"/>
  <c r="L59" i="28"/>
  <c r="K60" i="28"/>
  <c r="L60" i="28"/>
  <c r="K61" i="28"/>
  <c r="K62" i="28"/>
  <c r="K63" i="28"/>
  <c r="K64" i="28"/>
  <c r="K65" i="28"/>
  <c r="K66" i="28"/>
  <c r="K67" i="28"/>
  <c r="K68" i="28"/>
  <c r="K69" i="28"/>
  <c r="K70" i="28"/>
  <c r="L70" i="28"/>
  <c r="K71" i="28"/>
  <c r="L71" i="28"/>
  <c r="K72" i="28"/>
  <c r="L72" i="28"/>
  <c r="K73" i="28"/>
  <c r="L73" i="28"/>
  <c r="K74" i="28"/>
  <c r="K75" i="28"/>
  <c r="L75" i="28"/>
  <c r="K76" i="28"/>
  <c r="K77" i="28"/>
  <c r="K78" i="28"/>
  <c r="K79" i="28"/>
  <c r="K80" i="28"/>
  <c r="K81" i="28"/>
  <c r="K82" i="28"/>
  <c r="K83" i="28"/>
  <c r="K84" i="28"/>
  <c r="K85" i="28"/>
  <c r="K86" i="28"/>
  <c r="L86" i="28"/>
  <c r="K87" i="28"/>
  <c r="L87" i="28"/>
  <c r="K88" i="28"/>
  <c r="L88" i="28"/>
  <c r="K89" i="28"/>
  <c r="K90" i="28"/>
  <c r="K91" i="28"/>
  <c r="K92" i="28"/>
  <c r="K93" i="28"/>
  <c r="K94" i="28"/>
  <c r="K95" i="28"/>
  <c r="K96" i="28"/>
  <c r="K97" i="28"/>
  <c r="K98" i="28"/>
  <c r="K99" i="28"/>
  <c r="K100" i="28"/>
  <c r="K101" i="28"/>
  <c r="K102" i="28"/>
  <c r="L102" i="28"/>
  <c r="K103" i="28"/>
  <c r="L103" i="28"/>
  <c r="K104" i="28"/>
  <c r="L104" i="28"/>
  <c r="K105" i="28"/>
  <c r="K106" i="28"/>
  <c r="K107" i="28"/>
  <c r="L107" i="28"/>
  <c r="K108" i="28"/>
  <c r="K109" i="28"/>
  <c r="AN109" i="67"/>
  <c r="R2" i="32"/>
  <c r="R3" i="32"/>
  <c r="R4" i="32"/>
  <c r="R5" i="32"/>
  <c r="R6" i="32"/>
  <c r="R7" i="32"/>
  <c r="R8" i="32"/>
  <c r="R9" i="32"/>
  <c r="R10" i="32"/>
  <c r="R11" i="32"/>
  <c r="R12" i="32"/>
  <c r="R13" i="32"/>
  <c r="R14" i="32"/>
  <c r="R15" i="32"/>
  <c r="R16" i="32"/>
  <c r="R17" i="32"/>
  <c r="R18" i="32"/>
  <c r="R19" i="32"/>
  <c r="R20" i="32"/>
  <c r="R21" i="32"/>
  <c r="R22" i="32"/>
  <c r="R23" i="32"/>
  <c r="R24" i="32"/>
  <c r="R25" i="32"/>
  <c r="R26" i="32"/>
  <c r="R27" i="32"/>
  <c r="R28" i="32"/>
  <c r="R29" i="32"/>
  <c r="R30" i="32"/>
  <c r="R31" i="32"/>
  <c r="R32" i="32"/>
  <c r="R33" i="32"/>
  <c r="R34" i="32"/>
  <c r="R35" i="32"/>
  <c r="R36" i="32"/>
  <c r="R37" i="32"/>
  <c r="R38" i="32"/>
  <c r="R39" i="32"/>
  <c r="R40" i="32"/>
  <c r="R41" i="32"/>
  <c r="R42" i="32"/>
  <c r="R43" i="32"/>
  <c r="R44" i="32"/>
  <c r="R45" i="32"/>
  <c r="R46" i="32"/>
  <c r="R47" i="32"/>
  <c r="R48" i="32"/>
  <c r="R49" i="32"/>
  <c r="R50" i="32"/>
  <c r="R51" i="32"/>
  <c r="R52" i="32"/>
  <c r="R53" i="32"/>
  <c r="R54" i="32"/>
  <c r="R55" i="32"/>
  <c r="R56" i="32"/>
  <c r="R57" i="32"/>
  <c r="R58" i="32"/>
  <c r="R59" i="32"/>
  <c r="R60" i="32"/>
  <c r="R61" i="32"/>
  <c r="R62" i="32"/>
  <c r="R63" i="32"/>
  <c r="R64" i="32"/>
  <c r="R65" i="32"/>
  <c r="R66" i="32"/>
  <c r="R67" i="32"/>
  <c r="R68" i="32"/>
  <c r="R69" i="32"/>
  <c r="R70" i="32"/>
  <c r="R71" i="32"/>
  <c r="R72" i="32"/>
  <c r="R73" i="32"/>
  <c r="R74" i="32"/>
  <c r="R75" i="32"/>
  <c r="R76" i="32"/>
  <c r="R77" i="32"/>
  <c r="R78" i="32"/>
  <c r="R79" i="32"/>
  <c r="R80" i="32"/>
  <c r="R81" i="32"/>
  <c r="R82" i="32"/>
  <c r="R83" i="32"/>
  <c r="R84" i="32"/>
  <c r="R85" i="32"/>
  <c r="R86" i="32"/>
  <c r="R87" i="32"/>
  <c r="R88" i="32"/>
  <c r="R89" i="32"/>
  <c r="AK90" i="67"/>
  <c r="AL90" i="67"/>
  <c r="AK91" i="67"/>
  <c r="AL91" i="67"/>
  <c r="AK92" i="67"/>
  <c r="AL92" i="67"/>
  <c r="AK93" i="67"/>
  <c r="AL93" i="67"/>
  <c r="AK94" i="67"/>
  <c r="AL94" i="67"/>
  <c r="AK95" i="67"/>
  <c r="AL95" i="67"/>
  <c r="AK96" i="67"/>
  <c r="AL96" i="67"/>
  <c r="AK97" i="67"/>
  <c r="AL97" i="67"/>
  <c r="AK98" i="67"/>
  <c r="AL98" i="67"/>
  <c r="AK99" i="67"/>
  <c r="AL99" i="67"/>
  <c r="AK100" i="67"/>
  <c r="AL100" i="67"/>
  <c r="AK101" i="67"/>
  <c r="AL101" i="67"/>
  <c r="AK102" i="67"/>
  <c r="AL102" i="67"/>
  <c r="AK103" i="67"/>
  <c r="AL103" i="67"/>
  <c r="AK104" i="67"/>
  <c r="AL104" i="67"/>
  <c r="AK105" i="67"/>
  <c r="AL105" i="67"/>
  <c r="AK106" i="67"/>
  <c r="AL106" i="67"/>
  <c r="AK107" i="67"/>
  <c r="AL107" i="67"/>
  <c r="AK108" i="67"/>
  <c r="AL108" i="67"/>
  <c r="AK109" i="67"/>
  <c r="AL109" i="67"/>
  <c r="R2" i="65"/>
  <c r="S2" i="65"/>
  <c r="U2" i="65"/>
  <c r="T2" i="65"/>
  <c r="T17" i="65"/>
  <c r="T18" i="65"/>
  <c r="T19" i="65"/>
  <c r="T20" i="65"/>
  <c r="T21" i="65"/>
  <c r="T22" i="65"/>
  <c r="T23" i="65"/>
  <c r="T24" i="65"/>
  <c r="T25" i="65"/>
  <c r="T26" i="65"/>
  <c r="T27" i="65"/>
  <c r="T28" i="65"/>
  <c r="T29" i="65"/>
  <c r="T30" i="65"/>
  <c r="T31" i="65"/>
  <c r="T32" i="65"/>
  <c r="T33" i="65"/>
  <c r="T34" i="65"/>
  <c r="T35" i="65"/>
  <c r="T36" i="65"/>
  <c r="T37" i="65"/>
  <c r="T38" i="65"/>
  <c r="T39" i="65"/>
  <c r="T40" i="65"/>
  <c r="T41" i="65"/>
  <c r="T42" i="65"/>
  <c r="T43" i="65"/>
  <c r="T44" i="65"/>
  <c r="T45" i="65"/>
  <c r="T46" i="65"/>
  <c r="T47" i="65"/>
  <c r="T48" i="65"/>
  <c r="T49" i="65"/>
  <c r="T50" i="65"/>
  <c r="T51" i="65"/>
  <c r="T52" i="65"/>
  <c r="T53" i="65"/>
  <c r="T54" i="65"/>
  <c r="T55" i="65"/>
  <c r="T56" i="65"/>
  <c r="T57" i="65"/>
  <c r="T58" i="65"/>
  <c r="T59" i="65"/>
  <c r="T60" i="65"/>
  <c r="T61" i="65"/>
  <c r="T62" i="65"/>
  <c r="T63" i="65"/>
  <c r="T64" i="65"/>
  <c r="T65" i="65"/>
  <c r="T66" i="65"/>
  <c r="T67" i="65"/>
  <c r="T68" i="65"/>
  <c r="T69" i="65"/>
  <c r="T70" i="65"/>
  <c r="T71" i="65"/>
  <c r="T72" i="65"/>
  <c r="T73" i="65"/>
  <c r="T74" i="65"/>
  <c r="T75" i="65"/>
  <c r="T76" i="65"/>
  <c r="AM2" i="67" s="1"/>
  <c r="T77" i="65"/>
  <c r="AM3" i="67" s="1"/>
  <c r="T78" i="65"/>
  <c r="AM4" i="67" s="1"/>
  <c r="T79" i="65"/>
  <c r="AM5" i="67" s="1"/>
  <c r="T80" i="65"/>
  <c r="AM6" i="67" s="1"/>
  <c r="T81" i="65"/>
  <c r="AM7" i="67" s="1"/>
  <c r="T82" i="65"/>
  <c r="AM8" i="67" s="1"/>
  <c r="T83" i="65"/>
  <c r="AM9" i="67" s="1"/>
  <c r="T84" i="65"/>
  <c r="AM10" i="67" s="1"/>
  <c r="T85" i="65"/>
  <c r="AM11" i="67" s="1"/>
  <c r="T86" i="65"/>
  <c r="AM12" i="67" s="1"/>
  <c r="T87" i="65"/>
  <c r="AM13" i="67" s="1"/>
  <c r="T88" i="65"/>
  <c r="AM14" i="67" s="1"/>
  <c r="T89" i="65"/>
  <c r="AM15" i="67" s="1"/>
  <c r="T90" i="65"/>
  <c r="AM16" i="67" s="1"/>
  <c r="T91" i="65"/>
  <c r="AM17" i="67" s="1"/>
  <c r="T92" i="65"/>
  <c r="AM18" i="67" s="1"/>
  <c r="T93" i="65"/>
  <c r="AM19" i="67" s="1"/>
  <c r="T94" i="65"/>
  <c r="AM20" i="67" s="1"/>
  <c r="T95" i="65"/>
  <c r="AM21" i="67" s="1"/>
  <c r="T96" i="65"/>
  <c r="AM22" i="67" s="1"/>
  <c r="T97" i="65"/>
  <c r="AM23" i="67" s="1"/>
  <c r="T98" i="65"/>
  <c r="AM24" i="67" s="1"/>
  <c r="T99" i="65"/>
  <c r="AM25" i="67" s="1"/>
  <c r="T100" i="65"/>
  <c r="AM26" i="67" s="1"/>
  <c r="T101" i="65"/>
  <c r="AM27" i="67" s="1"/>
  <c r="T102" i="65"/>
  <c r="AM28" i="67" s="1"/>
  <c r="T103" i="65"/>
  <c r="AM29" i="67" s="1"/>
  <c r="T104" i="65"/>
  <c r="AM30" i="67" s="1"/>
  <c r="T105" i="65"/>
  <c r="AM31" i="67" s="1"/>
  <c r="T106" i="65"/>
  <c r="AM32" i="67" s="1"/>
  <c r="T107" i="65"/>
  <c r="AM33" i="67" s="1"/>
  <c r="T108" i="65"/>
  <c r="AM34" i="67" s="1"/>
  <c r="T109" i="65"/>
  <c r="AM35" i="67" s="1"/>
  <c r="T110" i="65"/>
  <c r="AM36" i="67" s="1"/>
  <c r="T111" i="65"/>
  <c r="AM37" i="67" s="1"/>
  <c r="T112" i="65"/>
  <c r="AM38" i="67" s="1"/>
  <c r="T113" i="65"/>
  <c r="AM39" i="67" s="1"/>
  <c r="T114" i="65"/>
  <c r="AM40" i="67" s="1"/>
  <c r="T115" i="65"/>
  <c r="AM41" i="67" s="1"/>
  <c r="T116" i="65"/>
  <c r="AM42" i="67" s="1"/>
  <c r="T117" i="65"/>
  <c r="AM43" i="67" s="1"/>
  <c r="T118" i="65"/>
  <c r="AM44" i="67" s="1"/>
  <c r="T119" i="65"/>
  <c r="AM45" i="67" s="1"/>
  <c r="T120" i="65"/>
  <c r="AM46" i="67" s="1"/>
  <c r="T121" i="65"/>
  <c r="AM47" i="67" s="1"/>
  <c r="T122" i="65"/>
  <c r="AM48" i="67" s="1"/>
  <c r="T123" i="65"/>
  <c r="AM49" i="67" s="1"/>
  <c r="T124" i="65"/>
  <c r="AM50" i="67" s="1"/>
  <c r="T125" i="65"/>
  <c r="AM51" i="67" s="1"/>
  <c r="T126" i="65"/>
  <c r="AM52" i="67" s="1"/>
  <c r="T127" i="65"/>
  <c r="AM53" i="67" s="1"/>
  <c r="T128" i="65"/>
  <c r="AM54" i="67" s="1"/>
  <c r="T129" i="65"/>
  <c r="AM55" i="67" s="1"/>
  <c r="T130" i="65"/>
  <c r="AM56" i="67" s="1"/>
  <c r="T131" i="65"/>
  <c r="AM57" i="67" s="1"/>
  <c r="T132" i="65"/>
  <c r="AM58" i="67" s="1"/>
  <c r="T133" i="65"/>
  <c r="AM59" i="67" s="1"/>
  <c r="T134" i="65"/>
  <c r="AM60" i="67" s="1"/>
  <c r="T135" i="65"/>
  <c r="AM61" i="67" s="1"/>
  <c r="T136" i="65"/>
  <c r="AM62" i="67" s="1"/>
  <c r="T137" i="65"/>
  <c r="AM63" i="67" s="1"/>
  <c r="T138" i="65"/>
  <c r="AM64" i="67" s="1"/>
  <c r="T139" i="65"/>
  <c r="AM65" i="67" s="1"/>
  <c r="T140" i="65"/>
  <c r="AM66" i="67" s="1"/>
  <c r="T141" i="65"/>
  <c r="AM67" i="67" s="1"/>
  <c r="T142" i="65"/>
  <c r="AM68" i="67" s="1"/>
  <c r="T143" i="65"/>
  <c r="AM69" i="67" s="1"/>
  <c r="T144" i="65"/>
  <c r="AM70" i="67" s="1"/>
  <c r="T145" i="65"/>
  <c r="AM71" i="67" s="1"/>
  <c r="T146" i="65"/>
  <c r="AM72" i="67" s="1"/>
  <c r="T147" i="65"/>
  <c r="AM73" i="67" s="1"/>
  <c r="T148" i="65"/>
  <c r="AM74" i="67" s="1"/>
  <c r="T149" i="65"/>
  <c r="AM75" i="67" s="1"/>
  <c r="T150" i="65"/>
  <c r="AM76" i="67" s="1"/>
  <c r="T151" i="65"/>
  <c r="AM77" i="67" s="1"/>
  <c r="T152" i="65"/>
  <c r="AM78" i="67" s="1"/>
  <c r="T153" i="65"/>
  <c r="AM79" i="67" s="1"/>
  <c r="T154" i="65"/>
  <c r="AM80" i="67" s="1"/>
  <c r="T155" i="65"/>
  <c r="AM81" i="67" s="1"/>
  <c r="T156" i="65"/>
  <c r="AM82" i="67" s="1"/>
  <c r="T157" i="65"/>
  <c r="AM83" i="67" s="1"/>
  <c r="T158" i="65"/>
  <c r="AM84" i="67" s="1"/>
  <c r="T159" i="65"/>
  <c r="AM85" i="67" s="1"/>
  <c r="T160" i="65"/>
  <c r="AM86" i="67" s="1"/>
  <c r="T161" i="65"/>
  <c r="AM87" i="67" s="1"/>
  <c r="T162" i="65"/>
  <c r="AM88" i="67" s="1"/>
  <c r="T163" i="65"/>
  <c r="AM89" i="67" s="1"/>
  <c r="T164" i="65"/>
  <c r="AM90" i="67" s="1"/>
  <c r="T165" i="65"/>
  <c r="AM91" i="67" s="1"/>
  <c r="T166" i="65"/>
  <c r="AM92" i="67" s="1"/>
  <c r="T167" i="65"/>
  <c r="AM93" i="67" s="1"/>
  <c r="T168" i="65"/>
  <c r="AM94" i="67" s="1"/>
  <c r="T169" i="65"/>
  <c r="AM95" i="67" s="1"/>
  <c r="T170" i="65"/>
  <c r="AM96" i="67" s="1"/>
  <c r="T171" i="65"/>
  <c r="AM97" i="67" s="1"/>
  <c r="AN2" i="67"/>
  <c r="AN3" i="67"/>
  <c r="AN4" i="67"/>
  <c r="AN5" i="67"/>
  <c r="AN6" i="67"/>
  <c r="AN7" i="67"/>
  <c r="AN8" i="67"/>
  <c r="AN9" i="67"/>
  <c r="AN10" i="67"/>
  <c r="AN11" i="67"/>
  <c r="AN12" i="67"/>
  <c r="AN13" i="67"/>
  <c r="AN14" i="67"/>
  <c r="AN15" i="67"/>
  <c r="AN16" i="67"/>
  <c r="AN17" i="67"/>
  <c r="AN18" i="67"/>
  <c r="AN19" i="67"/>
  <c r="AN20" i="67"/>
  <c r="AN21" i="67"/>
  <c r="AN22" i="67"/>
  <c r="AN23" i="67"/>
  <c r="AN24" i="67"/>
  <c r="AN25" i="67"/>
  <c r="AN26" i="67"/>
  <c r="AN27" i="67"/>
  <c r="AN28" i="67"/>
  <c r="AN29" i="67"/>
  <c r="AN30" i="67"/>
  <c r="AN31" i="67"/>
  <c r="AN32" i="67"/>
  <c r="AN33" i="67"/>
  <c r="AN34" i="67"/>
  <c r="AN35" i="67"/>
  <c r="AN36" i="67"/>
  <c r="AN37" i="67"/>
  <c r="AN38" i="67"/>
  <c r="AN39" i="67"/>
  <c r="AN40" i="67"/>
  <c r="AN41" i="67"/>
  <c r="AN42" i="67"/>
  <c r="AN43" i="67"/>
  <c r="AN44" i="67"/>
  <c r="AN45" i="67"/>
  <c r="AN46" i="67"/>
  <c r="AN47" i="67"/>
  <c r="AN48" i="67"/>
  <c r="AN49" i="67"/>
  <c r="AN50" i="67"/>
  <c r="AN51" i="67"/>
  <c r="AN52" i="67"/>
  <c r="AN53" i="67"/>
  <c r="AN54" i="67"/>
  <c r="AN55" i="67"/>
  <c r="AN56" i="67"/>
  <c r="AN57" i="67"/>
  <c r="AN58" i="67"/>
  <c r="AN59" i="67"/>
  <c r="AN60" i="67"/>
  <c r="AN61" i="67"/>
  <c r="AN62" i="67"/>
  <c r="AN63" i="67"/>
  <c r="AN64" i="67"/>
  <c r="AN65" i="67"/>
  <c r="AN66" i="67"/>
  <c r="AN67" i="67"/>
  <c r="AN68" i="67"/>
  <c r="AN69" i="67"/>
  <c r="AN70" i="67"/>
  <c r="AN71" i="67"/>
  <c r="AN72" i="67"/>
  <c r="AN73" i="67"/>
  <c r="AN74" i="67"/>
  <c r="AN75" i="67"/>
  <c r="AN76" i="67"/>
  <c r="AN77" i="67"/>
  <c r="AN78" i="67"/>
  <c r="AN79" i="67"/>
  <c r="AN80" i="67"/>
  <c r="AN81" i="67"/>
  <c r="AN82" i="67"/>
  <c r="AN83" i="67"/>
  <c r="AN84" i="67"/>
  <c r="AN85" i="67"/>
  <c r="AN86" i="67"/>
  <c r="AN87" i="67"/>
  <c r="AN88" i="67"/>
  <c r="AN89" i="67"/>
  <c r="AN90" i="67"/>
  <c r="AN91" i="67"/>
  <c r="AN92" i="67"/>
  <c r="AN93" i="67"/>
  <c r="AN94" i="67"/>
  <c r="AN95" i="67"/>
  <c r="AN96" i="67"/>
  <c r="AN97" i="67"/>
  <c r="AN98" i="67"/>
  <c r="AN99" i="67"/>
  <c r="AN100" i="67"/>
  <c r="AN101" i="67"/>
  <c r="AN102" i="67"/>
  <c r="AN103" i="67"/>
  <c r="AN104" i="67"/>
  <c r="AN105" i="67"/>
  <c r="AN106" i="67"/>
  <c r="AN107" i="67"/>
  <c r="Q2" i="65"/>
  <c r="P2" i="65"/>
  <c r="AJ90" i="67"/>
  <c r="AJ91" i="67"/>
  <c r="AJ92" i="67"/>
  <c r="AJ93" i="67"/>
  <c r="AJ94" i="67"/>
  <c r="AJ95" i="67"/>
  <c r="AJ96" i="67"/>
  <c r="AJ97" i="67"/>
  <c r="AJ98" i="67"/>
  <c r="AJ99" i="67"/>
  <c r="AJ100" i="67"/>
  <c r="AJ101" i="67"/>
  <c r="AJ102" i="67"/>
  <c r="AJ103" i="67"/>
  <c r="AJ104" i="67"/>
  <c r="AJ105" i="67"/>
  <c r="AJ106" i="67"/>
  <c r="AJ107" i="67"/>
  <c r="AJ108" i="67"/>
  <c r="AJ109" i="67"/>
  <c r="AI90" i="67"/>
  <c r="AI91" i="67"/>
  <c r="AI92" i="67"/>
  <c r="AI93" i="67"/>
  <c r="AI94" i="67"/>
  <c r="AI95" i="67"/>
  <c r="AI96" i="67"/>
  <c r="AI97" i="67"/>
  <c r="AI98" i="67"/>
  <c r="AI99" i="67"/>
  <c r="AI100" i="67"/>
  <c r="AI101" i="67"/>
  <c r="AI102" i="67"/>
  <c r="AI103" i="67"/>
  <c r="AI104" i="67"/>
  <c r="AI105" i="67"/>
  <c r="AI106" i="67"/>
  <c r="AI107" i="67"/>
  <c r="AI108" i="67"/>
  <c r="AI109" i="67"/>
  <c r="K2" i="38"/>
  <c r="K3" i="38"/>
  <c r="K4" i="38"/>
  <c r="K5" i="38"/>
  <c r="K6" i="38"/>
  <c r="K7" i="38"/>
  <c r="K8" i="38"/>
  <c r="K9" i="38"/>
  <c r="K10" i="38"/>
  <c r="K11" i="38"/>
  <c r="K12" i="38"/>
  <c r="K13" i="38"/>
  <c r="K14" i="38"/>
  <c r="K15" i="38"/>
  <c r="K16" i="38"/>
  <c r="K17" i="38"/>
  <c r="K18" i="38"/>
  <c r="K19" i="38"/>
  <c r="K20" i="38"/>
  <c r="K21" i="38"/>
  <c r="K22" i="38"/>
  <c r="K23" i="38"/>
  <c r="K24" i="38"/>
  <c r="K25" i="38"/>
  <c r="K26" i="38"/>
  <c r="K27" i="38"/>
  <c r="K28" i="38"/>
  <c r="K29" i="38"/>
  <c r="K30" i="38"/>
  <c r="K31" i="38"/>
  <c r="K32" i="38"/>
  <c r="K33" i="38"/>
  <c r="K34" i="38"/>
  <c r="K35" i="38"/>
  <c r="K36" i="38"/>
  <c r="K37" i="38"/>
  <c r="K38" i="38"/>
  <c r="K39" i="38"/>
  <c r="K40" i="38"/>
  <c r="K41" i="38"/>
  <c r="K42" i="38"/>
  <c r="K43" i="38"/>
  <c r="K44" i="38"/>
  <c r="K45" i="38"/>
  <c r="K46" i="38"/>
  <c r="K47" i="38"/>
  <c r="K48" i="38"/>
  <c r="K49" i="38"/>
  <c r="K50" i="38"/>
  <c r="K51" i="38"/>
  <c r="K52" i="38"/>
  <c r="K53" i="38"/>
  <c r="K54" i="38"/>
  <c r="K55" i="38"/>
  <c r="K56" i="38"/>
  <c r="K57" i="38"/>
  <c r="K58" i="38"/>
  <c r="K59" i="38"/>
  <c r="K60" i="38"/>
  <c r="K61" i="38"/>
  <c r="K62" i="38"/>
  <c r="K63" i="38"/>
  <c r="K64" i="38"/>
  <c r="K65" i="38"/>
  <c r="K66" i="38"/>
  <c r="K67" i="38"/>
  <c r="K68" i="38"/>
  <c r="K69" i="38"/>
  <c r="K70" i="38"/>
  <c r="K71" i="38"/>
  <c r="K72" i="38"/>
  <c r="K73" i="38"/>
  <c r="K74" i="38"/>
  <c r="K75" i="38"/>
  <c r="K76" i="38"/>
  <c r="K77" i="38"/>
  <c r="K78" i="38"/>
  <c r="K79" i="38"/>
  <c r="K80" i="38"/>
  <c r="K81" i="38"/>
  <c r="K82" i="38"/>
  <c r="K83" i="38"/>
  <c r="K84" i="38"/>
  <c r="K85" i="38"/>
  <c r="K86" i="38"/>
  <c r="K87" i="38"/>
  <c r="K88" i="38"/>
  <c r="K89" i="38"/>
  <c r="K90" i="38"/>
  <c r="K91" i="38"/>
  <c r="K92" i="38"/>
  <c r="K93" i="38"/>
  <c r="K94" i="38"/>
  <c r="K95" i="38"/>
  <c r="K96" i="38"/>
  <c r="K97" i="38"/>
  <c r="K98" i="38"/>
  <c r="K99" i="38"/>
  <c r="K100" i="38"/>
  <c r="K101" i="38"/>
  <c r="K102" i="38"/>
  <c r="K103" i="38"/>
  <c r="K104" i="38"/>
  <c r="K105" i="38"/>
  <c r="K106" i="38"/>
  <c r="K107" i="38"/>
  <c r="K108" i="38"/>
  <c r="K109" i="38"/>
  <c r="K122" i="38"/>
  <c r="K123" i="38"/>
  <c r="K124" i="38"/>
  <c r="K125" i="38"/>
  <c r="K126" i="38"/>
  <c r="K127" i="38"/>
  <c r="K128" i="38"/>
  <c r="K129" i="38"/>
  <c r="K130" i="38"/>
  <c r="K131" i="38"/>
  <c r="K132" i="38"/>
  <c r="K133" i="38"/>
  <c r="K134" i="38"/>
  <c r="K135" i="38"/>
  <c r="K136" i="38"/>
  <c r="K137" i="38"/>
  <c r="K138" i="38"/>
  <c r="K139" i="38"/>
  <c r="K140" i="38"/>
  <c r="K141" i="38"/>
  <c r="K142" i="38"/>
  <c r="K143" i="38"/>
  <c r="K144" i="38"/>
  <c r="K145" i="38"/>
  <c r="P130" i="36" l="1"/>
  <c r="I47" i="76"/>
  <c r="G47" i="34"/>
  <c r="G47" i="30"/>
  <c r="I93" i="76"/>
  <c r="G93" i="34"/>
  <c r="G93" i="30"/>
  <c r="L105" i="77"/>
  <c r="J105" i="36"/>
  <c r="R105" i="36" s="1"/>
  <c r="J105" i="32"/>
  <c r="R105" i="32" s="1"/>
  <c r="I76" i="76"/>
  <c r="G76" i="34"/>
  <c r="G76" i="30"/>
  <c r="I106" i="76"/>
  <c r="G106" i="34"/>
  <c r="G106" i="30"/>
  <c r="I105" i="76"/>
  <c r="G105" i="34"/>
  <c r="G105" i="30"/>
  <c r="I89" i="76"/>
  <c r="G89" i="34"/>
  <c r="G89" i="30"/>
  <c r="I73" i="76"/>
  <c r="G73" i="34"/>
  <c r="G73" i="30"/>
  <c r="I57" i="76"/>
  <c r="G57" i="34"/>
  <c r="G57" i="30"/>
  <c r="I41" i="76"/>
  <c r="G41" i="34"/>
  <c r="G41" i="30"/>
  <c r="I25" i="76"/>
  <c r="G25" i="34"/>
  <c r="G25" i="30"/>
  <c r="I9" i="76"/>
  <c r="G9" i="34"/>
  <c r="G9" i="30"/>
  <c r="L103" i="77"/>
  <c r="J103" i="36"/>
  <c r="R103" i="36" s="1"/>
  <c r="J103" i="32"/>
  <c r="L95" i="77"/>
  <c r="J95" i="36"/>
  <c r="R95" i="36" s="1"/>
  <c r="J95" i="32"/>
  <c r="I109" i="76"/>
  <c r="G109" i="34"/>
  <c r="G109" i="30"/>
  <c r="O109" i="30" s="1"/>
  <c r="L107" i="77"/>
  <c r="J107" i="36"/>
  <c r="R107" i="36" s="1"/>
  <c r="J107" i="32"/>
  <c r="R107" i="32" s="1"/>
  <c r="I63" i="76"/>
  <c r="G63" i="34"/>
  <c r="G63" i="30"/>
  <c r="L98" i="77"/>
  <c r="J98" i="36"/>
  <c r="R98" i="36" s="1"/>
  <c r="J98" i="32"/>
  <c r="R98" i="32" s="1"/>
  <c r="I94" i="76"/>
  <c r="G94" i="34"/>
  <c r="G94" i="30"/>
  <c r="I28" i="76"/>
  <c r="G28" i="34"/>
  <c r="G28" i="30"/>
  <c r="I104" i="76"/>
  <c r="G104" i="34"/>
  <c r="G104" i="30"/>
  <c r="I88" i="76"/>
  <c r="G88" i="34"/>
  <c r="G88" i="30"/>
  <c r="I72" i="76"/>
  <c r="G72" i="34"/>
  <c r="G72" i="30"/>
  <c r="I56" i="76"/>
  <c r="G56" i="34"/>
  <c r="G56" i="30"/>
  <c r="I40" i="76"/>
  <c r="G40" i="34"/>
  <c r="G40" i="30"/>
  <c r="I24" i="76"/>
  <c r="G24" i="34"/>
  <c r="G24" i="30"/>
  <c r="I8" i="76"/>
  <c r="G8" i="34"/>
  <c r="G8" i="30"/>
  <c r="I65" i="76"/>
  <c r="G65" i="34"/>
  <c r="G65" i="30"/>
  <c r="I95" i="76"/>
  <c r="G95" i="34"/>
  <c r="G95" i="30"/>
  <c r="O95" i="30" s="1"/>
  <c r="L90" i="77"/>
  <c r="J90" i="36"/>
  <c r="R90" i="36" s="1"/>
  <c r="J90" i="32"/>
  <c r="R90" i="32" s="1"/>
  <c r="I78" i="76"/>
  <c r="G78" i="34"/>
  <c r="G78" i="30"/>
  <c r="I14" i="76"/>
  <c r="G14" i="34"/>
  <c r="G14" i="30"/>
  <c r="I103" i="76"/>
  <c r="G103" i="34"/>
  <c r="G103" i="30"/>
  <c r="L102" i="77"/>
  <c r="J102" i="36"/>
  <c r="R102" i="36" s="1"/>
  <c r="J102" i="32"/>
  <c r="R102" i="32" s="1"/>
  <c r="I61" i="76"/>
  <c r="G61" i="34"/>
  <c r="G61" i="30"/>
  <c r="I13" i="76"/>
  <c r="G13" i="34"/>
  <c r="G13" i="30"/>
  <c r="L97" i="77"/>
  <c r="J97" i="36"/>
  <c r="R97" i="36" s="1"/>
  <c r="J97" i="32"/>
  <c r="R97" i="32" s="1"/>
  <c r="I87" i="76"/>
  <c r="G87" i="34"/>
  <c r="G87" i="30"/>
  <c r="I71" i="76"/>
  <c r="G71" i="34"/>
  <c r="G71" i="30"/>
  <c r="I55" i="76"/>
  <c r="G55" i="34"/>
  <c r="G55" i="30"/>
  <c r="G39" i="34"/>
  <c r="I39" i="76"/>
  <c r="G39" i="30"/>
  <c r="I23" i="76"/>
  <c r="G23" i="34"/>
  <c r="G23" i="30"/>
  <c r="I7" i="76"/>
  <c r="G7" i="34"/>
  <c r="G7" i="30"/>
  <c r="O7" i="30" s="1"/>
  <c r="L94" i="77"/>
  <c r="J94" i="36"/>
  <c r="R94" i="36" s="1"/>
  <c r="J94" i="32"/>
  <c r="R94" i="32" s="1"/>
  <c r="I102" i="76"/>
  <c r="G102" i="34"/>
  <c r="G102" i="30"/>
  <c r="I86" i="76"/>
  <c r="G86" i="34"/>
  <c r="G86" i="30"/>
  <c r="I70" i="76"/>
  <c r="G70" i="34"/>
  <c r="G70" i="30"/>
  <c r="I54" i="76"/>
  <c r="G54" i="34"/>
  <c r="G54" i="30"/>
  <c r="I38" i="76"/>
  <c r="G38" i="34"/>
  <c r="G38" i="30"/>
  <c r="I22" i="76"/>
  <c r="G22" i="34"/>
  <c r="G22" i="30"/>
  <c r="I6" i="76"/>
  <c r="G6" i="34"/>
  <c r="G6" i="30"/>
  <c r="I101" i="76"/>
  <c r="G101" i="34"/>
  <c r="G101" i="30"/>
  <c r="L101" i="77"/>
  <c r="J101" i="36"/>
  <c r="R101" i="36" s="1"/>
  <c r="J101" i="32"/>
  <c r="R101" i="32" s="1"/>
  <c r="I33" i="76"/>
  <c r="G33" i="34"/>
  <c r="G33" i="30"/>
  <c r="I37" i="76"/>
  <c r="G37" i="34"/>
  <c r="G37" i="30"/>
  <c r="I100" i="76"/>
  <c r="G100" i="34"/>
  <c r="G100" i="30"/>
  <c r="I84" i="76"/>
  <c r="G84" i="34"/>
  <c r="G84" i="30"/>
  <c r="I68" i="76"/>
  <c r="G68" i="34"/>
  <c r="G68" i="30"/>
  <c r="I52" i="76"/>
  <c r="G52" i="34"/>
  <c r="G52" i="30"/>
  <c r="I36" i="76"/>
  <c r="G36" i="34"/>
  <c r="G36" i="30"/>
  <c r="I20" i="76"/>
  <c r="G20" i="34"/>
  <c r="G20" i="30"/>
  <c r="I4" i="76"/>
  <c r="G4" i="34"/>
  <c r="G4" i="30"/>
  <c r="I49" i="76"/>
  <c r="G49" i="34"/>
  <c r="G49" i="30"/>
  <c r="I85" i="76"/>
  <c r="G85" i="34"/>
  <c r="G85" i="30"/>
  <c r="G69" i="34"/>
  <c r="I69" i="76"/>
  <c r="G69" i="30"/>
  <c r="I53" i="76"/>
  <c r="G53" i="34"/>
  <c r="G53" i="30"/>
  <c r="I21" i="76"/>
  <c r="G21" i="34"/>
  <c r="G21" i="30"/>
  <c r="I5" i="76"/>
  <c r="G5" i="34"/>
  <c r="G5" i="30"/>
  <c r="L109" i="77"/>
  <c r="J109" i="36"/>
  <c r="R109" i="36" s="1"/>
  <c r="J109" i="32"/>
  <c r="R109" i="32" s="1"/>
  <c r="L93" i="77"/>
  <c r="J93" i="36"/>
  <c r="R93" i="36" s="1"/>
  <c r="J93" i="32"/>
  <c r="R93" i="32" s="1"/>
  <c r="I99" i="76"/>
  <c r="G99" i="34"/>
  <c r="G99" i="30"/>
  <c r="I83" i="76"/>
  <c r="G83" i="34"/>
  <c r="G83" i="30"/>
  <c r="I67" i="76"/>
  <c r="G67" i="34"/>
  <c r="G67" i="30"/>
  <c r="I51" i="76"/>
  <c r="G51" i="34"/>
  <c r="G51" i="30"/>
  <c r="I35" i="76"/>
  <c r="G35" i="34"/>
  <c r="G35" i="30"/>
  <c r="I19" i="76"/>
  <c r="G19" i="34"/>
  <c r="G19" i="30"/>
  <c r="G3" i="34"/>
  <c r="I3" i="76"/>
  <c r="G3" i="30"/>
  <c r="L108" i="77"/>
  <c r="J108" i="36"/>
  <c r="R108" i="36" s="1"/>
  <c r="J108" i="32"/>
  <c r="L100" i="77"/>
  <c r="J100" i="36"/>
  <c r="R100" i="36" s="1"/>
  <c r="J100" i="32"/>
  <c r="R100" i="32" s="1"/>
  <c r="L92" i="77"/>
  <c r="J92" i="36"/>
  <c r="R92" i="36" s="1"/>
  <c r="J92" i="32"/>
  <c r="R92" i="32" s="1"/>
  <c r="I97" i="76"/>
  <c r="G97" i="34"/>
  <c r="G97" i="30"/>
  <c r="L99" i="77"/>
  <c r="J99" i="36"/>
  <c r="R99" i="36" s="1"/>
  <c r="J99" i="32"/>
  <c r="I98" i="76"/>
  <c r="G98" i="34"/>
  <c r="G98" i="30"/>
  <c r="I66" i="76"/>
  <c r="G66" i="34"/>
  <c r="G66" i="30"/>
  <c r="I50" i="76"/>
  <c r="G50" i="34"/>
  <c r="G50" i="30"/>
  <c r="I34" i="76"/>
  <c r="G34" i="34"/>
  <c r="G34" i="30"/>
  <c r="I2" i="76"/>
  <c r="G2" i="34"/>
  <c r="G2" i="30"/>
  <c r="O2" i="30" s="1"/>
  <c r="I96" i="76"/>
  <c r="G96" i="34"/>
  <c r="G96" i="30"/>
  <c r="I80" i="76"/>
  <c r="G80" i="34"/>
  <c r="G80" i="30"/>
  <c r="I64" i="76"/>
  <c r="G64" i="34"/>
  <c r="G64" i="30"/>
  <c r="I48" i="76"/>
  <c r="G48" i="34"/>
  <c r="G48" i="30"/>
  <c r="I32" i="76"/>
  <c r="G32" i="34"/>
  <c r="G32" i="30"/>
  <c r="I16" i="76"/>
  <c r="G16" i="34"/>
  <c r="G16" i="30"/>
  <c r="L91" i="77"/>
  <c r="J91" i="36"/>
  <c r="R91" i="36" s="1"/>
  <c r="J91" i="32"/>
  <c r="R91" i="32" s="1"/>
  <c r="I15" i="76"/>
  <c r="G15" i="34"/>
  <c r="G15" i="30"/>
  <c r="O15" i="30" s="1"/>
  <c r="L106" i="77"/>
  <c r="J106" i="36"/>
  <c r="R106" i="36" s="1"/>
  <c r="J106" i="32"/>
  <c r="I62" i="76"/>
  <c r="G62" i="34"/>
  <c r="G62" i="30"/>
  <c r="I29" i="76"/>
  <c r="G29" i="34"/>
  <c r="G29" i="30"/>
  <c r="I18" i="76"/>
  <c r="G18" i="34"/>
  <c r="G18" i="30"/>
  <c r="O18" i="30" s="1"/>
  <c r="I17" i="76"/>
  <c r="G17" i="34"/>
  <c r="G17" i="30"/>
  <c r="I31" i="76"/>
  <c r="G31" i="34"/>
  <c r="G31" i="30"/>
  <c r="I46" i="76"/>
  <c r="G46" i="34"/>
  <c r="G46" i="30"/>
  <c r="I45" i="76"/>
  <c r="G45" i="34"/>
  <c r="G45" i="30"/>
  <c r="I60" i="76"/>
  <c r="G60" i="34"/>
  <c r="G60" i="30"/>
  <c r="I82" i="76"/>
  <c r="G82" i="34"/>
  <c r="G82" i="30"/>
  <c r="I79" i="76"/>
  <c r="G79" i="34"/>
  <c r="G79" i="30"/>
  <c r="I44" i="76"/>
  <c r="G44" i="34"/>
  <c r="G44" i="30"/>
  <c r="I107" i="76"/>
  <c r="G107" i="34"/>
  <c r="G107" i="30"/>
  <c r="I91" i="76"/>
  <c r="G91" i="34"/>
  <c r="G91" i="30"/>
  <c r="I75" i="76"/>
  <c r="G75" i="34"/>
  <c r="G75" i="30"/>
  <c r="O75" i="30" s="1"/>
  <c r="I59" i="76"/>
  <c r="G59" i="34"/>
  <c r="G59" i="30"/>
  <c r="O59" i="30" s="1"/>
  <c r="I43" i="76"/>
  <c r="G43" i="34"/>
  <c r="G43" i="30"/>
  <c r="O43" i="30" s="1"/>
  <c r="I27" i="76"/>
  <c r="G27" i="34"/>
  <c r="G27" i="30"/>
  <c r="I11" i="76"/>
  <c r="G11" i="34"/>
  <c r="G11" i="30"/>
  <c r="L104" i="77"/>
  <c r="J104" i="36"/>
  <c r="R104" i="36" s="1"/>
  <c r="J104" i="32"/>
  <c r="R104" i="32" s="1"/>
  <c r="L96" i="77"/>
  <c r="J96" i="36"/>
  <c r="R96" i="36" s="1"/>
  <c r="J96" i="32"/>
  <c r="I81" i="76"/>
  <c r="G81" i="34"/>
  <c r="G81" i="30"/>
  <c r="I30" i="76"/>
  <c r="G30" i="34"/>
  <c r="G30" i="30"/>
  <c r="I77" i="76"/>
  <c r="G77" i="34"/>
  <c r="G77" i="30"/>
  <c r="I92" i="76"/>
  <c r="G92" i="34"/>
  <c r="G92" i="30"/>
  <c r="I12" i="76"/>
  <c r="G12" i="34"/>
  <c r="G12" i="30"/>
  <c r="I90" i="76"/>
  <c r="G90" i="34"/>
  <c r="G90" i="30"/>
  <c r="I74" i="76"/>
  <c r="G74" i="34"/>
  <c r="G74" i="30"/>
  <c r="I58" i="76"/>
  <c r="G58" i="34"/>
  <c r="G58" i="30"/>
  <c r="I42" i="76"/>
  <c r="G42" i="34"/>
  <c r="G42" i="30"/>
  <c r="I26" i="76"/>
  <c r="G26" i="34"/>
  <c r="G26" i="30"/>
  <c r="O26" i="30" s="1"/>
  <c r="I10" i="76"/>
  <c r="G10" i="34"/>
  <c r="G10" i="30"/>
  <c r="P133" i="36"/>
  <c r="P105" i="36"/>
  <c r="P102" i="36"/>
  <c r="P132" i="36"/>
  <c r="P128" i="36"/>
  <c r="P131" i="36"/>
  <c r="P127" i="36"/>
  <c r="P107" i="36"/>
  <c r="P101" i="36"/>
  <c r="P104" i="36"/>
  <c r="P123" i="36"/>
  <c r="P126" i="36"/>
  <c r="P122" i="36"/>
  <c r="P125" i="36"/>
  <c r="P124" i="36"/>
  <c r="J137" i="75"/>
  <c r="Q137" i="75" s="1"/>
  <c r="Q125" i="75"/>
  <c r="O23" i="30"/>
  <c r="AN108" i="67"/>
  <c r="R96" i="32"/>
  <c r="R108" i="32"/>
  <c r="R95" i="32"/>
  <c r="R103" i="32"/>
  <c r="R106" i="32"/>
  <c r="R99" i="32"/>
  <c r="K27" i="71"/>
  <c r="J26" i="71"/>
  <c r="R129" i="77"/>
  <c r="J141" i="77"/>
  <c r="R141" i="77" s="1"/>
  <c r="J122" i="77"/>
  <c r="J128" i="77"/>
  <c r="K143" i="75"/>
  <c r="R143" i="75" s="1"/>
  <c r="J130" i="75"/>
  <c r="K129" i="75"/>
  <c r="R129" i="75" s="1"/>
  <c r="J126" i="75"/>
  <c r="J123" i="75"/>
  <c r="K128" i="75"/>
  <c r="R128" i="75" s="1"/>
  <c r="K138" i="75"/>
  <c r="R138" i="75" s="1"/>
  <c r="K137" i="75"/>
  <c r="R137" i="75" s="1"/>
  <c r="K136" i="75"/>
  <c r="R136" i="75" s="1"/>
  <c r="K124" i="75"/>
  <c r="R124" i="75" s="1"/>
  <c r="Q133" i="75"/>
  <c r="J145" i="75"/>
  <c r="Q145" i="75" s="1"/>
  <c r="K142" i="75"/>
  <c r="R142" i="75" s="1"/>
  <c r="K144" i="75"/>
  <c r="R144" i="75" s="1"/>
  <c r="K145" i="75"/>
  <c r="R145" i="75" s="1"/>
  <c r="J131" i="75"/>
  <c r="K140" i="75"/>
  <c r="R140" i="75" s="1"/>
  <c r="J133" i="77"/>
  <c r="J124" i="77"/>
  <c r="K139" i="77"/>
  <c r="S139" i="77" s="1"/>
  <c r="K127" i="77"/>
  <c r="S127" i="77" s="1"/>
  <c r="J126" i="77"/>
  <c r="K138" i="77"/>
  <c r="S138" i="77" s="1"/>
  <c r="R123" i="77"/>
  <c r="J135" i="77"/>
  <c r="R135" i="77" s="1"/>
  <c r="K137" i="77"/>
  <c r="S137" i="77" s="1"/>
  <c r="K143" i="77"/>
  <c r="S143" i="77" s="1"/>
  <c r="K124" i="77"/>
  <c r="S124" i="77" s="1"/>
  <c r="K123" i="77"/>
  <c r="S123" i="77" s="1"/>
  <c r="K134" i="77"/>
  <c r="S134" i="77" s="1"/>
  <c r="K122" i="77"/>
  <c r="S122" i="77" s="1"/>
  <c r="C34" i="72"/>
  <c r="S10" i="72"/>
  <c r="N21" i="73"/>
  <c r="I21" i="73"/>
  <c r="T18" i="73"/>
  <c r="S18" i="73"/>
  <c r="N11" i="73"/>
  <c r="K11" i="73"/>
  <c r="H11" i="73"/>
  <c r="N10" i="73"/>
  <c r="K10" i="73"/>
  <c r="H10" i="73"/>
  <c r="L70" i="72"/>
  <c r="L69" i="72"/>
  <c r="L55" i="72" s="1"/>
  <c r="L68" i="72"/>
  <c r="L67" i="72"/>
  <c r="L53" i="72" s="1"/>
  <c r="L66" i="72"/>
  <c r="L52" i="72" s="1"/>
  <c r="L65" i="72"/>
  <c r="L51" i="72" s="1"/>
  <c r="L64" i="72"/>
  <c r="L50" i="72" s="1"/>
  <c r="L63" i="72"/>
  <c r="L62" i="72"/>
  <c r="L48" i="72" s="1"/>
  <c r="L61" i="72"/>
  <c r="L47" i="72" s="1"/>
  <c r="Q60" i="72"/>
  <c r="P60" i="72"/>
  <c r="O60" i="72"/>
  <c r="L56" i="72"/>
  <c r="U55" i="72"/>
  <c r="L54" i="72"/>
  <c r="U52" i="72"/>
  <c r="U51" i="72"/>
  <c r="U50" i="72"/>
  <c r="U49" i="72"/>
  <c r="L49" i="72"/>
  <c r="U48" i="72"/>
  <c r="U47" i="72"/>
  <c r="O38" i="72"/>
  <c r="O37" i="72"/>
  <c r="O36" i="72"/>
  <c r="O27" i="72"/>
  <c r="O26" i="72"/>
  <c r="O25" i="72"/>
  <c r="O24" i="72"/>
  <c r="O23" i="72"/>
  <c r="G23" i="72"/>
  <c r="F23" i="72"/>
  <c r="E23" i="72"/>
  <c r="D23" i="72"/>
  <c r="C23" i="72"/>
  <c r="O22" i="72"/>
  <c r="I22" i="72"/>
  <c r="O21" i="72"/>
  <c r="I21" i="72"/>
  <c r="O20" i="72"/>
  <c r="O19" i="72"/>
  <c r="O18" i="72"/>
  <c r="F14" i="72"/>
  <c r="E14" i="72"/>
  <c r="D14" i="72"/>
  <c r="C14" i="72"/>
  <c r="S13" i="72"/>
  <c r="R13" i="72"/>
  <c r="D59" i="72" s="1"/>
  <c r="Q13" i="72"/>
  <c r="Q27" i="72" s="1"/>
  <c r="P13" i="72"/>
  <c r="G13" i="72"/>
  <c r="T13" i="72" s="1"/>
  <c r="G12" i="72"/>
  <c r="S11" i="72"/>
  <c r="R11" i="72"/>
  <c r="D57" i="72" s="1"/>
  <c r="Q11" i="72"/>
  <c r="P11" i="72"/>
  <c r="C57" i="72" s="1"/>
  <c r="G11" i="72"/>
  <c r="T11" i="72" s="1"/>
  <c r="H10" i="72"/>
  <c r="G10" i="72"/>
  <c r="T10" i="72" s="1"/>
  <c r="T9" i="72"/>
  <c r="F55" i="72" s="1"/>
  <c r="S9" i="72"/>
  <c r="R9" i="72"/>
  <c r="Q9" i="72"/>
  <c r="P9" i="72"/>
  <c r="C55" i="72" s="1"/>
  <c r="G9" i="72"/>
  <c r="G8" i="72"/>
  <c r="H8" i="72" s="1"/>
  <c r="H7" i="72"/>
  <c r="I7" i="72" s="1"/>
  <c r="G7" i="72"/>
  <c r="G6" i="72"/>
  <c r="H6" i="72" s="1"/>
  <c r="L5" i="72"/>
  <c r="L6" i="72" s="1"/>
  <c r="L7" i="72" s="1"/>
  <c r="L8" i="72" s="1"/>
  <c r="G5" i="72"/>
  <c r="G4" i="72"/>
  <c r="C3" i="69"/>
  <c r="K15" i="71"/>
  <c r="J15" i="71"/>
  <c r="F15" i="71"/>
  <c r="E15" i="71"/>
  <c r="K11" i="71"/>
  <c r="J10" i="71"/>
  <c r="J11" i="71" s="1"/>
  <c r="C61" i="70"/>
  <c r="C60" i="70"/>
  <c r="E32" i="70"/>
  <c r="E31" i="70"/>
  <c r="F31" i="70" s="1"/>
  <c r="F21" i="70"/>
  <c r="E20" i="70"/>
  <c r="F20" i="70" s="1"/>
  <c r="V15" i="70"/>
  <c r="T15" i="70"/>
  <c r="W14" i="70"/>
  <c r="U14" i="70"/>
  <c r="W13" i="70"/>
  <c r="U13" i="70"/>
  <c r="W12" i="70"/>
  <c r="U12" i="70"/>
  <c r="W11" i="70"/>
  <c r="U11" i="70"/>
  <c r="W10" i="70"/>
  <c r="U10" i="70"/>
  <c r="W9" i="70"/>
  <c r="U9" i="70"/>
  <c r="W8" i="70"/>
  <c r="U8" i="70"/>
  <c r="W7" i="70"/>
  <c r="U7" i="70"/>
  <c r="W6" i="70"/>
  <c r="U6" i="70"/>
  <c r="W5" i="70"/>
  <c r="U5" i="70"/>
  <c r="F5" i="70"/>
  <c r="W4" i="70"/>
  <c r="U4" i="70"/>
  <c r="G4" i="70"/>
  <c r="W3" i="70"/>
  <c r="U3" i="70"/>
  <c r="G3" i="70"/>
  <c r="E165" i="69"/>
  <c r="H151" i="69"/>
  <c r="G151" i="69"/>
  <c r="F151" i="69"/>
  <c r="E151" i="69"/>
  <c r="E158" i="69" s="1"/>
  <c r="E164" i="69" s="1"/>
  <c r="H150" i="69"/>
  <c r="G150" i="69"/>
  <c r="F150" i="69"/>
  <c r="E150" i="69"/>
  <c r="E157" i="69" s="1"/>
  <c r="E163" i="69" s="1"/>
  <c r="H149" i="69"/>
  <c r="G149" i="69"/>
  <c r="F149" i="69"/>
  <c r="E149" i="69"/>
  <c r="E156" i="69" s="1"/>
  <c r="E162" i="69" s="1"/>
  <c r="H148" i="69"/>
  <c r="G148" i="69"/>
  <c r="F148" i="69"/>
  <c r="I148" i="69" s="1"/>
  <c r="L148" i="69" s="1"/>
  <c r="E142" i="69"/>
  <c r="E138" i="69"/>
  <c r="E134" i="69"/>
  <c r="E126" i="69"/>
  <c r="L123" i="69"/>
  <c r="K123" i="69"/>
  <c r="J123" i="69"/>
  <c r="I123" i="69"/>
  <c r="H123" i="69"/>
  <c r="G123" i="69"/>
  <c r="F123" i="69"/>
  <c r="L116" i="69"/>
  <c r="L101" i="69" s="1"/>
  <c r="K116" i="69"/>
  <c r="K101" i="69" s="1"/>
  <c r="J116" i="69"/>
  <c r="J101" i="69" s="1"/>
  <c r="H116" i="69"/>
  <c r="H101" i="69" s="1"/>
  <c r="G116" i="69"/>
  <c r="G101" i="69" s="1"/>
  <c r="F116" i="69"/>
  <c r="F101" i="69" s="1"/>
  <c r="E112" i="69"/>
  <c r="E111" i="69"/>
  <c r="E110" i="69"/>
  <c r="E109" i="69"/>
  <c r="G96" i="69"/>
  <c r="H96" i="69" s="1"/>
  <c r="I96" i="69" s="1"/>
  <c r="K24" i="69"/>
  <c r="M87" i="68"/>
  <c r="M86" i="68"/>
  <c r="M85" i="68"/>
  <c r="M84" i="68"/>
  <c r="M83" i="68"/>
  <c r="M82" i="68"/>
  <c r="M81" i="68"/>
  <c r="M80" i="68"/>
  <c r="M79" i="68"/>
  <c r="M78" i="68"/>
  <c r="M77" i="68"/>
  <c r="M76" i="68"/>
  <c r="M75" i="68"/>
  <c r="M74" i="68"/>
  <c r="M73" i="68"/>
  <c r="M72" i="68"/>
  <c r="M71" i="68"/>
  <c r="M70" i="68"/>
  <c r="M69" i="68"/>
  <c r="M68" i="68"/>
  <c r="M67" i="68"/>
  <c r="M66" i="68"/>
  <c r="M65" i="68"/>
  <c r="M64" i="68"/>
  <c r="M63" i="68"/>
  <c r="M62" i="68"/>
  <c r="M61" i="68"/>
  <c r="M60" i="68"/>
  <c r="M59" i="68"/>
  <c r="M58" i="68"/>
  <c r="M57" i="68"/>
  <c r="M56" i="68"/>
  <c r="M55" i="68"/>
  <c r="M54" i="68"/>
  <c r="M53" i="68"/>
  <c r="M52" i="68"/>
  <c r="M51" i="68"/>
  <c r="M50" i="68"/>
  <c r="M49" i="68"/>
  <c r="M48" i="68"/>
  <c r="M47" i="68"/>
  <c r="M46" i="68"/>
  <c r="M45" i="68"/>
  <c r="M44" i="68"/>
  <c r="M43" i="68"/>
  <c r="M42" i="68"/>
  <c r="M41" i="68"/>
  <c r="M40" i="68"/>
  <c r="M39" i="68"/>
  <c r="M38" i="68"/>
  <c r="M37" i="68"/>
  <c r="M36" i="68"/>
  <c r="M35" i="68"/>
  <c r="AE33" i="68"/>
  <c r="M34" i="68"/>
  <c r="AE32" i="68"/>
  <c r="M33" i="68"/>
  <c r="AE31" i="68"/>
  <c r="M32" i="68"/>
  <c r="AE30" i="68"/>
  <c r="M31" i="68"/>
  <c r="AE29" i="68"/>
  <c r="M30" i="68"/>
  <c r="AE28" i="68"/>
  <c r="M29" i="68"/>
  <c r="AE27" i="68"/>
  <c r="M28" i="68"/>
  <c r="AE26" i="68"/>
  <c r="M27" i="68"/>
  <c r="AE25" i="68"/>
  <c r="M26" i="68"/>
  <c r="AE24" i="68"/>
  <c r="M25" i="68"/>
  <c r="AE23" i="68"/>
  <c r="M24" i="68"/>
  <c r="AE22" i="68"/>
  <c r="M23" i="68"/>
  <c r="AE21" i="68"/>
  <c r="M22" i="68"/>
  <c r="AE20" i="68"/>
  <c r="M21" i="68"/>
  <c r="AE19" i="68"/>
  <c r="M20" i="68"/>
  <c r="AE18" i="68"/>
  <c r="M19" i="68"/>
  <c r="AE17" i="68"/>
  <c r="M18" i="68"/>
  <c r="AE16" i="68"/>
  <c r="M17" i="68"/>
  <c r="AE15" i="68"/>
  <c r="M16" i="68"/>
  <c r="AE14" i="68"/>
  <c r="M15" i="68"/>
  <c r="AE13" i="68"/>
  <c r="M14" i="68"/>
  <c r="AE12" i="68"/>
  <c r="M13" i="68"/>
  <c r="AE11" i="68"/>
  <c r="M12" i="68"/>
  <c r="AE10" i="68"/>
  <c r="M11" i="68"/>
  <c r="AE9" i="68"/>
  <c r="M10" i="68"/>
  <c r="AE8" i="68"/>
  <c r="M9" i="68"/>
  <c r="AE7" i="68"/>
  <c r="M8" i="68"/>
  <c r="AE6" i="68"/>
  <c r="M7" i="68"/>
  <c r="M6" i="68"/>
  <c r="M5" i="68"/>
  <c r="M4" i="68"/>
  <c r="U2" i="68"/>
  <c r="X2" i="68"/>
  <c r="K148" i="69" l="1"/>
  <c r="N148" i="69" s="1"/>
  <c r="J148" i="69"/>
  <c r="M148" i="69" s="1"/>
  <c r="M46" i="69"/>
  <c r="M68" i="69" s="1"/>
  <c r="M9" i="69"/>
  <c r="K46" i="69"/>
  <c r="F46" i="69"/>
  <c r="K9" i="69"/>
  <c r="F9" i="69"/>
  <c r="I46" i="69"/>
  <c r="I68" i="69" s="1"/>
  <c r="G46" i="69"/>
  <c r="I9" i="69"/>
  <c r="L9" i="69"/>
  <c r="H9" i="69"/>
  <c r="G9" i="69"/>
  <c r="L46" i="69"/>
  <c r="H46" i="69"/>
  <c r="J46" i="69"/>
  <c r="J9" i="69"/>
  <c r="F73" i="69"/>
  <c r="H70" i="69"/>
  <c r="F36" i="69"/>
  <c r="K33" i="69"/>
  <c r="K72" i="69"/>
  <c r="G70" i="69"/>
  <c r="J33" i="69"/>
  <c r="I70" i="69"/>
  <c r="J72" i="69"/>
  <c r="F70" i="69"/>
  <c r="K35" i="69"/>
  <c r="I33" i="69"/>
  <c r="I72" i="69"/>
  <c r="H33" i="69"/>
  <c r="H72" i="69"/>
  <c r="K69" i="69"/>
  <c r="I35" i="69"/>
  <c r="G33" i="69"/>
  <c r="L73" i="69"/>
  <c r="G72" i="69"/>
  <c r="J69" i="69"/>
  <c r="H35" i="69"/>
  <c r="F33" i="69"/>
  <c r="G36" i="69"/>
  <c r="L72" i="69"/>
  <c r="F72" i="69"/>
  <c r="I69" i="69"/>
  <c r="G35" i="69"/>
  <c r="L71" i="69"/>
  <c r="K71" i="69"/>
  <c r="H69" i="69"/>
  <c r="F35" i="69"/>
  <c r="K32" i="69"/>
  <c r="K29" i="69" s="1"/>
  <c r="L70" i="69"/>
  <c r="J71" i="69"/>
  <c r="G69" i="69"/>
  <c r="L39" i="69"/>
  <c r="J32" i="69"/>
  <c r="I71" i="69"/>
  <c r="F69" i="69"/>
  <c r="K34" i="69"/>
  <c r="I32" i="69"/>
  <c r="H71" i="69"/>
  <c r="L41" i="69"/>
  <c r="J34" i="69"/>
  <c r="H32" i="69"/>
  <c r="K73" i="69"/>
  <c r="G71" i="69"/>
  <c r="K36" i="69"/>
  <c r="I34" i="69"/>
  <c r="G32" i="69"/>
  <c r="G73" i="69"/>
  <c r="J73" i="69"/>
  <c r="F71" i="69"/>
  <c r="J36" i="69"/>
  <c r="H34" i="69"/>
  <c r="F32" i="69"/>
  <c r="I73" i="69"/>
  <c r="K70" i="69"/>
  <c r="I36" i="69"/>
  <c r="G34" i="69"/>
  <c r="H73" i="69"/>
  <c r="J70" i="69"/>
  <c r="H36" i="69"/>
  <c r="F34" i="69"/>
  <c r="I108" i="76"/>
  <c r="G108" i="34"/>
  <c r="G108" i="30"/>
  <c r="O108" i="30" s="1"/>
  <c r="BS3" i="67"/>
  <c r="I2" i="77"/>
  <c r="G2" i="36"/>
  <c r="O2" i="36" s="1"/>
  <c r="G2" i="32"/>
  <c r="O2" i="32" s="1"/>
  <c r="H129" i="36"/>
  <c r="J132" i="75"/>
  <c r="J144" i="75" s="1"/>
  <c r="Q144" i="75" s="1"/>
  <c r="O16" i="30"/>
  <c r="O25" i="30"/>
  <c r="O33" i="30"/>
  <c r="O84" i="30"/>
  <c r="O42" i="30"/>
  <c r="O104" i="30"/>
  <c r="O35" i="30"/>
  <c r="O24" i="30"/>
  <c r="O41" i="30"/>
  <c r="O90" i="30"/>
  <c r="O50" i="30"/>
  <c r="O93" i="30"/>
  <c r="O51" i="30"/>
  <c r="O4" i="30"/>
  <c r="O49" i="30"/>
  <c r="O98" i="30"/>
  <c r="O58" i="30"/>
  <c r="O105" i="30"/>
  <c r="O83" i="30"/>
  <c r="O3" i="30"/>
  <c r="O12" i="30"/>
  <c r="O99" i="30"/>
  <c r="O66" i="30"/>
  <c r="O32" i="30"/>
  <c r="O57" i="30"/>
  <c r="O11" i="30"/>
  <c r="O20" i="30"/>
  <c r="O65" i="30"/>
  <c r="O31" i="30"/>
  <c r="O74" i="30"/>
  <c r="O40" i="30"/>
  <c r="O19" i="30"/>
  <c r="O28" i="30"/>
  <c r="O73" i="30"/>
  <c r="O39" i="30"/>
  <c r="O82" i="30"/>
  <c r="O48" i="30"/>
  <c r="O27" i="30"/>
  <c r="O10" i="30"/>
  <c r="O81" i="30"/>
  <c r="O47" i="30"/>
  <c r="O92" i="30"/>
  <c r="O56" i="30"/>
  <c r="O30" i="30"/>
  <c r="O89" i="30"/>
  <c r="O55" i="30"/>
  <c r="O102" i="30"/>
  <c r="O64" i="30"/>
  <c r="O38" i="30"/>
  <c r="O67" i="30"/>
  <c r="O63" i="30"/>
  <c r="O103" i="30"/>
  <c r="O72" i="30"/>
  <c r="O6" i="30"/>
  <c r="O97" i="30"/>
  <c r="O71" i="30"/>
  <c r="O80" i="30"/>
  <c r="O5" i="30"/>
  <c r="O46" i="30"/>
  <c r="O37" i="30"/>
  <c r="O13" i="30"/>
  <c r="O14" i="30"/>
  <c r="O54" i="30"/>
  <c r="O36" i="30"/>
  <c r="O79" i="30"/>
  <c r="O45" i="30"/>
  <c r="O88" i="30"/>
  <c r="O87" i="30"/>
  <c r="O22" i="30"/>
  <c r="O44" i="30"/>
  <c r="O106" i="30"/>
  <c r="O29" i="30"/>
  <c r="O70" i="30"/>
  <c r="O52" i="30"/>
  <c r="O91" i="30"/>
  <c r="O61" i="30"/>
  <c r="O94" i="30"/>
  <c r="O78" i="30"/>
  <c r="O60" i="30"/>
  <c r="O100" i="30"/>
  <c r="O69" i="30"/>
  <c r="O107" i="30"/>
  <c r="O9" i="30"/>
  <c r="O77" i="30"/>
  <c r="O21" i="30"/>
  <c r="O62" i="30"/>
  <c r="O53" i="30"/>
  <c r="O86" i="30"/>
  <c r="O68" i="30"/>
  <c r="O101" i="30"/>
  <c r="O8" i="30"/>
  <c r="O17" i="30"/>
  <c r="O96" i="30"/>
  <c r="O76" i="30"/>
  <c r="O34" i="30"/>
  <c r="O85" i="30"/>
  <c r="L19" i="69"/>
  <c r="M19" i="69" s="1"/>
  <c r="N19" i="69" s="1"/>
  <c r="O19" i="69" s="1"/>
  <c r="P19" i="69" s="1"/>
  <c r="Q19" i="69" s="1"/>
  <c r="R19" i="69" s="1"/>
  <c r="S19" i="69" s="1"/>
  <c r="T19" i="69" s="1"/>
  <c r="U19" i="69" s="1"/>
  <c r="V19" i="69" s="1"/>
  <c r="W19" i="69" s="1"/>
  <c r="X19" i="69" s="1"/>
  <c r="Y19" i="69" s="1"/>
  <c r="Z19" i="69" s="1"/>
  <c r="AA19" i="69" s="1"/>
  <c r="J96" i="69"/>
  <c r="K96" i="69" s="1"/>
  <c r="L96" i="69" s="1"/>
  <c r="M96" i="69" s="1"/>
  <c r="G124" i="69"/>
  <c r="C4" i="69"/>
  <c r="E4" i="69" s="1"/>
  <c r="E3" i="69"/>
  <c r="J27" i="71"/>
  <c r="R128" i="77"/>
  <c r="J140" i="77"/>
  <c r="R140" i="77" s="1"/>
  <c r="J134" i="77"/>
  <c r="R134" i="77" s="1"/>
  <c r="R122" i="77"/>
  <c r="J138" i="75"/>
  <c r="Q138" i="75" s="1"/>
  <c r="Q126" i="75"/>
  <c r="J130" i="77"/>
  <c r="J129" i="75"/>
  <c r="J131" i="77"/>
  <c r="J142" i="75"/>
  <c r="Q142" i="75" s="1"/>
  <c r="Q130" i="75"/>
  <c r="J125" i="77"/>
  <c r="J122" i="75"/>
  <c r="J127" i="75"/>
  <c r="R124" i="77"/>
  <c r="J136" i="77"/>
  <c r="R136" i="77" s="1"/>
  <c r="J132" i="77"/>
  <c r="J127" i="77"/>
  <c r="J145" i="77"/>
  <c r="R145" i="77" s="1"/>
  <c r="R133" i="77"/>
  <c r="Q131" i="75"/>
  <c r="J143" i="75"/>
  <c r="Q143" i="75" s="1"/>
  <c r="J135" i="75"/>
  <c r="Q135" i="75" s="1"/>
  <c r="Q123" i="75"/>
  <c r="J138" i="77"/>
  <c r="R138" i="77" s="1"/>
  <c r="R126" i="77"/>
  <c r="J124" i="75"/>
  <c r="J128" i="75"/>
  <c r="N83" i="69"/>
  <c r="L24" i="69"/>
  <c r="M24" i="69" s="1"/>
  <c r="N24" i="69" s="1"/>
  <c r="O24" i="69" s="1"/>
  <c r="P24" i="69" s="1"/>
  <c r="Q24" i="69" s="1"/>
  <c r="R24" i="69" s="1"/>
  <c r="S24" i="69" s="1"/>
  <c r="T24" i="69" s="1"/>
  <c r="U24" i="69" s="1"/>
  <c r="V24" i="69" s="1"/>
  <c r="W24" i="69" s="1"/>
  <c r="X24" i="69" s="1"/>
  <c r="Y24" i="69" s="1"/>
  <c r="Z24" i="69" s="1"/>
  <c r="AA24" i="69" s="1"/>
  <c r="D15" i="72"/>
  <c r="F15" i="72"/>
  <c r="Q25" i="72"/>
  <c r="P10" i="72"/>
  <c r="C56" i="72" s="1"/>
  <c r="Q10" i="72"/>
  <c r="R10" i="72"/>
  <c r="D56" i="72" s="1"/>
  <c r="E15" i="72"/>
  <c r="I23" i="72"/>
  <c r="H13" i="72"/>
  <c r="Q23" i="72"/>
  <c r="R27" i="72"/>
  <c r="P27" i="72"/>
  <c r="R23" i="72"/>
  <c r="F57" i="72"/>
  <c r="T25" i="72"/>
  <c r="J7" i="72"/>
  <c r="F56" i="72"/>
  <c r="U10" i="72"/>
  <c r="I10" i="72"/>
  <c r="F59" i="72"/>
  <c r="T27" i="72"/>
  <c r="I8" i="72"/>
  <c r="P23" i="72"/>
  <c r="H5" i="72"/>
  <c r="H9" i="72"/>
  <c r="S23" i="72"/>
  <c r="S27" i="72"/>
  <c r="T23" i="72"/>
  <c r="P25" i="72"/>
  <c r="H11" i="72"/>
  <c r="G14" i="72"/>
  <c r="R25" i="72"/>
  <c r="D55" i="72"/>
  <c r="S25" i="72"/>
  <c r="I6" i="72"/>
  <c r="H12" i="72"/>
  <c r="H4" i="72"/>
  <c r="G20" i="70"/>
  <c r="H20" i="70" s="1"/>
  <c r="G21" i="70"/>
  <c r="G5" i="70"/>
  <c r="U15" i="70"/>
  <c r="F2" i="70" s="1"/>
  <c r="F6" i="70" s="1"/>
  <c r="G31" i="70"/>
  <c r="W15" i="70"/>
  <c r="G2" i="70" s="1"/>
  <c r="F32" i="70"/>
  <c r="J29" i="69" l="1"/>
  <c r="J40" i="69"/>
  <c r="O96" i="69"/>
  <c r="N96" i="69"/>
  <c r="M31" i="69"/>
  <c r="M28" i="69" s="1"/>
  <c r="N28" i="69" s="1"/>
  <c r="M118" i="69"/>
  <c r="Q132" i="75"/>
  <c r="I77" i="69"/>
  <c r="F118" i="69"/>
  <c r="M78" i="69"/>
  <c r="M59" i="69" s="1"/>
  <c r="G118" i="69"/>
  <c r="I54" i="69"/>
  <c r="I57" i="69" s="1"/>
  <c r="J118" i="69"/>
  <c r="L118" i="69"/>
  <c r="H118" i="69"/>
  <c r="I118" i="69"/>
  <c r="I31" i="69"/>
  <c r="I102" i="69" s="1"/>
  <c r="K118" i="69"/>
  <c r="L38" i="69"/>
  <c r="L12" i="69" s="1"/>
  <c r="F47" i="69"/>
  <c r="G47" i="69" s="1"/>
  <c r="H47" i="69" s="1"/>
  <c r="I47" i="69" s="1"/>
  <c r="J47" i="69" s="1"/>
  <c r="K47" i="69" s="1"/>
  <c r="L47" i="69" s="1"/>
  <c r="M47" i="69" s="1"/>
  <c r="F68" i="69"/>
  <c r="F65" i="69" s="1"/>
  <c r="I76" i="69"/>
  <c r="J76" i="69"/>
  <c r="J78" i="69"/>
  <c r="J59" i="69" s="1"/>
  <c r="K78" i="69"/>
  <c r="K59" i="69" s="1"/>
  <c r="K62" i="69" s="1"/>
  <c r="H78" i="69"/>
  <c r="H59" i="69" s="1"/>
  <c r="H62" i="69" s="1"/>
  <c r="K76" i="69"/>
  <c r="K75" i="69"/>
  <c r="H76" i="69"/>
  <c r="I78" i="69"/>
  <c r="I59" i="69" s="1"/>
  <c r="I62" i="69" s="1"/>
  <c r="F77" i="69"/>
  <c r="F54" i="69" s="1"/>
  <c r="J77" i="69"/>
  <c r="J54" i="69" s="1"/>
  <c r="G78" i="69"/>
  <c r="G59" i="69" s="1"/>
  <c r="G62" i="69" s="1"/>
  <c r="H75" i="69"/>
  <c r="H49" i="69" s="1"/>
  <c r="L107" i="69"/>
  <c r="L77" i="69"/>
  <c r="L54" i="69" s="1"/>
  <c r="L57" i="69" s="1"/>
  <c r="M39" i="69"/>
  <c r="N39" i="69" s="1"/>
  <c r="O39" i="69" s="1"/>
  <c r="P39" i="69" s="1"/>
  <c r="Q39" i="69" s="1"/>
  <c r="R39" i="69" s="1"/>
  <c r="S39" i="69" s="1"/>
  <c r="T39" i="69" s="1"/>
  <c r="U39" i="69" s="1"/>
  <c r="V39" i="69" s="1"/>
  <c r="W39" i="69" s="1"/>
  <c r="X39" i="69" s="1"/>
  <c r="Y39" i="69" s="1"/>
  <c r="Z39" i="69" s="1"/>
  <c r="AA39" i="69" s="1"/>
  <c r="M40" i="69"/>
  <c r="M17" i="69" s="1"/>
  <c r="M29" i="69"/>
  <c r="G126" i="69"/>
  <c r="F76" i="69"/>
  <c r="G108" i="69"/>
  <c r="G41" i="69"/>
  <c r="G22" i="69" s="1"/>
  <c r="I105" i="69"/>
  <c r="I38" i="69"/>
  <c r="F106" i="69"/>
  <c r="F39" i="69"/>
  <c r="K108" i="69"/>
  <c r="K41" i="69"/>
  <c r="K22" i="69" s="1"/>
  <c r="L108" i="69"/>
  <c r="L78" i="69"/>
  <c r="N78" i="69" s="1"/>
  <c r="O78" i="69" s="1"/>
  <c r="P78" i="69" s="1"/>
  <c r="Q78" i="69" s="1"/>
  <c r="R78" i="69" s="1"/>
  <c r="S78" i="69" s="1"/>
  <c r="T78" i="69" s="1"/>
  <c r="U78" i="69" s="1"/>
  <c r="V78" i="69" s="1"/>
  <c r="W78" i="69" s="1"/>
  <c r="X78" i="69" s="1"/>
  <c r="Y78" i="69" s="1"/>
  <c r="Z78" i="69" s="1"/>
  <c r="AA78" i="69" s="1"/>
  <c r="I75" i="69"/>
  <c r="J108" i="69"/>
  <c r="J41" i="69"/>
  <c r="J22" i="69" s="1"/>
  <c r="F107" i="69"/>
  <c r="F40" i="69"/>
  <c r="F17" i="69" s="1"/>
  <c r="G105" i="69"/>
  <c r="G38" i="69"/>
  <c r="J105" i="69"/>
  <c r="J38" i="69"/>
  <c r="H107" i="69"/>
  <c r="H40" i="69"/>
  <c r="L105" i="69"/>
  <c r="L75" i="69"/>
  <c r="J75" i="69"/>
  <c r="H66" i="69"/>
  <c r="H82" i="69"/>
  <c r="I107" i="69"/>
  <c r="I40" i="69"/>
  <c r="I17" i="69" s="1"/>
  <c r="L40" i="69"/>
  <c r="F75" i="69"/>
  <c r="I106" i="69"/>
  <c r="G76" i="69"/>
  <c r="H103" i="69"/>
  <c r="H29" i="69"/>
  <c r="K103" i="69"/>
  <c r="K66" i="69"/>
  <c r="K82" i="69"/>
  <c r="G75" i="69"/>
  <c r="F66" i="69"/>
  <c r="F82" i="69"/>
  <c r="H108" i="69"/>
  <c r="H41" i="69"/>
  <c r="H22" i="69" s="1"/>
  <c r="G106" i="69"/>
  <c r="G39" i="69"/>
  <c r="J106" i="69"/>
  <c r="J39" i="69"/>
  <c r="L106" i="69"/>
  <c r="L76" i="69"/>
  <c r="H77" i="69"/>
  <c r="H54" i="69" s="1"/>
  <c r="H57" i="69" s="1"/>
  <c r="K77" i="69"/>
  <c r="K54" i="69" s="1"/>
  <c r="K57" i="69" s="1"/>
  <c r="H106" i="69"/>
  <c r="H39" i="69"/>
  <c r="G66" i="69"/>
  <c r="G82" i="69"/>
  <c r="J103" i="69"/>
  <c r="J66" i="69"/>
  <c r="J82" i="69"/>
  <c r="I41" i="69"/>
  <c r="I22" i="69" s="1"/>
  <c r="I108" i="69"/>
  <c r="M66" i="69"/>
  <c r="M77" i="69"/>
  <c r="M54" i="69" s="1"/>
  <c r="M76" i="69"/>
  <c r="M75" i="69"/>
  <c r="M65" i="69"/>
  <c r="K105" i="69"/>
  <c r="K38" i="69"/>
  <c r="G103" i="69"/>
  <c r="G29" i="69"/>
  <c r="G77" i="69"/>
  <c r="G54" i="69" s="1"/>
  <c r="G57" i="69" s="1"/>
  <c r="L29" i="69"/>
  <c r="L103" i="69"/>
  <c r="H105" i="69"/>
  <c r="H38" i="69"/>
  <c r="F108" i="69"/>
  <c r="F41" i="69"/>
  <c r="F22" i="69" s="1"/>
  <c r="F105" i="69"/>
  <c r="F38" i="69"/>
  <c r="I39" i="69"/>
  <c r="I29" i="69"/>
  <c r="G107" i="69"/>
  <c r="G40" i="69"/>
  <c r="G17" i="69" s="1"/>
  <c r="J107" i="69"/>
  <c r="J17" i="69"/>
  <c r="K107" i="69"/>
  <c r="K40" i="69"/>
  <c r="K17" i="69" s="1"/>
  <c r="F29" i="69"/>
  <c r="F103" i="69"/>
  <c r="K106" i="69"/>
  <c r="K39" i="69"/>
  <c r="I103" i="69"/>
  <c r="I82" i="69"/>
  <c r="I66" i="69"/>
  <c r="I65" i="69"/>
  <c r="L66" i="69"/>
  <c r="L82" i="69"/>
  <c r="F78" i="69"/>
  <c r="F59" i="69" s="1"/>
  <c r="BS4" i="67"/>
  <c r="I3" i="77"/>
  <c r="G3" i="36"/>
  <c r="O3" i="36" s="1"/>
  <c r="G3" i="32"/>
  <c r="O3" i="32" s="1"/>
  <c r="H141" i="36"/>
  <c r="P141" i="36" s="1"/>
  <c r="P129" i="36"/>
  <c r="K8" i="72"/>
  <c r="K7" i="72"/>
  <c r="K6" i="72"/>
  <c r="O83" i="69"/>
  <c r="I124" i="69" s="1"/>
  <c r="F14" i="69"/>
  <c r="G14" i="69" s="1"/>
  <c r="H14" i="69" s="1"/>
  <c r="I14" i="69" s="1"/>
  <c r="F51" i="69"/>
  <c r="G51" i="69" s="1"/>
  <c r="H51" i="69" s="1"/>
  <c r="I51" i="69" s="1"/>
  <c r="H68" i="69"/>
  <c r="H65" i="69" s="1"/>
  <c r="J68" i="69"/>
  <c r="J65" i="69" s="1"/>
  <c r="G68" i="69"/>
  <c r="G65" i="69" s="1"/>
  <c r="K68" i="69"/>
  <c r="K65" i="69" s="1"/>
  <c r="L68" i="69"/>
  <c r="L65" i="69" s="1"/>
  <c r="R131" i="77"/>
  <c r="J143" i="77"/>
  <c r="R143" i="77" s="1"/>
  <c r="Q122" i="75"/>
  <c r="J134" i="75"/>
  <c r="Q134" i="75" s="1"/>
  <c r="R127" i="77"/>
  <c r="J139" i="77"/>
  <c r="R139" i="77" s="1"/>
  <c r="J137" i="77"/>
  <c r="R137" i="77" s="1"/>
  <c r="R125" i="77"/>
  <c r="J141" i="75"/>
  <c r="Q141" i="75" s="1"/>
  <c r="Q129" i="75"/>
  <c r="J140" i="75"/>
  <c r="Q140" i="75" s="1"/>
  <c r="Q128" i="75"/>
  <c r="J136" i="75"/>
  <c r="Q136" i="75" s="1"/>
  <c r="Q124" i="75"/>
  <c r="R132" i="77"/>
  <c r="J144" i="77"/>
  <c r="R144" i="77" s="1"/>
  <c r="J142" i="77"/>
  <c r="R142" i="77" s="1"/>
  <c r="R130" i="77"/>
  <c r="J139" i="75"/>
  <c r="Q139" i="75" s="1"/>
  <c r="Q127" i="75"/>
  <c r="H124" i="69"/>
  <c r="P24" i="72"/>
  <c r="K5" i="72"/>
  <c r="K4" i="72"/>
  <c r="P4" i="72" s="1"/>
  <c r="S24" i="72"/>
  <c r="Q24" i="72"/>
  <c r="T24" i="72"/>
  <c r="R24" i="72"/>
  <c r="U13" i="72"/>
  <c r="I13" i="72"/>
  <c r="U9" i="72"/>
  <c r="I9" i="72"/>
  <c r="I4" i="72"/>
  <c r="H14" i="72"/>
  <c r="I11" i="72"/>
  <c r="U11" i="72"/>
  <c r="U24" i="72"/>
  <c r="G56" i="72"/>
  <c r="J10" i="72"/>
  <c r="I5" i="72"/>
  <c r="I12" i="72"/>
  <c r="J6" i="72"/>
  <c r="J8" i="72"/>
  <c r="G6" i="70"/>
  <c r="G8" i="70" s="1"/>
  <c r="H31" i="70"/>
  <c r="F10" i="69"/>
  <c r="G10" i="69" s="1"/>
  <c r="H10" i="69" s="1"/>
  <c r="I10" i="69" s="1"/>
  <c r="J10" i="69" s="1"/>
  <c r="F31" i="69"/>
  <c r="G31" i="69"/>
  <c r="H31" i="69"/>
  <c r="H17" i="69"/>
  <c r="J31" i="69"/>
  <c r="K31" i="69"/>
  <c r="L31" i="69"/>
  <c r="L22" i="69"/>
  <c r="G32" i="70"/>
  <c r="D36" i="70"/>
  <c r="E36" i="70" s="1"/>
  <c r="F36" i="70" s="1"/>
  <c r="G36" i="70" s="1"/>
  <c r="H36" i="70" s="1"/>
  <c r="H25" i="70"/>
  <c r="F25" i="70"/>
  <c r="E25" i="70"/>
  <c r="G25" i="70"/>
  <c r="H52" i="69" l="1"/>
  <c r="H12" i="69"/>
  <c r="M120" i="69"/>
  <c r="F12" i="69"/>
  <c r="F13" i="69" s="1"/>
  <c r="F16" i="69" s="1"/>
  <c r="C49" i="17"/>
  <c r="D49" i="17"/>
  <c r="Y49" i="17"/>
  <c r="Z49" i="17"/>
  <c r="N76" i="69"/>
  <c r="O76" i="69" s="1"/>
  <c r="P76" i="69" s="1"/>
  <c r="Q76" i="69" s="1"/>
  <c r="R76" i="69" s="1"/>
  <c r="S76" i="69" s="1"/>
  <c r="T76" i="69" s="1"/>
  <c r="U76" i="69" s="1"/>
  <c r="V76" i="69" s="1"/>
  <c r="W76" i="69" s="1"/>
  <c r="X76" i="69" s="1"/>
  <c r="Y76" i="69" s="1"/>
  <c r="Z76" i="69" s="1"/>
  <c r="AA76" i="69" s="1"/>
  <c r="M49" i="69"/>
  <c r="N41" i="69"/>
  <c r="O41" i="69" s="1"/>
  <c r="P41" i="69" s="1"/>
  <c r="Q41" i="69" s="1"/>
  <c r="R41" i="69" s="1"/>
  <c r="S41" i="69" s="1"/>
  <c r="T41" i="69" s="1"/>
  <c r="U41" i="69" s="1"/>
  <c r="V41" i="69" s="1"/>
  <c r="W41" i="69" s="1"/>
  <c r="X41" i="69" s="1"/>
  <c r="Y41" i="69" s="1"/>
  <c r="Z41" i="69" s="1"/>
  <c r="AA41" i="69" s="1"/>
  <c r="M22" i="69"/>
  <c r="M121" i="69" s="1"/>
  <c r="K49" i="69"/>
  <c r="I49" i="69"/>
  <c r="I52" i="69" s="1"/>
  <c r="M38" i="69"/>
  <c r="F102" i="69"/>
  <c r="J12" i="69"/>
  <c r="K12" i="69"/>
  <c r="G111" i="69"/>
  <c r="F121" i="69"/>
  <c r="I28" i="69"/>
  <c r="I104" i="69" s="1"/>
  <c r="J49" i="69"/>
  <c r="J102" i="69"/>
  <c r="L59" i="69"/>
  <c r="L62" i="69" s="1"/>
  <c r="J120" i="69"/>
  <c r="F49" i="69"/>
  <c r="F50" i="69" s="1"/>
  <c r="I112" i="69"/>
  <c r="F112" i="69"/>
  <c r="G12" i="69"/>
  <c r="K112" i="69"/>
  <c r="L109" i="69"/>
  <c r="G49" i="69"/>
  <c r="G52" i="69" s="1"/>
  <c r="J111" i="69"/>
  <c r="H110" i="69"/>
  <c r="N75" i="69"/>
  <c r="O75" i="69" s="1"/>
  <c r="P75" i="69" s="1"/>
  <c r="Q75" i="69" s="1"/>
  <c r="R75" i="69" s="1"/>
  <c r="S75" i="69" s="1"/>
  <c r="T75" i="69" s="1"/>
  <c r="U75" i="69" s="1"/>
  <c r="V75" i="69" s="1"/>
  <c r="W75" i="69" s="1"/>
  <c r="X75" i="69" s="1"/>
  <c r="Y75" i="69" s="1"/>
  <c r="Z75" i="69" s="1"/>
  <c r="AA75" i="69" s="1"/>
  <c r="F110" i="69"/>
  <c r="I12" i="69"/>
  <c r="F125" i="69"/>
  <c r="K109" i="69"/>
  <c r="I109" i="69"/>
  <c r="H111" i="69"/>
  <c r="L49" i="69"/>
  <c r="F128" i="69" s="1"/>
  <c r="N65" i="69"/>
  <c r="O65" i="69" s="1"/>
  <c r="J109" i="69"/>
  <c r="G112" i="69"/>
  <c r="H119" i="69"/>
  <c r="L110" i="69"/>
  <c r="G109" i="69"/>
  <c r="I110" i="69"/>
  <c r="F109" i="69"/>
  <c r="J110" i="69"/>
  <c r="F111" i="69"/>
  <c r="N40" i="69"/>
  <c r="O40" i="69" s="1"/>
  <c r="P40" i="69" s="1"/>
  <c r="Q40" i="69" s="1"/>
  <c r="R40" i="69" s="1"/>
  <c r="S40" i="69" s="1"/>
  <c r="T40" i="69" s="1"/>
  <c r="U40" i="69" s="1"/>
  <c r="V40" i="69" s="1"/>
  <c r="W40" i="69" s="1"/>
  <c r="X40" i="69" s="1"/>
  <c r="Y40" i="69" s="1"/>
  <c r="Z40" i="69" s="1"/>
  <c r="AA40" i="69" s="1"/>
  <c r="K110" i="69"/>
  <c r="G110" i="69"/>
  <c r="I120" i="69"/>
  <c r="I20" i="69"/>
  <c r="J112" i="69"/>
  <c r="L17" i="69"/>
  <c r="F129" i="69" s="1"/>
  <c r="F138" i="69" s="1"/>
  <c r="H109" i="69"/>
  <c r="I25" i="69"/>
  <c r="I121" i="69"/>
  <c r="I111" i="69"/>
  <c r="H112" i="69"/>
  <c r="L112" i="69"/>
  <c r="N77" i="69"/>
  <c r="O77" i="69" s="1"/>
  <c r="P77" i="69" s="1"/>
  <c r="Q77" i="69" s="1"/>
  <c r="R77" i="69" s="1"/>
  <c r="S77" i="69" s="1"/>
  <c r="T77" i="69" s="1"/>
  <c r="U77" i="69" s="1"/>
  <c r="V77" i="69" s="1"/>
  <c r="W77" i="69" s="1"/>
  <c r="X77" i="69" s="1"/>
  <c r="Y77" i="69" s="1"/>
  <c r="Z77" i="69" s="1"/>
  <c r="AA77" i="69" s="1"/>
  <c r="K111" i="69"/>
  <c r="L111" i="69"/>
  <c r="H120" i="69"/>
  <c r="H121" i="69"/>
  <c r="H102" i="69"/>
  <c r="G102" i="69"/>
  <c r="G120" i="69"/>
  <c r="G121" i="69"/>
  <c r="K120" i="69"/>
  <c r="L28" i="69"/>
  <c r="F126" i="69"/>
  <c r="L102" i="69"/>
  <c r="K121" i="69"/>
  <c r="F120" i="69"/>
  <c r="K102" i="69"/>
  <c r="J121" i="69"/>
  <c r="BS5" i="67"/>
  <c r="I4" i="77"/>
  <c r="G4" i="36"/>
  <c r="O4" i="36" s="1"/>
  <c r="G4" i="32"/>
  <c r="O4" i="32" s="1"/>
  <c r="P83" i="69"/>
  <c r="J124" i="69" s="1"/>
  <c r="J51" i="69"/>
  <c r="K51" i="69" s="1"/>
  <c r="J14" i="69"/>
  <c r="K14" i="69" s="1"/>
  <c r="K10" i="69"/>
  <c r="L10" i="69" s="1"/>
  <c r="M10" i="69" s="1"/>
  <c r="J57" i="69"/>
  <c r="J62" i="69"/>
  <c r="M57" i="69"/>
  <c r="M62" i="69"/>
  <c r="F55" i="69"/>
  <c r="F57" i="69"/>
  <c r="F60" i="69"/>
  <c r="F62" i="69"/>
  <c r="B50" i="17"/>
  <c r="X50" i="17"/>
  <c r="U5" i="72"/>
  <c r="G51" i="72" s="1"/>
  <c r="T6" i="72"/>
  <c r="J13" i="72"/>
  <c r="G59" i="72"/>
  <c r="U27" i="72"/>
  <c r="U4" i="72"/>
  <c r="J12" i="72"/>
  <c r="U6" i="72"/>
  <c r="S6" i="72"/>
  <c r="J9" i="72"/>
  <c r="J11" i="72"/>
  <c r="G55" i="72"/>
  <c r="U23" i="72"/>
  <c r="U25" i="72"/>
  <c r="G57" i="72"/>
  <c r="J5" i="72"/>
  <c r="I14" i="72"/>
  <c r="J4" i="72"/>
  <c r="R5" i="72"/>
  <c r="T5" i="72"/>
  <c r="U7" i="72"/>
  <c r="T7" i="72"/>
  <c r="S7" i="72"/>
  <c r="R7" i="72"/>
  <c r="Q7" i="72"/>
  <c r="P8" i="72"/>
  <c r="K20" i="69"/>
  <c r="J28" i="69"/>
  <c r="J104" i="69" s="1"/>
  <c r="H32" i="70"/>
  <c r="K28" i="69"/>
  <c r="K104" i="69" s="1"/>
  <c r="I42" i="70"/>
  <c r="H20" i="69"/>
  <c r="H28" i="69"/>
  <c r="H104" i="69" s="1"/>
  <c r="H25" i="69"/>
  <c r="H15" i="69"/>
  <c r="F28" i="69"/>
  <c r="F104" i="69" s="1"/>
  <c r="G20" i="69"/>
  <c r="F20" i="69"/>
  <c r="F18" i="69"/>
  <c r="L25" i="69"/>
  <c r="G28" i="69"/>
  <c r="G104" i="69" s="1"/>
  <c r="F25" i="69"/>
  <c r="F23" i="69"/>
  <c r="G25" i="69"/>
  <c r="J25" i="69"/>
  <c r="K25" i="69"/>
  <c r="J20" i="69"/>
  <c r="K119" i="69" l="1"/>
  <c r="F130" i="69"/>
  <c r="F142" i="69" s="1"/>
  <c r="F15" i="69"/>
  <c r="J15" i="69"/>
  <c r="J119" i="69"/>
  <c r="J52" i="69"/>
  <c r="I119" i="69"/>
  <c r="Y50" i="17"/>
  <c r="Z50" i="17"/>
  <c r="N49" i="17"/>
  <c r="O49" i="17"/>
  <c r="C50" i="17"/>
  <c r="D50" i="17"/>
  <c r="Q83" i="69"/>
  <c r="R83" i="69" s="1"/>
  <c r="L121" i="69"/>
  <c r="N38" i="69"/>
  <c r="O38" i="69" s="1"/>
  <c r="P38" i="69" s="1"/>
  <c r="Q38" i="69" s="1"/>
  <c r="R38" i="69" s="1"/>
  <c r="S38" i="69" s="1"/>
  <c r="T38" i="69" s="1"/>
  <c r="U38" i="69" s="1"/>
  <c r="V38" i="69" s="1"/>
  <c r="W38" i="69" s="1"/>
  <c r="X38" i="69" s="1"/>
  <c r="Y38" i="69" s="1"/>
  <c r="Z38" i="69" s="1"/>
  <c r="AA38" i="69" s="1"/>
  <c r="M12" i="69"/>
  <c r="M119" i="69" s="1"/>
  <c r="O28" i="69"/>
  <c r="G119" i="69"/>
  <c r="F119" i="69"/>
  <c r="G15" i="69"/>
  <c r="F52" i="69"/>
  <c r="L119" i="69"/>
  <c r="L20" i="69"/>
  <c r="L120" i="69"/>
  <c r="I15" i="69"/>
  <c r="F127" i="69"/>
  <c r="F134" i="69"/>
  <c r="BS6" i="67"/>
  <c r="I5" i="77"/>
  <c r="G5" i="36"/>
  <c r="O5" i="36" s="1"/>
  <c r="G5" i="32"/>
  <c r="O5" i="32" s="1"/>
  <c r="L14" i="69"/>
  <c r="K15" i="69"/>
  <c r="L51" i="69"/>
  <c r="K52" i="69"/>
  <c r="P65" i="69"/>
  <c r="F53" i="69"/>
  <c r="G50" i="69"/>
  <c r="G60" i="69"/>
  <c r="F63" i="69"/>
  <c r="G55" i="69"/>
  <c r="F58" i="69"/>
  <c r="X51" i="17"/>
  <c r="M50" i="17"/>
  <c r="B51" i="17"/>
  <c r="T8" i="72"/>
  <c r="Q8" i="72"/>
  <c r="P5" i="72"/>
  <c r="C51" i="72" s="1"/>
  <c r="R8" i="72"/>
  <c r="S8" i="72"/>
  <c r="S5" i="72"/>
  <c r="P6" i="72"/>
  <c r="P20" i="72" s="1"/>
  <c r="P7" i="72"/>
  <c r="R21" i="72" s="1"/>
  <c r="Q6" i="72"/>
  <c r="Q5" i="72"/>
  <c r="R6" i="72"/>
  <c r="U8" i="72"/>
  <c r="G50" i="72"/>
  <c r="Q4" i="72"/>
  <c r="S4" i="72"/>
  <c r="R4" i="72"/>
  <c r="T4" i="72"/>
  <c r="J59" i="72"/>
  <c r="G52" i="72"/>
  <c r="G53" i="72"/>
  <c r="F52" i="72"/>
  <c r="J56" i="72"/>
  <c r="D51" i="72"/>
  <c r="J14" i="72"/>
  <c r="F53" i="72"/>
  <c r="C50" i="72"/>
  <c r="P18" i="72"/>
  <c r="D53" i="72"/>
  <c r="C54" i="72"/>
  <c r="P22" i="72"/>
  <c r="F51" i="72"/>
  <c r="F21" i="69"/>
  <c r="G18" i="69"/>
  <c r="G13" i="69"/>
  <c r="G16" i="69" s="1"/>
  <c r="L104" i="69"/>
  <c r="F26" i="69"/>
  <c r="G23" i="69"/>
  <c r="F90" i="69" l="1"/>
  <c r="F92" i="69"/>
  <c r="F91" i="69"/>
  <c r="K124" i="69"/>
  <c r="N50" i="17"/>
  <c r="O50" i="17"/>
  <c r="C51" i="17"/>
  <c r="D51" i="17"/>
  <c r="Y51" i="17"/>
  <c r="Z51" i="17"/>
  <c r="BS7" i="67"/>
  <c r="I6" i="77"/>
  <c r="G6" i="36"/>
  <c r="O6" i="36" s="1"/>
  <c r="G6" i="32"/>
  <c r="O6" i="32" s="1"/>
  <c r="C52" i="72"/>
  <c r="L124" i="69"/>
  <c r="S83" i="69"/>
  <c r="M51" i="69"/>
  <c r="L52" i="69"/>
  <c r="M14" i="69"/>
  <c r="N14" i="69" s="1"/>
  <c r="O14" i="69" s="1"/>
  <c r="P14" i="69" s="1"/>
  <c r="Q14" i="69" s="1"/>
  <c r="R14" i="69" s="1"/>
  <c r="S14" i="69" s="1"/>
  <c r="T14" i="69" s="1"/>
  <c r="U14" i="69" s="1"/>
  <c r="V14" i="69" s="1"/>
  <c r="W14" i="69" s="1"/>
  <c r="X14" i="69" s="1"/>
  <c r="Y14" i="69" s="1"/>
  <c r="Z14" i="69" s="1"/>
  <c r="AA14" i="69" s="1"/>
  <c r="L15" i="69"/>
  <c r="Q65" i="69"/>
  <c r="H55" i="69"/>
  <c r="I55" i="69" s="1"/>
  <c r="G58" i="69"/>
  <c r="H60" i="69"/>
  <c r="I60" i="69" s="1"/>
  <c r="G63" i="69"/>
  <c r="H50" i="69"/>
  <c r="I50" i="69" s="1"/>
  <c r="G53" i="69"/>
  <c r="S21" i="72"/>
  <c r="B52" i="17"/>
  <c r="M51" i="17"/>
  <c r="X52" i="17"/>
  <c r="D54" i="72"/>
  <c r="C53" i="72"/>
  <c r="C61" i="72" s="1"/>
  <c r="P21" i="72"/>
  <c r="Q21" i="72"/>
  <c r="T21" i="72"/>
  <c r="R20" i="72"/>
  <c r="Q20" i="72"/>
  <c r="R22" i="72"/>
  <c r="S22" i="72"/>
  <c r="T22" i="72"/>
  <c r="Q22" i="72"/>
  <c r="Q19" i="72"/>
  <c r="F54" i="72"/>
  <c r="U20" i="72"/>
  <c r="T19" i="72"/>
  <c r="S19" i="72"/>
  <c r="T20" i="72"/>
  <c r="S20" i="72"/>
  <c r="D52" i="72"/>
  <c r="P19" i="72"/>
  <c r="U19" i="72"/>
  <c r="U21" i="72"/>
  <c r="G54" i="72"/>
  <c r="R19" i="72"/>
  <c r="U22" i="72"/>
  <c r="R18" i="72"/>
  <c r="Q18" i="72"/>
  <c r="U18" i="72"/>
  <c r="D50" i="72"/>
  <c r="Q70" i="72"/>
  <c r="P70" i="72"/>
  <c r="O70" i="72"/>
  <c r="S18" i="72"/>
  <c r="T18" i="72"/>
  <c r="J55" i="72"/>
  <c r="Q67" i="72"/>
  <c r="P67" i="72"/>
  <c r="O67" i="72"/>
  <c r="J57" i="72"/>
  <c r="F97" i="69"/>
  <c r="G21" i="69"/>
  <c r="H18" i="69"/>
  <c r="I18" i="69" s="1"/>
  <c r="H13" i="69"/>
  <c r="I13" i="69" s="1"/>
  <c r="I16" i="69" s="1"/>
  <c r="I46" i="70"/>
  <c r="G26" i="69"/>
  <c r="H23" i="69"/>
  <c r="I23" i="69" s="1"/>
  <c r="T83" i="69"/>
  <c r="G92" i="69" l="1"/>
  <c r="G91" i="69"/>
  <c r="G90" i="69"/>
  <c r="N51" i="17"/>
  <c r="O51" i="17"/>
  <c r="C52" i="17"/>
  <c r="D52" i="17"/>
  <c r="Y52" i="17"/>
  <c r="Z52" i="17"/>
  <c r="BS8" i="67"/>
  <c r="I7" i="77"/>
  <c r="G7" i="36"/>
  <c r="O7" i="36" s="1"/>
  <c r="G7" i="32"/>
  <c r="O7" i="32" s="1"/>
  <c r="J53" i="72"/>
  <c r="O64" i="72" s="1"/>
  <c r="J52" i="72"/>
  <c r="O63" i="72" s="1"/>
  <c r="N51" i="69"/>
  <c r="M52" i="69"/>
  <c r="J13" i="69"/>
  <c r="I58" i="69"/>
  <c r="J55" i="69"/>
  <c r="I21" i="69"/>
  <c r="J18" i="69"/>
  <c r="I53" i="69"/>
  <c r="J50" i="69"/>
  <c r="I26" i="69"/>
  <c r="J23" i="69"/>
  <c r="I63" i="69"/>
  <c r="J60" i="69"/>
  <c r="R65" i="69"/>
  <c r="H53" i="69"/>
  <c r="H63" i="69"/>
  <c r="H58" i="69"/>
  <c r="B53" i="17"/>
  <c r="M52" i="17"/>
  <c r="X53" i="17"/>
  <c r="J51" i="72"/>
  <c r="Q62" i="72" s="1"/>
  <c r="P28" i="72"/>
  <c r="J54" i="72"/>
  <c r="Q65" i="72" s="1"/>
  <c r="S28" i="72"/>
  <c r="R28" i="72"/>
  <c r="Q28" i="72"/>
  <c r="U28" i="72"/>
  <c r="T28" i="72"/>
  <c r="J50" i="72"/>
  <c r="P61" i="72" s="1"/>
  <c r="U67" i="72"/>
  <c r="U70" i="72"/>
  <c r="P66" i="72"/>
  <c r="O66" i="72"/>
  <c r="Q66" i="72"/>
  <c r="Q68" i="72"/>
  <c r="P68" i="72"/>
  <c r="O68" i="72"/>
  <c r="U83" i="69"/>
  <c r="G97" i="69"/>
  <c r="H21" i="69"/>
  <c r="H26" i="69"/>
  <c r="H16" i="69"/>
  <c r="I92" i="69" l="1"/>
  <c r="H90" i="69"/>
  <c r="H92" i="69"/>
  <c r="H91" i="69"/>
  <c r="I91" i="69"/>
  <c r="I90" i="69"/>
  <c r="N52" i="17"/>
  <c r="O52" i="17"/>
  <c r="Y53" i="17"/>
  <c r="Z53" i="17"/>
  <c r="C53" i="17"/>
  <c r="D53" i="17"/>
  <c r="P64" i="72"/>
  <c r="Q64" i="72"/>
  <c r="P63" i="72"/>
  <c r="BS9" i="67"/>
  <c r="I8" i="77"/>
  <c r="G8" i="36"/>
  <c r="O8" i="36" s="1"/>
  <c r="G8" i="32"/>
  <c r="O8" i="32" s="1"/>
  <c r="Q63" i="72"/>
  <c r="O51" i="69"/>
  <c r="I97" i="69"/>
  <c r="S65" i="69"/>
  <c r="M53" i="17"/>
  <c r="B54" i="17"/>
  <c r="X54" i="17"/>
  <c r="O62" i="72"/>
  <c r="P62" i="72"/>
  <c r="O65" i="72"/>
  <c r="P65" i="72"/>
  <c r="O61" i="72"/>
  <c r="Q61" i="72"/>
  <c r="U66" i="72"/>
  <c r="U64" i="72"/>
  <c r="U63" i="72"/>
  <c r="U68" i="72"/>
  <c r="U62" i="72"/>
  <c r="H97" i="69"/>
  <c r="V83" i="69"/>
  <c r="C54" i="17" l="1"/>
  <c r="D54" i="17"/>
  <c r="Y54" i="17"/>
  <c r="Z54" i="17"/>
  <c r="N53" i="17"/>
  <c r="O53" i="17"/>
  <c r="BS10" i="67"/>
  <c r="I9" i="77"/>
  <c r="G9" i="36"/>
  <c r="O9" i="36" s="1"/>
  <c r="G9" i="32"/>
  <c r="O9" i="32" s="1"/>
  <c r="P51" i="69"/>
  <c r="T65" i="69"/>
  <c r="K60" i="69"/>
  <c r="J63" i="69"/>
  <c r="J53" i="69"/>
  <c r="K50" i="69"/>
  <c r="J58" i="69"/>
  <c r="K55" i="69"/>
  <c r="X55" i="17"/>
  <c r="Y55" i="17" s="1"/>
  <c r="B55" i="17"/>
  <c r="C55" i="17" s="1"/>
  <c r="M54" i="17"/>
  <c r="U65" i="72"/>
  <c r="U61" i="72"/>
  <c r="W83" i="69"/>
  <c r="J26" i="69"/>
  <c r="K23" i="69"/>
  <c r="J16" i="69"/>
  <c r="K13" i="69"/>
  <c r="L13" i="69" s="1"/>
  <c r="J21" i="69"/>
  <c r="K18" i="69"/>
  <c r="J92" i="69" l="1"/>
  <c r="J90" i="69"/>
  <c r="J91" i="69"/>
  <c r="N54" i="17"/>
  <c r="O54" i="17"/>
  <c r="BS11" i="67"/>
  <c r="I10" i="77"/>
  <c r="G10" i="36"/>
  <c r="O10" i="36" s="1"/>
  <c r="G10" i="32"/>
  <c r="O10" i="32" s="1"/>
  <c r="X83" i="69"/>
  <c r="Q51" i="69"/>
  <c r="J97" i="69"/>
  <c r="U65" i="69"/>
  <c r="K58" i="69"/>
  <c r="L55" i="69"/>
  <c r="K53" i="69"/>
  <c r="L50" i="69"/>
  <c r="F135" i="69" s="1"/>
  <c r="L60" i="69"/>
  <c r="K63" i="69"/>
  <c r="M55" i="17"/>
  <c r="N55" i="17" s="1"/>
  <c r="B56" i="17"/>
  <c r="C56" i="17" s="1"/>
  <c r="X56" i="17"/>
  <c r="Y56" i="17" s="1"/>
  <c r="K16" i="69"/>
  <c r="L23" i="69"/>
  <c r="K26" i="69"/>
  <c r="K21" i="69"/>
  <c r="L18" i="69"/>
  <c r="K92" i="69" l="1"/>
  <c r="K90" i="69"/>
  <c r="K91" i="69"/>
  <c r="F139" i="69"/>
  <c r="F143" i="69"/>
  <c r="BS12" i="67"/>
  <c r="I11" i="77"/>
  <c r="G11" i="36"/>
  <c r="O11" i="36" s="1"/>
  <c r="G11" i="32"/>
  <c r="O11" i="32" s="1"/>
  <c r="Y83" i="69"/>
  <c r="R51" i="69"/>
  <c r="V65" i="69"/>
  <c r="L63" i="69"/>
  <c r="M60" i="69"/>
  <c r="L53" i="69"/>
  <c r="M50" i="69"/>
  <c r="L58" i="69"/>
  <c r="M55" i="69"/>
  <c r="X57" i="17"/>
  <c r="B57" i="17"/>
  <c r="M56" i="17"/>
  <c r="N56" i="17" s="1"/>
  <c r="R122" i="36"/>
  <c r="L16" i="69"/>
  <c r="K97" i="69"/>
  <c r="L21" i="69"/>
  <c r="F140" i="69" s="1"/>
  <c r="L26" i="69"/>
  <c r="C57" i="17" l="1"/>
  <c r="B58" i="17"/>
  <c r="C58" i="17" s="1"/>
  <c r="Y57" i="17"/>
  <c r="X58" i="17"/>
  <c r="Y58" i="17" s="1"/>
  <c r="F144" i="69"/>
  <c r="L92" i="69"/>
  <c r="L90" i="69"/>
  <c r="F136" i="69"/>
  <c r="L91" i="69"/>
  <c r="L97" i="69"/>
  <c r="BS13" i="67"/>
  <c r="I12" i="77"/>
  <c r="G12" i="36"/>
  <c r="O12" i="36" s="1"/>
  <c r="G12" i="32"/>
  <c r="O12" i="32" s="1"/>
  <c r="Z83" i="69"/>
  <c r="S51" i="69"/>
  <c r="W65" i="69"/>
  <c r="X65" i="69" s="1"/>
  <c r="M63" i="69"/>
  <c r="M58" i="69"/>
  <c r="M53" i="69"/>
  <c r="M57" i="17"/>
  <c r="R123" i="36"/>
  <c r="K93" i="69"/>
  <c r="N57" i="17" l="1"/>
  <c r="M58" i="17"/>
  <c r="N58" i="17" s="1"/>
  <c r="BS14" i="67"/>
  <c r="I13" i="77"/>
  <c r="G13" i="36"/>
  <c r="O13" i="36" s="1"/>
  <c r="G13" i="32"/>
  <c r="O13" i="32" s="1"/>
  <c r="Y65" i="69"/>
  <c r="AA83" i="69"/>
  <c r="T51" i="69"/>
  <c r="X59" i="17"/>
  <c r="B59" i="17"/>
  <c r="R124" i="36"/>
  <c r="L93" i="69"/>
  <c r="BS15" i="67" l="1"/>
  <c r="I14" i="77"/>
  <c r="G14" i="36"/>
  <c r="O14" i="36" s="1"/>
  <c r="G14" i="32"/>
  <c r="O14" i="32" s="1"/>
  <c r="Z65" i="69"/>
  <c r="U51" i="69"/>
  <c r="B60" i="17"/>
  <c r="M59" i="17"/>
  <c r="X60" i="17"/>
  <c r="T122" i="77"/>
  <c r="R125" i="36"/>
  <c r="BS16" i="67" l="1"/>
  <c r="I15" i="77"/>
  <c r="G15" i="36"/>
  <c r="O15" i="36" s="1"/>
  <c r="G15" i="32"/>
  <c r="O15" i="32" s="1"/>
  <c r="AA65" i="69"/>
  <c r="V51" i="69"/>
  <c r="M60" i="17"/>
  <c r="T123" i="77"/>
  <c r="R126" i="36"/>
  <c r="BS17" i="67" l="1"/>
  <c r="I16" i="77"/>
  <c r="G16" i="36"/>
  <c r="O16" i="36" s="1"/>
  <c r="G16" i="32"/>
  <c r="O16" i="32" s="1"/>
  <c r="W51" i="69"/>
  <c r="X51" i="69" s="1"/>
  <c r="Y51" i="69" s="1"/>
  <c r="Z51" i="69" s="1"/>
  <c r="AA51" i="69" s="1"/>
  <c r="T124" i="77"/>
  <c r="R127" i="36"/>
  <c r="BS18" i="67" l="1"/>
  <c r="I17" i="77"/>
  <c r="G17" i="36"/>
  <c r="O17" i="36" s="1"/>
  <c r="G17" i="32"/>
  <c r="O17" i="32" s="1"/>
  <c r="T125" i="77"/>
  <c r="R128" i="36"/>
  <c r="BS19" i="67" l="1"/>
  <c r="I18" i="77"/>
  <c r="G18" i="36"/>
  <c r="O18" i="36" s="1"/>
  <c r="G18" i="32"/>
  <c r="O18" i="32" s="1"/>
  <c r="T126" i="77"/>
  <c r="R129" i="36"/>
  <c r="BS20" i="67" l="1"/>
  <c r="I19" i="77"/>
  <c r="G19" i="36"/>
  <c r="O19" i="36" s="1"/>
  <c r="G19" i="32"/>
  <c r="O19" i="32" s="1"/>
  <c r="T127" i="77"/>
  <c r="R130" i="36"/>
  <c r="BS21" i="67" l="1"/>
  <c r="I20" i="77"/>
  <c r="G20" i="36"/>
  <c r="O20" i="36" s="1"/>
  <c r="G20" i="32"/>
  <c r="O20" i="32" s="1"/>
  <c r="T128" i="77"/>
  <c r="R131" i="36"/>
  <c r="BS22" i="67" l="1"/>
  <c r="I21" i="77"/>
  <c r="G21" i="36"/>
  <c r="O21" i="36" s="1"/>
  <c r="G21" i="32"/>
  <c r="O21" i="32" s="1"/>
  <c r="T129" i="77"/>
  <c r="R132" i="36"/>
  <c r="BS23" i="67" l="1"/>
  <c r="I22" i="77"/>
  <c r="G22" i="36"/>
  <c r="O22" i="36" s="1"/>
  <c r="G22" i="32"/>
  <c r="O22" i="32" s="1"/>
  <c r="T130" i="77"/>
  <c r="R133" i="36"/>
  <c r="BS24" i="67" l="1"/>
  <c r="I23" i="77"/>
  <c r="G23" i="36"/>
  <c r="O23" i="36" s="1"/>
  <c r="G23" i="32"/>
  <c r="O23" i="32" s="1"/>
  <c r="T131" i="77"/>
  <c r="R134" i="36"/>
  <c r="BS25" i="67" l="1"/>
  <c r="I24" i="77"/>
  <c r="G24" i="36"/>
  <c r="O24" i="36" s="1"/>
  <c r="G24" i="32"/>
  <c r="O24" i="32" s="1"/>
  <c r="T132" i="77"/>
  <c r="R135" i="36"/>
  <c r="BS26" i="67" l="1"/>
  <c r="I25" i="77"/>
  <c r="G25" i="36"/>
  <c r="O25" i="36" s="1"/>
  <c r="G25" i="32"/>
  <c r="O25" i="32" s="1"/>
  <c r="T133" i="77"/>
  <c r="R136" i="36"/>
  <c r="BS27" i="67" l="1"/>
  <c r="I26" i="77"/>
  <c r="G26" i="36"/>
  <c r="O26" i="36" s="1"/>
  <c r="G26" i="32"/>
  <c r="O26" i="32" s="1"/>
  <c r="T134" i="77"/>
  <c r="R137" i="36"/>
  <c r="BS28" i="67" l="1"/>
  <c r="I27" i="77"/>
  <c r="G27" i="36"/>
  <c r="O27" i="36" s="1"/>
  <c r="G27" i="32"/>
  <c r="O27" i="32" s="1"/>
  <c r="T135" i="77"/>
  <c r="R138" i="36"/>
  <c r="BS29" i="67" l="1"/>
  <c r="I28" i="77"/>
  <c r="G28" i="36"/>
  <c r="O28" i="36" s="1"/>
  <c r="G28" i="32"/>
  <c r="O28" i="32" s="1"/>
  <c r="T136" i="77"/>
  <c r="R139" i="36"/>
  <c r="BS30" i="67" l="1"/>
  <c r="I29" i="77"/>
  <c r="G29" i="32"/>
  <c r="O29" i="32" s="1"/>
  <c r="G29" i="36"/>
  <c r="O29" i="36" s="1"/>
  <c r="T137" i="77"/>
  <c r="R140" i="36"/>
  <c r="BS31" i="67" l="1"/>
  <c r="I30" i="77"/>
  <c r="G30" i="36"/>
  <c r="O30" i="36" s="1"/>
  <c r="G30" i="32"/>
  <c r="O30" i="32" s="1"/>
  <c r="T138" i="77"/>
  <c r="R141" i="36"/>
  <c r="BS32" i="67" l="1"/>
  <c r="I31" i="77"/>
  <c r="G31" i="36"/>
  <c r="O31" i="36" s="1"/>
  <c r="G31" i="32"/>
  <c r="O31" i="32" s="1"/>
  <c r="T139" i="77"/>
  <c r="R142" i="36"/>
  <c r="BS33" i="67" l="1"/>
  <c r="I32" i="77"/>
  <c r="G32" i="36"/>
  <c r="O32" i="36" s="1"/>
  <c r="G32" i="32"/>
  <c r="O32" i="32" s="1"/>
  <c r="T140" i="77"/>
  <c r="R143" i="36"/>
  <c r="BS34" i="67" l="1"/>
  <c r="I33" i="77"/>
  <c r="G33" i="32"/>
  <c r="O33" i="32" s="1"/>
  <c r="G33" i="36"/>
  <c r="O33" i="36" s="1"/>
  <c r="T141" i="77"/>
  <c r="R145" i="36"/>
  <c r="R144" i="36"/>
  <c r="BS35" i="67" l="1"/>
  <c r="I34" i="77"/>
  <c r="G34" i="36"/>
  <c r="O34" i="36" s="1"/>
  <c r="G34" i="32"/>
  <c r="O34" i="32" s="1"/>
  <c r="T142" i="77"/>
  <c r="BS36" i="67" l="1"/>
  <c r="I35" i="77"/>
  <c r="G35" i="36"/>
  <c r="O35" i="36" s="1"/>
  <c r="G35" i="32"/>
  <c r="O35" i="32" s="1"/>
  <c r="T143" i="77"/>
  <c r="BS37" i="67" l="1"/>
  <c r="I36" i="77"/>
  <c r="G36" i="36"/>
  <c r="O36" i="36" s="1"/>
  <c r="G36" i="32"/>
  <c r="O36" i="32" s="1"/>
  <c r="T144" i="77"/>
  <c r="T145" i="77"/>
  <c r="BS38" i="67" l="1"/>
  <c r="I37" i="77"/>
  <c r="G37" i="36"/>
  <c r="O37" i="36" s="1"/>
  <c r="G37" i="32"/>
  <c r="O37" i="32" s="1"/>
  <c r="W194" i="4"/>
  <c r="W195" i="4"/>
  <c r="W196" i="4"/>
  <c r="W197" i="4"/>
  <c r="W198" i="4"/>
  <c r="W199" i="4"/>
  <c r="W200" i="4"/>
  <c r="W201" i="4"/>
  <c r="W202" i="4"/>
  <c r="W203" i="4"/>
  <c r="W204" i="4"/>
  <c r="W205" i="4"/>
  <c r="W206" i="4"/>
  <c r="W207" i="4"/>
  <c r="W208" i="4"/>
  <c r="W209" i="4"/>
  <c r="W210" i="4"/>
  <c r="W211" i="4"/>
  <c r="W212" i="4"/>
  <c r="W213" i="4"/>
  <c r="W214" i="4"/>
  <c r="W215" i="4"/>
  <c r="W216" i="4"/>
  <c r="W217" i="4"/>
  <c r="W218" i="4"/>
  <c r="W219" i="4"/>
  <c r="W220" i="4"/>
  <c r="W221" i="4"/>
  <c r="W222" i="4"/>
  <c r="W223" i="4"/>
  <c r="W224" i="4"/>
  <c r="W225" i="4"/>
  <c r="W226" i="4"/>
  <c r="W227" i="4"/>
  <c r="W228" i="4"/>
  <c r="W229" i="4"/>
  <c r="W230" i="4"/>
  <c r="W231" i="4"/>
  <c r="W232" i="4"/>
  <c r="W233" i="4"/>
  <c r="W234" i="4"/>
  <c r="W235" i="4"/>
  <c r="W236" i="4"/>
  <c r="W237" i="4"/>
  <c r="W238" i="4"/>
  <c r="W239" i="4"/>
  <c r="W240" i="4"/>
  <c r="W241" i="4"/>
  <c r="W242" i="4"/>
  <c r="W243" i="4"/>
  <c r="W244" i="4"/>
  <c r="W245" i="4"/>
  <c r="W246" i="4"/>
  <c r="W247" i="4"/>
  <c r="W248" i="4"/>
  <c r="W249" i="4"/>
  <c r="W250" i="4"/>
  <c r="W251" i="4"/>
  <c r="W252" i="4"/>
  <c r="W253" i="4"/>
  <c r="W254" i="4"/>
  <c r="W255" i="4"/>
  <c r="W256" i="4"/>
  <c r="W257" i="4"/>
  <c r="W258" i="4"/>
  <c r="W259" i="4"/>
  <c r="W260" i="4"/>
  <c r="W261" i="4"/>
  <c r="W262" i="4"/>
  <c r="W263" i="4"/>
  <c r="W264" i="4"/>
  <c r="W265" i="4"/>
  <c r="W266" i="4"/>
  <c r="W267" i="4"/>
  <c r="W268" i="4"/>
  <c r="W269" i="4"/>
  <c r="W270" i="4"/>
  <c r="W271" i="4"/>
  <c r="W272" i="4"/>
  <c r="W273" i="4"/>
  <c r="W274" i="4"/>
  <c r="W275" i="4"/>
  <c r="W276" i="4"/>
  <c r="W277" i="4"/>
  <c r="W278" i="4"/>
  <c r="W279" i="4"/>
  <c r="W280" i="4"/>
  <c r="W281" i="4"/>
  <c r="W282" i="4"/>
  <c r="W283" i="4"/>
  <c r="W284" i="4"/>
  <c r="W285" i="4"/>
  <c r="W286" i="4"/>
  <c r="W287" i="4"/>
  <c r="W288" i="4"/>
  <c r="W289" i="4"/>
  <c r="W290" i="4"/>
  <c r="W291" i="4"/>
  <c r="W292" i="4"/>
  <c r="W293" i="4"/>
  <c r="W294" i="4"/>
  <c r="W295" i="4"/>
  <c r="W296" i="4"/>
  <c r="W297" i="4"/>
  <c r="W298" i="4"/>
  <c r="W299" i="4"/>
  <c r="W300" i="4"/>
  <c r="W301" i="4"/>
  <c r="B116" i="36"/>
  <c r="C116" i="36"/>
  <c r="B117" i="36"/>
  <c r="C117" i="36"/>
  <c r="B118" i="36"/>
  <c r="C118" i="36"/>
  <c r="B119" i="36"/>
  <c r="C119" i="36"/>
  <c r="B120" i="36"/>
  <c r="C120" i="36"/>
  <c r="B121" i="36"/>
  <c r="C121" i="36"/>
  <c r="B122" i="36"/>
  <c r="C122" i="36"/>
  <c r="B123" i="36"/>
  <c r="C123" i="36"/>
  <c r="B124" i="36"/>
  <c r="C124" i="36"/>
  <c r="B125" i="36"/>
  <c r="C125" i="36"/>
  <c r="B126" i="36"/>
  <c r="C126" i="36"/>
  <c r="B127" i="36"/>
  <c r="C127" i="36"/>
  <c r="B128" i="36"/>
  <c r="C128" i="36"/>
  <c r="B129" i="36"/>
  <c r="C129" i="36"/>
  <c r="B130" i="36"/>
  <c r="C130" i="36"/>
  <c r="B131" i="36"/>
  <c r="C131" i="36"/>
  <c r="B132" i="36"/>
  <c r="C132" i="36"/>
  <c r="B133" i="36"/>
  <c r="C133" i="36"/>
  <c r="B134" i="36"/>
  <c r="C134" i="36"/>
  <c r="B135" i="36"/>
  <c r="C135" i="36"/>
  <c r="B136" i="36"/>
  <c r="C136" i="36"/>
  <c r="B137" i="36"/>
  <c r="C137" i="36"/>
  <c r="B138" i="36"/>
  <c r="C138" i="36"/>
  <c r="B139" i="36"/>
  <c r="C139" i="36"/>
  <c r="B140" i="36"/>
  <c r="C140" i="36"/>
  <c r="B141" i="36"/>
  <c r="C141" i="36"/>
  <c r="B142" i="36"/>
  <c r="C142" i="36"/>
  <c r="B143" i="36"/>
  <c r="C143" i="36"/>
  <c r="B144" i="36"/>
  <c r="C144" i="36"/>
  <c r="B145" i="36"/>
  <c r="C145" i="36"/>
  <c r="B86" i="34"/>
  <c r="C86" i="34"/>
  <c r="L86" i="34"/>
  <c r="B87" i="34"/>
  <c r="C87" i="34"/>
  <c r="L87" i="34"/>
  <c r="B88" i="34"/>
  <c r="C88" i="34"/>
  <c r="L88" i="34"/>
  <c r="B89" i="34"/>
  <c r="C89" i="34"/>
  <c r="L89" i="34"/>
  <c r="B90" i="34"/>
  <c r="C90" i="34"/>
  <c r="L90" i="34"/>
  <c r="B91" i="34"/>
  <c r="C91" i="34"/>
  <c r="L91" i="34"/>
  <c r="B92" i="34"/>
  <c r="C92" i="34"/>
  <c r="L92" i="34"/>
  <c r="B93" i="34"/>
  <c r="C93" i="34"/>
  <c r="L93" i="34"/>
  <c r="B94" i="34"/>
  <c r="C94" i="34"/>
  <c r="L94" i="34"/>
  <c r="B95" i="34"/>
  <c r="C95" i="34"/>
  <c r="L95" i="34"/>
  <c r="B96" i="34"/>
  <c r="C96" i="34"/>
  <c r="L96" i="34"/>
  <c r="B97" i="34"/>
  <c r="C97" i="34"/>
  <c r="L97" i="34"/>
  <c r="B98" i="34"/>
  <c r="C98" i="34"/>
  <c r="L98" i="34"/>
  <c r="B99" i="34"/>
  <c r="C99" i="34"/>
  <c r="L99" i="34"/>
  <c r="B100" i="34"/>
  <c r="C100" i="34"/>
  <c r="L100" i="34"/>
  <c r="B101" i="34"/>
  <c r="C101" i="34"/>
  <c r="L101" i="34"/>
  <c r="B102" i="34"/>
  <c r="C102" i="34"/>
  <c r="L102" i="34"/>
  <c r="B103" i="34"/>
  <c r="C103" i="34"/>
  <c r="L103" i="34"/>
  <c r="B104" i="34"/>
  <c r="C104" i="34"/>
  <c r="L104" i="34"/>
  <c r="B105" i="34"/>
  <c r="C105" i="34"/>
  <c r="L105" i="34"/>
  <c r="B106" i="34"/>
  <c r="C106" i="34"/>
  <c r="L106" i="34"/>
  <c r="B107" i="34"/>
  <c r="C107" i="34"/>
  <c r="L107" i="34"/>
  <c r="B108" i="34"/>
  <c r="C108" i="34"/>
  <c r="L108" i="34"/>
  <c r="B109" i="34"/>
  <c r="C109" i="34"/>
  <c r="L109" i="34"/>
  <c r="B110" i="34"/>
  <c r="C110" i="34"/>
  <c r="L110" i="34"/>
  <c r="B111" i="34"/>
  <c r="C111" i="34"/>
  <c r="L111" i="34"/>
  <c r="B112" i="34"/>
  <c r="C112" i="34"/>
  <c r="L112" i="34"/>
  <c r="B113" i="34"/>
  <c r="C113" i="34"/>
  <c r="L113" i="34"/>
  <c r="B114" i="34"/>
  <c r="C114" i="34"/>
  <c r="L114" i="34"/>
  <c r="B115" i="34"/>
  <c r="C115" i="34"/>
  <c r="L115" i="34"/>
  <c r="B116" i="34"/>
  <c r="C116" i="34"/>
  <c r="B117" i="34"/>
  <c r="C117" i="34"/>
  <c r="B118" i="34"/>
  <c r="C118" i="34"/>
  <c r="B119" i="34"/>
  <c r="C119" i="34"/>
  <c r="B120" i="34"/>
  <c r="C120" i="34"/>
  <c r="B121" i="34"/>
  <c r="C121" i="34"/>
  <c r="B122" i="34"/>
  <c r="C122" i="34"/>
  <c r="L122" i="34"/>
  <c r="B123" i="34"/>
  <c r="C123" i="34"/>
  <c r="L123" i="34"/>
  <c r="B124" i="34"/>
  <c r="C124" i="34"/>
  <c r="L124" i="34"/>
  <c r="B125" i="34"/>
  <c r="C125" i="34"/>
  <c r="L125" i="34"/>
  <c r="B126" i="34"/>
  <c r="C126" i="34"/>
  <c r="L126" i="34"/>
  <c r="B127" i="34"/>
  <c r="C127" i="34"/>
  <c r="L127" i="34"/>
  <c r="B128" i="34"/>
  <c r="C128" i="34"/>
  <c r="L128" i="34"/>
  <c r="B129" i="34"/>
  <c r="C129" i="34"/>
  <c r="L129" i="34"/>
  <c r="B130" i="34"/>
  <c r="C130" i="34"/>
  <c r="L130" i="34"/>
  <c r="B131" i="34"/>
  <c r="C131" i="34"/>
  <c r="L131" i="34"/>
  <c r="B132" i="34"/>
  <c r="C132" i="34"/>
  <c r="L132" i="34"/>
  <c r="B133" i="34"/>
  <c r="C133" i="34"/>
  <c r="L133" i="34"/>
  <c r="B134" i="34"/>
  <c r="C134" i="34"/>
  <c r="L134" i="34"/>
  <c r="B135" i="34"/>
  <c r="C135" i="34"/>
  <c r="L135" i="34"/>
  <c r="B136" i="34"/>
  <c r="C136" i="34"/>
  <c r="L136" i="34"/>
  <c r="B137" i="34"/>
  <c r="C137" i="34"/>
  <c r="L137" i="34"/>
  <c r="B138" i="34"/>
  <c r="C138" i="34"/>
  <c r="L138" i="34"/>
  <c r="B139" i="34"/>
  <c r="C139" i="34"/>
  <c r="L139" i="34"/>
  <c r="B140" i="34"/>
  <c r="C140" i="34"/>
  <c r="L140" i="34"/>
  <c r="B141" i="34"/>
  <c r="C141" i="34"/>
  <c r="L141" i="34"/>
  <c r="B142" i="34"/>
  <c r="C142" i="34"/>
  <c r="L142" i="34"/>
  <c r="B143" i="34"/>
  <c r="C143" i="34"/>
  <c r="L143" i="34"/>
  <c r="B144" i="34"/>
  <c r="C144" i="34"/>
  <c r="L144" i="34"/>
  <c r="B145" i="34"/>
  <c r="C145" i="34"/>
  <c r="L145" i="34"/>
  <c r="B120" i="38"/>
  <c r="C120" i="38"/>
  <c r="B121" i="38"/>
  <c r="C121" i="38"/>
  <c r="B122" i="38"/>
  <c r="C122" i="38"/>
  <c r="B123" i="38"/>
  <c r="C123" i="38"/>
  <c r="B124" i="38"/>
  <c r="C124" i="38"/>
  <c r="B125" i="38"/>
  <c r="C125" i="38"/>
  <c r="B126" i="38"/>
  <c r="C126" i="38"/>
  <c r="B127" i="38"/>
  <c r="C127" i="38"/>
  <c r="B128" i="38"/>
  <c r="C128" i="38"/>
  <c r="B129" i="38"/>
  <c r="C129" i="38"/>
  <c r="B130" i="38"/>
  <c r="C130" i="38"/>
  <c r="B131" i="38"/>
  <c r="C131" i="38"/>
  <c r="B132" i="38"/>
  <c r="C132" i="38"/>
  <c r="B133" i="38"/>
  <c r="C133" i="38"/>
  <c r="B134" i="38"/>
  <c r="C134" i="38"/>
  <c r="B135" i="38"/>
  <c r="C135" i="38"/>
  <c r="B136" i="38"/>
  <c r="C136" i="38"/>
  <c r="B137" i="38"/>
  <c r="C137" i="38"/>
  <c r="B138" i="38"/>
  <c r="C138" i="38"/>
  <c r="B139" i="38"/>
  <c r="C139" i="38"/>
  <c r="B140" i="38"/>
  <c r="C140" i="38"/>
  <c r="B141" i="38"/>
  <c r="C141" i="38"/>
  <c r="B142" i="38"/>
  <c r="C142" i="38"/>
  <c r="B143" i="38"/>
  <c r="C143" i="38"/>
  <c r="B144" i="38"/>
  <c r="C144" i="38"/>
  <c r="B145" i="38"/>
  <c r="C145" i="38"/>
  <c r="B116" i="38"/>
  <c r="C116" i="38"/>
  <c r="B117" i="38"/>
  <c r="C117" i="38"/>
  <c r="B118" i="38"/>
  <c r="C118" i="38"/>
  <c r="B119" i="38"/>
  <c r="C119" i="38"/>
  <c r="B62" i="38"/>
  <c r="C62" i="38"/>
  <c r="B63" i="38"/>
  <c r="C63" i="38"/>
  <c r="B64" i="38"/>
  <c r="C64" i="38"/>
  <c r="B65" i="38"/>
  <c r="C65" i="38"/>
  <c r="B66" i="38"/>
  <c r="C66" i="38"/>
  <c r="B67" i="38"/>
  <c r="C67" i="38"/>
  <c r="B68" i="38"/>
  <c r="C68" i="38"/>
  <c r="B69" i="38"/>
  <c r="C69" i="38"/>
  <c r="B70" i="38"/>
  <c r="C70" i="38"/>
  <c r="B71" i="38"/>
  <c r="C71" i="38"/>
  <c r="B72" i="38"/>
  <c r="C72" i="38"/>
  <c r="B73" i="38"/>
  <c r="C73" i="38"/>
  <c r="B74" i="38"/>
  <c r="C74" i="38"/>
  <c r="B75" i="38"/>
  <c r="C75" i="38"/>
  <c r="B76" i="38"/>
  <c r="C76" i="38"/>
  <c r="B77" i="38"/>
  <c r="C77" i="38"/>
  <c r="B78" i="38"/>
  <c r="C78" i="38"/>
  <c r="B79" i="38"/>
  <c r="C79" i="38"/>
  <c r="B80" i="38"/>
  <c r="C80" i="38"/>
  <c r="B81" i="38"/>
  <c r="C81" i="38"/>
  <c r="B82" i="38"/>
  <c r="C82" i="38"/>
  <c r="B83" i="38"/>
  <c r="C83" i="38"/>
  <c r="B84" i="38"/>
  <c r="C84" i="38"/>
  <c r="B85" i="38"/>
  <c r="C85" i="38"/>
  <c r="B86" i="38"/>
  <c r="C86" i="38"/>
  <c r="B87" i="38"/>
  <c r="C87" i="38"/>
  <c r="B88" i="38"/>
  <c r="C88" i="38"/>
  <c r="B89" i="38"/>
  <c r="C89" i="38"/>
  <c r="B90" i="38"/>
  <c r="C90" i="38"/>
  <c r="B91" i="38"/>
  <c r="C91" i="38"/>
  <c r="B92" i="38"/>
  <c r="C92" i="38"/>
  <c r="B93" i="38"/>
  <c r="C93" i="38"/>
  <c r="B94" i="38"/>
  <c r="C94" i="38"/>
  <c r="B95" i="38"/>
  <c r="C95" i="38"/>
  <c r="B96" i="38"/>
  <c r="C96" i="38"/>
  <c r="B97" i="38"/>
  <c r="C97" i="38"/>
  <c r="B98" i="38"/>
  <c r="C98" i="38"/>
  <c r="B99" i="38"/>
  <c r="C99" i="38"/>
  <c r="B100" i="38"/>
  <c r="C100" i="38"/>
  <c r="B101" i="38"/>
  <c r="C101" i="38"/>
  <c r="B102" i="38"/>
  <c r="C102" i="38"/>
  <c r="B103" i="38"/>
  <c r="C103" i="38"/>
  <c r="B104" i="38"/>
  <c r="C104" i="38"/>
  <c r="B105" i="38"/>
  <c r="C105" i="38"/>
  <c r="B106" i="38"/>
  <c r="C106" i="38"/>
  <c r="B107" i="38"/>
  <c r="C107" i="38"/>
  <c r="B108" i="38"/>
  <c r="C108" i="38"/>
  <c r="B109" i="38"/>
  <c r="C109" i="38"/>
  <c r="DU1" i="4"/>
  <c r="DT1" i="4"/>
  <c r="DS1" i="4"/>
  <c r="M62" i="32"/>
  <c r="N62" i="32"/>
  <c r="M63" i="32"/>
  <c r="N63" i="32"/>
  <c r="M64" i="32"/>
  <c r="N64" i="32"/>
  <c r="M65" i="32"/>
  <c r="M66" i="32"/>
  <c r="M66" i="28"/>
  <c r="M67" i="32"/>
  <c r="M68" i="32"/>
  <c r="M69" i="32"/>
  <c r="N69" i="32"/>
  <c r="M70" i="32"/>
  <c r="N70" i="32"/>
  <c r="M71" i="32"/>
  <c r="M72" i="32"/>
  <c r="N72" i="32"/>
  <c r="M73" i="32"/>
  <c r="N73" i="32"/>
  <c r="M74" i="32"/>
  <c r="M75" i="32"/>
  <c r="M75" i="28"/>
  <c r="M76" i="32"/>
  <c r="M77" i="32"/>
  <c r="N77" i="32"/>
  <c r="M78" i="32"/>
  <c r="N78" i="32"/>
  <c r="M79" i="32"/>
  <c r="M80" i="32"/>
  <c r="N80" i="32"/>
  <c r="M81" i="32"/>
  <c r="M82" i="32"/>
  <c r="N82" i="32"/>
  <c r="M83" i="32"/>
  <c r="M83" i="28"/>
  <c r="M84" i="32"/>
  <c r="M85" i="32"/>
  <c r="M86" i="32"/>
  <c r="N86" i="32"/>
  <c r="M87" i="32"/>
  <c r="M87" i="28"/>
  <c r="M88" i="32"/>
  <c r="N88" i="32"/>
  <c r="M89" i="32"/>
  <c r="M90" i="32"/>
  <c r="N90" i="32"/>
  <c r="M91" i="32"/>
  <c r="M91" i="28"/>
  <c r="M92" i="32"/>
  <c r="M93" i="32"/>
  <c r="M93" i="28"/>
  <c r="M94" i="32"/>
  <c r="M95" i="32"/>
  <c r="M96" i="32"/>
  <c r="M96" i="28"/>
  <c r="M97" i="32"/>
  <c r="M98" i="32"/>
  <c r="M99" i="32"/>
  <c r="M99" i="28"/>
  <c r="M100" i="32"/>
  <c r="N100" i="32"/>
  <c r="M101" i="32"/>
  <c r="M102" i="32"/>
  <c r="M102" i="28"/>
  <c r="M103" i="32"/>
  <c r="M104" i="32"/>
  <c r="M105" i="32"/>
  <c r="M106" i="32"/>
  <c r="M106" i="28"/>
  <c r="M107" i="32"/>
  <c r="M77" i="28"/>
  <c r="M80" i="28"/>
  <c r="M86" i="28"/>
  <c r="M90" i="28"/>
  <c r="M62" i="28"/>
  <c r="M63" i="28"/>
  <c r="M64" i="28"/>
  <c r="M69" i="28"/>
  <c r="M70" i="28"/>
  <c r="M72" i="28"/>
  <c r="BS39" i="67" l="1"/>
  <c r="I38" i="77"/>
  <c r="G38" i="36"/>
  <c r="O38" i="36" s="1"/>
  <c r="G38" i="32"/>
  <c r="O38" i="32" s="1"/>
  <c r="M109" i="32"/>
  <c r="L109" i="28"/>
  <c r="M109" i="30"/>
  <c r="N108" i="30"/>
  <c r="M109" i="28"/>
  <c r="N109" i="30"/>
  <c r="M108" i="32"/>
  <c r="L108" i="28"/>
  <c r="M108" i="30"/>
  <c r="N75" i="32"/>
  <c r="N91" i="32"/>
  <c r="M82" i="28"/>
  <c r="N85" i="32"/>
  <c r="M85" i="28"/>
  <c r="M105" i="28"/>
  <c r="N105" i="32"/>
  <c r="M100" i="28"/>
  <c r="N97" i="32"/>
  <c r="M97" i="28"/>
  <c r="N65" i="32"/>
  <c r="M65" i="28"/>
  <c r="M94" i="28"/>
  <c r="N94" i="32"/>
  <c r="M88" i="28"/>
  <c r="M81" i="28"/>
  <c r="N81" i="32"/>
  <c r="M73" i="28"/>
  <c r="M78" i="28"/>
  <c r="M98" i="28"/>
  <c r="N98" i="32"/>
  <c r="N68" i="32"/>
  <c r="M68" i="28"/>
  <c r="M84" i="28"/>
  <c r="N84" i="32"/>
  <c r="M104" i="28"/>
  <c r="N104" i="32"/>
  <c r="N89" i="32"/>
  <c r="M89" i="28"/>
  <c r="M107" i="28"/>
  <c r="N107" i="32"/>
  <c r="N101" i="32"/>
  <c r="M101" i="28"/>
  <c r="M108" i="28"/>
  <c r="N108" i="32"/>
  <c r="N92" i="32"/>
  <c r="M92" i="28"/>
  <c r="M76" i="28"/>
  <c r="N76" i="32"/>
  <c r="N96" i="32"/>
  <c r="M74" i="28"/>
  <c r="N74" i="32"/>
  <c r="N102" i="32"/>
  <c r="N106" i="32"/>
  <c r="N93" i="32"/>
  <c r="N66" i="32"/>
  <c r="M95" i="28"/>
  <c r="N95" i="32"/>
  <c r="M79" i="28"/>
  <c r="N79" i="32"/>
  <c r="N83" i="32"/>
  <c r="N99" i="32"/>
  <c r="N87" i="32"/>
  <c r="M67" i="28"/>
  <c r="N67" i="32"/>
  <c r="N109" i="32"/>
  <c r="M103" i="28"/>
  <c r="N103" i="32"/>
  <c r="M71" i="28"/>
  <c r="N71" i="32"/>
  <c r="DB30" i="4"/>
  <c r="DB5" i="4"/>
  <c r="CN30" i="4"/>
  <c r="CN5" i="4"/>
  <c r="BZ30" i="4"/>
  <c r="BZ6" i="4"/>
  <c r="BZ5" i="4"/>
  <c r="BL30" i="4"/>
  <c r="BL5" i="4"/>
  <c r="AX30" i="4"/>
  <c r="AX5" i="4"/>
  <c r="AJ30" i="4"/>
  <c r="AJ5" i="4"/>
  <c r="U30" i="4"/>
  <c r="DD2" i="4"/>
  <c r="CP2" i="4"/>
  <c r="CB2" i="4"/>
  <c r="BN2" i="4"/>
  <c r="AZ2" i="4"/>
  <c r="AL2" i="4"/>
  <c r="AM2" i="4" s="1"/>
  <c r="AN2" i="4" s="1"/>
  <c r="AO2" i="4" s="1"/>
  <c r="AP2" i="4" s="1"/>
  <c r="AQ2" i="4" s="1"/>
  <c r="AR2" i="4" s="1"/>
  <c r="AS2" i="4" s="1"/>
  <c r="AT2" i="4" s="1"/>
  <c r="X2" i="4"/>
  <c r="W2" i="4"/>
  <c r="U5" i="4"/>
  <c r="B124" i="65"/>
  <c r="B125" i="65"/>
  <c r="B126" i="65"/>
  <c r="B127" i="65"/>
  <c r="B128" i="65"/>
  <c r="B129" i="65"/>
  <c r="B130" i="65"/>
  <c r="B131" i="65"/>
  <c r="B132" i="65"/>
  <c r="B133" i="65"/>
  <c r="B134" i="65"/>
  <c r="B135" i="65"/>
  <c r="B136" i="65"/>
  <c r="B137" i="65"/>
  <c r="B138" i="65"/>
  <c r="B139" i="65"/>
  <c r="B140" i="65"/>
  <c r="B141" i="65"/>
  <c r="B142" i="65"/>
  <c r="B143" i="65"/>
  <c r="B144" i="65"/>
  <c r="B145" i="65"/>
  <c r="B146" i="65"/>
  <c r="B147" i="65"/>
  <c r="B148" i="65"/>
  <c r="B149" i="65"/>
  <c r="B150" i="65"/>
  <c r="B151" i="65"/>
  <c r="B152" i="65"/>
  <c r="B153" i="65"/>
  <c r="B154" i="65"/>
  <c r="B155" i="65"/>
  <c r="B156" i="65"/>
  <c r="B157" i="65"/>
  <c r="B158" i="65"/>
  <c r="B159" i="65"/>
  <c r="B160" i="65"/>
  <c r="B161" i="65"/>
  <c r="B162" i="65"/>
  <c r="B163" i="65"/>
  <c r="B164" i="65"/>
  <c r="B165" i="65"/>
  <c r="B166" i="65"/>
  <c r="B167" i="65"/>
  <c r="B168" i="65"/>
  <c r="B169" i="65"/>
  <c r="B170" i="65"/>
  <c r="B171" i="65"/>
  <c r="B172" i="65"/>
  <c r="B173" i="65"/>
  <c r="B174" i="65"/>
  <c r="B175" i="65"/>
  <c r="B176" i="65"/>
  <c r="B177" i="65"/>
  <c r="B178" i="65"/>
  <c r="B179" i="65"/>
  <c r="B180" i="65"/>
  <c r="B181" i="65"/>
  <c r="B182" i="65"/>
  <c r="B183" i="65"/>
  <c r="C17" i="65"/>
  <c r="C29" i="65" s="1"/>
  <c r="C41" i="65" s="1"/>
  <c r="C53" i="65" s="1"/>
  <c r="C65" i="65" s="1"/>
  <c r="C77" i="65" s="1"/>
  <c r="C89" i="65" s="1"/>
  <c r="C101" i="65" s="1"/>
  <c r="C113" i="65" s="1"/>
  <c r="C125" i="65" s="1"/>
  <c r="C137" i="65" s="1"/>
  <c r="C149" i="65" s="1"/>
  <c r="C161" i="65" s="1"/>
  <c r="C173" i="65" s="1"/>
  <c r="C185" i="65" s="1"/>
  <c r="C197" i="65" s="1"/>
  <c r="C209" i="65" s="1"/>
  <c r="C18" i="65"/>
  <c r="C30" i="65" s="1"/>
  <c r="C42" i="65" s="1"/>
  <c r="C54" i="65" s="1"/>
  <c r="C66" i="65" s="1"/>
  <c r="C78" i="65" s="1"/>
  <c r="C90" i="65" s="1"/>
  <c r="C102" i="65" s="1"/>
  <c r="C114" i="65" s="1"/>
  <c r="C126" i="65" s="1"/>
  <c r="C138" i="65" s="1"/>
  <c r="C150" i="65" s="1"/>
  <c r="C162" i="65" s="1"/>
  <c r="C174" i="65" s="1"/>
  <c r="C186" i="65" s="1"/>
  <c r="C198" i="65" s="1"/>
  <c r="C210" i="65" s="1"/>
  <c r="C19" i="65"/>
  <c r="C31" i="65" s="1"/>
  <c r="C43" i="65" s="1"/>
  <c r="C55" i="65" s="1"/>
  <c r="C67" i="65" s="1"/>
  <c r="C79" i="65" s="1"/>
  <c r="C91" i="65" s="1"/>
  <c r="C103" i="65" s="1"/>
  <c r="C115" i="65" s="1"/>
  <c r="C127" i="65" s="1"/>
  <c r="C139" i="65" s="1"/>
  <c r="C151" i="65" s="1"/>
  <c r="C163" i="65" s="1"/>
  <c r="C175" i="65" s="1"/>
  <c r="C187" i="65" s="1"/>
  <c r="C199" i="65" s="1"/>
  <c r="C211" i="65" s="1"/>
  <c r="C20" i="65"/>
  <c r="C32" i="65" s="1"/>
  <c r="C44" i="65" s="1"/>
  <c r="C56" i="65" s="1"/>
  <c r="C68" i="65" s="1"/>
  <c r="C80" i="65" s="1"/>
  <c r="C92" i="65" s="1"/>
  <c r="C104" i="65" s="1"/>
  <c r="C116" i="65" s="1"/>
  <c r="C128" i="65" s="1"/>
  <c r="C140" i="65" s="1"/>
  <c r="C152" i="65" s="1"/>
  <c r="C164" i="65" s="1"/>
  <c r="C176" i="65" s="1"/>
  <c r="C188" i="65" s="1"/>
  <c r="C200" i="65" s="1"/>
  <c r="C212" i="65" s="1"/>
  <c r="C21" i="65"/>
  <c r="C33" i="65" s="1"/>
  <c r="C45" i="65" s="1"/>
  <c r="C57" i="65" s="1"/>
  <c r="C69" i="65" s="1"/>
  <c r="C81" i="65" s="1"/>
  <c r="C93" i="65" s="1"/>
  <c r="C105" i="65" s="1"/>
  <c r="C117" i="65" s="1"/>
  <c r="C129" i="65" s="1"/>
  <c r="C141" i="65" s="1"/>
  <c r="C153" i="65" s="1"/>
  <c r="C165" i="65" s="1"/>
  <c r="C177" i="65" s="1"/>
  <c r="C189" i="65" s="1"/>
  <c r="C201" i="65" s="1"/>
  <c r="C213" i="65" s="1"/>
  <c r="C22" i="65"/>
  <c r="C34" i="65" s="1"/>
  <c r="C46" i="65" s="1"/>
  <c r="C58" i="65" s="1"/>
  <c r="C70" i="65" s="1"/>
  <c r="C82" i="65" s="1"/>
  <c r="C94" i="65" s="1"/>
  <c r="C106" i="65" s="1"/>
  <c r="C118" i="65" s="1"/>
  <c r="C130" i="65" s="1"/>
  <c r="C142" i="65" s="1"/>
  <c r="C154" i="65" s="1"/>
  <c r="C166" i="65" s="1"/>
  <c r="C178" i="65" s="1"/>
  <c r="C190" i="65" s="1"/>
  <c r="C202" i="65" s="1"/>
  <c r="C214" i="65" s="1"/>
  <c r="C23" i="65"/>
  <c r="C35" i="65" s="1"/>
  <c r="C47" i="65" s="1"/>
  <c r="C59" i="65" s="1"/>
  <c r="C71" i="65" s="1"/>
  <c r="C83" i="65" s="1"/>
  <c r="C95" i="65" s="1"/>
  <c r="C107" i="65" s="1"/>
  <c r="C119" i="65" s="1"/>
  <c r="C131" i="65" s="1"/>
  <c r="C143" i="65" s="1"/>
  <c r="C155" i="65" s="1"/>
  <c r="C167" i="65" s="1"/>
  <c r="C179" i="65" s="1"/>
  <c r="C191" i="65" s="1"/>
  <c r="C203" i="65" s="1"/>
  <c r="C215" i="65" s="1"/>
  <c r="C24" i="65"/>
  <c r="C36" i="65" s="1"/>
  <c r="C48" i="65" s="1"/>
  <c r="C60" i="65" s="1"/>
  <c r="C72" i="65" s="1"/>
  <c r="C84" i="65" s="1"/>
  <c r="C96" i="65" s="1"/>
  <c r="C108" i="65" s="1"/>
  <c r="C120" i="65" s="1"/>
  <c r="C132" i="65" s="1"/>
  <c r="C144" i="65" s="1"/>
  <c r="C156" i="65" s="1"/>
  <c r="C168" i="65" s="1"/>
  <c r="C180" i="65" s="1"/>
  <c r="C192" i="65" s="1"/>
  <c r="C204" i="65" s="1"/>
  <c r="C216" i="65" s="1"/>
  <c r="C25" i="65"/>
  <c r="C26" i="65"/>
  <c r="C38" i="65" s="1"/>
  <c r="C50" i="65" s="1"/>
  <c r="C62" i="65" s="1"/>
  <c r="C74" i="65" s="1"/>
  <c r="C86" i="65" s="1"/>
  <c r="C98" i="65" s="1"/>
  <c r="C110" i="65" s="1"/>
  <c r="C122" i="65" s="1"/>
  <c r="C134" i="65" s="1"/>
  <c r="C146" i="65" s="1"/>
  <c r="C158" i="65" s="1"/>
  <c r="C170" i="65" s="1"/>
  <c r="C182" i="65" s="1"/>
  <c r="C194" i="65" s="1"/>
  <c r="C206" i="65" s="1"/>
  <c r="C218" i="65" s="1"/>
  <c r="C27" i="65"/>
  <c r="C39" i="65" s="1"/>
  <c r="C51" i="65" s="1"/>
  <c r="C63" i="65" s="1"/>
  <c r="C75" i="65" s="1"/>
  <c r="C87" i="65" s="1"/>
  <c r="C99" i="65" s="1"/>
  <c r="C111" i="65" s="1"/>
  <c r="C123" i="65" s="1"/>
  <c r="C135" i="65" s="1"/>
  <c r="C147" i="65" s="1"/>
  <c r="C159" i="65" s="1"/>
  <c r="C171" i="65" s="1"/>
  <c r="C183" i="65" s="1"/>
  <c r="C195" i="65" s="1"/>
  <c r="C207" i="65" s="1"/>
  <c r="C219" i="65" s="1"/>
  <c r="C37" i="65"/>
  <c r="C49" i="65" s="1"/>
  <c r="C61" i="65" s="1"/>
  <c r="C73" i="65" s="1"/>
  <c r="C85" i="65" s="1"/>
  <c r="C97" i="65" s="1"/>
  <c r="C109" i="65" s="1"/>
  <c r="C121" i="65" s="1"/>
  <c r="C133" i="65" s="1"/>
  <c r="C145" i="65" s="1"/>
  <c r="C157" i="65" s="1"/>
  <c r="C169" i="65" s="1"/>
  <c r="C181" i="65" s="1"/>
  <c r="C193" i="65" s="1"/>
  <c r="C205" i="65" s="1"/>
  <c r="C217" i="65" s="1"/>
  <c r="C16" i="65"/>
  <c r="C28" i="65" s="1"/>
  <c r="C40" i="65" s="1"/>
  <c r="C52" i="65" s="1"/>
  <c r="C64" i="65" s="1"/>
  <c r="C76" i="65" s="1"/>
  <c r="C88" i="65" s="1"/>
  <c r="C100" i="65" s="1"/>
  <c r="C112" i="65" s="1"/>
  <c r="C124" i="65" s="1"/>
  <c r="C136" i="65" s="1"/>
  <c r="C148" i="65" s="1"/>
  <c r="C160" i="65" s="1"/>
  <c r="C172" i="65" s="1"/>
  <c r="C184" i="65" s="1"/>
  <c r="C196" i="65" s="1"/>
  <c r="C208" i="65" s="1"/>
  <c r="B197" i="65"/>
  <c r="B198" i="65"/>
  <c r="B199" i="65"/>
  <c r="B200" i="65"/>
  <c r="B201" i="65"/>
  <c r="B202" i="65"/>
  <c r="B203" i="65"/>
  <c r="B204" i="65"/>
  <c r="B205" i="65"/>
  <c r="B206" i="65"/>
  <c r="B207" i="65"/>
  <c r="B208" i="65"/>
  <c r="B209" i="65"/>
  <c r="B210" i="65"/>
  <c r="B211" i="65"/>
  <c r="B212" i="65"/>
  <c r="B213" i="65"/>
  <c r="B214" i="65"/>
  <c r="B215" i="65"/>
  <c r="B216" i="65"/>
  <c r="B217" i="65"/>
  <c r="B218" i="65"/>
  <c r="B219" i="65"/>
  <c r="B184" i="65"/>
  <c r="B185" i="65"/>
  <c r="B186" i="65"/>
  <c r="B187" i="65"/>
  <c r="B188" i="65"/>
  <c r="B189" i="65"/>
  <c r="B190" i="65"/>
  <c r="B191" i="65"/>
  <c r="B192" i="65"/>
  <c r="B193" i="65"/>
  <c r="B194" i="65"/>
  <c r="B195" i="65"/>
  <c r="B196" i="65"/>
  <c r="BS40" i="67" l="1"/>
  <c r="I39" i="77"/>
  <c r="G39" i="36"/>
  <c r="O39" i="36" s="1"/>
  <c r="G39" i="32"/>
  <c r="O39" i="32" s="1"/>
  <c r="X114" i="67"/>
  <c r="N82" i="28"/>
  <c r="N82" i="38"/>
  <c r="N61" i="28"/>
  <c r="N61" i="38"/>
  <c r="N29" i="28"/>
  <c r="N29" i="38"/>
  <c r="N13" i="28"/>
  <c r="N13" i="38"/>
  <c r="N41" i="28"/>
  <c r="N41" i="38"/>
  <c r="N45" i="28"/>
  <c r="N45" i="38"/>
  <c r="N105" i="28"/>
  <c r="N105" i="38"/>
  <c r="N81" i="28"/>
  <c r="N81" i="38"/>
  <c r="N60" i="28"/>
  <c r="N60" i="38"/>
  <c r="N44" i="28"/>
  <c r="N44" i="38"/>
  <c r="N28" i="28"/>
  <c r="N28" i="38"/>
  <c r="N12" i="28"/>
  <c r="N12" i="38"/>
  <c r="N85" i="28"/>
  <c r="N85" i="38"/>
  <c r="N69" i="28"/>
  <c r="N69" i="38"/>
  <c r="N80" i="28"/>
  <c r="N80" i="38"/>
  <c r="N10" i="28"/>
  <c r="N10" i="38"/>
  <c r="N100" i="28"/>
  <c r="N100" i="38"/>
  <c r="N98" i="28"/>
  <c r="N98" i="38"/>
  <c r="N73" i="28"/>
  <c r="N73" i="38"/>
  <c r="N56" i="28"/>
  <c r="N56" i="38"/>
  <c r="N40" i="28"/>
  <c r="N40" i="38"/>
  <c r="N24" i="28"/>
  <c r="N24" i="38"/>
  <c r="N8" i="28"/>
  <c r="N8" i="38"/>
  <c r="N97" i="28"/>
  <c r="N97" i="38"/>
  <c r="N72" i="28"/>
  <c r="N72" i="38"/>
  <c r="N55" i="28"/>
  <c r="N55" i="38"/>
  <c r="N39" i="28"/>
  <c r="N39" i="38"/>
  <c r="N23" i="28"/>
  <c r="N23" i="38"/>
  <c r="N7" i="28"/>
  <c r="N7" i="38"/>
  <c r="N9" i="28"/>
  <c r="N9" i="38"/>
  <c r="N96" i="28"/>
  <c r="N96" i="38"/>
  <c r="N71" i="28"/>
  <c r="N71" i="38"/>
  <c r="N54" i="28"/>
  <c r="N54" i="38"/>
  <c r="N38" i="28"/>
  <c r="N38" i="38"/>
  <c r="N22" i="28"/>
  <c r="N22" i="38"/>
  <c r="N6" i="28"/>
  <c r="N6" i="38"/>
  <c r="N42" i="28"/>
  <c r="N42" i="38"/>
  <c r="N57" i="28"/>
  <c r="N57" i="38"/>
  <c r="N95" i="28"/>
  <c r="N95" i="38"/>
  <c r="N70" i="28"/>
  <c r="N70" i="38"/>
  <c r="N53" i="28"/>
  <c r="N53" i="38"/>
  <c r="N37" i="28"/>
  <c r="N37" i="38"/>
  <c r="N21" i="28"/>
  <c r="N21" i="38"/>
  <c r="N5" i="28"/>
  <c r="N5" i="38"/>
  <c r="N103" i="28"/>
  <c r="N103" i="38"/>
  <c r="N102" i="28"/>
  <c r="N102" i="38"/>
  <c r="N25" i="28"/>
  <c r="N25" i="38"/>
  <c r="N94" i="28"/>
  <c r="N94" i="38"/>
  <c r="N68" i="28"/>
  <c r="N68" i="38"/>
  <c r="N52" i="28"/>
  <c r="N52" i="38"/>
  <c r="N36" i="28"/>
  <c r="N36" i="38"/>
  <c r="N20" i="28"/>
  <c r="N20" i="38"/>
  <c r="N4" i="28"/>
  <c r="N4" i="38"/>
  <c r="N89" i="28"/>
  <c r="N89" i="38"/>
  <c r="N67" i="28"/>
  <c r="N67" i="38"/>
  <c r="N51" i="28"/>
  <c r="N51" i="38"/>
  <c r="N35" i="28"/>
  <c r="N35" i="38"/>
  <c r="N19" i="28"/>
  <c r="N19" i="38"/>
  <c r="N3" i="28"/>
  <c r="N3" i="38"/>
  <c r="N88" i="28"/>
  <c r="N88" i="38"/>
  <c r="N66" i="28"/>
  <c r="N66" i="38"/>
  <c r="N50" i="28"/>
  <c r="N50" i="38"/>
  <c r="N34" i="28"/>
  <c r="N34" i="38"/>
  <c r="N18" i="28"/>
  <c r="N18" i="38"/>
  <c r="N2" i="28"/>
  <c r="N2" i="38"/>
  <c r="N11" i="28"/>
  <c r="N11" i="38"/>
  <c r="N58" i="28"/>
  <c r="N58" i="38"/>
  <c r="N87" i="28"/>
  <c r="N87" i="38"/>
  <c r="N65" i="28"/>
  <c r="N65" i="38"/>
  <c r="N49" i="28"/>
  <c r="N49" i="38"/>
  <c r="N33" i="28"/>
  <c r="N33" i="38"/>
  <c r="N17" i="28"/>
  <c r="N17" i="38"/>
  <c r="N90" i="28"/>
  <c r="N90" i="38"/>
  <c r="N74" i="28"/>
  <c r="N74" i="38"/>
  <c r="N59" i="28"/>
  <c r="N59" i="38"/>
  <c r="N86" i="28"/>
  <c r="N86" i="38"/>
  <c r="N64" i="28"/>
  <c r="N64" i="38"/>
  <c r="N48" i="28"/>
  <c r="N48" i="38"/>
  <c r="N32" i="28"/>
  <c r="N32" i="38"/>
  <c r="N16" i="28"/>
  <c r="N16" i="38"/>
  <c r="N43" i="28"/>
  <c r="N43" i="38"/>
  <c r="N79" i="28"/>
  <c r="N79" i="38"/>
  <c r="N84" i="28"/>
  <c r="N84" i="38"/>
  <c r="N63" i="28"/>
  <c r="N63" i="38"/>
  <c r="N47" i="28"/>
  <c r="N47" i="38"/>
  <c r="N31" i="28"/>
  <c r="N31" i="38"/>
  <c r="N15" i="28"/>
  <c r="N15" i="38"/>
  <c r="N27" i="28"/>
  <c r="N27" i="38"/>
  <c r="N26" i="28"/>
  <c r="N26" i="38"/>
  <c r="N78" i="28"/>
  <c r="N78" i="38"/>
  <c r="N83" i="28"/>
  <c r="N83" i="38"/>
  <c r="N62" i="28"/>
  <c r="N62" i="38"/>
  <c r="N46" i="28"/>
  <c r="N46" i="38"/>
  <c r="N30" i="28"/>
  <c r="N30" i="38"/>
  <c r="N14" i="28"/>
  <c r="N14" i="38"/>
  <c r="O199" i="65"/>
  <c r="N197" i="65"/>
  <c r="O201" i="65"/>
  <c r="N201" i="65"/>
  <c r="N199" i="65"/>
  <c r="T183" i="65"/>
  <c r="AM109" i="67" s="1"/>
  <c r="K192" i="65"/>
  <c r="K204" i="65" s="1"/>
  <c r="K216" i="65" s="1"/>
  <c r="Q63" i="32"/>
  <c r="P63" i="28"/>
  <c r="Q73" i="32"/>
  <c r="P73" i="28"/>
  <c r="P66" i="32"/>
  <c r="Q87" i="32"/>
  <c r="P87" i="28"/>
  <c r="Q71" i="32"/>
  <c r="P71" i="28"/>
  <c r="P105" i="34"/>
  <c r="P97" i="34"/>
  <c r="P89" i="34"/>
  <c r="P95" i="28"/>
  <c r="Q95" i="32"/>
  <c r="P93" i="28"/>
  <c r="Q93" i="32"/>
  <c r="P70" i="32"/>
  <c r="Q86" i="32"/>
  <c r="P86" i="28"/>
  <c r="Q70" i="32"/>
  <c r="P70" i="28"/>
  <c r="P68" i="32"/>
  <c r="P102" i="34"/>
  <c r="P94" i="34"/>
  <c r="P86" i="34"/>
  <c r="Q69" i="32"/>
  <c r="P69" i="28"/>
  <c r="Q84" i="32"/>
  <c r="P84" i="28"/>
  <c r="Q68" i="32"/>
  <c r="P68" i="28"/>
  <c r="Q81" i="32"/>
  <c r="P81" i="28"/>
  <c r="P71" i="32"/>
  <c r="Q67" i="32"/>
  <c r="P67" i="28"/>
  <c r="P107" i="34"/>
  <c r="P99" i="34"/>
  <c r="P91" i="34"/>
  <c r="P64" i="32"/>
  <c r="Q85" i="32"/>
  <c r="P85" i="28"/>
  <c r="P67" i="32"/>
  <c r="P63" i="32"/>
  <c r="Q83" i="32"/>
  <c r="P83" i="28"/>
  <c r="Q82" i="32"/>
  <c r="P82" i="28"/>
  <c r="P66" i="28"/>
  <c r="P104" i="34"/>
  <c r="P96" i="34"/>
  <c r="P88" i="34"/>
  <c r="Q96" i="32"/>
  <c r="P96" i="28"/>
  <c r="Q80" i="32"/>
  <c r="P80" i="28"/>
  <c r="P64" i="28"/>
  <c r="Q64" i="32"/>
  <c r="P109" i="34"/>
  <c r="P101" i="34"/>
  <c r="P93" i="34"/>
  <c r="P94" i="28"/>
  <c r="Q94" i="32"/>
  <c r="Q78" i="32"/>
  <c r="P78" i="28"/>
  <c r="Q62" i="32"/>
  <c r="P62" i="28"/>
  <c r="P106" i="34"/>
  <c r="P98" i="34"/>
  <c r="P90" i="34"/>
  <c r="Q79" i="32"/>
  <c r="P79" i="28"/>
  <c r="Q92" i="32"/>
  <c r="P92" i="28"/>
  <c r="Q77" i="32"/>
  <c r="P77" i="28"/>
  <c r="P65" i="32"/>
  <c r="Q76" i="32"/>
  <c r="P76" i="28"/>
  <c r="Q91" i="32"/>
  <c r="P91" i="28"/>
  <c r="Q75" i="32"/>
  <c r="P75" i="28"/>
  <c r="P103" i="34"/>
  <c r="P95" i="34"/>
  <c r="P87" i="34"/>
  <c r="Q90" i="32"/>
  <c r="P90" i="28"/>
  <c r="P74" i="28"/>
  <c r="Q74" i="32"/>
  <c r="Q65" i="32"/>
  <c r="P65" i="28"/>
  <c r="P108" i="34"/>
  <c r="P100" i="34"/>
  <c r="P92" i="34"/>
  <c r="Q97" i="32"/>
  <c r="P97" i="28"/>
  <c r="P72" i="32"/>
  <c r="P73" i="32"/>
  <c r="Q89" i="32"/>
  <c r="P89" i="28"/>
  <c r="Q88" i="32"/>
  <c r="P88" i="28"/>
  <c r="Q72" i="32"/>
  <c r="P72" i="28"/>
  <c r="BO2" i="4"/>
  <c r="CC2" i="4"/>
  <c r="BA2" i="4"/>
  <c r="CQ2" i="4"/>
  <c r="DE2" i="4"/>
  <c r="BZ7" i="4"/>
  <c r="CN6" i="4"/>
  <c r="DB6" i="4"/>
  <c r="AX6" i="4"/>
  <c r="Y2" i="4"/>
  <c r="BL6" i="4"/>
  <c r="AU2" i="4"/>
  <c r="AJ6" i="4"/>
  <c r="T178" i="65"/>
  <c r="AM104" i="67" s="1"/>
  <c r="T172" i="65"/>
  <c r="AM98" i="67" s="1"/>
  <c r="O194" i="65"/>
  <c r="O198" i="65"/>
  <c r="N196" i="65"/>
  <c r="AX31" i="4"/>
  <c r="BZ31" i="4"/>
  <c r="BL31" i="4"/>
  <c r="DB31" i="4"/>
  <c r="CN31" i="4"/>
  <c r="AJ31" i="4"/>
  <c r="U31" i="4"/>
  <c r="U6" i="4"/>
  <c r="N200" i="65"/>
  <c r="O193" i="65"/>
  <c r="N198" i="65"/>
  <c r="O200" i="65"/>
  <c r="K188" i="65"/>
  <c r="K200" i="65" s="1"/>
  <c r="K212" i="65" s="1"/>
  <c r="U190" i="65" l="1"/>
  <c r="AN116" i="67" s="1"/>
  <c r="U191" i="65"/>
  <c r="AN117" i="67" s="1"/>
  <c r="BS41" i="67"/>
  <c r="I40" i="77"/>
  <c r="G40" i="36"/>
  <c r="O40" i="36" s="1"/>
  <c r="G40" i="32"/>
  <c r="O40" i="32" s="1"/>
  <c r="O213" i="65"/>
  <c r="W201" i="65"/>
  <c r="O202" i="65"/>
  <c r="W190" i="65"/>
  <c r="O205" i="65"/>
  <c r="W193" i="65"/>
  <c r="N208" i="65"/>
  <c r="N203" i="65"/>
  <c r="V191" i="65"/>
  <c r="N213" i="65"/>
  <c r="V201" i="65"/>
  <c r="N211" i="65"/>
  <c r="V199" i="65"/>
  <c r="O211" i="65"/>
  <c r="N202" i="65"/>
  <c r="V190" i="65"/>
  <c r="O206" i="65"/>
  <c r="W194" i="65"/>
  <c r="N209" i="65"/>
  <c r="N210" i="65"/>
  <c r="N212" i="65"/>
  <c r="V200" i="65"/>
  <c r="O203" i="65"/>
  <c r="W191" i="65"/>
  <c r="O204" i="65"/>
  <c r="W192" i="65"/>
  <c r="O210" i="65"/>
  <c r="O212" i="65"/>
  <c r="P62" i="32"/>
  <c r="P69" i="32"/>
  <c r="Q66" i="32"/>
  <c r="AL113" i="67"/>
  <c r="AL114" i="67"/>
  <c r="AL110" i="67"/>
  <c r="T175" i="65"/>
  <c r="AM101" i="67" s="1"/>
  <c r="W113" i="67"/>
  <c r="W112" i="67"/>
  <c r="L187" i="65"/>
  <c r="L199" i="65" s="1"/>
  <c r="L211" i="65" s="1"/>
  <c r="Y113" i="67"/>
  <c r="T173" i="65"/>
  <c r="AM99" i="67" s="1"/>
  <c r="W111" i="67"/>
  <c r="K184" i="65"/>
  <c r="K196" i="65" s="1"/>
  <c r="K208" i="65" s="1"/>
  <c r="X110" i="67"/>
  <c r="J195" i="65"/>
  <c r="T195" i="65" s="1"/>
  <c r="AM121" i="67" s="1"/>
  <c r="N92" i="28"/>
  <c r="N92" i="38"/>
  <c r="N76" i="28"/>
  <c r="N76" i="38"/>
  <c r="P111" i="34"/>
  <c r="N104" i="28"/>
  <c r="N104" i="38"/>
  <c r="N77" i="28"/>
  <c r="N77" i="38"/>
  <c r="N93" i="28"/>
  <c r="N93" i="38"/>
  <c r="N101" i="28"/>
  <c r="N101" i="38"/>
  <c r="P114" i="34"/>
  <c r="N99" i="28"/>
  <c r="N99" i="38"/>
  <c r="P110" i="34"/>
  <c r="N75" i="28"/>
  <c r="N75" i="38"/>
  <c r="N91" i="28"/>
  <c r="N91" i="38"/>
  <c r="M196" i="65"/>
  <c r="G122" i="38" s="1"/>
  <c r="T174" i="65"/>
  <c r="AM100" i="67" s="1"/>
  <c r="M198" i="65"/>
  <c r="G124" i="38" s="1"/>
  <c r="M197" i="65"/>
  <c r="G123" i="38" s="1"/>
  <c r="M202" i="65"/>
  <c r="M203" i="65"/>
  <c r="G129" i="38" s="1"/>
  <c r="J186" i="65"/>
  <c r="T186" i="65" s="1"/>
  <c r="P112" i="34"/>
  <c r="M200" i="65"/>
  <c r="P113" i="34"/>
  <c r="M201" i="65"/>
  <c r="P115" i="34"/>
  <c r="M199" i="65"/>
  <c r="G125" i="38" s="1"/>
  <c r="P138" i="38"/>
  <c r="P127" i="38"/>
  <c r="P122" i="38"/>
  <c r="P136" i="38"/>
  <c r="P137" i="38"/>
  <c r="I138" i="36"/>
  <c r="Q138" i="36" s="1"/>
  <c r="I127" i="36"/>
  <c r="Q127" i="36" s="1"/>
  <c r="P134" i="38"/>
  <c r="P135" i="38"/>
  <c r="I136" i="36"/>
  <c r="Q136" i="36" s="1"/>
  <c r="P126" i="38"/>
  <c r="I134" i="36"/>
  <c r="Q134" i="36" s="1"/>
  <c r="I135" i="36"/>
  <c r="Q135" i="36" s="1"/>
  <c r="I126" i="36"/>
  <c r="Q126" i="36" s="1"/>
  <c r="P130" i="38"/>
  <c r="P133" i="38"/>
  <c r="P123" i="38"/>
  <c r="I123" i="36"/>
  <c r="Q123" i="36" s="1"/>
  <c r="I137" i="36"/>
  <c r="Q137" i="36" s="1"/>
  <c r="I130" i="36"/>
  <c r="Q130" i="36" s="1"/>
  <c r="P125" i="38"/>
  <c r="I133" i="36"/>
  <c r="Q133" i="36" s="1"/>
  <c r="I125" i="36"/>
  <c r="Q125" i="36" s="1"/>
  <c r="P132" i="38"/>
  <c r="I132" i="36"/>
  <c r="Q132" i="36" s="1"/>
  <c r="I142" i="36"/>
  <c r="Q142" i="36" s="1"/>
  <c r="P128" i="38"/>
  <c r="I141" i="36"/>
  <c r="Q141" i="36" s="1"/>
  <c r="P142" i="38"/>
  <c r="P139" i="38"/>
  <c r="I139" i="36"/>
  <c r="Q139" i="36" s="1"/>
  <c r="P140" i="38"/>
  <c r="I128" i="36"/>
  <c r="Q128" i="36" s="1"/>
  <c r="P131" i="38"/>
  <c r="P129" i="38"/>
  <c r="P141" i="38"/>
  <c r="I129" i="36"/>
  <c r="Q129" i="36" s="1"/>
  <c r="P145" i="38"/>
  <c r="I122" i="36"/>
  <c r="Q122" i="36" s="1"/>
  <c r="I131" i="36"/>
  <c r="Q131" i="36" s="1"/>
  <c r="P124" i="38"/>
  <c r="I140" i="36"/>
  <c r="Q140" i="36" s="1"/>
  <c r="I145" i="36"/>
  <c r="Q145" i="36" s="1"/>
  <c r="I124" i="36"/>
  <c r="Q124" i="36" s="1"/>
  <c r="P144" i="38"/>
  <c r="P143" i="38"/>
  <c r="I144" i="36"/>
  <c r="Q144" i="36" s="1"/>
  <c r="I143" i="36"/>
  <c r="Q143" i="36" s="1"/>
  <c r="T184" i="65"/>
  <c r="J190" i="65"/>
  <c r="T190" i="65" s="1"/>
  <c r="AM116" i="67" s="1"/>
  <c r="J185" i="65"/>
  <c r="T185" i="65" s="1"/>
  <c r="J187" i="65"/>
  <c r="T187" i="65" s="1"/>
  <c r="J207" i="65"/>
  <c r="T207" i="65" s="1"/>
  <c r="DF2" i="4"/>
  <c r="CD2" i="4"/>
  <c r="BL7" i="4"/>
  <c r="AX7" i="4"/>
  <c r="CN7" i="4"/>
  <c r="Z2" i="4"/>
  <c r="BZ8" i="4"/>
  <c r="BP2" i="4"/>
  <c r="DB7" i="4"/>
  <c r="CR2" i="4"/>
  <c r="AJ7" i="4"/>
  <c r="AV2" i="4"/>
  <c r="BB2" i="4"/>
  <c r="L190" i="65"/>
  <c r="L202" i="65" s="1"/>
  <c r="L214" i="65" s="1"/>
  <c r="M194" i="65"/>
  <c r="O195" i="65"/>
  <c r="M193" i="65"/>
  <c r="T181" i="65"/>
  <c r="AM107" i="67" s="1"/>
  <c r="N195" i="65"/>
  <c r="V198" i="65" s="1"/>
  <c r="T180" i="65"/>
  <c r="AM106" i="67" s="1"/>
  <c r="L192" i="65"/>
  <c r="L204" i="65" s="1"/>
  <c r="L216" i="65" s="1"/>
  <c r="O196" i="65"/>
  <c r="L191" i="65"/>
  <c r="L203" i="65" s="1"/>
  <c r="L215" i="65" s="1"/>
  <c r="K193" i="65"/>
  <c r="K205" i="65" s="1"/>
  <c r="K217" i="65" s="1"/>
  <c r="N193" i="65"/>
  <c r="M195" i="65"/>
  <c r="L193" i="65"/>
  <c r="L205" i="65" s="1"/>
  <c r="L217" i="65" s="1"/>
  <c r="K194" i="65"/>
  <c r="K206" i="65" s="1"/>
  <c r="K218" i="65" s="1"/>
  <c r="L194" i="65"/>
  <c r="L206" i="65" s="1"/>
  <c r="L218" i="65" s="1"/>
  <c r="K190" i="65"/>
  <c r="K202" i="65" s="1"/>
  <c r="K214" i="65" s="1"/>
  <c r="T182" i="65"/>
  <c r="AM108" i="67" s="1"/>
  <c r="T179" i="65"/>
  <c r="AM105" i="67" s="1"/>
  <c r="O197" i="65"/>
  <c r="W200" i="65" s="1"/>
  <c r="N194" i="65"/>
  <c r="K191" i="65"/>
  <c r="K203" i="65" s="1"/>
  <c r="K215" i="65" s="1"/>
  <c r="L195" i="65"/>
  <c r="L207" i="65" s="1"/>
  <c r="L219" i="65" s="1"/>
  <c r="K195" i="65"/>
  <c r="K207" i="65" s="1"/>
  <c r="K219" i="65" s="1"/>
  <c r="AJ32" i="4"/>
  <c r="U32" i="4"/>
  <c r="BZ32" i="4"/>
  <c r="CN32" i="4"/>
  <c r="BL32" i="4"/>
  <c r="DB32" i="4"/>
  <c r="AX32" i="4"/>
  <c r="U7" i="4"/>
  <c r="V212" i="65" l="1"/>
  <c r="I117" i="76"/>
  <c r="G117" i="30"/>
  <c r="O117" i="30" s="1"/>
  <c r="S117" i="30" s="1"/>
  <c r="G117" i="34"/>
  <c r="O117" i="34" s="1"/>
  <c r="G116" i="34"/>
  <c r="O116" i="34" s="1"/>
  <c r="G116" i="30"/>
  <c r="O116" i="30" s="1"/>
  <c r="S116" i="30" s="1"/>
  <c r="I116" i="76"/>
  <c r="V211" i="65"/>
  <c r="V213" i="65"/>
  <c r="U193" i="65"/>
  <c r="AN119" i="67" s="1"/>
  <c r="U194" i="65"/>
  <c r="AN120" i="67" s="1"/>
  <c r="U201" i="65"/>
  <c r="G127" i="34" s="1"/>
  <c r="G127" i="38"/>
  <c r="N127" i="38" s="1"/>
  <c r="U195" i="65"/>
  <c r="AN121" i="67" s="1"/>
  <c r="U200" i="65"/>
  <c r="I126" i="76" s="1"/>
  <c r="Q126" i="76" s="1"/>
  <c r="G126" i="38"/>
  <c r="N126" i="38" s="1"/>
  <c r="U192" i="65"/>
  <c r="AN118" i="67" s="1"/>
  <c r="U202" i="65"/>
  <c r="G128" i="34" s="1"/>
  <c r="G128" i="38"/>
  <c r="N128" i="38" s="1"/>
  <c r="BS42" i="67"/>
  <c r="I41" i="77"/>
  <c r="G41" i="36"/>
  <c r="O41" i="36" s="1"/>
  <c r="G41" i="32"/>
  <c r="O41" i="32" s="1"/>
  <c r="O208" i="65"/>
  <c r="W208" i="65" s="1"/>
  <c r="W196" i="65"/>
  <c r="W199" i="65"/>
  <c r="O207" i="65"/>
  <c r="W210" i="65" s="1"/>
  <c r="W195" i="65"/>
  <c r="O216" i="65"/>
  <c r="W216" i="65" s="1"/>
  <c r="W204" i="65"/>
  <c r="O215" i="65"/>
  <c r="W215" i="65" s="1"/>
  <c r="W203" i="65"/>
  <c r="N206" i="65"/>
  <c r="V209" i="65" s="1"/>
  <c r="V194" i="65"/>
  <c r="N215" i="65"/>
  <c r="V215" i="65" s="1"/>
  <c r="V203" i="65"/>
  <c r="N205" i="65"/>
  <c r="V193" i="65"/>
  <c r="U203" i="65"/>
  <c r="V196" i="65"/>
  <c r="V208" i="65"/>
  <c r="V197" i="65"/>
  <c r="O217" i="65"/>
  <c r="W205" i="65"/>
  <c r="O209" i="65"/>
  <c r="W209" i="65" s="1"/>
  <c r="W197" i="65"/>
  <c r="W198" i="65"/>
  <c r="N204" i="65"/>
  <c r="V192" i="65"/>
  <c r="U198" i="65"/>
  <c r="O218" i="65"/>
  <c r="W206" i="65"/>
  <c r="O214" i="65"/>
  <c r="W214" i="65" s="1"/>
  <c r="W202" i="65"/>
  <c r="U197" i="65"/>
  <c r="M208" i="65"/>
  <c r="G134" i="38" s="1"/>
  <c r="N134" i="38" s="1"/>
  <c r="U196" i="65"/>
  <c r="N207" i="65"/>
  <c r="V195" i="65"/>
  <c r="U199" i="65"/>
  <c r="N214" i="65"/>
  <c r="V214" i="65" s="1"/>
  <c r="V202" i="65"/>
  <c r="W213" i="65"/>
  <c r="P84" i="32"/>
  <c r="P81" i="32"/>
  <c r="P76" i="32"/>
  <c r="P80" i="32"/>
  <c r="P85" i="32"/>
  <c r="P79" i="32"/>
  <c r="P82" i="32"/>
  <c r="P77" i="32"/>
  <c r="P83" i="32"/>
  <c r="P75" i="32"/>
  <c r="P78" i="32"/>
  <c r="P74" i="32"/>
  <c r="AJ112" i="67"/>
  <c r="AK112" i="67"/>
  <c r="AL115" i="67"/>
  <c r="AL111" i="67"/>
  <c r="AI113" i="67"/>
  <c r="AI114" i="67"/>
  <c r="AJ111" i="67"/>
  <c r="AK110" i="67"/>
  <c r="AJ110" i="67"/>
  <c r="AJ114" i="67"/>
  <c r="AI112" i="67"/>
  <c r="AK114" i="67"/>
  <c r="AK115" i="67"/>
  <c r="J115" i="36" s="1"/>
  <c r="R115" i="36" s="1"/>
  <c r="AJ113" i="67"/>
  <c r="AL112" i="67"/>
  <c r="AK113" i="67"/>
  <c r="AI111" i="67"/>
  <c r="AI110" i="67"/>
  <c r="AK111" i="67"/>
  <c r="AJ115" i="67"/>
  <c r="AI115" i="67"/>
  <c r="K185" i="65"/>
  <c r="K197" i="65" s="1"/>
  <c r="K209" i="65" s="1"/>
  <c r="X111" i="67"/>
  <c r="K189" i="65"/>
  <c r="K201" i="65" s="1"/>
  <c r="K213" i="65" s="1"/>
  <c r="X115" i="67"/>
  <c r="T177" i="65"/>
  <c r="AM103" i="67" s="1"/>
  <c r="W115" i="67"/>
  <c r="T176" i="65"/>
  <c r="AM102" i="67" s="1"/>
  <c r="W114" i="67"/>
  <c r="L186" i="65"/>
  <c r="L198" i="65" s="1"/>
  <c r="L210" i="65" s="1"/>
  <c r="Y112" i="67"/>
  <c r="L189" i="65"/>
  <c r="L201" i="65" s="1"/>
  <c r="L213" i="65" s="1"/>
  <c r="Y115" i="67"/>
  <c r="L185" i="65"/>
  <c r="L197" i="65" s="1"/>
  <c r="L209" i="65" s="1"/>
  <c r="Y111" i="67"/>
  <c r="L188" i="65"/>
  <c r="L200" i="65" s="1"/>
  <c r="L212" i="65" s="1"/>
  <c r="Y114" i="67"/>
  <c r="L184" i="65"/>
  <c r="L196" i="65" s="1"/>
  <c r="L208" i="65" s="1"/>
  <c r="Y110" i="67"/>
  <c r="K186" i="65"/>
  <c r="K198" i="65" s="1"/>
  <c r="K210" i="65" s="1"/>
  <c r="X112" i="67"/>
  <c r="K187" i="65"/>
  <c r="K199" i="65" s="1"/>
  <c r="K211" i="65" s="1"/>
  <c r="X113" i="67"/>
  <c r="AM113" i="67"/>
  <c r="AM112" i="67"/>
  <c r="AN113" i="67"/>
  <c r="AM111" i="67"/>
  <c r="AN114" i="67"/>
  <c r="AN110" i="67"/>
  <c r="AN115" i="67"/>
  <c r="AM110" i="67"/>
  <c r="AN112" i="67"/>
  <c r="AN111" i="67"/>
  <c r="N122" i="38"/>
  <c r="N107" i="28"/>
  <c r="N107" i="38"/>
  <c r="N108" i="28"/>
  <c r="N108" i="38"/>
  <c r="N109" i="28"/>
  <c r="N109" i="38"/>
  <c r="N106" i="28"/>
  <c r="N106" i="38"/>
  <c r="I126" i="75"/>
  <c r="P126" i="75" s="1"/>
  <c r="I129" i="75"/>
  <c r="P129" i="75" s="1"/>
  <c r="I127" i="75"/>
  <c r="P127" i="75" s="1"/>
  <c r="I128" i="75"/>
  <c r="P128" i="75" s="1"/>
  <c r="I124" i="75"/>
  <c r="P124" i="75" s="1"/>
  <c r="J198" i="65"/>
  <c r="T198" i="65" s="1"/>
  <c r="I123" i="75"/>
  <c r="P123" i="75" s="1"/>
  <c r="I125" i="75"/>
  <c r="P125" i="75" s="1"/>
  <c r="I122" i="75"/>
  <c r="P122" i="75" s="1"/>
  <c r="M212" i="65"/>
  <c r="M207" i="65"/>
  <c r="G133" i="38" s="1"/>
  <c r="M204" i="65"/>
  <c r="M215" i="65"/>
  <c r="G141" i="38" s="1"/>
  <c r="N129" i="38"/>
  <c r="M209" i="65"/>
  <c r="N123" i="38"/>
  <c r="M206" i="65"/>
  <c r="M211" i="65"/>
  <c r="N125" i="38"/>
  <c r="M210" i="65"/>
  <c r="N124" i="38"/>
  <c r="M213" i="65"/>
  <c r="M214" i="65"/>
  <c r="G140" i="38" s="1"/>
  <c r="M205" i="65"/>
  <c r="J202" i="65"/>
  <c r="T202" i="65" s="1"/>
  <c r="J191" i="65"/>
  <c r="T191" i="65" s="1"/>
  <c r="AM117" i="67" s="1"/>
  <c r="J219" i="65"/>
  <c r="T219" i="65" s="1"/>
  <c r="J188" i="65"/>
  <c r="T188" i="65" s="1"/>
  <c r="J192" i="65"/>
  <c r="T192" i="65" s="1"/>
  <c r="AM118" i="67" s="1"/>
  <c r="J194" i="65"/>
  <c r="T194" i="65" s="1"/>
  <c r="AM120" i="67" s="1"/>
  <c r="J199" i="65"/>
  <c r="T199" i="65" s="1"/>
  <c r="T196" i="65"/>
  <c r="J189" i="65"/>
  <c r="T189" i="65" s="1"/>
  <c r="J193" i="65"/>
  <c r="T193" i="65" s="1"/>
  <c r="AM119" i="67" s="1"/>
  <c r="J197" i="65"/>
  <c r="T197" i="65" s="1"/>
  <c r="BL8" i="4"/>
  <c r="BC2" i="4"/>
  <c r="AX8" i="4"/>
  <c r="CE2" i="4"/>
  <c r="AJ8" i="4"/>
  <c r="DB8" i="4"/>
  <c r="BZ9" i="4"/>
  <c r="CN8" i="4"/>
  <c r="DG2" i="4"/>
  <c r="CS2" i="4"/>
  <c r="AA2" i="4"/>
  <c r="BQ2" i="4"/>
  <c r="AX33" i="4"/>
  <c r="CN33" i="4"/>
  <c r="U33" i="4"/>
  <c r="DB33" i="4"/>
  <c r="BZ33" i="4"/>
  <c r="BL33" i="4"/>
  <c r="AJ33" i="4"/>
  <c r="U8" i="4"/>
  <c r="I127" i="76" l="1"/>
  <c r="Q127" i="76" s="1"/>
  <c r="W211" i="65"/>
  <c r="G118" i="34"/>
  <c r="O118" i="34" s="1"/>
  <c r="G118" i="30"/>
  <c r="O118" i="30" s="1"/>
  <c r="S118" i="30" s="1"/>
  <c r="I118" i="76"/>
  <c r="I121" i="76"/>
  <c r="G121" i="34"/>
  <c r="O121" i="34" s="1"/>
  <c r="G121" i="30"/>
  <c r="O121" i="30" s="1"/>
  <c r="S121" i="30" s="1"/>
  <c r="G120" i="34"/>
  <c r="O120" i="34" s="1"/>
  <c r="G120" i="30"/>
  <c r="O120" i="30" s="1"/>
  <c r="S120" i="30" s="1"/>
  <c r="I120" i="76"/>
  <c r="I119" i="76"/>
  <c r="G119" i="30"/>
  <c r="O119" i="30" s="1"/>
  <c r="S119" i="30" s="1"/>
  <c r="G119" i="34"/>
  <c r="O119" i="34" s="1"/>
  <c r="W212" i="65"/>
  <c r="I134" i="75"/>
  <c r="P134" i="75" s="1"/>
  <c r="G126" i="34"/>
  <c r="W218" i="65"/>
  <c r="U211" i="65"/>
  <c r="G137" i="34" s="1"/>
  <c r="G137" i="38"/>
  <c r="N137" i="38" s="1"/>
  <c r="U206" i="65"/>
  <c r="G132" i="34" s="1"/>
  <c r="G132" i="38"/>
  <c r="N132" i="38" s="1"/>
  <c r="U209" i="65"/>
  <c r="I135" i="76" s="1"/>
  <c r="Q135" i="76" s="1"/>
  <c r="G135" i="38"/>
  <c r="N135" i="38" s="1"/>
  <c r="U205" i="65"/>
  <c r="I131" i="76" s="1"/>
  <c r="Q131" i="76" s="1"/>
  <c r="G131" i="38"/>
  <c r="N131" i="38" s="1"/>
  <c r="U212" i="65"/>
  <c r="G138" i="34" s="1"/>
  <c r="G138" i="38"/>
  <c r="U213" i="65"/>
  <c r="G139" i="34" s="1"/>
  <c r="G139" i="38"/>
  <c r="N139" i="38" s="1"/>
  <c r="U210" i="65"/>
  <c r="G136" i="34" s="1"/>
  <c r="G136" i="38"/>
  <c r="N136" i="38" s="1"/>
  <c r="I128" i="76"/>
  <c r="Q128" i="76" s="1"/>
  <c r="U204" i="65"/>
  <c r="G130" i="34" s="1"/>
  <c r="G130" i="38"/>
  <c r="N130" i="38" s="1"/>
  <c r="L112" i="77"/>
  <c r="J112" i="36"/>
  <c r="R112" i="36" s="1"/>
  <c r="J112" i="32"/>
  <c r="R112" i="32" s="1"/>
  <c r="L115" i="77"/>
  <c r="J115" i="32"/>
  <c r="R115" i="32" s="1"/>
  <c r="L114" i="77"/>
  <c r="J114" i="36"/>
  <c r="R114" i="36" s="1"/>
  <c r="J114" i="32"/>
  <c r="R114" i="32" s="1"/>
  <c r="BS43" i="67"/>
  <c r="I42" i="77"/>
  <c r="G42" i="36"/>
  <c r="O42" i="36" s="1"/>
  <c r="G42" i="32"/>
  <c r="O42" i="32" s="1"/>
  <c r="I112" i="76"/>
  <c r="G112" i="34"/>
  <c r="G112" i="30"/>
  <c r="O112" i="30" s="1"/>
  <c r="S112" i="30" s="1"/>
  <c r="I110" i="76"/>
  <c r="G110" i="34"/>
  <c r="G110" i="30"/>
  <c r="O110" i="30" s="1"/>
  <c r="S110" i="30" s="1"/>
  <c r="I114" i="76"/>
  <c r="G114" i="34"/>
  <c r="G114" i="30"/>
  <c r="O114" i="30" s="1"/>
  <c r="S114" i="30" s="1"/>
  <c r="I111" i="76"/>
  <c r="G111" i="34"/>
  <c r="G111" i="30"/>
  <c r="O111" i="30" s="1"/>
  <c r="S111" i="30" s="1"/>
  <c r="I115" i="76"/>
  <c r="G115" i="34"/>
  <c r="G115" i="30"/>
  <c r="O115" i="30" s="1"/>
  <c r="S115" i="30" s="1"/>
  <c r="L110" i="77"/>
  <c r="J110" i="36"/>
  <c r="R110" i="36" s="1"/>
  <c r="J110" i="32"/>
  <c r="R110" i="32" s="1"/>
  <c r="L111" i="77"/>
  <c r="J111" i="36"/>
  <c r="R111" i="36" s="1"/>
  <c r="J111" i="32"/>
  <c r="R111" i="32" s="1"/>
  <c r="I113" i="76"/>
  <c r="G113" i="34"/>
  <c r="G113" i="30"/>
  <c r="O113" i="30" s="1"/>
  <c r="S113" i="30" s="1"/>
  <c r="L113" i="77"/>
  <c r="J113" i="36"/>
  <c r="R113" i="36" s="1"/>
  <c r="J113" i="32"/>
  <c r="R113" i="32" s="1"/>
  <c r="G124" i="34"/>
  <c r="I124" i="76"/>
  <c r="Q124" i="76" s="1"/>
  <c r="G129" i="34"/>
  <c r="I129" i="76"/>
  <c r="Q129" i="76" s="1"/>
  <c r="N216" i="65"/>
  <c r="V216" i="65" s="1"/>
  <c r="V204" i="65"/>
  <c r="G125" i="34"/>
  <c r="I125" i="76"/>
  <c r="Q125" i="76" s="1"/>
  <c r="N217" i="65"/>
  <c r="V217" i="65" s="1"/>
  <c r="V205" i="65"/>
  <c r="N219" i="65"/>
  <c r="V207" i="65"/>
  <c r="O219" i="65"/>
  <c r="W219" i="65" s="1"/>
  <c r="W207" i="65"/>
  <c r="V210" i="65"/>
  <c r="G122" i="34"/>
  <c r="I122" i="76"/>
  <c r="Q122" i="76" s="1"/>
  <c r="U208" i="65"/>
  <c r="W217" i="65"/>
  <c r="U215" i="65"/>
  <c r="U214" i="65"/>
  <c r="U207" i="65"/>
  <c r="G123" i="34"/>
  <c r="I123" i="76"/>
  <c r="Q123" i="76" s="1"/>
  <c r="N218" i="65"/>
  <c r="V218" i="65" s="1"/>
  <c r="V206" i="65"/>
  <c r="P92" i="32"/>
  <c r="P95" i="32"/>
  <c r="P97" i="32"/>
  <c r="P87" i="32"/>
  <c r="P88" i="32"/>
  <c r="P93" i="32"/>
  <c r="P89" i="32"/>
  <c r="P94" i="32"/>
  <c r="P90" i="32"/>
  <c r="P86" i="32"/>
  <c r="P96" i="32"/>
  <c r="P91" i="32"/>
  <c r="AM115" i="67"/>
  <c r="AM114" i="67"/>
  <c r="J210" i="65"/>
  <c r="T210" i="65" s="1"/>
  <c r="I131" i="75"/>
  <c r="P131" i="75" s="1"/>
  <c r="I140" i="75"/>
  <c r="P140" i="75" s="1"/>
  <c r="I136" i="75"/>
  <c r="P136" i="75" s="1"/>
  <c r="I139" i="75"/>
  <c r="P139" i="75" s="1"/>
  <c r="I137" i="75"/>
  <c r="P137" i="75" s="1"/>
  <c r="I130" i="75"/>
  <c r="P130" i="75" s="1"/>
  <c r="I133" i="75"/>
  <c r="P133" i="75" s="1"/>
  <c r="I132" i="75"/>
  <c r="P132" i="75" s="1"/>
  <c r="I138" i="75"/>
  <c r="P138" i="75" s="1"/>
  <c r="I135" i="75"/>
  <c r="P135" i="75" s="1"/>
  <c r="I141" i="75"/>
  <c r="P141" i="75" s="1"/>
  <c r="N141" i="38"/>
  <c r="N138" i="38"/>
  <c r="N140" i="38"/>
  <c r="M219" i="65"/>
  <c r="G145" i="38" s="1"/>
  <c r="N133" i="38"/>
  <c r="M217" i="65"/>
  <c r="M218" i="65"/>
  <c r="M216" i="65"/>
  <c r="P108" i="32"/>
  <c r="P109" i="32"/>
  <c r="P98" i="32"/>
  <c r="P104" i="32"/>
  <c r="P100" i="32"/>
  <c r="P99" i="32"/>
  <c r="P107" i="32"/>
  <c r="P103" i="32"/>
  <c r="P106" i="32"/>
  <c r="P105" i="32"/>
  <c r="P101" i="32"/>
  <c r="P102" i="32"/>
  <c r="J201" i="65"/>
  <c r="T201" i="65" s="1"/>
  <c r="T208" i="65"/>
  <c r="J211" i="65"/>
  <c r="T211" i="65" s="1"/>
  <c r="J200" i="65"/>
  <c r="T200" i="65" s="1"/>
  <c r="J203" i="65"/>
  <c r="T203" i="65" s="1"/>
  <c r="J209" i="65"/>
  <c r="T209" i="65" s="1"/>
  <c r="J206" i="65"/>
  <c r="T206" i="65" s="1"/>
  <c r="J214" i="65"/>
  <c r="T214" i="65" s="1"/>
  <c r="J205" i="65"/>
  <c r="T205" i="65" s="1"/>
  <c r="J204" i="65"/>
  <c r="T204" i="65" s="1"/>
  <c r="BR2" i="4"/>
  <c r="BD2" i="4"/>
  <c r="CN9" i="4"/>
  <c r="DH2" i="4"/>
  <c r="AB2" i="4"/>
  <c r="AJ9" i="4"/>
  <c r="CT2" i="4"/>
  <c r="DB9" i="4"/>
  <c r="AX9" i="4"/>
  <c r="BL9" i="4"/>
  <c r="BZ10" i="4"/>
  <c r="CF2" i="4"/>
  <c r="DB34" i="4"/>
  <c r="AJ34" i="4"/>
  <c r="U34" i="4"/>
  <c r="BZ34" i="4"/>
  <c r="BL34" i="4"/>
  <c r="CN34" i="4"/>
  <c r="AX34" i="4"/>
  <c r="U9" i="4"/>
  <c r="I136" i="76" l="1"/>
  <c r="Q136" i="76" s="1"/>
  <c r="G135" i="34"/>
  <c r="I132" i="76"/>
  <c r="Q132" i="76" s="1"/>
  <c r="I137" i="76"/>
  <c r="Q137" i="76" s="1"/>
  <c r="I138" i="76"/>
  <c r="Q138" i="76" s="1"/>
  <c r="G131" i="34"/>
  <c r="I130" i="76"/>
  <c r="Q130" i="76" s="1"/>
  <c r="I139" i="76"/>
  <c r="Q139" i="76" s="1"/>
  <c r="U218" i="65"/>
  <c r="G144" i="38"/>
  <c r="N144" i="38" s="1"/>
  <c r="U217" i="65"/>
  <c r="G143" i="34" s="1"/>
  <c r="G143" i="38"/>
  <c r="N143" i="38" s="1"/>
  <c r="U216" i="65"/>
  <c r="G142" i="34" s="1"/>
  <c r="G142" i="38"/>
  <c r="N142" i="38" s="1"/>
  <c r="U219" i="65"/>
  <c r="I145" i="76" s="1"/>
  <c r="Q145" i="76" s="1"/>
  <c r="BS44" i="67"/>
  <c r="I43" i="77"/>
  <c r="G43" i="36"/>
  <c r="O43" i="36" s="1"/>
  <c r="G43" i="32"/>
  <c r="O43" i="32" s="1"/>
  <c r="G134" i="34"/>
  <c r="I134" i="76"/>
  <c r="Q134" i="76" s="1"/>
  <c r="G133" i="34"/>
  <c r="I133" i="76"/>
  <c r="Q133" i="76" s="1"/>
  <c r="G140" i="34"/>
  <c r="I140" i="76"/>
  <c r="Q140" i="76" s="1"/>
  <c r="V219" i="65"/>
  <c r="G141" i="34"/>
  <c r="I141" i="76"/>
  <c r="Q141" i="76" s="1"/>
  <c r="G144" i="34"/>
  <c r="I144" i="76"/>
  <c r="Q144" i="76" s="1"/>
  <c r="I145" i="75"/>
  <c r="P145" i="75" s="1"/>
  <c r="I144" i="75"/>
  <c r="P144" i="75" s="1"/>
  <c r="I142" i="75"/>
  <c r="P142" i="75" s="1"/>
  <c r="I143" i="75"/>
  <c r="P143" i="75" s="1"/>
  <c r="N145" i="38"/>
  <c r="J215" i="65"/>
  <c r="T215" i="65" s="1"/>
  <c r="J218" i="65"/>
  <c r="T218" i="65" s="1"/>
  <c r="J212" i="65"/>
  <c r="T212" i="65" s="1"/>
  <c r="J216" i="65"/>
  <c r="T216" i="65" s="1"/>
  <c r="J217" i="65"/>
  <c r="T217" i="65" s="1"/>
  <c r="J213" i="65"/>
  <c r="T213" i="65" s="1"/>
  <c r="AX10" i="4"/>
  <c r="DI2" i="4"/>
  <c r="AJ10" i="4"/>
  <c r="BL10" i="4"/>
  <c r="CU2" i="4"/>
  <c r="BE2" i="4"/>
  <c r="BZ11" i="4"/>
  <c r="AC2" i="4"/>
  <c r="CG2" i="4"/>
  <c r="BS2" i="4"/>
  <c r="DB10" i="4"/>
  <c r="CN10" i="4"/>
  <c r="BZ35" i="4"/>
  <c r="BL35" i="4"/>
  <c r="AX35" i="4"/>
  <c r="AJ35" i="4"/>
  <c r="U35" i="4"/>
  <c r="CN35" i="4"/>
  <c r="DB35" i="4"/>
  <c r="U10" i="4"/>
  <c r="G145" i="34" l="1"/>
  <c r="I142" i="76"/>
  <c r="Q142" i="76" s="1"/>
  <c r="I143" i="76"/>
  <c r="Q143" i="76" s="1"/>
  <c r="BS45" i="67"/>
  <c r="I44" i="77"/>
  <c r="G44" i="36"/>
  <c r="O44" i="36" s="1"/>
  <c r="G44" i="32"/>
  <c r="O44" i="32" s="1"/>
  <c r="DB11" i="4"/>
  <c r="DJ2" i="4"/>
  <c r="CN11" i="4"/>
  <c r="BF2" i="4"/>
  <c r="CH2" i="4"/>
  <c r="AJ11" i="4"/>
  <c r="BL11" i="4"/>
  <c r="BT2" i="4"/>
  <c r="BZ12" i="4"/>
  <c r="AD2" i="4"/>
  <c r="CV2" i="4"/>
  <c r="AX11" i="4"/>
  <c r="AJ36" i="4"/>
  <c r="U36" i="4"/>
  <c r="DB36" i="4"/>
  <c r="BL36" i="4"/>
  <c r="AX36" i="4"/>
  <c r="CN36" i="4"/>
  <c r="BZ36" i="4"/>
  <c r="U11" i="4"/>
  <c r="BS46" i="67" l="1"/>
  <c r="I45" i="77"/>
  <c r="G45" i="32"/>
  <c r="O45" i="32" s="1"/>
  <c r="G45" i="36"/>
  <c r="O45" i="36" s="1"/>
  <c r="X254" i="4"/>
  <c r="X261" i="4"/>
  <c r="X259" i="4"/>
  <c r="X264" i="4"/>
  <c r="X265" i="4"/>
  <c r="X255" i="4"/>
  <c r="X262" i="4"/>
  <c r="X257" i="4"/>
  <c r="X258" i="4"/>
  <c r="X256" i="4"/>
  <c r="X260" i="4"/>
  <c r="X263" i="4"/>
  <c r="AJ12" i="4"/>
  <c r="DK2" i="4"/>
  <c r="CW2" i="4"/>
  <c r="BL12" i="4"/>
  <c r="BU2" i="4"/>
  <c r="CN12" i="4"/>
  <c r="AX12" i="4"/>
  <c r="BG2" i="4"/>
  <c r="BZ13" i="4"/>
  <c r="AE2" i="4"/>
  <c r="CI2" i="4"/>
  <c r="DB12" i="4"/>
  <c r="AX37" i="4"/>
  <c r="U37" i="4"/>
  <c r="DB37" i="4"/>
  <c r="BZ37" i="4"/>
  <c r="BL37" i="4"/>
  <c r="CN37" i="4"/>
  <c r="AJ37" i="4"/>
  <c r="U12" i="4"/>
  <c r="BS47" i="67" l="1"/>
  <c r="I46" i="77"/>
  <c r="G46" i="36"/>
  <c r="O46" i="36" s="1"/>
  <c r="G46" i="32"/>
  <c r="O46" i="32" s="1"/>
  <c r="P54" i="17"/>
  <c r="H54" i="17"/>
  <c r="S54" i="17"/>
  <c r="E54" i="17"/>
  <c r="AD54" i="17"/>
  <c r="AA54" i="17"/>
  <c r="AX13" i="4"/>
  <c r="DL2" i="4"/>
  <c r="BH2" i="4"/>
  <c r="CX2" i="4"/>
  <c r="BZ14" i="4"/>
  <c r="BL13" i="4"/>
  <c r="AF2" i="4"/>
  <c r="AF37" i="4" s="1"/>
  <c r="BV2" i="4"/>
  <c r="CJ2" i="4"/>
  <c r="CN13" i="4"/>
  <c r="DB13" i="4"/>
  <c r="AJ13" i="4"/>
  <c r="AJ38" i="4"/>
  <c r="BZ38" i="4"/>
  <c r="BL38" i="4"/>
  <c r="U38" i="4"/>
  <c r="DB38" i="4"/>
  <c r="CN38" i="4"/>
  <c r="AX38" i="4"/>
  <c r="BD37" i="4"/>
  <c r="U13" i="4"/>
  <c r="C265" i="4"/>
  <c r="C277" i="4" s="1"/>
  <c r="C289" i="4" s="1"/>
  <c r="C301" i="4" s="1"/>
  <c r="B265" i="4"/>
  <c r="B277" i="4" s="1"/>
  <c r="B289" i="4" s="1"/>
  <c r="B301" i="4" s="1"/>
  <c r="C264" i="4"/>
  <c r="C276" i="4" s="1"/>
  <c r="C288" i="4" s="1"/>
  <c r="C300" i="4" s="1"/>
  <c r="B264" i="4"/>
  <c r="B276" i="4" s="1"/>
  <c r="B288" i="4" s="1"/>
  <c r="B300" i="4" s="1"/>
  <c r="C263" i="4"/>
  <c r="C275" i="4" s="1"/>
  <c r="C287" i="4" s="1"/>
  <c r="C299" i="4" s="1"/>
  <c r="B263" i="4"/>
  <c r="B275" i="4" s="1"/>
  <c r="B287" i="4" s="1"/>
  <c r="B299" i="4" s="1"/>
  <c r="C262" i="4"/>
  <c r="C274" i="4" s="1"/>
  <c r="C286" i="4" s="1"/>
  <c r="C298" i="4" s="1"/>
  <c r="B262" i="4"/>
  <c r="B274" i="4" s="1"/>
  <c r="B286" i="4" s="1"/>
  <c r="B298" i="4" s="1"/>
  <c r="C261" i="4"/>
  <c r="C273" i="4" s="1"/>
  <c r="C285" i="4" s="1"/>
  <c r="C297" i="4" s="1"/>
  <c r="B261" i="4"/>
  <c r="B273" i="4" s="1"/>
  <c r="B285" i="4" s="1"/>
  <c r="B297" i="4" s="1"/>
  <c r="C260" i="4"/>
  <c r="C272" i="4" s="1"/>
  <c r="C284" i="4" s="1"/>
  <c r="C296" i="4" s="1"/>
  <c r="B260" i="4"/>
  <c r="B272" i="4" s="1"/>
  <c r="B284" i="4" s="1"/>
  <c r="B296" i="4" s="1"/>
  <c r="C259" i="4"/>
  <c r="C271" i="4" s="1"/>
  <c r="C283" i="4" s="1"/>
  <c r="C295" i="4" s="1"/>
  <c r="B259" i="4"/>
  <c r="B271" i="4" s="1"/>
  <c r="B283" i="4" s="1"/>
  <c r="B295" i="4" s="1"/>
  <c r="C258" i="4"/>
  <c r="C270" i="4" s="1"/>
  <c r="C282" i="4" s="1"/>
  <c r="C294" i="4" s="1"/>
  <c r="B258" i="4"/>
  <c r="B270" i="4" s="1"/>
  <c r="B282" i="4" s="1"/>
  <c r="B294" i="4" s="1"/>
  <c r="C257" i="4"/>
  <c r="C269" i="4" s="1"/>
  <c r="C281" i="4" s="1"/>
  <c r="C293" i="4" s="1"/>
  <c r="B257" i="4"/>
  <c r="B269" i="4" s="1"/>
  <c r="B281" i="4" s="1"/>
  <c r="B293" i="4" s="1"/>
  <c r="C256" i="4"/>
  <c r="C268" i="4" s="1"/>
  <c r="C280" i="4" s="1"/>
  <c r="C292" i="4" s="1"/>
  <c r="B256" i="4"/>
  <c r="B268" i="4" s="1"/>
  <c r="B280" i="4" s="1"/>
  <c r="B292" i="4" s="1"/>
  <c r="C255" i="4"/>
  <c r="C267" i="4" s="1"/>
  <c r="C279" i="4" s="1"/>
  <c r="C291" i="4" s="1"/>
  <c r="B255" i="4"/>
  <c r="B267" i="4" s="1"/>
  <c r="B279" i="4" s="1"/>
  <c r="B291" i="4" s="1"/>
  <c r="C254" i="4"/>
  <c r="C266" i="4" s="1"/>
  <c r="C278" i="4" s="1"/>
  <c r="C290" i="4" s="1"/>
  <c r="B254" i="4"/>
  <c r="BB12" i="4" s="1"/>
  <c r="BS48" i="67" l="1"/>
  <c r="I47" i="77"/>
  <c r="G47" i="36"/>
  <c r="O47" i="36" s="1"/>
  <c r="G47" i="32"/>
  <c r="O47" i="32" s="1"/>
  <c r="AE37" i="4"/>
  <c r="BG29" i="4"/>
  <c r="DM2" i="4"/>
  <c r="AD37" i="4"/>
  <c r="BT37" i="4"/>
  <c r="AJ14" i="4"/>
  <c r="AP13" i="4"/>
  <c r="AS13" i="4"/>
  <c r="AL13" i="4"/>
  <c r="AM13" i="4"/>
  <c r="AN13" i="4"/>
  <c r="AO13" i="4"/>
  <c r="AQ13" i="4"/>
  <c r="AR13" i="4"/>
  <c r="AT13" i="4"/>
  <c r="AU13" i="4"/>
  <c r="AV13" i="4"/>
  <c r="BU8" i="4"/>
  <c r="AE7" i="4"/>
  <c r="BU12" i="4"/>
  <c r="BI2" i="4"/>
  <c r="BH4" i="4"/>
  <c r="BH5" i="4"/>
  <c r="BH29" i="4"/>
  <c r="BH30" i="4"/>
  <c r="BH31" i="4"/>
  <c r="BH6" i="4"/>
  <c r="BH32" i="4"/>
  <c r="BH7" i="4"/>
  <c r="BH8" i="4"/>
  <c r="BH33" i="4"/>
  <c r="BH34" i="4"/>
  <c r="BH9" i="4"/>
  <c r="BH35" i="4"/>
  <c r="BH10" i="4"/>
  <c r="BH11" i="4"/>
  <c r="BH36" i="4"/>
  <c r="X37" i="4"/>
  <c r="AB37" i="4"/>
  <c r="BU32" i="4"/>
  <c r="AE32" i="4"/>
  <c r="BT12" i="4"/>
  <c r="CY2" i="4"/>
  <c r="BU33" i="4"/>
  <c r="W12" i="4"/>
  <c r="BR37" i="4"/>
  <c r="AF12" i="4"/>
  <c r="BQ37" i="4"/>
  <c r="BU7" i="4"/>
  <c r="AE6" i="4"/>
  <c r="BS12" i="4"/>
  <c r="BZ15" i="4"/>
  <c r="BG10" i="4"/>
  <c r="BF12" i="4"/>
  <c r="BF37" i="4"/>
  <c r="X12" i="4"/>
  <c r="AN12" i="4"/>
  <c r="AE12" i="4"/>
  <c r="AA37" i="4"/>
  <c r="BP37" i="4"/>
  <c r="AR37" i="4"/>
  <c r="BU6" i="4"/>
  <c r="AE31" i="4"/>
  <c r="BN12" i="4"/>
  <c r="BG35" i="4"/>
  <c r="AB12" i="4"/>
  <c r="BB37" i="4"/>
  <c r="B266" i="4"/>
  <c r="AM4" i="4"/>
  <c r="W4" i="4"/>
  <c r="AN29" i="4"/>
  <c r="AO29" i="4"/>
  <c r="AR29" i="4"/>
  <c r="AN4" i="4"/>
  <c r="X4" i="4"/>
  <c r="AP4" i="4"/>
  <c r="AQ4" i="4"/>
  <c r="AR4" i="4"/>
  <c r="X5" i="4"/>
  <c r="AS4" i="4"/>
  <c r="W29" i="4"/>
  <c r="AZ29" i="4"/>
  <c r="AR5" i="4"/>
  <c r="AT5" i="4"/>
  <c r="AQ29" i="4"/>
  <c r="AP29" i="4"/>
  <c r="AL29" i="4"/>
  <c r="AP5" i="4"/>
  <c r="AT29" i="4"/>
  <c r="BA30" i="4"/>
  <c r="AN5" i="4"/>
  <c r="BN30" i="4"/>
  <c r="X29" i="4"/>
  <c r="AZ4" i="4"/>
  <c r="Y5" i="4"/>
  <c r="AM5" i="4"/>
  <c r="AN30" i="4"/>
  <c r="W5" i="4"/>
  <c r="AO5" i="4"/>
  <c r="AU30" i="4"/>
  <c r="AL30" i="4"/>
  <c r="AM30" i="4"/>
  <c r="AS29" i="4"/>
  <c r="AP30" i="4"/>
  <c r="AT30" i="4"/>
  <c r="BN29" i="4"/>
  <c r="AR30" i="4"/>
  <c r="BO30" i="4"/>
  <c r="AS5" i="4"/>
  <c r="X30" i="4"/>
  <c r="BN4" i="4"/>
  <c r="AQ30" i="4"/>
  <c r="AQ5" i="4"/>
  <c r="AO4" i="4"/>
  <c r="AL4" i="4"/>
  <c r="AS30" i="4"/>
  <c r="AZ30" i="4"/>
  <c r="AO30" i="4"/>
  <c r="AL5" i="4"/>
  <c r="BN5" i="4"/>
  <c r="AZ5" i="4"/>
  <c r="AM29" i="4"/>
  <c r="AT4" i="4"/>
  <c r="W30" i="4"/>
  <c r="Y29" i="4"/>
  <c r="BO31" i="4"/>
  <c r="AZ31" i="4"/>
  <c r="AM31" i="4"/>
  <c r="AU6" i="4"/>
  <c r="BA31" i="4"/>
  <c r="BA5" i="4"/>
  <c r="BO29" i="4"/>
  <c r="Y30" i="4"/>
  <c r="BO4" i="4"/>
  <c r="AU29" i="4"/>
  <c r="AL31" i="4"/>
  <c r="AO31" i="4"/>
  <c r="Y4" i="4"/>
  <c r="X31" i="4"/>
  <c r="BP31" i="4"/>
  <c r="BP6" i="4"/>
  <c r="BO5" i="4"/>
  <c r="Z6" i="4"/>
  <c r="AN31" i="4"/>
  <c r="BB31" i="4"/>
  <c r="AU5" i="4"/>
  <c r="AS31" i="4"/>
  <c r="BO6" i="4"/>
  <c r="BN6" i="4"/>
  <c r="AS6" i="4"/>
  <c r="BA6" i="4"/>
  <c r="AN6" i="4"/>
  <c r="AT31" i="4"/>
  <c r="BN31" i="4"/>
  <c r="AU31" i="4"/>
  <c r="AZ6" i="4"/>
  <c r="AP6" i="4"/>
  <c r="AR6" i="4"/>
  <c r="BA4" i="4"/>
  <c r="AT6" i="4"/>
  <c r="W31" i="4"/>
  <c r="BB6" i="4"/>
  <c r="Y31" i="4"/>
  <c r="AL6" i="4"/>
  <c r="BA29" i="4"/>
  <c r="AP31" i="4"/>
  <c r="AM6" i="4"/>
  <c r="AR31" i="4"/>
  <c r="AU4" i="4"/>
  <c r="AV31" i="4"/>
  <c r="Z31" i="4"/>
  <c r="AQ6" i="4"/>
  <c r="W6" i="4"/>
  <c r="AQ31" i="4"/>
  <c r="AO6" i="4"/>
  <c r="X6" i="4"/>
  <c r="Y6" i="4"/>
  <c r="AV6" i="4"/>
  <c r="BB4" i="4"/>
  <c r="AU7" i="4"/>
  <c r="AV4" i="4"/>
  <c r="BP29" i="4"/>
  <c r="X32" i="4"/>
  <c r="AV7" i="4"/>
  <c r="BP5" i="4"/>
  <c r="AV30" i="4"/>
  <c r="BP30" i="4"/>
  <c r="Z7" i="4"/>
  <c r="BB5" i="4"/>
  <c r="AV29" i="4"/>
  <c r="Y32" i="4"/>
  <c r="Y7" i="4"/>
  <c r="AA7" i="4"/>
  <c r="BB30" i="4"/>
  <c r="BQ7" i="4"/>
  <c r="AN32" i="4"/>
  <c r="BC7" i="4"/>
  <c r="AO32" i="4"/>
  <c r="AP32" i="4"/>
  <c r="BN7" i="4"/>
  <c r="BB32" i="4"/>
  <c r="Z32" i="4"/>
  <c r="W7" i="4"/>
  <c r="BO7" i="4"/>
  <c r="AS7" i="4"/>
  <c r="BO32" i="4"/>
  <c r="AQ32" i="4"/>
  <c r="X7" i="4"/>
  <c r="AN7" i="4"/>
  <c r="BC32" i="4"/>
  <c r="BP7" i="4"/>
  <c r="AO7" i="4"/>
  <c r="Z29" i="4"/>
  <c r="BA32" i="4"/>
  <c r="BP32" i="4"/>
  <c r="AS32" i="4"/>
  <c r="Z30" i="4"/>
  <c r="AR7" i="4"/>
  <c r="AZ32" i="4"/>
  <c r="W32" i="4"/>
  <c r="AR32" i="4"/>
  <c r="AV32" i="4"/>
  <c r="AZ7" i="4"/>
  <c r="AL7" i="4"/>
  <c r="Z4" i="4"/>
  <c r="BN32" i="4"/>
  <c r="AT32" i="4"/>
  <c r="AU32" i="4"/>
  <c r="BA7" i="4"/>
  <c r="AM7" i="4"/>
  <c r="Z5" i="4"/>
  <c r="AA32" i="4"/>
  <c r="BB7" i="4"/>
  <c r="AL32" i="4"/>
  <c r="AP7" i="4"/>
  <c r="BQ32" i="4"/>
  <c r="AM32" i="4"/>
  <c r="AV5" i="4"/>
  <c r="AQ7" i="4"/>
  <c r="BB29" i="4"/>
  <c r="AT7" i="4"/>
  <c r="BP4" i="4"/>
  <c r="AP8" i="4"/>
  <c r="BR8" i="4"/>
  <c r="W33" i="4"/>
  <c r="AQ8" i="4"/>
  <c r="BC8" i="4"/>
  <c r="AV33" i="4"/>
  <c r="BD33" i="4"/>
  <c r="Y8" i="4"/>
  <c r="AR8" i="4"/>
  <c r="BD8" i="4"/>
  <c r="X33" i="4"/>
  <c r="BQ4" i="4"/>
  <c r="AS8" i="4"/>
  <c r="BO8" i="4"/>
  <c r="AM33" i="4"/>
  <c r="Z8" i="4"/>
  <c r="BQ29" i="4"/>
  <c r="AA29" i="4"/>
  <c r="AT8" i="4"/>
  <c r="AZ33" i="4"/>
  <c r="BQ5" i="4"/>
  <c r="AL8" i="4"/>
  <c r="AN33" i="4"/>
  <c r="BQ30" i="4"/>
  <c r="AA4" i="4"/>
  <c r="AN8" i="4"/>
  <c r="BQ31" i="4"/>
  <c r="AA30" i="4"/>
  <c r="AU8" i="4"/>
  <c r="AZ8" i="4"/>
  <c r="AQ33" i="4"/>
  <c r="BC33" i="4"/>
  <c r="X8" i="4"/>
  <c r="BA33" i="4"/>
  <c r="BQ6" i="4"/>
  <c r="AA5" i="4"/>
  <c r="BB8" i="4"/>
  <c r="AR33" i="4"/>
  <c r="AB33" i="4"/>
  <c r="AA6" i="4"/>
  <c r="AT33" i="4"/>
  <c r="BB33" i="4"/>
  <c r="AO8" i="4"/>
  <c r="AA33" i="4"/>
  <c r="AO33" i="4"/>
  <c r="BC4" i="4"/>
  <c r="AA31" i="4"/>
  <c r="BQ33" i="4"/>
  <c r="AU33" i="4"/>
  <c r="AB8" i="4"/>
  <c r="BC29" i="4"/>
  <c r="Z33" i="4"/>
  <c r="BQ8" i="4"/>
  <c r="AL33" i="4"/>
  <c r="BC5" i="4"/>
  <c r="BR33" i="4"/>
  <c r="AA8" i="4"/>
  <c r="BP33" i="4"/>
  <c r="BO33" i="4"/>
  <c r="BC30" i="4"/>
  <c r="AM8" i="4"/>
  <c r="BN8" i="4"/>
  <c r="Y33" i="4"/>
  <c r="BC31" i="4"/>
  <c r="W8" i="4"/>
  <c r="BC6" i="4"/>
  <c r="AV8" i="4"/>
  <c r="BA8" i="4"/>
  <c r="BP8" i="4"/>
  <c r="AS33" i="4"/>
  <c r="BN33" i="4"/>
  <c r="AP33" i="4"/>
  <c r="AQ9" i="4"/>
  <c r="BD7" i="4"/>
  <c r="BR34" i="4"/>
  <c r="AN34" i="4"/>
  <c r="AR9" i="4"/>
  <c r="BD32" i="4"/>
  <c r="AB4" i="4"/>
  <c r="BA9" i="4"/>
  <c r="AT9" i="4"/>
  <c r="AB30" i="4"/>
  <c r="AZ9" i="4"/>
  <c r="AB5" i="4"/>
  <c r="BR4" i="4"/>
  <c r="BC9" i="4"/>
  <c r="BP9" i="4"/>
  <c r="AB6" i="4"/>
  <c r="BR29" i="4"/>
  <c r="BD9" i="4"/>
  <c r="AB31" i="4"/>
  <c r="BR5" i="4"/>
  <c r="AB32" i="4"/>
  <c r="BR30" i="4"/>
  <c r="BB34" i="4"/>
  <c r="AR34" i="4"/>
  <c r="BR6" i="4"/>
  <c r="AM9" i="4"/>
  <c r="AB7" i="4"/>
  <c r="AO9" i="4"/>
  <c r="BN9" i="4"/>
  <c r="BR31" i="4"/>
  <c r="BA34" i="4"/>
  <c r="AU34" i="4"/>
  <c r="W9" i="4"/>
  <c r="BB9" i="4"/>
  <c r="AU9" i="4"/>
  <c r="BO9" i="4"/>
  <c r="BR7" i="4"/>
  <c r="BN34" i="4"/>
  <c r="BC34" i="4"/>
  <c r="AT34" i="4"/>
  <c r="Y34" i="4"/>
  <c r="AA9" i="4"/>
  <c r="X34" i="4"/>
  <c r="AS34" i="4"/>
  <c r="BQ9" i="4"/>
  <c r="BD29" i="4"/>
  <c r="BR32" i="4"/>
  <c r="BP34" i="4"/>
  <c r="AV34" i="4"/>
  <c r="Z34" i="4"/>
  <c r="X9" i="4"/>
  <c r="AV9" i="4"/>
  <c r="BR9" i="4"/>
  <c r="BD4" i="4"/>
  <c r="AQ34" i="4"/>
  <c r="AA34" i="4"/>
  <c r="Y9" i="4"/>
  <c r="AB9" i="4"/>
  <c r="W34" i="4"/>
  <c r="AB34" i="4"/>
  <c r="AL9" i="4"/>
  <c r="BD5" i="4"/>
  <c r="BO34" i="4"/>
  <c r="AP34" i="4"/>
  <c r="Z9" i="4"/>
  <c r="BQ34" i="4"/>
  <c r="AM34" i="4"/>
  <c r="AC9" i="4"/>
  <c r="AN9" i="4"/>
  <c r="BD30" i="4"/>
  <c r="BD34" i="4"/>
  <c r="AO34" i="4"/>
  <c r="BS34" i="4"/>
  <c r="AC34" i="4"/>
  <c r="AP9" i="4"/>
  <c r="BD6" i="4"/>
  <c r="BE34" i="4"/>
  <c r="AL34" i="4"/>
  <c r="AS9" i="4"/>
  <c r="BD31" i="4"/>
  <c r="AB29" i="4"/>
  <c r="AZ34" i="4"/>
  <c r="BS9" i="4"/>
  <c r="BE33" i="4"/>
  <c r="AQ10" i="4"/>
  <c r="BN10" i="4"/>
  <c r="BS7" i="4"/>
  <c r="BC10" i="4"/>
  <c r="AV35" i="4"/>
  <c r="BN35" i="4"/>
  <c r="X10" i="4"/>
  <c r="AT10" i="4"/>
  <c r="BO10" i="4"/>
  <c r="BS32" i="4"/>
  <c r="BD10" i="4"/>
  <c r="AL35" i="4"/>
  <c r="BO35" i="4"/>
  <c r="BB35" i="4"/>
  <c r="BS8" i="4"/>
  <c r="BR35" i="4"/>
  <c r="W35" i="4"/>
  <c r="AC4" i="4"/>
  <c r="AN35" i="4"/>
  <c r="BC35" i="4"/>
  <c r="AS35" i="4"/>
  <c r="AL10" i="4"/>
  <c r="BS33" i="4"/>
  <c r="AC29" i="4"/>
  <c r="BE10" i="4"/>
  <c r="AM10" i="4"/>
  <c r="AC5" i="4"/>
  <c r="BE35" i="4"/>
  <c r="AN10" i="4"/>
  <c r="AC30" i="4"/>
  <c r="Y10" i="4"/>
  <c r="AA10" i="4"/>
  <c r="AO10" i="4"/>
  <c r="BR10" i="4"/>
  <c r="AC6" i="4"/>
  <c r="BE4" i="4"/>
  <c r="AP10" i="4"/>
  <c r="BS10" i="4"/>
  <c r="AC31" i="4"/>
  <c r="X35" i="4"/>
  <c r="BE29" i="4"/>
  <c r="AR10" i="4"/>
  <c r="BT10" i="4"/>
  <c r="AC7" i="4"/>
  <c r="BF10" i="4"/>
  <c r="Y35" i="4"/>
  <c r="BP35" i="4"/>
  <c r="BE30" i="4"/>
  <c r="AS10" i="4"/>
  <c r="AC32" i="4"/>
  <c r="AM35" i="4"/>
  <c r="AA35" i="4"/>
  <c r="BQ35" i="4"/>
  <c r="W10" i="4"/>
  <c r="BE8" i="4"/>
  <c r="AU35" i="4"/>
  <c r="BT35" i="4"/>
  <c r="AB10" i="4"/>
  <c r="BE5" i="4"/>
  <c r="AU10" i="4"/>
  <c r="BS29" i="4"/>
  <c r="AC8" i="4"/>
  <c r="AP35" i="4"/>
  <c r="Z35" i="4"/>
  <c r="BS35" i="4"/>
  <c r="AD10" i="4"/>
  <c r="AZ35" i="4"/>
  <c r="BE6" i="4"/>
  <c r="AV10" i="4"/>
  <c r="BS4" i="4"/>
  <c r="AC33" i="4"/>
  <c r="AQ35" i="4"/>
  <c r="AB35" i="4"/>
  <c r="AC10" i="4"/>
  <c r="BQ10" i="4"/>
  <c r="AC35" i="4"/>
  <c r="BF35" i="4"/>
  <c r="BE31" i="4"/>
  <c r="BS30" i="4"/>
  <c r="AR35" i="4"/>
  <c r="AD35" i="4"/>
  <c r="BA35" i="4"/>
  <c r="BB10" i="4"/>
  <c r="BE32" i="4"/>
  <c r="BS5" i="4"/>
  <c r="AZ10" i="4"/>
  <c r="AT35" i="4"/>
  <c r="BE7" i="4"/>
  <c r="BE9" i="4"/>
  <c r="BP10" i="4"/>
  <c r="BS31" i="4"/>
  <c r="BA10" i="4"/>
  <c r="AO35" i="4"/>
  <c r="BD35" i="4"/>
  <c r="BS6" i="4"/>
  <c r="Z10" i="4"/>
  <c r="BO11" i="4"/>
  <c r="BT34" i="4"/>
  <c r="BA11" i="4"/>
  <c r="BF6" i="4"/>
  <c r="AD9" i="4"/>
  <c r="AC36" i="4"/>
  <c r="BU36" i="4"/>
  <c r="AR36" i="4"/>
  <c r="AE11" i="4"/>
  <c r="AV11" i="4"/>
  <c r="BP11" i="4"/>
  <c r="BB11" i="4"/>
  <c r="BF31" i="4"/>
  <c r="AD34" i="4"/>
  <c r="AD36" i="4"/>
  <c r="AV36" i="4"/>
  <c r="BF7" i="4"/>
  <c r="AE36" i="4"/>
  <c r="AQ36" i="4"/>
  <c r="AO11" i="4"/>
  <c r="BT11" i="4"/>
  <c r="BF11" i="4"/>
  <c r="BF36" i="4"/>
  <c r="BF32" i="4"/>
  <c r="AP11" i="4"/>
  <c r="BQ11" i="4"/>
  <c r="BG11" i="4"/>
  <c r="Y11" i="4"/>
  <c r="AQ11" i="4"/>
  <c r="BF33" i="4"/>
  <c r="W36" i="4"/>
  <c r="W11" i="4"/>
  <c r="BT29" i="4"/>
  <c r="BF8" i="4"/>
  <c r="X36" i="4"/>
  <c r="AL36" i="4"/>
  <c r="AR11" i="4"/>
  <c r="BT4" i="4"/>
  <c r="BF9" i="4"/>
  <c r="AD4" i="4"/>
  <c r="BT36" i="4"/>
  <c r="AS11" i="4"/>
  <c r="BT30" i="4"/>
  <c r="BD11" i="4"/>
  <c r="BF34" i="4"/>
  <c r="AD29" i="4"/>
  <c r="BB36" i="4"/>
  <c r="AT11" i="4"/>
  <c r="BT5" i="4"/>
  <c r="BC11" i="4"/>
  <c r="AD30" i="4"/>
  <c r="AZ36" i="4"/>
  <c r="Y36" i="4"/>
  <c r="BN36" i="4"/>
  <c r="AP36" i="4"/>
  <c r="X11" i="4"/>
  <c r="AD11" i="4"/>
  <c r="AU36" i="4"/>
  <c r="AL11" i="4"/>
  <c r="BT31" i="4"/>
  <c r="BE11" i="4"/>
  <c r="AD5" i="4"/>
  <c r="BA36" i="4"/>
  <c r="Z36" i="4"/>
  <c r="BO36" i="4"/>
  <c r="AN36" i="4"/>
  <c r="AD8" i="4"/>
  <c r="AM11" i="4"/>
  <c r="BR11" i="4"/>
  <c r="BT6" i="4"/>
  <c r="AD31" i="4"/>
  <c r="BC36" i="4"/>
  <c r="AA36" i="4"/>
  <c r="BQ36" i="4"/>
  <c r="AO36" i="4"/>
  <c r="BF30" i="4"/>
  <c r="AB11" i="4"/>
  <c r="AN11" i="4"/>
  <c r="BS11" i="4"/>
  <c r="BT7" i="4"/>
  <c r="AD6" i="4"/>
  <c r="BE36" i="4"/>
  <c r="BR36" i="4"/>
  <c r="BN11" i="4"/>
  <c r="AM36" i="4"/>
  <c r="AU11" i="4"/>
  <c r="BT32" i="4"/>
  <c r="BF29" i="4"/>
  <c r="AD32" i="4"/>
  <c r="BG36" i="4"/>
  <c r="BP36" i="4"/>
  <c r="BT9" i="4"/>
  <c r="AS36" i="4"/>
  <c r="BT8" i="4"/>
  <c r="BF5" i="4"/>
  <c r="AD7" i="4"/>
  <c r="BD36" i="4"/>
  <c r="Z11" i="4"/>
  <c r="AB36" i="4"/>
  <c r="AA11" i="4"/>
  <c r="BT33" i="4"/>
  <c r="BF4" i="4"/>
  <c r="AD33" i="4"/>
  <c r="AC11" i="4"/>
  <c r="AZ11" i="4"/>
  <c r="BS36" i="4"/>
  <c r="AT36" i="4"/>
  <c r="BN37" i="4"/>
  <c r="AE33" i="4"/>
  <c r="AQ37" i="4"/>
  <c r="AS12" i="4"/>
  <c r="BU31" i="4"/>
  <c r="AE5" i="4"/>
  <c r="BO12" i="4"/>
  <c r="BG34" i="4"/>
  <c r="BA12" i="4"/>
  <c r="AZ37" i="4"/>
  <c r="AC37" i="4"/>
  <c r="AP37" i="4"/>
  <c r="AQ12" i="4"/>
  <c r="BU30" i="4"/>
  <c r="AE30" i="4"/>
  <c r="BL14" i="4"/>
  <c r="BT13" i="4"/>
  <c r="BO13" i="4"/>
  <c r="BP13" i="4"/>
  <c r="BQ13" i="4"/>
  <c r="BR13" i="4"/>
  <c r="BU13" i="4"/>
  <c r="BV13" i="4"/>
  <c r="BN13" i="4"/>
  <c r="BS13" i="4"/>
  <c r="BG9" i="4"/>
  <c r="Z37" i="4"/>
  <c r="AS37" i="4"/>
  <c r="AP12" i="4"/>
  <c r="BU5" i="4"/>
  <c r="AE4" i="4"/>
  <c r="BG33" i="4"/>
  <c r="BH12" i="4"/>
  <c r="AR12" i="4"/>
  <c r="BU29" i="4"/>
  <c r="AE29" i="4"/>
  <c r="BG8" i="4"/>
  <c r="BG12" i="4"/>
  <c r="AU37" i="4"/>
  <c r="AO12" i="4"/>
  <c r="BU4" i="4"/>
  <c r="AG2" i="4"/>
  <c r="AF4" i="4"/>
  <c r="AF29" i="4"/>
  <c r="AF5" i="4"/>
  <c r="AF30" i="4"/>
  <c r="AF6" i="4"/>
  <c r="AF31" i="4"/>
  <c r="AF32" i="4"/>
  <c r="AF7" i="4"/>
  <c r="AF33" i="4"/>
  <c r="AF8" i="4"/>
  <c r="AF34" i="4"/>
  <c r="AF9" i="4"/>
  <c r="AF35" i="4"/>
  <c r="AF10" i="4"/>
  <c r="AF11" i="4"/>
  <c r="AF36" i="4"/>
  <c r="BG32" i="4"/>
  <c r="BD12" i="4"/>
  <c r="AT37" i="4"/>
  <c r="AM12" i="4"/>
  <c r="BW2" i="4"/>
  <c r="BW13" i="4" s="1"/>
  <c r="BV4" i="4"/>
  <c r="BV29" i="4"/>
  <c r="BV5" i="4"/>
  <c r="BV30" i="4"/>
  <c r="BV6" i="4"/>
  <c r="BV31" i="4"/>
  <c r="BV32" i="4"/>
  <c r="BV7" i="4"/>
  <c r="BV33" i="4"/>
  <c r="BV8" i="4"/>
  <c r="BV9" i="4"/>
  <c r="BV34" i="4"/>
  <c r="BV10" i="4"/>
  <c r="BV35" i="4"/>
  <c r="BV11" i="4"/>
  <c r="BV36" i="4"/>
  <c r="BR12" i="4"/>
  <c r="BG7" i="4"/>
  <c r="BC12" i="4"/>
  <c r="BV37" i="4"/>
  <c r="AN37" i="4"/>
  <c r="AL12" i="4"/>
  <c r="CN14" i="4"/>
  <c r="CK2" i="4"/>
  <c r="AE10" i="4"/>
  <c r="BQ12" i="4"/>
  <c r="BG6" i="4"/>
  <c r="AZ12" i="4"/>
  <c r="AO37" i="4"/>
  <c r="BU10" i="4"/>
  <c r="AE35" i="4"/>
  <c r="BP12" i="4"/>
  <c r="BG31" i="4"/>
  <c r="BE12" i="4"/>
  <c r="AA12" i="4"/>
  <c r="BH37" i="4"/>
  <c r="BO37" i="4"/>
  <c r="AM37" i="4"/>
  <c r="BU35" i="4"/>
  <c r="AE9" i="4"/>
  <c r="BG30" i="4"/>
  <c r="AX14" i="4"/>
  <c r="BE13" i="4"/>
  <c r="BB13" i="4"/>
  <c r="BC13" i="4"/>
  <c r="BD13" i="4"/>
  <c r="BF13" i="4"/>
  <c r="BG13" i="4"/>
  <c r="BH13" i="4"/>
  <c r="AZ13" i="4"/>
  <c r="BA13" i="4"/>
  <c r="BI13" i="4"/>
  <c r="BC37" i="4"/>
  <c r="Z12" i="4"/>
  <c r="W37" i="4"/>
  <c r="AV12" i="4"/>
  <c r="Y12" i="4"/>
  <c r="Y37" i="4"/>
  <c r="AL37" i="4"/>
  <c r="AU12" i="4"/>
  <c r="DB14" i="4"/>
  <c r="BU9" i="4"/>
  <c r="AE34" i="4"/>
  <c r="BG5" i="4"/>
  <c r="BU11" i="4"/>
  <c r="BG37" i="4"/>
  <c r="BS37" i="4"/>
  <c r="BU37" i="4"/>
  <c r="AT12" i="4"/>
  <c r="BU34" i="4"/>
  <c r="AE8" i="4"/>
  <c r="BV12" i="4"/>
  <c r="BG4" i="4"/>
  <c r="BL39" i="4"/>
  <c r="BN38" i="4"/>
  <c r="BQ38" i="4"/>
  <c r="BO38" i="4"/>
  <c r="BP38" i="4"/>
  <c r="BS38" i="4"/>
  <c r="BR38" i="4"/>
  <c r="BT38" i="4"/>
  <c r="BU38" i="4"/>
  <c r="BV38" i="4"/>
  <c r="DB39" i="4"/>
  <c r="U39" i="4"/>
  <c r="X38" i="4"/>
  <c r="Y38" i="4"/>
  <c r="Z38" i="4"/>
  <c r="AB38" i="4"/>
  <c r="W38" i="4"/>
  <c r="AA38" i="4"/>
  <c r="AD38" i="4"/>
  <c r="AC38" i="4"/>
  <c r="AE38" i="4"/>
  <c r="AF38" i="4"/>
  <c r="AG38" i="4"/>
  <c r="BZ39" i="4"/>
  <c r="CN39" i="4"/>
  <c r="AX39" i="4"/>
  <c r="AZ38" i="4"/>
  <c r="BC38" i="4"/>
  <c r="BE38" i="4"/>
  <c r="BF38" i="4"/>
  <c r="BG38" i="4"/>
  <c r="BI38" i="4"/>
  <c r="BD38" i="4"/>
  <c r="BA38" i="4"/>
  <c r="BB38" i="4"/>
  <c r="BH38" i="4"/>
  <c r="AJ39" i="4"/>
  <c r="AL38" i="4"/>
  <c r="AQ38" i="4"/>
  <c r="AR38" i="4"/>
  <c r="AU38" i="4"/>
  <c r="AS38" i="4"/>
  <c r="AT38" i="4"/>
  <c r="AV38" i="4"/>
  <c r="AP38" i="4"/>
  <c r="AM38" i="4"/>
  <c r="AN38" i="4"/>
  <c r="AO38" i="4"/>
  <c r="U14" i="4"/>
  <c r="W13" i="4"/>
  <c r="X13" i="4"/>
  <c r="Y13" i="4"/>
  <c r="Z13" i="4"/>
  <c r="AA13" i="4"/>
  <c r="AB13" i="4"/>
  <c r="AC13" i="4"/>
  <c r="AD13" i="4"/>
  <c r="AE13" i="4"/>
  <c r="AF13" i="4"/>
  <c r="AG13" i="4"/>
  <c r="B123" i="65"/>
  <c r="B122" i="65"/>
  <c r="B121" i="65"/>
  <c r="B120" i="65"/>
  <c r="B119" i="65"/>
  <c r="B118" i="65"/>
  <c r="B117" i="65"/>
  <c r="B116" i="65"/>
  <c r="B115" i="65"/>
  <c r="B114" i="65"/>
  <c r="B113" i="65"/>
  <c r="B112" i="65"/>
  <c r="B111" i="65"/>
  <c r="B110" i="65"/>
  <c r="B109" i="65"/>
  <c r="B108" i="65"/>
  <c r="B107" i="65"/>
  <c r="B106" i="65"/>
  <c r="B105" i="65"/>
  <c r="B104" i="65"/>
  <c r="B103" i="65"/>
  <c r="B102" i="65"/>
  <c r="B101" i="65"/>
  <c r="B100" i="65"/>
  <c r="B99" i="65"/>
  <c r="B98" i="65"/>
  <c r="B97" i="65"/>
  <c r="B96" i="65"/>
  <c r="B95" i="65"/>
  <c r="B94" i="65"/>
  <c r="B93" i="65"/>
  <c r="B92" i="65"/>
  <c r="B91" i="65"/>
  <c r="B90" i="65"/>
  <c r="B89" i="65"/>
  <c r="B88" i="65"/>
  <c r="B87" i="65"/>
  <c r="B86" i="65"/>
  <c r="B85" i="65"/>
  <c r="B84" i="65"/>
  <c r="B83" i="65"/>
  <c r="B82" i="65"/>
  <c r="B81" i="65"/>
  <c r="B80" i="65"/>
  <c r="B79" i="65"/>
  <c r="B78" i="65"/>
  <c r="B77" i="65"/>
  <c r="B76" i="65"/>
  <c r="B75" i="65"/>
  <c r="B74" i="65"/>
  <c r="B73" i="65"/>
  <c r="B72" i="65"/>
  <c r="B71" i="65"/>
  <c r="B70" i="65"/>
  <c r="B69" i="65"/>
  <c r="B68" i="65"/>
  <c r="B67" i="65"/>
  <c r="B66" i="65"/>
  <c r="B65" i="65"/>
  <c r="B64" i="65"/>
  <c r="B63" i="65"/>
  <c r="B62" i="65"/>
  <c r="B61" i="65"/>
  <c r="B60" i="65"/>
  <c r="B59" i="65"/>
  <c r="B58" i="65"/>
  <c r="B57" i="65"/>
  <c r="B56" i="65"/>
  <c r="B55" i="65"/>
  <c r="B54" i="65"/>
  <c r="B53" i="65"/>
  <c r="B52" i="65"/>
  <c r="B51" i="65"/>
  <c r="B50" i="65"/>
  <c r="B49" i="65"/>
  <c r="B48" i="65"/>
  <c r="B47" i="65"/>
  <c r="B46" i="65"/>
  <c r="B45" i="65"/>
  <c r="B44" i="65"/>
  <c r="B43" i="65"/>
  <c r="B42" i="65"/>
  <c r="B41" i="65"/>
  <c r="B40" i="65"/>
  <c r="B39" i="65"/>
  <c r="B38" i="65"/>
  <c r="B37" i="65"/>
  <c r="B36" i="65"/>
  <c r="B35" i="65"/>
  <c r="B34" i="65"/>
  <c r="B33" i="65"/>
  <c r="B32" i="65"/>
  <c r="B31" i="65"/>
  <c r="B30" i="65"/>
  <c r="B29" i="65"/>
  <c r="B28" i="65"/>
  <c r="B27" i="65"/>
  <c r="B26" i="65"/>
  <c r="B25" i="65"/>
  <c r="B24" i="65"/>
  <c r="B23" i="65"/>
  <c r="B22" i="65"/>
  <c r="B21" i="65"/>
  <c r="B20" i="65"/>
  <c r="B19" i="65"/>
  <c r="B18" i="65"/>
  <c r="B17" i="65"/>
  <c r="B16" i="65"/>
  <c r="B15" i="65"/>
  <c r="B14" i="65"/>
  <c r="B13" i="65"/>
  <c r="B12" i="65"/>
  <c r="B11" i="65"/>
  <c r="B10" i="65"/>
  <c r="B9" i="65"/>
  <c r="B8" i="65"/>
  <c r="B7" i="65"/>
  <c r="B6" i="65"/>
  <c r="B5" i="65"/>
  <c r="B4" i="65"/>
  <c r="BS49" i="67" l="1"/>
  <c r="I48" i="77"/>
  <c r="G48" i="36"/>
  <c r="O48" i="36" s="1"/>
  <c r="G48" i="32"/>
  <c r="O48" i="32" s="1"/>
  <c r="DB15" i="4"/>
  <c r="B278" i="4"/>
  <c r="AV37" i="4"/>
  <c r="AD12" i="4"/>
  <c r="AC12" i="4"/>
  <c r="BE37" i="4"/>
  <c r="BA37" i="4"/>
  <c r="BZ16" i="4"/>
  <c r="BJ2" i="4"/>
  <c r="BI29" i="4"/>
  <c r="BI5" i="4"/>
  <c r="BI4" i="4"/>
  <c r="BI30" i="4"/>
  <c r="BI6" i="4"/>
  <c r="BI31" i="4"/>
  <c r="BI32" i="4"/>
  <c r="BI7" i="4"/>
  <c r="BI33" i="4"/>
  <c r="BI8" i="4"/>
  <c r="BI34" i="4"/>
  <c r="BI9" i="4"/>
  <c r="BI10" i="4"/>
  <c r="BI35" i="4"/>
  <c r="BI11" i="4"/>
  <c r="BI36" i="4"/>
  <c r="BI12" i="4"/>
  <c r="BI37" i="4"/>
  <c r="BW38" i="4"/>
  <c r="CN15" i="4"/>
  <c r="CZ2" i="4"/>
  <c r="BX2" i="4"/>
  <c r="BW4" i="4"/>
  <c r="BW29" i="4"/>
  <c r="BW30" i="4"/>
  <c r="BW5" i="4"/>
  <c r="BW6" i="4"/>
  <c r="BW31" i="4"/>
  <c r="BW32" i="4"/>
  <c r="BW7" i="4"/>
  <c r="BW33" i="4"/>
  <c r="BW8" i="4"/>
  <c r="BW34" i="4"/>
  <c r="BW9" i="4"/>
  <c r="BW10" i="4"/>
  <c r="BW35" i="4"/>
  <c r="BW36" i="4"/>
  <c r="BW11" i="4"/>
  <c r="BW12" i="4"/>
  <c r="BW37" i="4"/>
  <c r="AJ15" i="4"/>
  <c r="AU14" i="4"/>
  <c r="AN14" i="4"/>
  <c r="AO14" i="4"/>
  <c r="AP14" i="4"/>
  <c r="AQ14" i="4"/>
  <c r="AR14" i="4"/>
  <c r="AS14" i="4"/>
  <c r="AL14" i="4"/>
  <c r="AM14" i="4"/>
  <c r="AT14" i="4"/>
  <c r="AV14" i="4"/>
  <c r="AX15" i="4"/>
  <c r="AZ14" i="4"/>
  <c r="BA14" i="4"/>
  <c r="BC14" i="4"/>
  <c r="BD14" i="4"/>
  <c r="BE14" i="4"/>
  <c r="BI14" i="4"/>
  <c r="BB14" i="4"/>
  <c r="BF14" i="4"/>
  <c r="BG14" i="4"/>
  <c r="BH14" i="4"/>
  <c r="CL2" i="4"/>
  <c r="DN2" i="4"/>
  <c r="AG4" i="4"/>
  <c r="AG29" i="4"/>
  <c r="AG30" i="4"/>
  <c r="AG5" i="4"/>
  <c r="AG31" i="4"/>
  <c r="AG6" i="4"/>
  <c r="AG32" i="4"/>
  <c r="AG7" i="4"/>
  <c r="AG33" i="4"/>
  <c r="AG8" i="4"/>
  <c r="AG34" i="4"/>
  <c r="AG9" i="4"/>
  <c r="AG10" i="4"/>
  <c r="AG35" i="4"/>
  <c r="AG11" i="4"/>
  <c r="AG36" i="4"/>
  <c r="AG37" i="4"/>
  <c r="AG12" i="4"/>
  <c r="BL15" i="4"/>
  <c r="BT14" i="4"/>
  <c r="BU14" i="4"/>
  <c r="BP14" i="4"/>
  <c r="BQ14" i="4"/>
  <c r="BR14" i="4"/>
  <c r="BS14" i="4"/>
  <c r="BV14" i="4"/>
  <c r="BW14" i="4"/>
  <c r="BN14" i="4"/>
  <c r="BO14" i="4"/>
  <c r="BX14" i="4"/>
  <c r="CN40" i="4"/>
  <c r="AJ40" i="4"/>
  <c r="AQ39" i="4"/>
  <c r="AL39" i="4"/>
  <c r="AM39" i="4"/>
  <c r="AN39" i="4"/>
  <c r="AO39" i="4"/>
  <c r="AP39" i="4"/>
  <c r="AR39" i="4"/>
  <c r="AS39" i="4"/>
  <c r="AT39" i="4"/>
  <c r="AU39" i="4"/>
  <c r="AV39" i="4"/>
  <c r="DB40" i="4"/>
  <c r="U40" i="4"/>
  <c r="AA39" i="4"/>
  <c r="AD39" i="4"/>
  <c r="AE39" i="4"/>
  <c r="AF39" i="4"/>
  <c r="Y39" i="4"/>
  <c r="AC39" i="4"/>
  <c r="Z39" i="4"/>
  <c r="AB39" i="4"/>
  <c r="AG39" i="4"/>
  <c r="W39" i="4"/>
  <c r="X39" i="4"/>
  <c r="BZ40" i="4"/>
  <c r="AX40" i="4"/>
  <c r="BE39" i="4"/>
  <c r="BH39" i="4"/>
  <c r="BF39" i="4"/>
  <c r="BJ39" i="4"/>
  <c r="BG39" i="4"/>
  <c r="BI39" i="4"/>
  <c r="AZ39" i="4"/>
  <c r="BA39" i="4"/>
  <c r="BB39" i="4"/>
  <c r="BC39" i="4"/>
  <c r="BD39" i="4"/>
  <c r="BL40" i="4"/>
  <c r="BS39" i="4"/>
  <c r="BV39" i="4"/>
  <c r="BN39" i="4"/>
  <c r="BP39" i="4"/>
  <c r="BO39" i="4"/>
  <c r="BT39" i="4"/>
  <c r="BQ39" i="4"/>
  <c r="BR39" i="4"/>
  <c r="BU39" i="4"/>
  <c r="BW39" i="4"/>
  <c r="BX39" i="4"/>
  <c r="U15" i="4"/>
  <c r="Y14" i="4"/>
  <c r="AB14" i="4"/>
  <c r="AC14" i="4"/>
  <c r="AD14" i="4"/>
  <c r="AE14" i="4"/>
  <c r="AF14" i="4"/>
  <c r="Z14" i="4"/>
  <c r="AA14" i="4"/>
  <c r="X14" i="4"/>
  <c r="AG14" i="4"/>
  <c r="W14" i="4"/>
  <c r="BS50" i="67" l="1"/>
  <c r="I49" i="77"/>
  <c r="G49" i="36"/>
  <c r="O49" i="36" s="1"/>
  <c r="G49" i="32"/>
  <c r="O49" i="32" s="1"/>
  <c r="BX4" i="4"/>
  <c r="BX29" i="4"/>
  <c r="BX5" i="4"/>
  <c r="BX30" i="4"/>
  <c r="BX6" i="4"/>
  <c r="BX31" i="4"/>
  <c r="BX32" i="4"/>
  <c r="BX7" i="4"/>
  <c r="BX8" i="4"/>
  <c r="BX33" i="4"/>
  <c r="BX34" i="4"/>
  <c r="BX9" i="4"/>
  <c r="BX10" i="4"/>
  <c r="BX35" i="4"/>
  <c r="BX36" i="4"/>
  <c r="BX11" i="4"/>
  <c r="BX37" i="4"/>
  <c r="BX12" i="4"/>
  <c r="BX38" i="4"/>
  <c r="BX13" i="4"/>
  <c r="CN16" i="4"/>
  <c r="B290" i="4"/>
  <c r="AY5" i="4"/>
  <c r="AY33" i="4"/>
  <c r="V8" i="4"/>
  <c r="BM38" i="4"/>
  <c r="AY13" i="4"/>
  <c r="BM31" i="4"/>
  <c r="AK31" i="4"/>
  <c r="AW31" i="4" s="1"/>
  <c r="V33" i="4"/>
  <c r="AY36" i="4"/>
  <c r="AY6" i="4"/>
  <c r="BM7" i="4"/>
  <c r="AY31" i="4"/>
  <c r="AY32" i="4"/>
  <c r="AK8" i="4"/>
  <c r="AW8" i="4" s="1"/>
  <c r="V34" i="4"/>
  <c r="AK11" i="4"/>
  <c r="AW11" i="4" s="1"/>
  <c r="BM5" i="4"/>
  <c r="V5" i="4"/>
  <c r="V7" i="4"/>
  <c r="V32" i="4"/>
  <c r="AK9" i="4"/>
  <c r="AW9" i="4" s="1"/>
  <c r="AY35" i="4"/>
  <c r="BM10" i="4"/>
  <c r="V11" i="4"/>
  <c r="BM11" i="4"/>
  <c r="BM37" i="4"/>
  <c r="BM13" i="4"/>
  <c r="BM30" i="4"/>
  <c r="BM6" i="4"/>
  <c r="AK34" i="4"/>
  <c r="AW34" i="4" s="1"/>
  <c r="V10" i="4"/>
  <c r="AY4" i="4"/>
  <c r="AK7" i="4"/>
  <c r="AW7" i="4" s="1"/>
  <c r="AY8" i="4"/>
  <c r="BM34" i="4"/>
  <c r="V36" i="4"/>
  <c r="AY11" i="4"/>
  <c r="AK6" i="4"/>
  <c r="AW6" i="4" s="1"/>
  <c r="V6" i="4"/>
  <c r="V9" i="4"/>
  <c r="V29" i="4"/>
  <c r="AK37" i="4"/>
  <c r="AW37" i="4" s="1"/>
  <c r="V38" i="4"/>
  <c r="V13" i="4"/>
  <c r="AY38" i="4"/>
  <c r="AY7" i="4"/>
  <c r="AK33" i="4"/>
  <c r="AW33" i="4" s="1"/>
  <c r="BM8" i="4"/>
  <c r="AK12" i="4"/>
  <c r="AW12" i="4" s="1"/>
  <c r="V31" i="4"/>
  <c r="AY34" i="4"/>
  <c r="AK10" i="4"/>
  <c r="AW10" i="4" s="1"/>
  <c r="V37" i="4"/>
  <c r="AK38" i="4"/>
  <c r="AW38" i="4" s="1"/>
  <c r="AK13" i="4"/>
  <c r="AW13" i="4" s="1"/>
  <c r="AY12" i="4"/>
  <c r="V12" i="4"/>
  <c r="BM33" i="4"/>
  <c r="AK4" i="4"/>
  <c r="AW4" i="4" s="1"/>
  <c r="BM32" i="4"/>
  <c r="AY9" i="4"/>
  <c r="BM9" i="4"/>
  <c r="V35" i="4"/>
  <c r="BM36" i="4"/>
  <c r="BM4" i="4"/>
  <c r="AY29" i="4"/>
  <c r="AK30" i="4"/>
  <c r="AW30" i="4" s="1"/>
  <c r="AK32" i="4"/>
  <c r="AW32" i="4" s="1"/>
  <c r="AK35" i="4"/>
  <c r="AW35" i="4" s="1"/>
  <c r="BM35" i="4"/>
  <c r="AY10" i="4"/>
  <c r="AK36" i="4"/>
  <c r="AW36" i="4" s="1"/>
  <c r="BZ17" i="4"/>
  <c r="BL16" i="4"/>
  <c r="BN15" i="4"/>
  <c r="BO15" i="4"/>
  <c r="BP15" i="4"/>
  <c r="BR15" i="4"/>
  <c r="BS15" i="4"/>
  <c r="BT15" i="4"/>
  <c r="BX15" i="4"/>
  <c r="BM15" i="4"/>
  <c r="BQ15" i="4"/>
  <c r="BU15" i="4"/>
  <c r="BV15" i="4"/>
  <c r="BW15" i="4"/>
  <c r="BJ5" i="4"/>
  <c r="BJ4" i="4"/>
  <c r="BJ29" i="4"/>
  <c r="BJ30" i="4"/>
  <c r="BJ31" i="4"/>
  <c r="BJ6" i="4"/>
  <c r="BJ32" i="4"/>
  <c r="BJ7" i="4"/>
  <c r="BJ8" i="4"/>
  <c r="BJ33" i="4"/>
  <c r="BJ34" i="4"/>
  <c r="BJ9" i="4"/>
  <c r="BJ35" i="4"/>
  <c r="BJ10" i="4"/>
  <c r="BJ36" i="4"/>
  <c r="BJ11" i="4"/>
  <c r="BJ37" i="4"/>
  <c r="BJ12" i="4"/>
  <c r="BJ38" i="4"/>
  <c r="BJ13" i="4"/>
  <c r="AJ16" i="4"/>
  <c r="AM15" i="4"/>
  <c r="AS15" i="4"/>
  <c r="AT15" i="4"/>
  <c r="AU15" i="4"/>
  <c r="AV15" i="4"/>
  <c r="AK15" i="4"/>
  <c r="AL15" i="4"/>
  <c r="AQ15" i="4"/>
  <c r="AN15" i="4"/>
  <c r="AO15" i="4"/>
  <c r="AP15" i="4"/>
  <c r="AR15" i="4"/>
  <c r="BJ14" i="4"/>
  <c r="AX16" i="4"/>
  <c r="BD15" i="4"/>
  <c r="BG15" i="4"/>
  <c r="BH15" i="4"/>
  <c r="BJ15" i="4"/>
  <c r="AZ15" i="4"/>
  <c r="AY15" i="4"/>
  <c r="BA15" i="4"/>
  <c r="BB15" i="4"/>
  <c r="BC15" i="4"/>
  <c r="BE15" i="4"/>
  <c r="BI15" i="4"/>
  <c r="BF15" i="4"/>
  <c r="DB16" i="4"/>
  <c r="BZ41" i="4"/>
  <c r="U41" i="4"/>
  <c r="AF40" i="4"/>
  <c r="W40" i="4"/>
  <c r="V40" i="4"/>
  <c r="Z40" i="4"/>
  <c r="Y40" i="4"/>
  <c r="X40" i="4"/>
  <c r="AA40" i="4"/>
  <c r="AB40" i="4"/>
  <c r="AG40" i="4"/>
  <c r="AC40" i="4"/>
  <c r="AD40" i="4"/>
  <c r="AE40" i="4"/>
  <c r="BL41" i="4"/>
  <c r="BX40" i="4"/>
  <c r="BM40" i="4"/>
  <c r="BS40" i="4"/>
  <c r="BT40" i="4"/>
  <c r="BU40" i="4"/>
  <c r="BW40" i="4"/>
  <c r="BP40" i="4"/>
  <c r="BQ40" i="4"/>
  <c r="BV40" i="4"/>
  <c r="BR40" i="4"/>
  <c r="BN40" i="4"/>
  <c r="BO40" i="4"/>
  <c r="AJ41" i="4"/>
  <c r="AV40" i="4"/>
  <c r="AL40" i="4"/>
  <c r="AM40" i="4"/>
  <c r="AP40" i="4"/>
  <c r="AR40" i="4"/>
  <c r="AS40" i="4"/>
  <c r="AT40" i="4"/>
  <c r="AO40" i="4"/>
  <c r="AQ40" i="4"/>
  <c r="AU40" i="4"/>
  <c r="AN40" i="4"/>
  <c r="AK40" i="4"/>
  <c r="DB41" i="4"/>
  <c r="AX41" i="4"/>
  <c r="BJ40" i="4"/>
  <c r="BA40" i="4"/>
  <c r="BB40" i="4"/>
  <c r="BC40" i="4"/>
  <c r="BE40" i="4"/>
  <c r="AY40" i="4"/>
  <c r="BD40" i="4"/>
  <c r="BH40" i="4"/>
  <c r="BF40" i="4"/>
  <c r="BG40" i="4"/>
  <c r="BI40" i="4"/>
  <c r="AZ40" i="4"/>
  <c r="CN41" i="4"/>
  <c r="U16" i="4"/>
  <c r="AD15" i="4"/>
  <c r="AG15" i="4"/>
  <c r="AE15" i="4"/>
  <c r="V15" i="4"/>
  <c r="AF15" i="4"/>
  <c r="W15" i="4"/>
  <c r="X15" i="4"/>
  <c r="Y15" i="4"/>
  <c r="Z15" i="4"/>
  <c r="AA15" i="4"/>
  <c r="AB15" i="4"/>
  <c r="AC15" i="4"/>
  <c r="BS51" i="67" l="1"/>
  <c r="I50" i="77"/>
  <c r="G50" i="36"/>
  <c r="O50" i="36" s="1"/>
  <c r="G50" i="32"/>
  <c r="O50" i="32" s="1"/>
  <c r="AW15" i="4"/>
  <c r="AW40" i="4"/>
  <c r="BZ18" i="4"/>
  <c r="BL17" i="4"/>
  <c r="BS16" i="4"/>
  <c r="BN16" i="4"/>
  <c r="BO16" i="4"/>
  <c r="BW16" i="4"/>
  <c r="BX16" i="4"/>
  <c r="BP16" i="4"/>
  <c r="BQ16" i="4"/>
  <c r="BR16" i="4"/>
  <c r="BT16" i="4"/>
  <c r="BU16" i="4"/>
  <c r="BM16" i="4"/>
  <c r="BV16" i="4"/>
  <c r="CN17" i="4"/>
  <c r="V30" i="4"/>
  <c r="AK39" i="4"/>
  <c r="AW39" i="4" s="1"/>
  <c r="BM39" i="4"/>
  <c r="AY30" i="4"/>
  <c r="AK5" i="4"/>
  <c r="AW5" i="4" s="1"/>
  <c r="AY39" i="4"/>
  <c r="AY14" i="4"/>
  <c r="BM12" i="4"/>
  <c r="AK29" i="4"/>
  <c r="AW29" i="4" s="1"/>
  <c r="BM14" i="4"/>
  <c r="V4" i="4"/>
  <c r="AY37" i="4"/>
  <c r="V14" i="4"/>
  <c r="AK14" i="4"/>
  <c r="AW14" i="4" s="1"/>
  <c r="V39" i="4"/>
  <c r="BM29" i="4"/>
  <c r="AX17" i="4"/>
  <c r="BI16" i="4"/>
  <c r="BD16" i="4"/>
  <c r="AZ16" i="4"/>
  <c r="BA16" i="4"/>
  <c r="BF16" i="4"/>
  <c r="BG16" i="4"/>
  <c r="BH16" i="4"/>
  <c r="AY16" i="4"/>
  <c r="BJ16" i="4"/>
  <c r="BB16" i="4"/>
  <c r="BC16" i="4"/>
  <c r="BE16" i="4"/>
  <c r="DB17" i="4"/>
  <c r="AJ17" i="4"/>
  <c r="AO16" i="4"/>
  <c r="AK16" i="4"/>
  <c r="AR16" i="4"/>
  <c r="AL16" i="4"/>
  <c r="AM16" i="4"/>
  <c r="AN16" i="4"/>
  <c r="AP16" i="4"/>
  <c r="AQ16" i="4"/>
  <c r="AS16" i="4"/>
  <c r="AT16" i="4"/>
  <c r="AV16" i="4"/>
  <c r="AU16" i="4"/>
  <c r="U42" i="4"/>
  <c r="Y41" i="4"/>
  <c r="Z41" i="4"/>
  <c r="AA41" i="4"/>
  <c r="AC41" i="4"/>
  <c r="AB41" i="4"/>
  <c r="AD41" i="4"/>
  <c r="AF41" i="4"/>
  <c r="AE41" i="4"/>
  <c r="AG41" i="4"/>
  <c r="V41" i="4"/>
  <c r="X41" i="4"/>
  <c r="W41" i="4"/>
  <c r="DB42" i="4"/>
  <c r="CN42" i="4"/>
  <c r="BL42" i="4"/>
  <c r="BP41" i="4"/>
  <c r="BN41" i="4"/>
  <c r="BQ41" i="4"/>
  <c r="BT41" i="4"/>
  <c r="BU41" i="4"/>
  <c r="BV41" i="4"/>
  <c r="BO41" i="4"/>
  <c r="BR41" i="4"/>
  <c r="BS41" i="4"/>
  <c r="BW41" i="4"/>
  <c r="BX41" i="4"/>
  <c r="BM41" i="4"/>
  <c r="AJ42" i="4"/>
  <c r="AR41" i="4"/>
  <c r="AS41" i="4"/>
  <c r="AV41" i="4"/>
  <c r="AL41" i="4"/>
  <c r="AM41" i="4"/>
  <c r="AP41" i="4"/>
  <c r="AQ41" i="4"/>
  <c r="AT41" i="4"/>
  <c r="AN41" i="4"/>
  <c r="AO41" i="4"/>
  <c r="AK41" i="4"/>
  <c r="AU41" i="4"/>
  <c r="AX42" i="4"/>
  <c r="BB41" i="4"/>
  <c r="BH41" i="4"/>
  <c r="BI41" i="4"/>
  <c r="BJ41" i="4"/>
  <c r="BD41" i="4"/>
  <c r="BA41" i="4"/>
  <c r="BC41" i="4"/>
  <c r="AZ41" i="4"/>
  <c r="AY41" i="4"/>
  <c r="BG41" i="4"/>
  <c r="BE41" i="4"/>
  <c r="BF41" i="4"/>
  <c r="BZ42" i="4"/>
  <c r="U17" i="4"/>
  <c r="W16" i="4"/>
  <c r="X16" i="4"/>
  <c r="Y16" i="4"/>
  <c r="Z16" i="4"/>
  <c r="V16" i="4"/>
  <c r="AA16" i="4"/>
  <c r="AB16" i="4"/>
  <c r="AC16" i="4"/>
  <c r="AD16" i="4"/>
  <c r="AF16" i="4"/>
  <c r="AE16" i="4"/>
  <c r="AG16" i="4"/>
  <c r="BS52" i="67" l="1"/>
  <c r="I51" i="77"/>
  <c r="G51" i="36"/>
  <c r="O51" i="36" s="1"/>
  <c r="G51" i="32"/>
  <c r="O51" i="32" s="1"/>
  <c r="AW16" i="4"/>
  <c r="AW41" i="4"/>
  <c r="AX18" i="4"/>
  <c r="BI17" i="4"/>
  <c r="AY17" i="4"/>
  <c r="BC17" i="4"/>
  <c r="BD17" i="4"/>
  <c r="BF17" i="4"/>
  <c r="BG17" i="4"/>
  <c r="BH17" i="4"/>
  <c r="AZ17" i="4"/>
  <c r="BA17" i="4"/>
  <c r="BB17" i="4"/>
  <c r="BE17" i="4"/>
  <c r="BJ17" i="4"/>
  <c r="BZ19" i="4"/>
  <c r="DB18" i="4"/>
  <c r="BL18" i="4"/>
  <c r="BX17" i="4"/>
  <c r="BS17" i="4"/>
  <c r="BT17" i="4"/>
  <c r="BO17" i="4"/>
  <c r="BP17" i="4"/>
  <c r="BQ17" i="4"/>
  <c r="BW17" i="4"/>
  <c r="BU17" i="4"/>
  <c r="BV17" i="4"/>
  <c r="BM17" i="4"/>
  <c r="BR17" i="4"/>
  <c r="BN17" i="4"/>
  <c r="AJ18" i="4"/>
  <c r="AT17" i="4"/>
  <c r="AM17" i="4"/>
  <c r="AN17" i="4"/>
  <c r="AO17" i="4"/>
  <c r="AP17" i="4"/>
  <c r="AQ17" i="4"/>
  <c r="AR17" i="4"/>
  <c r="AK17" i="4"/>
  <c r="AL17" i="4"/>
  <c r="AS17" i="4"/>
  <c r="AU17" i="4"/>
  <c r="AV17" i="4"/>
  <c r="CN18" i="4"/>
  <c r="BZ43" i="4"/>
  <c r="AJ43" i="4"/>
  <c r="AP42" i="4"/>
  <c r="AQ42" i="4"/>
  <c r="AK42" i="4"/>
  <c r="AR42" i="4"/>
  <c r="AS42" i="4"/>
  <c r="AU42" i="4"/>
  <c r="AL42" i="4"/>
  <c r="AO42" i="4"/>
  <c r="AM42" i="4"/>
  <c r="AN42" i="4"/>
  <c r="AT42" i="4"/>
  <c r="AV42" i="4"/>
  <c r="BL43" i="4"/>
  <c r="BR42" i="4"/>
  <c r="BU42" i="4"/>
  <c r="BO42" i="4"/>
  <c r="BP42" i="4"/>
  <c r="BQ42" i="4"/>
  <c r="BT42" i="4"/>
  <c r="BV42" i="4"/>
  <c r="BW42" i="4"/>
  <c r="BX42" i="4"/>
  <c r="BM42" i="4"/>
  <c r="BN42" i="4"/>
  <c r="BS42" i="4"/>
  <c r="DB43" i="4"/>
  <c r="AX43" i="4"/>
  <c r="BD42" i="4"/>
  <c r="BA42" i="4"/>
  <c r="BF42" i="4"/>
  <c r="BG42" i="4"/>
  <c r="BH42" i="4"/>
  <c r="BI42" i="4"/>
  <c r="BJ42" i="4"/>
  <c r="AY42" i="4"/>
  <c r="BC42" i="4"/>
  <c r="AZ42" i="4"/>
  <c r="BB42" i="4"/>
  <c r="BE42" i="4"/>
  <c r="CN43" i="4"/>
  <c r="U43" i="4"/>
  <c r="Z42" i="4"/>
  <c r="AE42" i="4"/>
  <c r="AF42" i="4"/>
  <c r="AG42" i="4"/>
  <c r="Y42" i="4"/>
  <c r="X42" i="4"/>
  <c r="W42" i="4"/>
  <c r="V42" i="4"/>
  <c r="AC42" i="4"/>
  <c r="AA42" i="4"/>
  <c r="AB42" i="4"/>
  <c r="AD42" i="4"/>
  <c r="U18" i="4"/>
  <c r="X17" i="4"/>
  <c r="AA17" i="4"/>
  <c r="V17" i="4"/>
  <c r="AB17" i="4"/>
  <c r="AC17" i="4"/>
  <c r="AD17" i="4"/>
  <c r="AE17" i="4"/>
  <c r="Y17" i="4"/>
  <c r="Z17" i="4"/>
  <c r="W17" i="4"/>
  <c r="AF17" i="4"/>
  <c r="AG17" i="4"/>
  <c r="BS53" i="67" l="1"/>
  <c r="I52" i="77"/>
  <c r="G52" i="36"/>
  <c r="O52" i="36" s="1"/>
  <c r="G52" i="32"/>
  <c r="O52" i="32" s="1"/>
  <c r="AW17" i="4"/>
  <c r="AW42" i="4"/>
  <c r="CN19" i="4"/>
  <c r="AX19" i="4"/>
  <c r="BC18" i="4"/>
  <c r="BJ18" i="4"/>
  <c r="BB18" i="4"/>
  <c r="BD18" i="4"/>
  <c r="BE18" i="4"/>
  <c r="BF18" i="4"/>
  <c r="AY18" i="4"/>
  <c r="BG18" i="4"/>
  <c r="BH18" i="4"/>
  <c r="AZ18" i="4"/>
  <c r="BA18" i="4"/>
  <c r="BI18" i="4"/>
  <c r="BZ20" i="4"/>
  <c r="DB19" i="4"/>
  <c r="BL19" i="4"/>
  <c r="BM18" i="4"/>
  <c r="BX18" i="4"/>
  <c r="BT18" i="4"/>
  <c r="BU18" i="4"/>
  <c r="BW18" i="4"/>
  <c r="BN18" i="4"/>
  <c r="BO18" i="4"/>
  <c r="BP18" i="4"/>
  <c r="BQ18" i="4"/>
  <c r="BR18" i="4"/>
  <c r="BS18" i="4"/>
  <c r="BV18" i="4"/>
  <c r="AJ19" i="4"/>
  <c r="AL18" i="4"/>
  <c r="AR18" i="4"/>
  <c r="AS18" i="4"/>
  <c r="AT18" i="4"/>
  <c r="AU18" i="4"/>
  <c r="AV18" i="4"/>
  <c r="AK18" i="4"/>
  <c r="AM18" i="4"/>
  <c r="AP18" i="4"/>
  <c r="AN18" i="4"/>
  <c r="AO18" i="4"/>
  <c r="AQ18" i="4"/>
  <c r="AX44" i="4"/>
  <c r="BI43" i="4"/>
  <c r="BC43" i="4"/>
  <c r="BD43" i="4"/>
  <c r="BE43" i="4"/>
  <c r="BG43" i="4"/>
  <c r="AZ43" i="4"/>
  <c r="BF43" i="4"/>
  <c r="BA43" i="4"/>
  <c r="AY43" i="4"/>
  <c r="BB43" i="4"/>
  <c r="BH43" i="4"/>
  <c r="BJ43" i="4"/>
  <c r="DB44" i="4"/>
  <c r="AJ44" i="4"/>
  <c r="AU43" i="4"/>
  <c r="AM43" i="4"/>
  <c r="AN43" i="4"/>
  <c r="AQ43" i="4"/>
  <c r="AK43" i="4"/>
  <c r="AL43" i="4"/>
  <c r="AR43" i="4"/>
  <c r="AV43" i="4"/>
  <c r="AO43" i="4"/>
  <c r="AP43" i="4"/>
  <c r="AS43" i="4"/>
  <c r="AT43" i="4"/>
  <c r="BL44" i="4"/>
  <c r="BW43" i="4"/>
  <c r="BV43" i="4"/>
  <c r="BX43" i="4"/>
  <c r="BN43" i="4"/>
  <c r="BO43" i="4"/>
  <c r="BS43" i="4"/>
  <c r="BT43" i="4"/>
  <c r="BM43" i="4"/>
  <c r="BU43" i="4"/>
  <c r="BP43" i="4"/>
  <c r="BQ43" i="4"/>
  <c r="BR43" i="4"/>
  <c r="CN44" i="4"/>
  <c r="U44" i="4"/>
  <c r="AE43" i="4"/>
  <c r="X43" i="4"/>
  <c r="AB43" i="4"/>
  <c r="AF43" i="4"/>
  <c r="AC43" i="4"/>
  <c r="V43" i="4"/>
  <c r="AD43" i="4"/>
  <c r="AG43" i="4"/>
  <c r="Z43" i="4"/>
  <c r="AA43" i="4"/>
  <c r="W43" i="4"/>
  <c r="Y43" i="4"/>
  <c r="BZ44" i="4"/>
  <c r="U19" i="4"/>
  <c r="AC18" i="4"/>
  <c r="AF18" i="4"/>
  <c r="AG18" i="4"/>
  <c r="V18" i="4"/>
  <c r="AD18" i="4"/>
  <c r="AE18" i="4"/>
  <c r="W18" i="4"/>
  <c r="X18" i="4"/>
  <c r="Y18" i="4"/>
  <c r="Z18" i="4"/>
  <c r="AA18" i="4"/>
  <c r="AB18" i="4"/>
  <c r="BS54" i="67" l="1"/>
  <c r="I53" i="77"/>
  <c r="G53" i="32"/>
  <c r="O53" i="32" s="1"/>
  <c r="G53" i="36"/>
  <c r="O53" i="36" s="1"/>
  <c r="AW43" i="4"/>
  <c r="AW18" i="4"/>
  <c r="AX20" i="4"/>
  <c r="BH19" i="4"/>
  <c r="BC19" i="4"/>
  <c r="AZ19" i="4"/>
  <c r="BB19" i="4"/>
  <c r="BD19" i="4"/>
  <c r="BE19" i="4"/>
  <c r="BJ19" i="4"/>
  <c r="AY19" i="4"/>
  <c r="BA19" i="4"/>
  <c r="BF19" i="4"/>
  <c r="BG19" i="4"/>
  <c r="BI19" i="4"/>
  <c r="BZ21" i="4"/>
  <c r="DB20" i="4"/>
  <c r="BL20" i="4"/>
  <c r="BR19" i="4"/>
  <c r="BM19" i="4"/>
  <c r="BN19" i="4"/>
  <c r="BO19" i="4"/>
  <c r="BT19" i="4"/>
  <c r="BU19" i="4"/>
  <c r="BV19" i="4"/>
  <c r="BW19" i="4"/>
  <c r="BX19" i="4"/>
  <c r="BP19" i="4"/>
  <c r="BQ19" i="4"/>
  <c r="BS19" i="4"/>
  <c r="AJ20" i="4"/>
  <c r="AN19" i="4"/>
  <c r="AQ19" i="4"/>
  <c r="AK19" i="4"/>
  <c r="AL19" i="4"/>
  <c r="AM19" i="4"/>
  <c r="AO19" i="4"/>
  <c r="AP19" i="4"/>
  <c r="AR19" i="4"/>
  <c r="AS19" i="4"/>
  <c r="AU19" i="4"/>
  <c r="AT19" i="4"/>
  <c r="AV19" i="4"/>
  <c r="CN20" i="4"/>
  <c r="BZ45" i="4"/>
  <c r="DB45" i="4"/>
  <c r="AJ45" i="4"/>
  <c r="AS44" i="4"/>
  <c r="AT44" i="4"/>
  <c r="AO44" i="4"/>
  <c r="AP44" i="4"/>
  <c r="AQ44" i="4"/>
  <c r="AK44" i="4"/>
  <c r="AU44" i="4"/>
  <c r="AL44" i="4"/>
  <c r="AM44" i="4"/>
  <c r="AN44" i="4"/>
  <c r="AR44" i="4"/>
  <c r="AV44" i="4"/>
  <c r="CN45" i="4"/>
  <c r="U45" i="4"/>
  <c r="Z44" i="4"/>
  <c r="AA44" i="4"/>
  <c r="AB44" i="4"/>
  <c r="AD44" i="4"/>
  <c r="W44" i="4"/>
  <c r="Y44" i="4"/>
  <c r="V44" i="4"/>
  <c r="X44" i="4"/>
  <c r="AC44" i="4"/>
  <c r="AE44" i="4"/>
  <c r="AF44" i="4"/>
  <c r="AG44" i="4"/>
  <c r="BL45" i="4"/>
  <c r="BO44" i="4"/>
  <c r="BN44" i="4"/>
  <c r="BQ44" i="4"/>
  <c r="BV44" i="4"/>
  <c r="BW44" i="4"/>
  <c r="BX44" i="4"/>
  <c r="BP44" i="4"/>
  <c r="BT44" i="4"/>
  <c r="BU44" i="4"/>
  <c r="BM44" i="4"/>
  <c r="BR44" i="4"/>
  <c r="BS44" i="4"/>
  <c r="AX45" i="4"/>
  <c r="BI44" i="4"/>
  <c r="BJ44" i="4"/>
  <c r="BE44" i="4"/>
  <c r="BH44" i="4"/>
  <c r="BF44" i="4"/>
  <c r="BG44" i="4"/>
  <c r="AY44" i="4"/>
  <c r="AZ44" i="4"/>
  <c r="BA44" i="4"/>
  <c r="BB44" i="4"/>
  <c r="BC44" i="4"/>
  <c r="BD44" i="4"/>
  <c r="U20" i="4"/>
  <c r="W19" i="4"/>
  <c r="V19" i="4"/>
  <c r="X19" i="4"/>
  <c r="Y19" i="4"/>
  <c r="AG19" i="4"/>
  <c r="Z19" i="4"/>
  <c r="AA19" i="4"/>
  <c r="AB19" i="4"/>
  <c r="AE19" i="4"/>
  <c r="AC19" i="4"/>
  <c r="AD19" i="4"/>
  <c r="AF19" i="4"/>
  <c r="BS55" i="67" l="1"/>
  <c r="I54" i="77"/>
  <c r="G54" i="36"/>
  <c r="O54" i="36" s="1"/>
  <c r="G54" i="32"/>
  <c r="O54" i="32" s="1"/>
  <c r="AW44" i="4"/>
  <c r="AW19" i="4"/>
  <c r="BZ22" i="4"/>
  <c r="DB21" i="4"/>
  <c r="BL21" i="4"/>
  <c r="BW20" i="4"/>
  <c r="BR20" i="4"/>
  <c r="BP20" i="4"/>
  <c r="BQ20" i="4"/>
  <c r="BM20" i="4"/>
  <c r="BT20" i="4"/>
  <c r="BU20" i="4"/>
  <c r="BV20" i="4"/>
  <c r="BN20" i="4"/>
  <c r="BO20" i="4"/>
  <c r="BS20" i="4"/>
  <c r="BX20" i="4"/>
  <c r="AJ21" i="4"/>
  <c r="AS20" i="4"/>
  <c r="AV20" i="4"/>
  <c r="AL20" i="4"/>
  <c r="AM20" i="4"/>
  <c r="AN20" i="4"/>
  <c r="AO20" i="4"/>
  <c r="AP20" i="4"/>
  <c r="AQ20" i="4"/>
  <c r="AK20" i="4"/>
  <c r="AR20" i="4"/>
  <c r="AT20" i="4"/>
  <c r="AU20" i="4"/>
  <c r="CN21" i="4"/>
  <c r="AX21" i="4"/>
  <c r="BH20" i="4"/>
  <c r="BF20" i="4"/>
  <c r="BG20" i="4"/>
  <c r="BJ20" i="4"/>
  <c r="AZ20" i="4"/>
  <c r="BA20" i="4"/>
  <c r="BB20" i="4"/>
  <c r="BC20" i="4"/>
  <c r="BD20" i="4"/>
  <c r="AY20" i="4"/>
  <c r="BE20" i="4"/>
  <c r="BI20" i="4"/>
  <c r="AX46" i="4"/>
  <c r="BC45" i="4"/>
  <c r="AZ45" i="4"/>
  <c r="BB45" i="4"/>
  <c r="BA45" i="4"/>
  <c r="BI45" i="4"/>
  <c r="BJ45" i="4"/>
  <c r="AY45" i="4"/>
  <c r="BE45" i="4"/>
  <c r="BD45" i="4"/>
  <c r="BF45" i="4"/>
  <c r="BG45" i="4"/>
  <c r="BH45" i="4"/>
  <c r="U46" i="4"/>
  <c r="Y45" i="4"/>
  <c r="AF45" i="4"/>
  <c r="V45" i="4"/>
  <c r="AG45" i="4"/>
  <c r="AB45" i="4"/>
  <c r="AE45" i="4"/>
  <c r="AC45" i="4"/>
  <c r="AD45" i="4"/>
  <c r="AA45" i="4"/>
  <c r="X45" i="4"/>
  <c r="W45" i="4"/>
  <c r="Z45" i="4"/>
  <c r="CN46" i="4"/>
  <c r="AJ46" i="4"/>
  <c r="AO45" i="4"/>
  <c r="AL45" i="4"/>
  <c r="AR45" i="4"/>
  <c r="AU45" i="4"/>
  <c r="AS45" i="4"/>
  <c r="AT45" i="4"/>
  <c r="AV45" i="4"/>
  <c r="AM45" i="4"/>
  <c r="AN45" i="4"/>
  <c r="AK45" i="4"/>
  <c r="AP45" i="4"/>
  <c r="AQ45" i="4"/>
  <c r="DB46" i="4"/>
  <c r="BL46" i="4"/>
  <c r="BQ45" i="4"/>
  <c r="BT45" i="4"/>
  <c r="BS45" i="4"/>
  <c r="BU45" i="4"/>
  <c r="BV45" i="4"/>
  <c r="BX45" i="4"/>
  <c r="BN45" i="4"/>
  <c r="BO45" i="4"/>
  <c r="BM45" i="4"/>
  <c r="BP45" i="4"/>
  <c r="BR45" i="4"/>
  <c r="BW45" i="4"/>
  <c r="BZ46" i="4"/>
  <c r="U21" i="4"/>
  <c r="W20" i="4"/>
  <c r="Z20" i="4"/>
  <c r="AA20" i="4"/>
  <c r="AB20" i="4"/>
  <c r="AC20" i="4"/>
  <c r="V20" i="4"/>
  <c r="AD20" i="4"/>
  <c r="X20" i="4"/>
  <c r="Y20" i="4"/>
  <c r="AE20" i="4"/>
  <c r="AF20" i="4"/>
  <c r="AG20" i="4"/>
  <c r="BS56" i="67" l="1"/>
  <c r="I55" i="77"/>
  <c r="G55" i="36"/>
  <c r="O55" i="36" s="1"/>
  <c r="G55" i="32"/>
  <c r="O55" i="32" s="1"/>
  <c r="AW20" i="4"/>
  <c r="AW45" i="4"/>
  <c r="DB22" i="4"/>
  <c r="BL22" i="4"/>
  <c r="BW21" i="4"/>
  <c r="BX21" i="4"/>
  <c r="BP21" i="4"/>
  <c r="BQ21" i="4"/>
  <c r="BR21" i="4"/>
  <c r="BS21" i="4"/>
  <c r="BT21" i="4"/>
  <c r="BU21" i="4"/>
  <c r="BM21" i="4"/>
  <c r="BN21" i="4"/>
  <c r="BO21" i="4"/>
  <c r="BV21" i="4"/>
  <c r="AJ22" i="4"/>
  <c r="AQ21" i="4"/>
  <c r="AR21" i="4"/>
  <c r="AS21" i="4"/>
  <c r="AT21" i="4"/>
  <c r="AU21" i="4"/>
  <c r="AV21" i="4"/>
  <c r="AK21" i="4"/>
  <c r="AL21" i="4"/>
  <c r="AO21" i="4"/>
  <c r="AM21" i="4"/>
  <c r="AN21" i="4"/>
  <c r="AP21" i="4"/>
  <c r="CN22" i="4"/>
  <c r="AX22" i="4"/>
  <c r="BB21" i="4"/>
  <c r="AZ21" i="4"/>
  <c r="BA21" i="4"/>
  <c r="BF21" i="4"/>
  <c r="BG21" i="4"/>
  <c r="BH21" i="4"/>
  <c r="BI21" i="4"/>
  <c r="BJ21" i="4"/>
  <c r="BD21" i="4"/>
  <c r="BE21" i="4"/>
  <c r="BC21" i="4"/>
  <c r="AY21" i="4"/>
  <c r="BZ23" i="4"/>
  <c r="DB47" i="4"/>
  <c r="BZ47" i="4"/>
  <c r="U47" i="4"/>
  <c r="AD46" i="4"/>
  <c r="V46" i="4"/>
  <c r="W46" i="4"/>
  <c r="Y46" i="4"/>
  <c r="AB46" i="4"/>
  <c r="AA46" i="4"/>
  <c r="X46" i="4"/>
  <c r="Z46" i="4"/>
  <c r="AF46" i="4"/>
  <c r="AC46" i="4"/>
  <c r="AE46" i="4"/>
  <c r="AG46" i="4"/>
  <c r="CN47" i="4"/>
  <c r="AJ47" i="4"/>
  <c r="AT46" i="4"/>
  <c r="AN46" i="4"/>
  <c r="AO46" i="4"/>
  <c r="AR46" i="4"/>
  <c r="AM46" i="4"/>
  <c r="AP46" i="4"/>
  <c r="AQ46" i="4"/>
  <c r="AU46" i="4"/>
  <c r="AK46" i="4"/>
  <c r="AS46" i="4"/>
  <c r="AV46" i="4"/>
  <c r="AL46" i="4"/>
  <c r="BL47" i="4"/>
  <c r="BV46" i="4"/>
  <c r="BM46" i="4"/>
  <c r="BW46" i="4"/>
  <c r="BX46" i="4"/>
  <c r="BS46" i="4"/>
  <c r="BT46" i="4"/>
  <c r="BU46" i="4"/>
  <c r="BN46" i="4"/>
  <c r="BQ46" i="4"/>
  <c r="BO46" i="4"/>
  <c r="BP46" i="4"/>
  <c r="BR46" i="4"/>
  <c r="AX47" i="4"/>
  <c r="BH46" i="4"/>
  <c r="BD46" i="4"/>
  <c r="BE46" i="4"/>
  <c r="BF46" i="4"/>
  <c r="BI46" i="4"/>
  <c r="BG46" i="4"/>
  <c r="BJ46" i="4"/>
  <c r="BA46" i="4"/>
  <c r="AZ46" i="4"/>
  <c r="BB46" i="4"/>
  <c r="BC46" i="4"/>
  <c r="AY46" i="4"/>
  <c r="U22" i="4"/>
  <c r="AB21" i="4"/>
  <c r="AE21" i="4"/>
  <c r="AF21" i="4"/>
  <c r="AG21" i="4"/>
  <c r="AC21" i="4"/>
  <c r="AD21" i="4"/>
  <c r="W21" i="4"/>
  <c r="V21" i="4"/>
  <c r="X21" i="4"/>
  <c r="Y21" i="4"/>
  <c r="Z21" i="4"/>
  <c r="AA21" i="4"/>
  <c r="BS57" i="67" l="1"/>
  <c r="I56" i="77"/>
  <c r="G56" i="36"/>
  <c r="O56" i="36" s="1"/>
  <c r="G56" i="32"/>
  <c r="O56" i="32" s="1"/>
  <c r="AW21" i="4"/>
  <c r="AW46" i="4"/>
  <c r="BL23" i="4"/>
  <c r="BQ22" i="4"/>
  <c r="BN22" i="4"/>
  <c r="BP22" i="4"/>
  <c r="BM22" i="4"/>
  <c r="BR22" i="4"/>
  <c r="BS22" i="4"/>
  <c r="BW22" i="4"/>
  <c r="BX22" i="4"/>
  <c r="BV22" i="4"/>
  <c r="BU22" i="4"/>
  <c r="BT22" i="4"/>
  <c r="BO22" i="4"/>
  <c r="AJ23" i="4"/>
  <c r="AM22" i="4"/>
  <c r="AP22" i="4"/>
  <c r="AV22" i="4"/>
  <c r="AL22" i="4"/>
  <c r="AN22" i="4"/>
  <c r="AO22" i="4"/>
  <c r="AQ22" i="4"/>
  <c r="AR22" i="4"/>
  <c r="AT22" i="4"/>
  <c r="AS22" i="4"/>
  <c r="AK22" i="4"/>
  <c r="AU22" i="4"/>
  <c r="CN23" i="4"/>
  <c r="AX23" i="4"/>
  <c r="BG22" i="4"/>
  <c r="AY22" i="4"/>
  <c r="BB22" i="4"/>
  <c r="BC22" i="4"/>
  <c r="BD22" i="4"/>
  <c r="BF22" i="4"/>
  <c r="BH22" i="4"/>
  <c r="BI22" i="4"/>
  <c r="AZ22" i="4"/>
  <c r="BA22" i="4"/>
  <c r="BE22" i="4"/>
  <c r="BJ22" i="4"/>
  <c r="BZ25" i="4"/>
  <c r="BZ26" i="4" s="1"/>
  <c r="DB23" i="4"/>
  <c r="AZ47" i="4"/>
  <c r="AY47" i="4"/>
  <c r="U48" i="4"/>
  <c r="AA47" i="4"/>
  <c r="AB47" i="4"/>
  <c r="AC47" i="4"/>
  <c r="V47" i="4"/>
  <c r="AE47" i="4"/>
  <c r="AD47" i="4"/>
  <c r="AF47" i="4"/>
  <c r="AG47" i="4"/>
  <c r="Y47" i="4"/>
  <c r="Z47" i="4"/>
  <c r="W47" i="4"/>
  <c r="X47" i="4"/>
  <c r="BN47" i="4"/>
  <c r="BP47" i="4"/>
  <c r="BQ47" i="4"/>
  <c r="BM47" i="4"/>
  <c r="BR47" i="4"/>
  <c r="BT47" i="4"/>
  <c r="BS47" i="4"/>
  <c r="BO47" i="4"/>
  <c r="BU47" i="4"/>
  <c r="BV47" i="4"/>
  <c r="BW47" i="4"/>
  <c r="BX47" i="4"/>
  <c r="AT47" i="4"/>
  <c r="AU47" i="4"/>
  <c r="AV47" i="4"/>
  <c r="AL47" i="4"/>
  <c r="AP47" i="4"/>
  <c r="AS47" i="4"/>
  <c r="AN47" i="4"/>
  <c r="AQ47" i="4"/>
  <c r="AR47" i="4"/>
  <c r="AK47" i="4"/>
  <c r="AM47" i="4"/>
  <c r="AO47" i="4"/>
  <c r="DB48" i="4"/>
  <c r="U23" i="4"/>
  <c r="AG22" i="4"/>
  <c r="W22" i="4"/>
  <c r="AE22" i="4"/>
  <c r="AF22" i="4"/>
  <c r="V22" i="4"/>
  <c r="X22" i="4"/>
  <c r="Y22" i="4"/>
  <c r="Z22" i="4"/>
  <c r="AA22" i="4"/>
  <c r="AB22" i="4"/>
  <c r="AC22" i="4"/>
  <c r="AD22" i="4"/>
  <c r="BS58" i="67" l="1"/>
  <c r="I57" i="77"/>
  <c r="G57" i="32"/>
  <c r="O57" i="32" s="1"/>
  <c r="G57" i="36"/>
  <c r="O57" i="36" s="1"/>
  <c r="AW22" i="4"/>
  <c r="AW47" i="4"/>
  <c r="AR23" i="4"/>
  <c r="AU23" i="4"/>
  <c r="AL23" i="4"/>
  <c r="AM23" i="4"/>
  <c r="AN23" i="4"/>
  <c r="AO23" i="4"/>
  <c r="AP23" i="4"/>
  <c r="AK23" i="4"/>
  <c r="AQ23" i="4"/>
  <c r="AS23" i="4"/>
  <c r="AT23" i="4"/>
  <c r="AV23" i="4"/>
  <c r="CN25" i="4"/>
  <c r="CN26" i="4" s="1"/>
  <c r="BG23" i="4"/>
  <c r="BJ23" i="4"/>
  <c r="AY23" i="4"/>
  <c r="BB23" i="4"/>
  <c r="BC23" i="4"/>
  <c r="BD23" i="4"/>
  <c r="BE23" i="4"/>
  <c r="BF23" i="4"/>
  <c r="BH23" i="4"/>
  <c r="AZ23" i="4"/>
  <c r="BA23" i="4"/>
  <c r="BI23" i="4"/>
  <c r="DB24" i="4"/>
  <c r="BV23" i="4"/>
  <c r="BQ23" i="4"/>
  <c r="BT23" i="4"/>
  <c r="BU23" i="4"/>
  <c r="BX23" i="4"/>
  <c r="BM23" i="4"/>
  <c r="BN23" i="4"/>
  <c r="BO23" i="4"/>
  <c r="BP23" i="4"/>
  <c r="BR23" i="4"/>
  <c r="BS23" i="4"/>
  <c r="BW23" i="4"/>
  <c r="BL24" i="4"/>
  <c r="BM48" i="4"/>
  <c r="BN48" i="4"/>
  <c r="BO48" i="4"/>
  <c r="X48" i="4"/>
  <c r="W48" i="4"/>
  <c r="Y48" i="4"/>
  <c r="V48" i="4"/>
  <c r="AN48" i="4"/>
  <c r="AM48" i="4"/>
  <c r="AK48" i="4"/>
  <c r="AL48" i="4"/>
  <c r="AZ48" i="4"/>
  <c r="AY48" i="4"/>
  <c r="Y23" i="4"/>
  <c r="Z23" i="4"/>
  <c r="AA23" i="4"/>
  <c r="AB23" i="4"/>
  <c r="AA62" i="4" s="1"/>
  <c r="W23" i="4"/>
  <c r="X23" i="4"/>
  <c r="AC23" i="4"/>
  <c r="AA63" i="4" s="1"/>
  <c r="AD23" i="4"/>
  <c r="AA64" i="4" s="1"/>
  <c r="AE23" i="4"/>
  <c r="AA65" i="4" s="1"/>
  <c r="AF23" i="4"/>
  <c r="AA66" i="4" s="1"/>
  <c r="AG23" i="4"/>
  <c r="AA67" i="4" s="1"/>
  <c r="AA60" i="4" l="1"/>
  <c r="AA57" i="4"/>
  <c r="AA58" i="4"/>
  <c r="AA59" i="4"/>
  <c r="AA56" i="4"/>
  <c r="AA61" i="4"/>
  <c r="BS59" i="67"/>
  <c r="I58" i="77"/>
  <c r="G58" i="36"/>
  <c r="O58" i="36" s="1"/>
  <c r="G58" i="32"/>
  <c r="O58" i="32" s="1"/>
  <c r="AW48" i="4"/>
  <c r="AW23" i="4"/>
  <c r="BS60" i="67" l="1"/>
  <c r="I59" i="77"/>
  <c r="G59" i="36"/>
  <c r="O59" i="36" s="1"/>
  <c r="G59" i="32"/>
  <c r="O59" i="32" s="1"/>
  <c r="L5" i="57"/>
  <c r="BS61" i="67" l="1"/>
  <c r="I60" i="77"/>
  <c r="G60" i="36"/>
  <c r="O60" i="36" s="1"/>
  <c r="G60" i="32"/>
  <c r="O60" i="32" s="1"/>
  <c r="J6" i="57"/>
  <c r="L6" i="57" s="1"/>
  <c r="B6" i="57"/>
  <c r="BS62" i="67" l="1"/>
  <c r="I61" i="77"/>
  <c r="G61" i="36"/>
  <c r="O61" i="36" s="1"/>
  <c r="G61" i="32"/>
  <c r="O61" i="32" s="1"/>
  <c r="B7" i="57"/>
  <c r="J7" i="57"/>
  <c r="L7" i="57" l="1"/>
  <c r="BS63" i="67"/>
  <c r="I62" i="77"/>
  <c r="G62" i="36"/>
  <c r="O62" i="36" s="1"/>
  <c r="G62" i="32"/>
  <c r="O62" i="32" s="1"/>
  <c r="S62" i="32" s="1"/>
  <c r="J8" i="57"/>
  <c r="L8" i="57" s="1"/>
  <c r="B8" i="57"/>
  <c r="BS64" i="67" l="1"/>
  <c r="I63" i="77"/>
  <c r="G63" i="36"/>
  <c r="O63" i="36" s="1"/>
  <c r="G63" i="32"/>
  <c r="O63" i="32" s="1"/>
  <c r="S63" i="32" s="1"/>
  <c r="B9" i="57"/>
  <c r="J9" i="57"/>
  <c r="J10" i="57" l="1"/>
  <c r="L10" i="57" s="1"/>
  <c r="L9" i="57"/>
  <c r="BS65" i="67"/>
  <c r="I64" i="77"/>
  <c r="G64" i="36"/>
  <c r="O64" i="36" s="1"/>
  <c r="G64" i="32"/>
  <c r="O64" i="32" s="1"/>
  <c r="S64" i="32" s="1"/>
  <c r="J11" i="57"/>
  <c r="L11" i="57" s="1"/>
  <c r="B10" i="57"/>
  <c r="BS66" i="67" l="1"/>
  <c r="I65" i="77"/>
  <c r="G65" i="32"/>
  <c r="O65" i="32" s="1"/>
  <c r="S65" i="32" s="1"/>
  <c r="G65" i="36"/>
  <c r="O65" i="36" s="1"/>
  <c r="B11" i="57"/>
  <c r="B12" i="57" s="1"/>
  <c r="B13" i="57" s="1"/>
  <c r="B14" i="57" s="1"/>
  <c r="J12" i="57"/>
  <c r="L12" i="57" s="1"/>
  <c r="BS67" i="67" l="1"/>
  <c r="I66" i="77"/>
  <c r="G66" i="36"/>
  <c r="O66" i="36" s="1"/>
  <c r="G66" i="32"/>
  <c r="O66" i="32" s="1"/>
  <c r="S66" i="32" s="1"/>
  <c r="J13" i="57"/>
  <c r="P1" i="38"/>
  <c r="O1"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5" i="38"/>
  <c r="C44" i="38"/>
  <c r="B43" i="38"/>
  <c r="C42" i="38"/>
  <c r="B41" i="38"/>
  <c r="C40" i="38"/>
  <c r="B39" i="38"/>
  <c r="C38" i="38"/>
  <c r="C36" i="38"/>
  <c r="C34" i="38"/>
  <c r="C32" i="38"/>
  <c r="C30" i="38"/>
  <c r="B29" i="38"/>
  <c r="C28" i="38"/>
  <c r="B27" i="38"/>
  <c r="C26" i="38"/>
  <c r="B25" i="38"/>
  <c r="C24" i="38"/>
  <c r="C22" i="38"/>
  <c r="B21" i="38"/>
  <c r="C20" i="38"/>
  <c r="B19" i="38"/>
  <c r="C18" i="38"/>
  <c r="B17" i="38"/>
  <c r="C16" i="38"/>
  <c r="C14" i="38"/>
  <c r="B13" i="38"/>
  <c r="C12" i="38"/>
  <c r="B11" i="38"/>
  <c r="C10" i="38"/>
  <c r="B9" i="38"/>
  <c r="C8" i="38"/>
  <c r="C6" i="38"/>
  <c r="B5" i="38"/>
  <c r="C4" i="38"/>
  <c r="B3" i="38"/>
  <c r="C2" i="38"/>
  <c r="L13" i="57" l="1"/>
  <c r="J14" i="57"/>
  <c r="BS68" i="67"/>
  <c r="I67" i="77"/>
  <c r="G67" i="36"/>
  <c r="O67" i="36" s="1"/>
  <c r="G67" i="32"/>
  <c r="O67" i="32" s="1"/>
  <c r="S67" i="32" s="1"/>
  <c r="B42" i="38"/>
  <c r="C25" i="38"/>
  <c r="C3" i="38"/>
  <c r="B34" i="38"/>
  <c r="C11" i="38"/>
  <c r="C27" i="38"/>
  <c r="B36" i="38"/>
  <c r="C9" i="38"/>
  <c r="C19" i="38"/>
  <c r="B32" i="38"/>
  <c r="C17" i="38"/>
  <c r="B33" i="38"/>
  <c r="C33" i="38"/>
  <c r="B38" i="38"/>
  <c r="B46" i="38"/>
  <c r="C37" i="38"/>
  <c r="B37" i="38"/>
  <c r="B7" i="38"/>
  <c r="C7" i="38"/>
  <c r="B23" i="38"/>
  <c r="C23" i="38"/>
  <c r="B35" i="38"/>
  <c r="C35" i="38"/>
  <c r="B40" i="38"/>
  <c r="B15" i="38"/>
  <c r="C15" i="38"/>
  <c r="B31" i="38"/>
  <c r="C31" i="38"/>
  <c r="B44" i="38"/>
  <c r="C5" i="38"/>
  <c r="C13" i="38"/>
  <c r="C21" i="38"/>
  <c r="C29" i="38"/>
  <c r="C39" i="38"/>
  <c r="C41" i="38"/>
  <c r="C43" i="38"/>
  <c r="C45" i="38"/>
  <c r="B2" i="38"/>
  <c r="B4" i="38"/>
  <c r="B6" i="38"/>
  <c r="B8" i="38"/>
  <c r="B10" i="38"/>
  <c r="B12" i="38"/>
  <c r="B14" i="38"/>
  <c r="B16" i="38"/>
  <c r="B18" i="38"/>
  <c r="B20" i="38"/>
  <c r="B22" i="38"/>
  <c r="B24" i="38"/>
  <c r="B26" i="38"/>
  <c r="B28" i="38"/>
  <c r="B30" i="38"/>
  <c r="L14" i="57" l="1"/>
  <c r="BS69" i="67"/>
  <c r="I68" i="77"/>
  <c r="G68" i="36"/>
  <c r="O68" i="36" s="1"/>
  <c r="G68" i="32"/>
  <c r="O68" i="32" s="1"/>
  <c r="S68" i="32" s="1"/>
  <c r="P1" i="36"/>
  <c r="Q1" i="36"/>
  <c r="R2" i="34"/>
  <c r="R3" i="34"/>
  <c r="R4" i="34"/>
  <c r="R5" i="34"/>
  <c r="R6" i="34"/>
  <c r="R7" i="34"/>
  <c r="R8" i="34"/>
  <c r="R9" i="34"/>
  <c r="R10" i="34"/>
  <c r="R11" i="34"/>
  <c r="R12" i="34"/>
  <c r="R13" i="34"/>
  <c r="R14" i="34"/>
  <c r="R15" i="34"/>
  <c r="R16" i="34"/>
  <c r="R17" i="34"/>
  <c r="R18" i="34"/>
  <c r="R19"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R51" i="34"/>
  <c r="R52" i="34"/>
  <c r="R53" i="34"/>
  <c r="R54" i="34"/>
  <c r="R55" i="34"/>
  <c r="R56" i="34"/>
  <c r="R57" i="34"/>
  <c r="R58" i="34"/>
  <c r="R59" i="34"/>
  <c r="R60" i="34"/>
  <c r="R61" i="34"/>
  <c r="L2" i="34"/>
  <c r="L3" i="34"/>
  <c r="L4" i="34"/>
  <c r="L5" i="34"/>
  <c r="L6" i="34"/>
  <c r="L7"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Q2" i="34"/>
  <c r="Q3" i="34"/>
  <c r="Q4" i="34"/>
  <c r="Q5" i="34"/>
  <c r="Q6" i="34"/>
  <c r="Q7" i="34"/>
  <c r="Q8" i="34"/>
  <c r="Q9" i="34"/>
  <c r="Q10" i="34"/>
  <c r="Q11" i="34"/>
  <c r="Q12" i="34"/>
  <c r="Q13" i="34"/>
  <c r="Q14" i="34"/>
  <c r="Q15" i="34"/>
  <c r="Q16" i="34"/>
  <c r="Q17" i="34"/>
  <c r="Q18" i="34"/>
  <c r="Q19" i="34"/>
  <c r="Q20" i="34"/>
  <c r="Q21" i="34"/>
  <c r="Q22" i="34"/>
  <c r="Q23" i="34"/>
  <c r="Q24" i="34"/>
  <c r="Q25" i="34"/>
  <c r="Q26" i="34"/>
  <c r="Q27" i="34"/>
  <c r="Q28" i="34"/>
  <c r="Q29" i="34"/>
  <c r="Q30" i="34"/>
  <c r="Q31" i="34"/>
  <c r="Q32" i="34"/>
  <c r="Q33" i="34"/>
  <c r="Q34" i="34"/>
  <c r="Q35" i="34"/>
  <c r="Q36" i="34"/>
  <c r="Q37" i="34"/>
  <c r="Q38" i="34"/>
  <c r="Q39" i="34"/>
  <c r="Q40" i="34"/>
  <c r="Q41" i="34"/>
  <c r="Q42" i="34"/>
  <c r="Q43" i="34"/>
  <c r="Q44" i="34"/>
  <c r="Q45" i="34"/>
  <c r="Q46" i="34"/>
  <c r="Q47" i="34"/>
  <c r="Q48" i="34"/>
  <c r="Q49" i="34"/>
  <c r="O1" i="34"/>
  <c r="C85" i="34"/>
  <c r="B85" i="34"/>
  <c r="C84" i="34"/>
  <c r="B84" i="34"/>
  <c r="C83" i="34"/>
  <c r="B83" i="34"/>
  <c r="C82" i="34"/>
  <c r="B82" i="34"/>
  <c r="C81" i="34"/>
  <c r="B81" i="34"/>
  <c r="C80" i="34"/>
  <c r="B80" i="34"/>
  <c r="C79" i="34"/>
  <c r="B79" i="34"/>
  <c r="C78" i="34"/>
  <c r="B78" i="34"/>
  <c r="C77" i="34"/>
  <c r="B77" i="34"/>
  <c r="C76" i="34"/>
  <c r="B76" i="34"/>
  <c r="C75" i="34"/>
  <c r="B75" i="34"/>
  <c r="C74" i="34"/>
  <c r="B74" i="34"/>
  <c r="C73" i="34"/>
  <c r="B73" i="34"/>
  <c r="C72" i="34"/>
  <c r="B72" i="34"/>
  <c r="C71" i="34"/>
  <c r="B71" i="34"/>
  <c r="C70" i="34"/>
  <c r="B70" i="34"/>
  <c r="C69" i="34"/>
  <c r="B69" i="34"/>
  <c r="C68" i="34"/>
  <c r="B68" i="34"/>
  <c r="C67" i="34"/>
  <c r="B67" i="34"/>
  <c r="C66" i="34"/>
  <c r="B66" i="34"/>
  <c r="C65" i="34"/>
  <c r="B65" i="34"/>
  <c r="C64" i="34"/>
  <c r="B64" i="34"/>
  <c r="C63" i="34"/>
  <c r="B63" i="34"/>
  <c r="C62" i="34"/>
  <c r="B62" i="34"/>
  <c r="C61" i="34"/>
  <c r="B61" i="34"/>
  <c r="C60" i="34"/>
  <c r="B60" i="34"/>
  <c r="C59" i="34"/>
  <c r="B59" i="34"/>
  <c r="C58" i="34"/>
  <c r="B58" i="34"/>
  <c r="C57" i="34"/>
  <c r="B57" i="34"/>
  <c r="C56" i="34"/>
  <c r="B56" i="34"/>
  <c r="C55" i="34"/>
  <c r="B55" i="34"/>
  <c r="C54" i="34"/>
  <c r="B54" i="34"/>
  <c r="C53" i="34"/>
  <c r="B53" i="34"/>
  <c r="C52" i="34"/>
  <c r="B52" i="34"/>
  <c r="C51" i="34"/>
  <c r="B51" i="34"/>
  <c r="C50" i="34"/>
  <c r="B50" i="34"/>
  <c r="C49" i="34"/>
  <c r="B49" i="34"/>
  <c r="C48" i="34"/>
  <c r="B48" i="34"/>
  <c r="C47" i="34"/>
  <c r="B47" i="34"/>
  <c r="C46" i="34"/>
  <c r="C45" i="34"/>
  <c r="C44" i="34"/>
  <c r="C43" i="34"/>
  <c r="C42" i="34"/>
  <c r="B41" i="34"/>
  <c r="C40" i="34"/>
  <c r="B39" i="34"/>
  <c r="C38" i="34"/>
  <c r="B37" i="34"/>
  <c r="C36" i="34"/>
  <c r="B35" i="34"/>
  <c r="C34" i="34"/>
  <c r="B33" i="34"/>
  <c r="B32" i="34"/>
  <c r="C30" i="34"/>
  <c r="C29" i="34"/>
  <c r="C28" i="34"/>
  <c r="C27" i="34"/>
  <c r="C26" i="34"/>
  <c r="C25" i="34"/>
  <c r="C24" i="34"/>
  <c r="C22" i="34"/>
  <c r="C21" i="34"/>
  <c r="C20" i="34"/>
  <c r="C19" i="34"/>
  <c r="C18" i="34"/>
  <c r="C17" i="34"/>
  <c r="C16" i="34"/>
  <c r="C14" i="34"/>
  <c r="C13" i="34"/>
  <c r="C12" i="34"/>
  <c r="C11" i="34"/>
  <c r="C10" i="34"/>
  <c r="C9" i="34"/>
  <c r="C8" i="34"/>
  <c r="C6" i="34"/>
  <c r="C5" i="34"/>
  <c r="C4" i="34"/>
  <c r="C3" i="34"/>
  <c r="C2" i="34"/>
  <c r="O2" i="28"/>
  <c r="O3" i="28"/>
  <c r="O4" i="28"/>
  <c r="O5" i="28"/>
  <c r="O6" i="28"/>
  <c r="O7" i="28"/>
  <c r="O8" i="28"/>
  <c r="O9" i="28"/>
  <c r="O10" i="28"/>
  <c r="O11" i="28"/>
  <c r="O12" i="28"/>
  <c r="O13" i="28"/>
  <c r="O14" i="28"/>
  <c r="O15" i="28"/>
  <c r="O16" i="28"/>
  <c r="O17" i="28"/>
  <c r="O18" i="28"/>
  <c r="O19" i="28"/>
  <c r="O20" i="28"/>
  <c r="O21" i="28"/>
  <c r="O22" i="28"/>
  <c r="O23" i="28"/>
  <c r="O24" i="28"/>
  <c r="O25" i="28"/>
  <c r="O26" i="28"/>
  <c r="O27" i="28"/>
  <c r="O28" i="28"/>
  <c r="O29" i="28"/>
  <c r="O30" i="28"/>
  <c r="O31" i="28"/>
  <c r="O32" i="28"/>
  <c r="O33" i="28"/>
  <c r="O34" i="28"/>
  <c r="O35" i="28"/>
  <c r="O36" i="28"/>
  <c r="O37" i="28"/>
  <c r="O38" i="28"/>
  <c r="O39" i="28"/>
  <c r="O40" i="28"/>
  <c r="O41" i="28"/>
  <c r="O42" i="28"/>
  <c r="O43" i="28"/>
  <c r="O44" i="28"/>
  <c r="O45" i="28"/>
  <c r="O46" i="28"/>
  <c r="O47" i="28"/>
  <c r="O48" i="28"/>
  <c r="O49" i="28"/>
  <c r="O1" i="28"/>
  <c r="Q2" i="32"/>
  <c r="Q3" i="32"/>
  <c r="Q4" i="32"/>
  <c r="Q5" i="32"/>
  <c r="Q6" i="32"/>
  <c r="Q7" i="32"/>
  <c r="Q8" i="32"/>
  <c r="Q9" i="32"/>
  <c r="Q10" i="32"/>
  <c r="Q11" i="32"/>
  <c r="Q12" i="32"/>
  <c r="Q13" i="32"/>
  <c r="Q14" i="32"/>
  <c r="Q15" i="32"/>
  <c r="Q16" i="32"/>
  <c r="Q17" i="32"/>
  <c r="Q18" i="32"/>
  <c r="Q19" i="32"/>
  <c r="Q20" i="32"/>
  <c r="Q21" i="32"/>
  <c r="Q22" i="32"/>
  <c r="Q23" i="32"/>
  <c r="Q24" i="32"/>
  <c r="Q25" i="32"/>
  <c r="Q26" i="32"/>
  <c r="Q27" i="32"/>
  <c r="Q28" i="32"/>
  <c r="Q29" i="32"/>
  <c r="Q30" i="32"/>
  <c r="Q31" i="32"/>
  <c r="Q32" i="32"/>
  <c r="Q33" i="32"/>
  <c r="Q34" i="32"/>
  <c r="Q35" i="32"/>
  <c r="Q36" i="32"/>
  <c r="Q37" i="32"/>
  <c r="Q38" i="32"/>
  <c r="Q39" i="32"/>
  <c r="Q40" i="32"/>
  <c r="Q41" i="32"/>
  <c r="Q42" i="32"/>
  <c r="Q43" i="32"/>
  <c r="Q44" i="32"/>
  <c r="Q45" i="32"/>
  <c r="Q46" i="32"/>
  <c r="Q47" i="32"/>
  <c r="Q48" i="32"/>
  <c r="Q49" i="32"/>
  <c r="P2" i="32"/>
  <c r="P3" i="32"/>
  <c r="P4" i="32"/>
  <c r="P5" i="32"/>
  <c r="P6" i="32"/>
  <c r="P7" i="32"/>
  <c r="P8" i="32"/>
  <c r="P9" i="32"/>
  <c r="P10" i="32"/>
  <c r="P11" i="32"/>
  <c r="P12" i="32"/>
  <c r="P13" i="32"/>
  <c r="P14" i="32"/>
  <c r="P15" i="32"/>
  <c r="P16" i="32"/>
  <c r="P17" i="32"/>
  <c r="P18" i="32"/>
  <c r="P19" i="32"/>
  <c r="P20" i="32"/>
  <c r="P21" i="32"/>
  <c r="P22" i="32"/>
  <c r="P23" i="32"/>
  <c r="P24" i="32"/>
  <c r="P25" i="32"/>
  <c r="P26" i="32"/>
  <c r="P27" i="32"/>
  <c r="P28" i="32"/>
  <c r="P29" i="32"/>
  <c r="P30" i="32"/>
  <c r="P31" i="32"/>
  <c r="P32" i="32"/>
  <c r="P33" i="32"/>
  <c r="P34" i="32"/>
  <c r="P35" i="32"/>
  <c r="P36" i="32"/>
  <c r="P37" i="32"/>
  <c r="P38" i="32"/>
  <c r="P39" i="32"/>
  <c r="P40" i="32"/>
  <c r="P41" i="32"/>
  <c r="P42" i="32"/>
  <c r="P43" i="32"/>
  <c r="P44" i="32"/>
  <c r="P45" i="32"/>
  <c r="P46" i="32"/>
  <c r="P47" i="32"/>
  <c r="P48" i="32"/>
  <c r="P49" i="32"/>
  <c r="P50" i="32"/>
  <c r="P51" i="32"/>
  <c r="P52" i="32"/>
  <c r="P53" i="32"/>
  <c r="P54" i="32"/>
  <c r="P55" i="32"/>
  <c r="P56" i="32"/>
  <c r="P57" i="32"/>
  <c r="P58" i="32"/>
  <c r="P59" i="32"/>
  <c r="P60" i="32"/>
  <c r="P61" i="32"/>
  <c r="P1" i="32"/>
  <c r="Q1" i="32"/>
  <c r="P2" i="28"/>
  <c r="P3" i="28"/>
  <c r="P4" i="28"/>
  <c r="P5" i="28"/>
  <c r="P6" i="28"/>
  <c r="P7" i="28"/>
  <c r="P8" i="28"/>
  <c r="P9" i="28"/>
  <c r="P10" i="28"/>
  <c r="P11" i="28"/>
  <c r="P12" i="28"/>
  <c r="P13" i="28"/>
  <c r="P14" i="28"/>
  <c r="P15" i="28"/>
  <c r="P16" i="28"/>
  <c r="P17" i="28"/>
  <c r="P18" i="28"/>
  <c r="P19" i="28"/>
  <c r="P20" i="28"/>
  <c r="P21" i="28"/>
  <c r="P22" i="28"/>
  <c r="P23" i="28"/>
  <c r="P24" i="28"/>
  <c r="P25" i="28"/>
  <c r="P26" i="28"/>
  <c r="P27" i="28"/>
  <c r="P28" i="28"/>
  <c r="P29" i="28"/>
  <c r="P30" i="28"/>
  <c r="P31" i="28"/>
  <c r="P32" i="28"/>
  <c r="P33" i="28"/>
  <c r="P34" i="28"/>
  <c r="P35" i="28"/>
  <c r="P36" i="28"/>
  <c r="P37" i="28"/>
  <c r="P38" i="28"/>
  <c r="P39" i="28"/>
  <c r="P40" i="28"/>
  <c r="P41" i="28"/>
  <c r="P42" i="28"/>
  <c r="P43" i="28"/>
  <c r="P44" i="28"/>
  <c r="P45" i="28"/>
  <c r="P46" i="28"/>
  <c r="P47" i="28"/>
  <c r="P48" i="28"/>
  <c r="P49" i="28"/>
  <c r="P1" i="28"/>
  <c r="L34" i="57" l="1"/>
  <c r="L33" i="57"/>
  <c r="BS70" i="67"/>
  <c r="I69" i="77"/>
  <c r="G69" i="36"/>
  <c r="O69" i="36" s="1"/>
  <c r="G69" i="32"/>
  <c r="O69" i="32" s="1"/>
  <c r="S69" i="32" s="1"/>
  <c r="B30" i="34"/>
  <c r="B5" i="34"/>
  <c r="B27" i="34"/>
  <c r="B11" i="34"/>
  <c r="C32" i="34"/>
  <c r="C33" i="34"/>
  <c r="C37" i="34"/>
  <c r="B40" i="34"/>
  <c r="C41" i="34"/>
  <c r="B21" i="34"/>
  <c r="C35" i="34"/>
  <c r="B13" i="34"/>
  <c r="B29" i="34"/>
  <c r="B42" i="34"/>
  <c r="B43" i="34"/>
  <c r="B44" i="34"/>
  <c r="B45" i="34"/>
  <c r="B46" i="34"/>
  <c r="B3" i="34"/>
  <c r="B9" i="34"/>
  <c r="B19" i="34"/>
  <c r="B25" i="34"/>
  <c r="B34" i="34"/>
  <c r="B36" i="34"/>
  <c r="B38" i="34"/>
  <c r="C39" i="34"/>
  <c r="C23" i="34"/>
  <c r="B23" i="34"/>
  <c r="C31" i="34"/>
  <c r="B31" i="34"/>
  <c r="C15" i="34"/>
  <c r="B15" i="34"/>
  <c r="C7" i="34"/>
  <c r="B7" i="34"/>
  <c r="B17" i="34"/>
  <c r="B2" i="34"/>
  <c r="B6" i="34"/>
  <c r="B10" i="34"/>
  <c r="B14" i="34"/>
  <c r="B18" i="34"/>
  <c r="B22" i="34"/>
  <c r="B26" i="34"/>
  <c r="B4" i="34"/>
  <c r="B8" i="34"/>
  <c r="B12" i="34"/>
  <c r="B16" i="34"/>
  <c r="B20" i="34"/>
  <c r="B24" i="34"/>
  <c r="B28" i="34"/>
  <c r="O1" i="30"/>
  <c r="BS71" i="67" l="1"/>
  <c r="I70" i="77"/>
  <c r="G70" i="36"/>
  <c r="O70" i="36" s="1"/>
  <c r="G70" i="32"/>
  <c r="O70" i="32" s="1"/>
  <c r="S70" i="32" s="1"/>
  <c r="J14" i="15"/>
  <c r="D14" i="15"/>
  <c r="I10" i="15"/>
  <c r="O10" i="15"/>
  <c r="C10" i="15"/>
  <c r="BS72" i="67" l="1"/>
  <c r="I71" i="77"/>
  <c r="G71" i="36"/>
  <c r="O71" i="36" s="1"/>
  <c r="G71" i="32"/>
  <c r="O71" i="32" s="1"/>
  <c r="S71" i="32" s="1"/>
  <c r="P68" i="34"/>
  <c r="P67" i="34"/>
  <c r="P66" i="34"/>
  <c r="P65" i="34"/>
  <c r="P64" i="34"/>
  <c r="P63" i="34"/>
  <c r="BS73" i="67" l="1"/>
  <c r="I72" i="77"/>
  <c r="G72" i="36"/>
  <c r="O72" i="36" s="1"/>
  <c r="G72" i="32"/>
  <c r="O72" i="32" s="1"/>
  <c r="S72" i="32" s="1"/>
  <c r="P98" i="28"/>
  <c r="P99" i="28"/>
  <c r="P100" i="28"/>
  <c r="P101" i="28"/>
  <c r="P102" i="28"/>
  <c r="P103" i="28"/>
  <c r="P104" i="28"/>
  <c r="P105" i="28"/>
  <c r="P106" i="28"/>
  <c r="P107" i="28"/>
  <c r="P108" i="28"/>
  <c r="P109" i="28"/>
  <c r="P69" i="34"/>
  <c r="P71" i="34"/>
  <c r="P73" i="34"/>
  <c r="P70" i="34"/>
  <c r="P72" i="34"/>
  <c r="P62" i="34"/>
  <c r="N47" i="32"/>
  <c r="M47" i="28"/>
  <c r="M43" i="28"/>
  <c r="N43" i="32"/>
  <c r="N41" i="32"/>
  <c r="M41" i="28"/>
  <c r="N39" i="32"/>
  <c r="M39" i="28"/>
  <c r="N37" i="32"/>
  <c r="M37" i="28"/>
  <c r="M35" i="28"/>
  <c r="N35" i="32"/>
  <c r="N23" i="32"/>
  <c r="M23" i="28"/>
  <c r="N21" i="32"/>
  <c r="M21" i="28"/>
  <c r="N19" i="32"/>
  <c r="M19" i="28"/>
  <c r="N17" i="32"/>
  <c r="M17" i="28"/>
  <c r="M11" i="28"/>
  <c r="N11" i="32"/>
  <c r="N9" i="32"/>
  <c r="M9" i="28"/>
  <c r="N61" i="32"/>
  <c r="M61" i="28"/>
  <c r="M58" i="32"/>
  <c r="N53" i="32"/>
  <c r="M53" i="28"/>
  <c r="O60" i="28"/>
  <c r="Q52" i="32"/>
  <c r="P52" i="28"/>
  <c r="Q60" i="32"/>
  <c r="P60" i="28"/>
  <c r="M49" i="32"/>
  <c r="M47" i="32"/>
  <c r="M45" i="32"/>
  <c r="M43" i="32"/>
  <c r="M41" i="32"/>
  <c r="M39" i="32"/>
  <c r="M37" i="32"/>
  <c r="M35" i="32"/>
  <c r="M33" i="32"/>
  <c r="M31" i="32"/>
  <c r="M29" i="32"/>
  <c r="M27" i="32"/>
  <c r="M25" i="32"/>
  <c r="M23" i="32"/>
  <c r="M21" i="32"/>
  <c r="M19" i="32"/>
  <c r="M17" i="32"/>
  <c r="M15" i="32"/>
  <c r="M13" i="32"/>
  <c r="M11" i="32"/>
  <c r="M9" i="32"/>
  <c r="M7" i="32"/>
  <c r="M5" i="32"/>
  <c r="M3" i="32"/>
  <c r="M1" i="36"/>
  <c r="M1" i="32"/>
  <c r="M61" i="32"/>
  <c r="M60" i="28"/>
  <c r="N60" i="32"/>
  <c r="M57" i="32"/>
  <c r="M56" i="28"/>
  <c r="N56" i="32"/>
  <c r="M53" i="32"/>
  <c r="M52" i="28"/>
  <c r="N52" i="32"/>
  <c r="O61" i="28"/>
  <c r="O57" i="28"/>
  <c r="O53" i="28"/>
  <c r="Q53" i="32"/>
  <c r="P53" i="28"/>
  <c r="Q57" i="32"/>
  <c r="P57" i="28"/>
  <c r="Q61" i="32"/>
  <c r="P61" i="28"/>
  <c r="N49" i="32"/>
  <c r="M49" i="28"/>
  <c r="N29" i="32"/>
  <c r="M29" i="28"/>
  <c r="M27" i="28"/>
  <c r="N27" i="32"/>
  <c r="N25" i="32"/>
  <c r="M25" i="28"/>
  <c r="N15" i="32"/>
  <c r="M15" i="28"/>
  <c r="N13" i="32"/>
  <c r="M13" i="28"/>
  <c r="M1" i="38"/>
  <c r="N1" i="36"/>
  <c r="M1" i="28"/>
  <c r="N1" i="32"/>
  <c r="N48" i="32"/>
  <c r="M48" i="28"/>
  <c r="M46" i="28"/>
  <c r="N46" i="32"/>
  <c r="N44" i="32"/>
  <c r="M44" i="28"/>
  <c r="M42" i="28"/>
  <c r="N42" i="32"/>
  <c r="N40" i="32"/>
  <c r="M40" i="28"/>
  <c r="M38" i="28"/>
  <c r="N38" i="32"/>
  <c r="N36" i="32"/>
  <c r="M36" i="28"/>
  <c r="M34" i="28"/>
  <c r="N34" i="32"/>
  <c r="N32" i="32"/>
  <c r="M32" i="28"/>
  <c r="M30" i="28"/>
  <c r="N30" i="32"/>
  <c r="N28" i="32"/>
  <c r="M28" i="28"/>
  <c r="M26" i="28"/>
  <c r="N26" i="32"/>
  <c r="N24" i="32"/>
  <c r="M24" i="28"/>
  <c r="M22" i="28"/>
  <c r="N22" i="32"/>
  <c r="N20" i="32"/>
  <c r="M20" i="28"/>
  <c r="M18" i="28"/>
  <c r="N18" i="32"/>
  <c r="N16" i="32"/>
  <c r="M16" i="28"/>
  <c r="M14" i="28"/>
  <c r="N14" i="32"/>
  <c r="N12" i="32"/>
  <c r="M12" i="28"/>
  <c r="M10" i="28"/>
  <c r="N10" i="32"/>
  <c r="N8" i="32"/>
  <c r="M8" i="28"/>
  <c r="M6" i="28"/>
  <c r="N6" i="32"/>
  <c r="N4" i="32"/>
  <c r="M4" i="28"/>
  <c r="M2" i="28"/>
  <c r="N2" i="32"/>
  <c r="N1" i="34"/>
  <c r="N1" i="30"/>
  <c r="M60" i="32"/>
  <c r="N59" i="32"/>
  <c r="M59" i="28"/>
  <c r="M56" i="32"/>
  <c r="N55" i="32"/>
  <c r="M55" i="28"/>
  <c r="M52" i="32"/>
  <c r="N51" i="32"/>
  <c r="M51" i="28"/>
  <c r="O58" i="28"/>
  <c r="O54" i="28"/>
  <c r="Q50" i="32"/>
  <c r="P50" i="28"/>
  <c r="Q54" i="32"/>
  <c r="P54" i="28"/>
  <c r="Q58" i="32"/>
  <c r="P58" i="28"/>
  <c r="N45" i="32"/>
  <c r="M45" i="28"/>
  <c r="N33" i="32"/>
  <c r="M33" i="28"/>
  <c r="N31" i="32"/>
  <c r="M31" i="28"/>
  <c r="N7" i="32"/>
  <c r="M7" i="28"/>
  <c r="N5" i="32"/>
  <c r="M5" i="28"/>
  <c r="M3" i="28"/>
  <c r="N3" i="32"/>
  <c r="N57" i="32"/>
  <c r="M57" i="28"/>
  <c r="M54" i="32"/>
  <c r="M50" i="32"/>
  <c r="O56" i="28"/>
  <c r="O52" i="28"/>
  <c r="Q56" i="32"/>
  <c r="P56" i="28"/>
  <c r="M48" i="32"/>
  <c r="M46" i="32"/>
  <c r="M44" i="32"/>
  <c r="M42" i="32"/>
  <c r="M40" i="32"/>
  <c r="M38" i="32"/>
  <c r="M36" i="32"/>
  <c r="M34" i="32"/>
  <c r="M32" i="32"/>
  <c r="M30" i="32"/>
  <c r="M28" i="32"/>
  <c r="M26" i="32"/>
  <c r="M24" i="32"/>
  <c r="M22" i="32"/>
  <c r="M20" i="32"/>
  <c r="M18" i="32"/>
  <c r="M16" i="32"/>
  <c r="M14" i="32"/>
  <c r="M12" i="32"/>
  <c r="M10" i="32"/>
  <c r="M8" i="32"/>
  <c r="M6" i="32"/>
  <c r="M4" i="32"/>
  <c r="M2" i="32"/>
  <c r="L1" i="38"/>
  <c r="M1" i="34"/>
  <c r="L1" i="28"/>
  <c r="M1" i="30"/>
  <c r="M59" i="32"/>
  <c r="M58" i="28"/>
  <c r="N58" i="32"/>
  <c r="M55" i="32"/>
  <c r="M54" i="28"/>
  <c r="N54" i="32"/>
  <c r="M51" i="32"/>
  <c r="M50" i="28"/>
  <c r="N50" i="32"/>
  <c r="O50" i="28"/>
  <c r="O59" i="28"/>
  <c r="O55" i="28"/>
  <c r="O51" i="28"/>
  <c r="P51" i="28"/>
  <c r="Q51" i="32"/>
  <c r="Q55" i="32"/>
  <c r="P55" i="28"/>
  <c r="P59" i="28"/>
  <c r="Q59" i="32"/>
  <c r="P58" i="34"/>
  <c r="P50" i="34"/>
  <c r="P61" i="34"/>
  <c r="P57" i="34"/>
  <c r="P53" i="34"/>
  <c r="P54" i="34"/>
  <c r="P60" i="34"/>
  <c r="P56" i="34"/>
  <c r="P52" i="34"/>
  <c r="P59" i="34"/>
  <c r="P55" i="34"/>
  <c r="P51" i="34"/>
  <c r="S21" i="32" l="1"/>
  <c r="BS74" i="67"/>
  <c r="I73" i="77"/>
  <c r="G73" i="36"/>
  <c r="O73" i="36" s="1"/>
  <c r="G73" i="32"/>
  <c r="O73" i="32" s="1"/>
  <c r="S73" i="32" s="1"/>
  <c r="S30" i="32"/>
  <c r="S22" i="32"/>
  <c r="S17" i="32"/>
  <c r="S26" i="32"/>
  <c r="Q106" i="32"/>
  <c r="Q103" i="32"/>
  <c r="Q100" i="32"/>
  <c r="Q108" i="32"/>
  <c r="Q105" i="32"/>
  <c r="Q102" i="32"/>
  <c r="Q99" i="32"/>
  <c r="Q107" i="32"/>
  <c r="Q104" i="32"/>
  <c r="Q101" i="32"/>
  <c r="Q98" i="32"/>
  <c r="Q109" i="32"/>
  <c r="S15" i="32"/>
  <c r="S46" i="32"/>
  <c r="S47" i="32"/>
  <c r="S19" i="32"/>
  <c r="S28" i="32"/>
  <c r="S2" i="32"/>
  <c r="S31" i="32"/>
  <c r="S7" i="32"/>
  <c r="S24" i="32"/>
  <c r="O69" i="28"/>
  <c r="Q69" i="28" s="1"/>
  <c r="O71" i="28"/>
  <c r="Q71" i="28" s="1"/>
  <c r="O68" i="28"/>
  <c r="Q68" i="28" s="1"/>
  <c r="O65" i="28"/>
  <c r="Q65" i="28" s="1"/>
  <c r="O67" i="28"/>
  <c r="Q67" i="28" s="1"/>
  <c r="O63" i="28"/>
  <c r="Q63" i="28" s="1"/>
  <c r="O62" i="28"/>
  <c r="Q62" i="28" s="1"/>
  <c r="O70" i="28"/>
  <c r="Q70" i="28" s="1"/>
  <c r="O72" i="28"/>
  <c r="Q72" i="28" s="1"/>
  <c r="O64" i="28"/>
  <c r="Q64" i="28" s="1"/>
  <c r="O66" i="28"/>
  <c r="Q66" i="28" s="1"/>
  <c r="O73" i="28"/>
  <c r="Q73" i="28" s="1"/>
  <c r="S8" i="32"/>
  <c r="S10" i="32"/>
  <c r="S36" i="32"/>
  <c r="S54" i="32"/>
  <c r="S3" i="32"/>
  <c r="S29" i="32"/>
  <c r="S5" i="32"/>
  <c r="S14" i="32"/>
  <c r="S42" i="32"/>
  <c r="S40" i="32"/>
  <c r="S44" i="32"/>
  <c r="S45" i="32"/>
  <c r="S61" i="32"/>
  <c r="S38" i="32"/>
  <c r="S59" i="32"/>
  <c r="S12" i="32"/>
  <c r="S52" i="32"/>
  <c r="S53" i="32"/>
  <c r="S35" i="32"/>
  <c r="S37" i="32"/>
  <c r="S9" i="32"/>
  <c r="S16" i="32"/>
  <c r="S56" i="32"/>
  <c r="S25" i="32"/>
  <c r="S39" i="32"/>
  <c r="S32" i="32"/>
  <c r="S57" i="32"/>
  <c r="S33" i="32"/>
  <c r="S58" i="32"/>
  <c r="S50" i="32"/>
  <c r="S23" i="32"/>
  <c r="S51" i="32"/>
  <c r="S18" i="32"/>
  <c r="S11" i="32"/>
  <c r="S41" i="32"/>
  <c r="S4" i="32"/>
  <c r="S20" i="32"/>
  <c r="S34" i="32"/>
  <c r="S60" i="32"/>
  <c r="S13" i="32"/>
  <c r="S43" i="32"/>
  <c r="S49" i="32"/>
  <c r="S55" i="32"/>
  <c r="S48" i="32"/>
  <c r="S27" i="32"/>
  <c r="S6" i="32"/>
  <c r="Q18" i="28"/>
  <c r="Q52" i="28"/>
  <c r="Q33" i="28"/>
  <c r="Q15" i="28"/>
  <c r="Q37" i="28"/>
  <c r="Q47" i="28"/>
  <c r="Q57" i="28"/>
  <c r="Q60" i="28"/>
  <c r="Q40" i="28"/>
  <c r="Q41" i="28"/>
  <c r="Q22" i="28"/>
  <c r="Q11" i="28"/>
  <c r="Q46" i="28"/>
  <c r="Q49" i="28"/>
  <c r="Q45" i="28"/>
  <c r="Q39" i="28"/>
  <c r="Q51" i="28"/>
  <c r="Q56" i="28"/>
  <c r="Q9" i="28"/>
  <c r="Q12" i="28"/>
  <c r="P80" i="34"/>
  <c r="P75" i="34"/>
  <c r="P82" i="34"/>
  <c r="P85" i="34"/>
  <c r="P81" i="34"/>
  <c r="P78" i="34"/>
  <c r="P76" i="34"/>
  <c r="P83" i="34"/>
  <c r="P77" i="34"/>
  <c r="P74" i="34"/>
  <c r="Q56" i="34"/>
  <c r="Q51" i="34"/>
  <c r="Q54" i="34"/>
  <c r="Q57" i="34"/>
  <c r="Q59" i="34"/>
  <c r="Q55" i="34"/>
  <c r="Q50" i="34"/>
  <c r="Q52" i="34"/>
  <c r="Q58" i="34"/>
  <c r="Q53" i="34"/>
  <c r="Q61" i="34"/>
  <c r="Q60" i="34"/>
  <c r="BS75" i="67" l="1"/>
  <c r="I74" i="77"/>
  <c r="G74" i="36"/>
  <c r="O74" i="36" s="1"/>
  <c r="G74" i="32"/>
  <c r="O74" i="32" s="1"/>
  <c r="S74" i="32" s="1"/>
  <c r="O76" i="28"/>
  <c r="Q76" i="28" s="1"/>
  <c r="O85" i="28"/>
  <c r="Q85" i="28" s="1"/>
  <c r="O75" i="28"/>
  <c r="Q75" i="28" s="1"/>
  <c r="O79" i="28"/>
  <c r="Q79" i="28" s="1"/>
  <c r="O84" i="28"/>
  <c r="Q84" i="28" s="1"/>
  <c r="O81" i="28"/>
  <c r="Q81" i="28" s="1"/>
  <c r="O80" i="28"/>
  <c r="Q80" i="28" s="1"/>
  <c r="O74" i="28"/>
  <c r="Q74" i="28" s="1"/>
  <c r="O78" i="28"/>
  <c r="Q78" i="28" s="1"/>
  <c r="O83" i="28"/>
  <c r="Q83" i="28" s="1"/>
  <c r="O77" i="28"/>
  <c r="Q77" i="28" s="1"/>
  <c r="O82" i="28"/>
  <c r="Q82" i="28" s="1"/>
  <c r="Q36" i="28"/>
  <c r="Q54" i="28"/>
  <c r="Q38" i="28"/>
  <c r="Q16" i="28"/>
  <c r="Q21" i="28"/>
  <c r="Q23" i="28"/>
  <c r="Q19" i="28"/>
  <c r="Q26" i="28"/>
  <c r="Q31" i="28"/>
  <c r="Q6" i="28"/>
  <c r="Q35" i="28"/>
  <c r="Q7" i="28"/>
  <c r="Q59" i="28"/>
  <c r="Q20" i="28"/>
  <c r="Q3" i="28"/>
  <c r="Q8" i="28"/>
  <c r="Q14" i="28"/>
  <c r="Q2" i="28"/>
  <c r="Q29" i="28"/>
  <c r="Q55" i="28"/>
  <c r="Q10" i="28"/>
  <c r="Q25" i="28"/>
  <c r="Q17" i="28"/>
  <c r="Q58" i="28"/>
  <c r="Q61" i="28"/>
  <c r="Q34" i="28"/>
  <c r="Q24" i="28"/>
  <c r="Q53" i="28"/>
  <c r="Q44" i="28"/>
  <c r="Q43" i="28"/>
  <c r="Q4" i="28"/>
  <c r="Q50" i="28"/>
  <c r="Q32" i="28"/>
  <c r="Q48" i="28"/>
  <c r="Q5" i="28"/>
  <c r="Q42" i="28"/>
  <c r="Q27" i="28"/>
  <c r="Q13" i="28"/>
  <c r="Q28" i="28"/>
  <c r="Q30" i="28"/>
  <c r="P84" i="34"/>
  <c r="P79" i="34"/>
  <c r="Q73" i="34"/>
  <c r="Q70" i="34"/>
  <c r="Q64" i="34"/>
  <c r="Q66" i="34"/>
  <c r="Q63" i="34"/>
  <c r="Q62" i="34"/>
  <c r="Q72" i="34"/>
  <c r="Q65" i="34"/>
  <c r="Q69" i="34"/>
  <c r="Q67" i="34"/>
  <c r="Q71" i="34"/>
  <c r="Q68" i="34"/>
  <c r="BS76" i="67" l="1"/>
  <c r="I75" i="77"/>
  <c r="G75" i="36"/>
  <c r="O75" i="36" s="1"/>
  <c r="G75" i="32"/>
  <c r="O75" i="32" s="1"/>
  <c r="S75" i="32" s="1"/>
  <c r="O97" i="28"/>
  <c r="Q97" i="28" s="1"/>
  <c r="O90" i="28"/>
  <c r="Q90" i="28" s="1"/>
  <c r="O89" i="28"/>
  <c r="Q89" i="28" s="1"/>
  <c r="O87" i="28"/>
  <c r="Q87" i="28" s="1"/>
  <c r="O94" i="28"/>
  <c r="Q94" i="28" s="1"/>
  <c r="O92" i="28"/>
  <c r="Q92" i="28" s="1"/>
  <c r="O91" i="28"/>
  <c r="Q91" i="28" s="1"/>
  <c r="O96" i="28"/>
  <c r="Q96" i="28" s="1"/>
  <c r="O86" i="28"/>
  <c r="Q86" i="28" s="1"/>
  <c r="O93" i="28"/>
  <c r="Q93" i="28" s="1"/>
  <c r="O95" i="28"/>
  <c r="Q95" i="28" s="1"/>
  <c r="O88" i="28"/>
  <c r="Q88" i="28" s="1"/>
  <c r="Q77" i="34"/>
  <c r="Q84" i="34"/>
  <c r="Q74" i="34"/>
  <c r="Q75" i="34"/>
  <c r="Q78" i="34"/>
  <c r="Q76" i="34"/>
  <c r="Q80" i="34"/>
  <c r="Q79" i="34"/>
  <c r="Q83" i="34"/>
  <c r="Q82" i="34"/>
  <c r="Q81" i="34"/>
  <c r="Q85" i="34"/>
  <c r="AB55" i="4"/>
  <c r="AA55" i="4"/>
  <c r="DI55" i="4"/>
  <c r="DH55" i="4"/>
  <c r="CU55" i="4"/>
  <c r="CT55" i="4"/>
  <c r="BS77" i="67" l="1"/>
  <c r="I76" i="77"/>
  <c r="G76" i="36"/>
  <c r="O76" i="36" s="1"/>
  <c r="G76" i="32"/>
  <c r="O76" i="32" s="1"/>
  <c r="S76" i="32" s="1"/>
  <c r="O101" i="28"/>
  <c r="Q101" i="28" s="1"/>
  <c r="O99" i="28"/>
  <c r="Q99" i="28" s="1"/>
  <c r="O107" i="28"/>
  <c r="Q107" i="28" s="1"/>
  <c r="O105" i="28"/>
  <c r="Q105" i="28" s="1"/>
  <c r="O100" i="28"/>
  <c r="Q100" i="28" s="1"/>
  <c r="O109" i="28"/>
  <c r="Q109" i="28" s="1"/>
  <c r="O104" i="28"/>
  <c r="Q104" i="28" s="1"/>
  <c r="O102" i="28"/>
  <c r="Q102" i="28" s="1"/>
  <c r="O108" i="28"/>
  <c r="Q108" i="28" s="1"/>
  <c r="O103" i="28"/>
  <c r="Q103" i="28" s="1"/>
  <c r="O106" i="28"/>
  <c r="Q106" i="28" s="1"/>
  <c r="O98" i="28"/>
  <c r="Q98" i="28" s="1"/>
  <c r="Q86" i="34"/>
  <c r="Q88" i="34"/>
  <c r="Q95" i="34"/>
  <c r="Q90" i="34"/>
  <c r="Q91" i="34"/>
  <c r="Q94" i="34"/>
  <c r="Q96" i="34"/>
  <c r="Q97" i="34"/>
  <c r="Q92" i="34"/>
  <c r="Q89" i="34"/>
  <c r="Q93" i="34"/>
  <c r="Q87" i="34"/>
  <c r="AQ64" i="4"/>
  <c r="BE63" i="4"/>
  <c r="BE64" i="4"/>
  <c r="BE61" i="4"/>
  <c r="BE65" i="4"/>
  <c r="BE60" i="4"/>
  <c r="BE59" i="4"/>
  <c r="BE58" i="4"/>
  <c r="BE67" i="4"/>
  <c r="BE62" i="4"/>
  <c r="BE57" i="4"/>
  <c r="BE66" i="4"/>
  <c r="CW26" i="4"/>
  <c r="CV26" i="4"/>
  <c r="CR26" i="4"/>
  <c r="CZ26" i="4"/>
  <c r="CU26" i="4"/>
  <c r="CP26" i="4"/>
  <c r="CY26" i="4"/>
  <c r="CT26" i="4"/>
  <c r="CS26" i="4"/>
  <c r="CQ26" i="4"/>
  <c r="CX26" i="4"/>
  <c r="CF26" i="4"/>
  <c r="CD26" i="4"/>
  <c r="CC26" i="4"/>
  <c r="CJ26" i="4"/>
  <c r="CB26" i="4"/>
  <c r="CA26" i="4"/>
  <c r="CF56" i="4" s="1"/>
  <c r="CL26" i="4"/>
  <c r="CI26" i="4"/>
  <c r="CK26" i="4"/>
  <c r="CH26" i="4"/>
  <c r="CE26" i="4"/>
  <c r="CG26" i="4"/>
  <c r="BS78" i="67" l="1"/>
  <c r="I77" i="77"/>
  <c r="G77" i="36"/>
  <c r="O77" i="36" s="1"/>
  <c r="G77" i="32"/>
  <c r="O77" i="32" s="1"/>
  <c r="S77" i="32" s="1"/>
  <c r="AW49" i="4"/>
  <c r="O123" i="38"/>
  <c r="Q99" i="34"/>
  <c r="Q105" i="34"/>
  <c r="Q107" i="34"/>
  <c r="O122" i="38"/>
  <c r="Q104" i="34"/>
  <c r="Q103" i="34"/>
  <c r="O132" i="38"/>
  <c r="Q108" i="34"/>
  <c r="O126" i="38"/>
  <c r="Q100" i="34"/>
  <c r="O130" i="38"/>
  <c r="O133" i="38"/>
  <c r="O127" i="38"/>
  <c r="Q106" i="34"/>
  <c r="O129" i="38"/>
  <c r="O124" i="38"/>
  <c r="Q98" i="34"/>
  <c r="Q102" i="34"/>
  <c r="O125" i="38"/>
  <c r="O128" i="38"/>
  <c r="Q101" i="34"/>
  <c r="O131" i="38"/>
  <c r="DH64" i="4"/>
  <c r="DH63" i="4"/>
  <c r="DI67" i="4"/>
  <c r="DH61" i="4"/>
  <c r="DI63" i="4"/>
  <c r="DH66" i="4"/>
  <c r="DI58" i="4"/>
  <c r="DI59" i="4"/>
  <c r="DI60" i="4"/>
  <c r="DI61" i="4"/>
  <c r="DI62" i="4"/>
  <c r="DI66" i="4"/>
  <c r="DH67" i="4"/>
  <c r="DH57" i="4"/>
  <c r="DH59" i="4"/>
  <c r="DI57" i="4"/>
  <c r="DI64" i="4"/>
  <c r="DI65" i="4"/>
  <c r="DH60" i="4"/>
  <c r="DH65" i="4"/>
  <c r="DH62" i="4"/>
  <c r="DH58" i="4"/>
  <c r="DI56" i="4"/>
  <c r="DH56" i="4"/>
  <c r="CU63" i="4"/>
  <c r="CU64" i="4"/>
  <c r="CU66" i="4"/>
  <c r="CU62" i="4"/>
  <c r="CU67" i="4"/>
  <c r="CU57" i="4"/>
  <c r="CU59" i="4"/>
  <c r="CU61" i="4"/>
  <c r="CU58" i="4"/>
  <c r="CU65" i="4"/>
  <c r="CU60" i="4"/>
  <c r="CU56" i="4"/>
  <c r="CT66" i="4"/>
  <c r="CT57" i="4"/>
  <c r="CT61" i="4"/>
  <c r="CT59" i="4"/>
  <c r="CT63" i="4"/>
  <c r="CT64" i="4"/>
  <c r="CT58" i="4"/>
  <c r="CT62" i="4"/>
  <c r="CT65" i="4"/>
  <c r="CT60" i="4"/>
  <c r="CT67" i="4"/>
  <c r="CG59" i="4"/>
  <c r="CG63" i="4"/>
  <c r="CG60" i="4"/>
  <c r="CG62" i="4"/>
  <c r="CG57" i="4"/>
  <c r="CG64" i="4"/>
  <c r="CG58" i="4"/>
  <c r="CG61" i="4"/>
  <c r="CG65" i="4"/>
  <c r="CG66" i="4"/>
  <c r="CG67" i="4"/>
  <c r="CG56" i="4"/>
  <c r="CF62" i="4"/>
  <c r="CF60" i="4"/>
  <c r="CF63" i="4"/>
  <c r="CF65" i="4"/>
  <c r="CF58" i="4"/>
  <c r="CF59" i="4"/>
  <c r="CF61" i="4"/>
  <c r="CF66" i="4"/>
  <c r="CF64" i="4"/>
  <c r="CF67" i="4"/>
  <c r="CF57" i="4"/>
  <c r="BS66" i="4"/>
  <c r="BR64" i="4"/>
  <c r="BS58" i="4"/>
  <c r="BS65" i="4"/>
  <c r="BR58" i="4"/>
  <c r="BR57" i="4"/>
  <c r="BR63" i="4"/>
  <c r="BS61" i="4"/>
  <c r="BR60" i="4"/>
  <c r="BS57" i="4"/>
  <c r="BR59" i="4"/>
  <c r="BS59" i="4"/>
  <c r="BS63" i="4"/>
  <c r="BS62" i="4"/>
  <c r="BR62" i="4"/>
  <c r="BS67" i="4"/>
  <c r="BS60" i="4"/>
  <c r="BR66" i="4"/>
  <c r="BR65" i="4"/>
  <c r="BR61" i="4"/>
  <c r="BR67" i="4"/>
  <c r="BS64" i="4"/>
  <c r="BS56" i="4"/>
  <c r="BR56" i="4"/>
  <c r="BD59" i="4"/>
  <c r="BD62" i="4"/>
  <c r="BD63" i="4"/>
  <c r="BD61" i="4"/>
  <c r="BD67" i="4"/>
  <c r="BD60" i="4"/>
  <c r="BD64" i="4"/>
  <c r="BD57" i="4"/>
  <c r="BD66" i="4"/>
  <c r="BD58" i="4"/>
  <c r="BD65" i="4"/>
  <c r="BE56" i="4"/>
  <c r="BD56" i="4"/>
  <c r="AQ60" i="4"/>
  <c r="AQ63" i="4"/>
  <c r="AQ67" i="4"/>
  <c r="AQ58" i="4"/>
  <c r="AP57" i="4"/>
  <c r="AP64" i="4"/>
  <c r="AQ61" i="4"/>
  <c r="AQ57" i="4"/>
  <c r="AP59" i="4"/>
  <c r="AQ62" i="4"/>
  <c r="AP62" i="4"/>
  <c r="AP65" i="4"/>
  <c r="AQ59" i="4"/>
  <c r="AP63" i="4"/>
  <c r="AP61" i="4"/>
  <c r="AP60" i="4"/>
  <c r="AP66" i="4"/>
  <c r="AQ65" i="4"/>
  <c r="AP58" i="4"/>
  <c r="AP67" i="4"/>
  <c r="AQ66" i="4"/>
  <c r="AB67" i="4"/>
  <c r="AB64" i="4"/>
  <c r="AB58" i="4"/>
  <c r="AB63" i="4"/>
  <c r="AB66" i="4"/>
  <c r="AB57" i="4"/>
  <c r="AB61" i="4"/>
  <c r="AB65" i="4"/>
  <c r="AB59" i="4"/>
  <c r="AB60" i="4"/>
  <c r="AB62" i="4"/>
  <c r="AB56" i="4"/>
  <c r="F8" i="38" l="1"/>
  <c r="M8" i="38" s="1"/>
  <c r="F9" i="38"/>
  <c r="M9" i="38" s="1"/>
  <c r="F5" i="38"/>
  <c r="M5" i="38" s="1"/>
  <c r="E6" i="38"/>
  <c r="L6" i="38" s="1"/>
  <c r="E13" i="38"/>
  <c r="L13" i="38" s="1"/>
  <c r="E9" i="38"/>
  <c r="L9" i="38" s="1"/>
  <c r="E7" i="38"/>
  <c r="L7" i="38" s="1"/>
  <c r="E3" i="38"/>
  <c r="L3" i="38" s="1"/>
  <c r="E5" i="38"/>
  <c r="L5" i="38" s="1"/>
  <c r="F3" i="38"/>
  <c r="M3" i="38" s="1"/>
  <c r="E4" i="38"/>
  <c r="L4" i="38" s="1"/>
  <c r="F7" i="38"/>
  <c r="M7" i="38" s="1"/>
  <c r="E12" i="38"/>
  <c r="L12" i="38" s="1"/>
  <c r="F11" i="38"/>
  <c r="M11" i="38" s="1"/>
  <c r="F2" i="38"/>
  <c r="M2" i="38" s="1"/>
  <c r="F10" i="38"/>
  <c r="M10" i="38" s="1"/>
  <c r="F6" i="38"/>
  <c r="M6" i="38" s="1"/>
  <c r="F4" i="38"/>
  <c r="M4" i="38" s="1"/>
  <c r="F13" i="38"/>
  <c r="M13" i="38" s="1"/>
  <c r="E10" i="38"/>
  <c r="L10" i="38" s="1"/>
  <c r="E2" i="38"/>
  <c r="L2" i="38" s="1"/>
  <c r="E11" i="38"/>
  <c r="L11" i="38" s="1"/>
  <c r="E8" i="38"/>
  <c r="L8" i="38" s="1"/>
  <c r="F12" i="38"/>
  <c r="M12" i="38" s="1"/>
  <c r="BS79" i="67"/>
  <c r="I78" i="77"/>
  <c r="G78" i="36"/>
  <c r="O78" i="36" s="1"/>
  <c r="G78" i="32"/>
  <c r="O78" i="32" s="1"/>
  <c r="S78" i="32" s="1"/>
  <c r="E7" i="77"/>
  <c r="E3" i="77"/>
  <c r="E13" i="77"/>
  <c r="E12" i="77"/>
  <c r="E6" i="77"/>
  <c r="E11" i="77"/>
  <c r="E8" i="77"/>
  <c r="E4" i="77"/>
  <c r="E10" i="77"/>
  <c r="E9" i="77"/>
  <c r="E5" i="77"/>
  <c r="F8" i="77"/>
  <c r="F8" i="34"/>
  <c r="F10" i="77"/>
  <c r="F10" i="34"/>
  <c r="E3" i="76"/>
  <c r="E3" i="34"/>
  <c r="F5" i="77"/>
  <c r="F5" i="34"/>
  <c r="F3" i="77"/>
  <c r="F3" i="34"/>
  <c r="E4" i="76"/>
  <c r="E4" i="34"/>
  <c r="E6" i="76"/>
  <c r="E6" i="34"/>
  <c r="F7" i="77"/>
  <c r="F7" i="34"/>
  <c r="F13" i="77"/>
  <c r="F13" i="34"/>
  <c r="E7" i="76"/>
  <c r="E7" i="34"/>
  <c r="E8" i="76"/>
  <c r="E8" i="34"/>
  <c r="F9" i="77"/>
  <c r="F9" i="34"/>
  <c r="E5" i="76"/>
  <c r="E5" i="34"/>
  <c r="E9" i="76"/>
  <c r="E9" i="34"/>
  <c r="E13" i="76"/>
  <c r="E13" i="34"/>
  <c r="F11" i="77"/>
  <c r="F11" i="34"/>
  <c r="E11" i="76"/>
  <c r="E11" i="34"/>
  <c r="F4" i="77"/>
  <c r="F4" i="34"/>
  <c r="E12" i="76"/>
  <c r="E12" i="34"/>
  <c r="E10" i="76"/>
  <c r="E10" i="34"/>
  <c r="F6" i="77"/>
  <c r="F6" i="34"/>
  <c r="F12" i="77"/>
  <c r="F12" i="34"/>
  <c r="F2" i="77"/>
  <c r="P2" i="77" s="1"/>
  <c r="F2" i="34"/>
  <c r="E2" i="76"/>
  <c r="E2" i="34"/>
  <c r="E2" i="36"/>
  <c r="E2" i="77"/>
  <c r="O2" i="77" s="1"/>
  <c r="F13" i="75"/>
  <c r="F13" i="76"/>
  <c r="F11" i="75"/>
  <c r="F11" i="76"/>
  <c r="F8" i="75"/>
  <c r="F8" i="76"/>
  <c r="F9" i="75"/>
  <c r="F9" i="76"/>
  <c r="F5" i="75"/>
  <c r="F5" i="76"/>
  <c r="F3" i="75"/>
  <c r="F3" i="76"/>
  <c r="F10" i="75"/>
  <c r="F10" i="76"/>
  <c r="F4" i="75"/>
  <c r="F4" i="76"/>
  <c r="F7" i="75"/>
  <c r="F7" i="76"/>
  <c r="F6" i="75"/>
  <c r="F6" i="76"/>
  <c r="F12" i="75"/>
  <c r="F12" i="76"/>
  <c r="F2" i="75"/>
  <c r="F2" i="76"/>
  <c r="E9" i="75"/>
  <c r="E6" i="75"/>
  <c r="E3" i="75"/>
  <c r="E8" i="75"/>
  <c r="E5" i="75"/>
  <c r="E7" i="75"/>
  <c r="E4" i="75"/>
  <c r="E11" i="75"/>
  <c r="E13" i="75"/>
  <c r="E12" i="75"/>
  <c r="E10" i="75"/>
  <c r="E2" i="75"/>
  <c r="N2" i="75" s="1"/>
  <c r="F3" i="36"/>
  <c r="F7" i="36"/>
  <c r="E13" i="36"/>
  <c r="E12" i="36"/>
  <c r="F9" i="36"/>
  <c r="F5" i="36"/>
  <c r="E6" i="36"/>
  <c r="F10" i="36"/>
  <c r="E11" i="36"/>
  <c r="E8" i="36"/>
  <c r="F13" i="36"/>
  <c r="E7" i="36"/>
  <c r="E3" i="36"/>
  <c r="F11" i="36"/>
  <c r="E4" i="36"/>
  <c r="F4" i="36"/>
  <c r="E10" i="36"/>
  <c r="F8" i="36"/>
  <c r="E9" i="36"/>
  <c r="F6" i="36"/>
  <c r="F12" i="36"/>
  <c r="E5" i="36"/>
  <c r="F2" i="36"/>
  <c r="N2" i="36" s="1"/>
  <c r="AW25" i="4"/>
  <c r="AW50" i="4"/>
  <c r="P6" i="70"/>
  <c r="P11" i="70"/>
  <c r="P4" i="70"/>
  <c r="P5" i="70"/>
  <c r="P14" i="70"/>
  <c r="P8" i="70"/>
  <c r="P12" i="70"/>
  <c r="P13" i="70"/>
  <c r="P9" i="70"/>
  <c r="P7" i="70"/>
  <c r="P10" i="70"/>
  <c r="O144" i="38"/>
  <c r="O143" i="38"/>
  <c r="O141" i="38"/>
  <c r="O139" i="38"/>
  <c r="O140" i="38"/>
  <c r="O145" i="38"/>
  <c r="O134" i="38"/>
  <c r="O137" i="38"/>
  <c r="O142" i="38"/>
  <c r="O138" i="38"/>
  <c r="O136" i="38"/>
  <c r="O135" i="38"/>
  <c r="F20" i="38" l="1"/>
  <c r="F17" i="38"/>
  <c r="F15" i="38"/>
  <c r="M15" i="38" s="1"/>
  <c r="E16" i="38"/>
  <c r="L16" i="38" s="1"/>
  <c r="E15" i="38"/>
  <c r="L15" i="38" s="1"/>
  <c r="F22" i="38"/>
  <c r="E23" i="38"/>
  <c r="E17" i="38"/>
  <c r="F19" i="38"/>
  <c r="F14" i="38"/>
  <c r="M14" i="38" s="1"/>
  <c r="F21" i="38"/>
  <c r="E24" i="38"/>
  <c r="F23" i="38"/>
  <c r="E25" i="38"/>
  <c r="E20" i="38"/>
  <c r="F24" i="38"/>
  <c r="E21" i="38"/>
  <c r="E19" i="38"/>
  <c r="F18" i="38"/>
  <c r="F16" i="38"/>
  <c r="E14" i="38"/>
  <c r="L14" i="38" s="1"/>
  <c r="E18" i="38"/>
  <c r="E22" i="38"/>
  <c r="F25" i="38"/>
  <c r="E14" i="36"/>
  <c r="M14" i="36" s="1"/>
  <c r="M2" i="36"/>
  <c r="F15" i="77"/>
  <c r="P3" i="77"/>
  <c r="E24" i="77"/>
  <c r="O12" i="77"/>
  <c r="E25" i="77"/>
  <c r="O13" i="77"/>
  <c r="F18" i="77"/>
  <c r="P6" i="77"/>
  <c r="F21" i="77"/>
  <c r="P9" i="77"/>
  <c r="F17" i="77"/>
  <c r="P5" i="77"/>
  <c r="E15" i="77"/>
  <c r="O3" i="77"/>
  <c r="E19" i="77"/>
  <c r="O7" i="77"/>
  <c r="F22" i="77"/>
  <c r="P10" i="77"/>
  <c r="E14" i="77"/>
  <c r="F25" i="77"/>
  <c r="P13" i="77"/>
  <c r="F20" i="77"/>
  <c r="P8" i="77"/>
  <c r="E17" i="77"/>
  <c r="O5" i="77"/>
  <c r="F23" i="77"/>
  <c r="P11" i="77"/>
  <c r="F19" i="77"/>
  <c r="P7" i="77"/>
  <c r="E21" i="77"/>
  <c r="O9" i="77"/>
  <c r="F16" i="77"/>
  <c r="P4" i="77"/>
  <c r="E22" i="77"/>
  <c r="O10" i="77"/>
  <c r="E16" i="77"/>
  <c r="O4" i="77"/>
  <c r="F14" i="77"/>
  <c r="E20" i="77"/>
  <c r="O8" i="77"/>
  <c r="F24" i="77"/>
  <c r="P12" i="77"/>
  <c r="E23" i="77"/>
  <c r="O11" i="77"/>
  <c r="E18" i="77"/>
  <c r="O6" i="77"/>
  <c r="E17" i="76"/>
  <c r="O5" i="76"/>
  <c r="F20" i="76"/>
  <c r="P8" i="76"/>
  <c r="F18" i="76"/>
  <c r="P6" i="76"/>
  <c r="F23" i="76"/>
  <c r="P11" i="76"/>
  <c r="E24" i="76"/>
  <c r="O12" i="76"/>
  <c r="E20" i="76"/>
  <c r="O8" i="76"/>
  <c r="E15" i="76"/>
  <c r="O3" i="76"/>
  <c r="F24" i="76"/>
  <c r="P12" i="76"/>
  <c r="F25" i="76"/>
  <c r="P13" i="76"/>
  <c r="E19" i="76"/>
  <c r="O7" i="76"/>
  <c r="F19" i="76"/>
  <c r="P7" i="76"/>
  <c r="F16" i="76"/>
  <c r="P4" i="76"/>
  <c r="E22" i="76"/>
  <c r="O10" i="76"/>
  <c r="E23" i="76"/>
  <c r="O11" i="76"/>
  <c r="F22" i="76"/>
  <c r="P10" i="76"/>
  <c r="E14" i="76"/>
  <c r="O2" i="76"/>
  <c r="F15" i="76"/>
  <c r="P3" i="76"/>
  <c r="E18" i="76"/>
  <c r="O6" i="76"/>
  <c r="F17" i="76"/>
  <c r="P5" i="76"/>
  <c r="E25" i="76"/>
  <c r="O13" i="76"/>
  <c r="E21" i="76"/>
  <c r="O9" i="76"/>
  <c r="E16" i="76"/>
  <c r="O4" i="76"/>
  <c r="F14" i="76"/>
  <c r="P2" i="76"/>
  <c r="F21" i="76"/>
  <c r="P9" i="76"/>
  <c r="F14" i="75"/>
  <c r="F26" i="75" s="1"/>
  <c r="F38" i="75" s="1"/>
  <c r="F50" i="75" s="1"/>
  <c r="F62" i="75" s="1"/>
  <c r="F74" i="75" s="1"/>
  <c r="F86" i="75" s="1"/>
  <c r="F98" i="75" s="1"/>
  <c r="F110" i="75" s="1"/>
  <c r="O2" i="75"/>
  <c r="F24" i="75"/>
  <c r="F36" i="75" s="1"/>
  <c r="F48" i="75" s="1"/>
  <c r="F60" i="75" s="1"/>
  <c r="F72" i="75" s="1"/>
  <c r="F84" i="75" s="1"/>
  <c r="F96" i="75" s="1"/>
  <c r="F108" i="75" s="1"/>
  <c r="F120" i="75" s="1"/>
  <c r="O12" i="75"/>
  <c r="F20" i="75"/>
  <c r="F32" i="75" s="1"/>
  <c r="F44" i="75" s="1"/>
  <c r="F56" i="75" s="1"/>
  <c r="F68" i="75" s="1"/>
  <c r="F80" i="75" s="1"/>
  <c r="F92" i="75" s="1"/>
  <c r="F104" i="75" s="1"/>
  <c r="F116" i="75" s="1"/>
  <c r="O8" i="75"/>
  <c r="F23" i="75"/>
  <c r="F35" i="75" s="1"/>
  <c r="F47" i="75" s="1"/>
  <c r="F59" i="75" s="1"/>
  <c r="F71" i="75" s="1"/>
  <c r="F83" i="75" s="1"/>
  <c r="F95" i="75" s="1"/>
  <c r="O11" i="75"/>
  <c r="F21" i="75"/>
  <c r="F33" i="75" s="1"/>
  <c r="F45" i="75" s="1"/>
  <c r="F57" i="75" s="1"/>
  <c r="F69" i="75" s="1"/>
  <c r="F81" i="75" s="1"/>
  <c r="F93" i="75" s="1"/>
  <c r="F105" i="75" s="1"/>
  <c r="F117" i="75" s="1"/>
  <c r="O9" i="75"/>
  <c r="F18" i="75"/>
  <c r="F30" i="75" s="1"/>
  <c r="F42" i="75" s="1"/>
  <c r="F54" i="75" s="1"/>
  <c r="F66" i="75" s="1"/>
  <c r="F78" i="75" s="1"/>
  <c r="F90" i="75" s="1"/>
  <c r="F102" i="75" s="1"/>
  <c r="F114" i="75" s="1"/>
  <c r="O6" i="75"/>
  <c r="E24" i="75"/>
  <c r="E36" i="75" s="1"/>
  <c r="E48" i="75" s="1"/>
  <c r="E60" i="75" s="1"/>
  <c r="E72" i="75" s="1"/>
  <c r="E84" i="75" s="1"/>
  <c r="E96" i="75" s="1"/>
  <c r="E108" i="75" s="1"/>
  <c r="E120" i="75" s="1"/>
  <c r="N12" i="75"/>
  <c r="E22" i="75"/>
  <c r="E34" i="75" s="1"/>
  <c r="E46" i="75" s="1"/>
  <c r="E58" i="75" s="1"/>
  <c r="E70" i="75" s="1"/>
  <c r="E82" i="75" s="1"/>
  <c r="E94" i="75" s="1"/>
  <c r="E106" i="75" s="1"/>
  <c r="E118" i="75" s="1"/>
  <c r="N10" i="75"/>
  <c r="E25" i="75"/>
  <c r="E37" i="75" s="1"/>
  <c r="E49" i="75" s="1"/>
  <c r="E61" i="75" s="1"/>
  <c r="E73" i="75" s="1"/>
  <c r="E85" i="75" s="1"/>
  <c r="E97" i="75" s="1"/>
  <c r="E109" i="75" s="1"/>
  <c r="E121" i="75" s="1"/>
  <c r="N13" i="75"/>
  <c r="F19" i="75"/>
  <c r="F31" i="75" s="1"/>
  <c r="F43" i="75" s="1"/>
  <c r="F55" i="75" s="1"/>
  <c r="F67" i="75" s="1"/>
  <c r="F79" i="75" s="1"/>
  <c r="F91" i="75" s="1"/>
  <c r="F103" i="75" s="1"/>
  <c r="F115" i="75" s="1"/>
  <c r="O7" i="75"/>
  <c r="F25" i="75"/>
  <c r="F37" i="75" s="1"/>
  <c r="F49" i="75" s="1"/>
  <c r="F61" i="75" s="1"/>
  <c r="F73" i="75" s="1"/>
  <c r="F85" i="75" s="1"/>
  <c r="F97" i="75" s="1"/>
  <c r="F109" i="75" s="1"/>
  <c r="F121" i="75" s="1"/>
  <c r="O13" i="75"/>
  <c r="E14" i="75"/>
  <c r="E26" i="75" s="1"/>
  <c r="E38" i="75" s="1"/>
  <c r="E50" i="75" s="1"/>
  <c r="E62" i="75" s="1"/>
  <c r="E74" i="75" s="1"/>
  <c r="E86" i="75" s="1"/>
  <c r="E98" i="75" s="1"/>
  <c r="E110" i="75" s="1"/>
  <c r="E23" i="75"/>
  <c r="E35" i="75" s="1"/>
  <c r="E47" i="75" s="1"/>
  <c r="E59" i="75" s="1"/>
  <c r="E71" i="75" s="1"/>
  <c r="E83" i="75" s="1"/>
  <c r="E95" i="75" s="1"/>
  <c r="E107" i="75" s="1"/>
  <c r="E119" i="75" s="1"/>
  <c r="N11" i="75"/>
  <c r="E16" i="75"/>
  <c r="E28" i="75" s="1"/>
  <c r="E40" i="75" s="1"/>
  <c r="E52" i="75" s="1"/>
  <c r="E64" i="75" s="1"/>
  <c r="E76" i="75" s="1"/>
  <c r="E88" i="75" s="1"/>
  <c r="E100" i="75" s="1"/>
  <c r="E112" i="75" s="1"/>
  <c r="N4" i="75"/>
  <c r="F16" i="75"/>
  <c r="F28" i="75" s="1"/>
  <c r="F40" i="75" s="1"/>
  <c r="F52" i="75" s="1"/>
  <c r="F64" i="75" s="1"/>
  <c r="F76" i="75" s="1"/>
  <c r="F88" i="75" s="1"/>
  <c r="F100" i="75" s="1"/>
  <c r="F112" i="75" s="1"/>
  <c r="O4" i="75"/>
  <c r="E19" i="75"/>
  <c r="E31" i="75" s="1"/>
  <c r="E43" i="75" s="1"/>
  <c r="E55" i="75" s="1"/>
  <c r="E67" i="75" s="1"/>
  <c r="E79" i="75" s="1"/>
  <c r="E91" i="75" s="1"/>
  <c r="E103" i="75" s="1"/>
  <c r="E115" i="75" s="1"/>
  <c r="N7" i="75"/>
  <c r="E17" i="75"/>
  <c r="E29" i="75" s="1"/>
  <c r="E41" i="75" s="1"/>
  <c r="E53" i="75" s="1"/>
  <c r="E65" i="75" s="1"/>
  <c r="E77" i="75" s="1"/>
  <c r="E89" i="75" s="1"/>
  <c r="E101" i="75" s="1"/>
  <c r="E113" i="75" s="1"/>
  <c r="N5" i="75"/>
  <c r="F22" i="75"/>
  <c r="F34" i="75" s="1"/>
  <c r="F46" i="75" s="1"/>
  <c r="F58" i="75" s="1"/>
  <c r="F70" i="75" s="1"/>
  <c r="F82" i="75" s="1"/>
  <c r="F94" i="75" s="1"/>
  <c r="F106" i="75" s="1"/>
  <c r="F118" i="75" s="1"/>
  <c r="O10" i="75"/>
  <c r="E20" i="75"/>
  <c r="E32" i="75" s="1"/>
  <c r="E44" i="75" s="1"/>
  <c r="E56" i="75" s="1"/>
  <c r="E68" i="75" s="1"/>
  <c r="E80" i="75" s="1"/>
  <c r="E92" i="75" s="1"/>
  <c r="E104" i="75" s="1"/>
  <c r="E116" i="75" s="1"/>
  <c r="N8" i="75"/>
  <c r="F15" i="75"/>
  <c r="F27" i="75" s="1"/>
  <c r="F39" i="75" s="1"/>
  <c r="F51" i="75" s="1"/>
  <c r="F63" i="75" s="1"/>
  <c r="F75" i="75" s="1"/>
  <c r="F87" i="75" s="1"/>
  <c r="F99" i="75" s="1"/>
  <c r="F111" i="75" s="1"/>
  <c r="O3" i="75"/>
  <c r="E15" i="75"/>
  <c r="E27" i="75" s="1"/>
  <c r="E39" i="75" s="1"/>
  <c r="E51" i="75" s="1"/>
  <c r="E63" i="75" s="1"/>
  <c r="E75" i="75" s="1"/>
  <c r="E87" i="75" s="1"/>
  <c r="E99" i="75" s="1"/>
  <c r="E111" i="75" s="1"/>
  <c r="N3" i="75"/>
  <c r="E18" i="75"/>
  <c r="E30" i="75" s="1"/>
  <c r="E42" i="75" s="1"/>
  <c r="E54" i="75" s="1"/>
  <c r="E66" i="75" s="1"/>
  <c r="E78" i="75" s="1"/>
  <c r="E90" i="75" s="1"/>
  <c r="E102" i="75" s="1"/>
  <c r="E114" i="75" s="1"/>
  <c r="N6" i="75"/>
  <c r="E21" i="75"/>
  <c r="E33" i="75" s="1"/>
  <c r="E45" i="75" s="1"/>
  <c r="E57" i="75" s="1"/>
  <c r="E69" i="75" s="1"/>
  <c r="E81" i="75" s="1"/>
  <c r="E93" i="75" s="1"/>
  <c r="E105" i="75" s="1"/>
  <c r="E117" i="75" s="1"/>
  <c r="N9" i="75"/>
  <c r="F17" i="75"/>
  <c r="F29" i="75" s="1"/>
  <c r="F41" i="75" s="1"/>
  <c r="F53" i="75" s="1"/>
  <c r="F65" i="75" s="1"/>
  <c r="F77" i="75" s="1"/>
  <c r="F89" i="75" s="1"/>
  <c r="F101" i="75" s="1"/>
  <c r="F113" i="75" s="1"/>
  <c r="O5" i="75"/>
  <c r="N3" i="36"/>
  <c r="F15" i="36"/>
  <c r="M9" i="36"/>
  <c r="E21" i="36"/>
  <c r="N8" i="36"/>
  <c r="F20" i="36"/>
  <c r="N7" i="36"/>
  <c r="F19" i="36"/>
  <c r="M10" i="36"/>
  <c r="E22" i="36"/>
  <c r="N4" i="36"/>
  <c r="F16" i="36"/>
  <c r="M3" i="36"/>
  <c r="E15" i="36"/>
  <c r="N13" i="36"/>
  <c r="F25" i="36"/>
  <c r="M4" i="36"/>
  <c r="E16" i="36"/>
  <c r="M7" i="36"/>
  <c r="E19" i="36"/>
  <c r="M8" i="36"/>
  <c r="E20" i="36"/>
  <c r="M11" i="36"/>
  <c r="E23" i="36"/>
  <c r="N11" i="36"/>
  <c r="F23" i="36"/>
  <c r="N10" i="36"/>
  <c r="F22" i="36"/>
  <c r="M13" i="36"/>
  <c r="E25" i="36"/>
  <c r="M6" i="36"/>
  <c r="E18" i="36"/>
  <c r="N12" i="36"/>
  <c r="F24" i="36"/>
  <c r="N9" i="36"/>
  <c r="F21" i="36"/>
  <c r="M5" i="36"/>
  <c r="E17" i="36"/>
  <c r="N5" i="36"/>
  <c r="F17" i="36"/>
  <c r="N6" i="36"/>
  <c r="F18" i="36"/>
  <c r="M12" i="36"/>
  <c r="E24" i="36"/>
  <c r="F14" i="36"/>
  <c r="E22" i="34"/>
  <c r="M10" i="34"/>
  <c r="F21" i="34"/>
  <c r="N9" i="34"/>
  <c r="F17" i="34"/>
  <c r="N5" i="34"/>
  <c r="E24" i="34"/>
  <c r="M12" i="34"/>
  <c r="E20" i="34"/>
  <c r="M8" i="34"/>
  <c r="E15" i="34"/>
  <c r="M3" i="34"/>
  <c r="F22" i="34"/>
  <c r="N10" i="34"/>
  <c r="F20" i="34"/>
  <c r="N8" i="34"/>
  <c r="F25" i="34"/>
  <c r="N13" i="34"/>
  <c r="F19" i="34"/>
  <c r="N7" i="34"/>
  <c r="E19" i="34"/>
  <c r="M7" i="34"/>
  <c r="E23" i="34"/>
  <c r="M11" i="34"/>
  <c r="E14" i="34"/>
  <c r="M2" i="34"/>
  <c r="F24" i="34"/>
  <c r="N12" i="34"/>
  <c r="E21" i="34"/>
  <c r="M9" i="34"/>
  <c r="E16" i="34"/>
  <c r="M4" i="34"/>
  <c r="F23" i="34"/>
  <c r="N11" i="34"/>
  <c r="F14" i="34"/>
  <c r="N2" i="34"/>
  <c r="E25" i="34"/>
  <c r="M13" i="34"/>
  <c r="E18" i="34"/>
  <c r="M6" i="34"/>
  <c r="F16" i="34"/>
  <c r="N4" i="34"/>
  <c r="F18" i="34"/>
  <c r="N6" i="34"/>
  <c r="E17" i="34"/>
  <c r="M5" i="34"/>
  <c r="F15" i="34"/>
  <c r="N3" i="34"/>
  <c r="BS80" i="67"/>
  <c r="I79" i="77"/>
  <c r="G79" i="36"/>
  <c r="O79" i="36" s="1"/>
  <c r="G79" i="32"/>
  <c r="O79" i="32" s="1"/>
  <c r="S79" i="32" s="1"/>
  <c r="AQ56" i="4"/>
  <c r="AW51" i="4"/>
  <c r="AP56" i="4"/>
  <c r="AW26" i="4"/>
  <c r="B37" i="25"/>
  <c r="B46" i="25" s="1"/>
  <c r="B36" i="25"/>
  <c r="B45" i="25" s="1"/>
  <c r="B35" i="25"/>
  <c r="B44" i="25" s="1"/>
  <c r="B34" i="25"/>
  <c r="B43" i="25" s="1"/>
  <c r="B33" i="25"/>
  <c r="B42" i="25" s="1"/>
  <c r="B28" i="25"/>
  <c r="B27" i="25"/>
  <c r="B16" i="25"/>
  <c r="B15" i="25"/>
  <c r="B14" i="25"/>
  <c r="B13" i="25"/>
  <c r="B12" i="25"/>
  <c r="AI7" i="17"/>
  <c r="E26" i="36" l="1"/>
  <c r="E38" i="36" s="1"/>
  <c r="E50" i="36" s="1"/>
  <c r="E62" i="36" s="1"/>
  <c r="E74" i="36" s="1"/>
  <c r="E86" i="36" s="1"/>
  <c r="E98" i="36" s="1"/>
  <c r="E110" i="36" s="1"/>
  <c r="E122" i="36" s="1"/>
  <c r="E134" i="36" s="1"/>
  <c r="F107" i="75"/>
  <c r="F119" i="75" s="1"/>
  <c r="O95" i="75"/>
  <c r="AI8" i="17"/>
  <c r="AJ7" i="17"/>
  <c r="N14" i="75"/>
  <c r="N14" i="36"/>
  <c r="F26" i="36"/>
  <c r="F38" i="36" s="1"/>
  <c r="F50" i="36" s="1"/>
  <c r="F62" i="36" s="1"/>
  <c r="F74" i="36" s="1"/>
  <c r="F86" i="36" s="1"/>
  <c r="F98" i="36" s="1"/>
  <c r="F110" i="36" s="1"/>
  <c r="F122" i="36" s="1"/>
  <c r="F134" i="36" s="1"/>
  <c r="N25" i="36"/>
  <c r="F37" i="36"/>
  <c r="M15" i="36"/>
  <c r="E27" i="36"/>
  <c r="N18" i="36"/>
  <c r="F30" i="36"/>
  <c r="F35" i="36"/>
  <c r="N23" i="36"/>
  <c r="N16" i="36"/>
  <c r="F28" i="36"/>
  <c r="N22" i="36"/>
  <c r="F34" i="36"/>
  <c r="N17" i="36"/>
  <c r="F29" i="36"/>
  <c r="M23" i="36"/>
  <c r="E35" i="36"/>
  <c r="M22" i="36"/>
  <c r="E34" i="36"/>
  <c r="F31" i="36"/>
  <c r="N19" i="36"/>
  <c r="E36" i="36"/>
  <c r="M24" i="36"/>
  <c r="N21" i="36"/>
  <c r="F33" i="36"/>
  <c r="E31" i="36"/>
  <c r="M19" i="36"/>
  <c r="N20" i="36"/>
  <c r="F32" i="36"/>
  <c r="N24" i="36"/>
  <c r="F36" i="36"/>
  <c r="E28" i="36"/>
  <c r="M16" i="36"/>
  <c r="M21" i="36"/>
  <c r="E33" i="36"/>
  <c r="E32" i="36"/>
  <c r="M20" i="36"/>
  <c r="M25" i="36"/>
  <c r="E37" i="36"/>
  <c r="M17" i="36"/>
  <c r="E29" i="36"/>
  <c r="M18" i="36"/>
  <c r="E30" i="36"/>
  <c r="F27" i="36"/>
  <c r="N15" i="36"/>
  <c r="BS81" i="67"/>
  <c r="I80" i="77"/>
  <c r="G80" i="36"/>
  <c r="O80" i="36" s="1"/>
  <c r="G80" i="32"/>
  <c r="O80" i="32" s="1"/>
  <c r="S80" i="32" s="1"/>
  <c r="P3" i="70"/>
  <c r="P15" i="70" l="1"/>
  <c r="Q5" i="70" s="1"/>
  <c r="E6" i="74"/>
  <c r="E6" i="25"/>
  <c r="AI9" i="17"/>
  <c r="AJ8" i="17"/>
  <c r="N28" i="36"/>
  <c r="F40" i="36"/>
  <c r="N35" i="36"/>
  <c r="F47" i="36"/>
  <c r="N29" i="36"/>
  <c r="F41" i="36"/>
  <c r="N34" i="36"/>
  <c r="F46" i="36"/>
  <c r="N33" i="36"/>
  <c r="F45" i="36"/>
  <c r="N30" i="36"/>
  <c r="F42" i="36"/>
  <c r="E48" i="36"/>
  <c r="M36" i="36"/>
  <c r="E39" i="36"/>
  <c r="M27" i="36"/>
  <c r="E44" i="36"/>
  <c r="M32" i="36"/>
  <c r="F43" i="36"/>
  <c r="N31" i="36"/>
  <c r="E45" i="36"/>
  <c r="M33" i="36"/>
  <c r="M34" i="36"/>
  <c r="E46" i="36"/>
  <c r="N37" i="36"/>
  <c r="F49" i="36"/>
  <c r="E47" i="36"/>
  <c r="M35" i="36"/>
  <c r="F48" i="36"/>
  <c r="N36" i="36"/>
  <c r="F44" i="36"/>
  <c r="N32" i="36"/>
  <c r="F39" i="36"/>
  <c r="N27" i="36"/>
  <c r="M30" i="36"/>
  <c r="E42" i="36"/>
  <c r="M31" i="36"/>
  <c r="E43" i="36"/>
  <c r="M29" i="36"/>
  <c r="E41" i="36"/>
  <c r="M37" i="36"/>
  <c r="E49" i="36"/>
  <c r="M28" i="36"/>
  <c r="E40" i="36"/>
  <c r="BS82" i="67"/>
  <c r="I81" i="77"/>
  <c r="G81" i="36"/>
  <c r="O81" i="36" s="1"/>
  <c r="G81" i="32"/>
  <c r="O81" i="32" s="1"/>
  <c r="S81" i="32" s="1"/>
  <c r="Q12" i="70" l="1"/>
  <c r="Q4" i="70"/>
  <c r="Q6" i="70"/>
  <c r="Q9" i="70"/>
  <c r="Q13" i="70"/>
  <c r="Q3" i="70"/>
  <c r="Q7" i="70"/>
  <c r="Q8" i="70"/>
  <c r="Q14" i="70"/>
  <c r="Q10" i="70"/>
  <c r="Q11" i="70"/>
  <c r="F6" i="74"/>
  <c r="F6" i="25"/>
  <c r="AJ9" i="17"/>
  <c r="AI10" i="17"/>
  <c r="N42" i="36"/>
  <c r="F54" i="36"/>
  <c r="E52" i="36"/>
  <c r="M40" i="36"/>
  <c r="M39" i="36"/>
  <c r="E51" i="36"/>
  <c r="F60" i="36"/>
  <c r="N48" i="36"/>
  <c r="E61" i="36"/>
  <c r="M49" i="36"/>
  <c r="M47" i="36"/>
  <c r="E59" i="36"/>
  <c r="M46" i="36"/>
  <c r="E58" i="36"/>
  <c r="F61" i="36"/>
  <c r="N49" i="36"/>
  <c r="N46" i="36"/>
  <c r="F58" i="36"/>
  <c r="M45" i="36"/>
  <c r="E57" i="36"/>
  <c r="F56" i="36"/>
  <c r="N44" i="36"/>
  <c r="E60" i="36"/>
  <c r="M48" i="36"/>
  <c r="N45" i="36"/>
  <c r="F57" i="36"/>
  <c r="E53" i="36"/>
  <c r="M41" i="36"/>
  <c r="M43" i="36"/>
  <c r="E55" i="36"/>
  <c r="F59" i="36"/>
  <c r="N47" i="36"/>
  <c r="F52" i="36"/>
  <c r="N40" i="36"/>
  <c r="F53" i="36"/>
  <c r="N41" i="36"/>
  <c r="E54" i="36"/>
  <c r="M42" i="36"/>
  <c r="N43" i="36"/>
  <c r="F55" i="36"/>
  <c r="F51" i="36"/>
  <c r="N39" i="36"/>
  <c r="M44" i="36"/>
  <c r="E56" i="36"/>
  <c r="BS83" i="67"/>
  <c r="I82" i="77"/>
  <c r="G82" i="36"/>
  <c r="O82" i="36" s="1"/>
  <c r="G82" i="32"/>
  <c r="O82" i="32" s="1"/>
  <c r="S82" i="32" s="1"/>
  <c r="R3" i="70" l="1"/>
  <c r="D43" i="70" s="1"/>
  <c r="R10" i="70"/>
  <c r="I48" i="70" s="1"/>
  <c r="Q15" i="70"/>
  <c r="G6" i="74"/>
  <c r="G6" i="25"/>
  <c r="AI11" i="17"/>
  <c r="AJ10" i="17"/>
  <c r="E70" i="36"/>
  <c r="M58" i="36"/>
  <c r="M55" i="36"/>
  <c r="E67" i="36"/>
  <c r="M53" i="36"/>
  <c r="E65" i="36"/>
  <c r="E73" i="36"/>
  <c r="M61" i="36"/>
  <c r="E63" i="36"/>
  <c r="M51" i="36"/>
  <c r="N59" i="36"/>
  <c r="F71" i="36"/>
  <c r="E71" i="36"/>
  <c r="M59" i="36"/>
  <c r="F69" i="36"/>
  <c r="N57" i="36"/>
  <c r="N51" i="36"/>
  <c r="F63" i="36"/>
  <c r="F67" i="36"/>
  <c r="N55" i="36"/>
  <c r="F72" i="36"/>
  <c r="N60" i="36"/>
  <c r="N53" i="36"/>
  <c r="F65" i="36"/>
  <c r="M54" i="36"/>
  <c r="E66" i="36"/>
  <c r="E69" i="36"/>
  <c r="M57" i="36"/>
  <c r="F70" i="36"/>
  <c r="N58" i="36"/>
  <c r="N54" i="36"/>
  <c r="F66" i="36"/>
  <c r="N61" i="36"/>
  <c r="F73" i="36"/>
  <c r="M56" i="36"/>
  <c r="E68" i="36"/>
  <c r="M60" i="36"/>
  <c r="E72" i="36"/>
  <c r="F68" i="36"/>
  <c r="N56" i="36"/>
  <c r="M52" i="36"/>
  <c r="E64" i="36"/>
  <c r="N52" i="36"/>
  <c r="F64" i="36"/>
  <c r="BS84" i="67"/>
  <c r="I83" i="77"/>
  <c r="G83" i="36"/>
  <c r="O83" i="36" s="1"/>
  <c r="G83" i="32"/>
  <c r="O83" i="32" s="1"/>
  <c r="S83" i="32" s="1"/>
  <c r="I44" i="70" l="1"/>
  <c r="D47" i="70"/>
  <c r="H6" i="74"/>
  <c r="H6" i="25"/>
  <c r="AJ11" i="17"/>
  <c r="AI12" i="17"/>
  <c r="N69" i="36"/>
  <c r="F81" i="36"/>
  <c r="N70" i="36"/>
  <c r="F82" i="36"/>
  <c r="F76" i="36"/>
  <c r="N64" i="36"/>
  <c r="M63" i="36"/>
  <c r="E75" i="36"/>
  <c r="F78" i="36"/>
  <c r="N66" i="36"/>
  <c r="M71" i="36"/>
  <c r="E83" i="36"/>
  <c r="N68" i="36"/>
  <c r="F80" i="36"/>
  <c r="F83" i="36"/>
  <c r="N71" i="36"/>
  <c r="M69" i="36"/>
  <c r="E81" i="36"/>
  <c r="F77" i="36"/>
  <c r="N65" i="36"/>
  <c r="E84" i="36"/>
  <c r="M72" i="36"/>
  <c r="E78" i="36"/>
  <c r="M66" i="36"/>
  <c r="M65" i="36"/>
  <c r="E77" i="36"/>
  <c r="E80" i="36"/>
  <c r="M68" i="36"/>
  <c r="E79" i="36"/>
  <c r="M67" i="36"/>
  <c r="N73" i="36"/>
  <c r="F85" i="36"/>
  <c r="F75" i="36"/>
  <c r="N63" i="36"/>
  <c r="E76" i="36"/>
  <c r="M64" i="36"/>
  <c r="E85" i="36"/>
  <c r="M73" i="36"/>
  <c r="F84" i="36"/>
  <c r="N72" i="36"/>
  <c r="F79" i="36"/>
  <c r="N67" i="36"/>
  <c r="M70" i="36"/>
  <c r="E82" i="36"/>
  <c r="BS85" i="67"/>
  <c r="I84" i="77"/>
  <c r="G84" i="36"/>
  <c r="O84" i="36" s="1"/>
  <c r="G84" i="32"/>
  <c r="O84" i="32" s="1"/>
  <c r="S84" i="32" s="1"/>
  <c r="O25" i="76"/>
  <c r="O21" i="77"/>
  <c r="O24" i="77"/>
  <c r="P21" i="77"/>
  <c r="P24" i="77"/>
  <c r="O25" i="77"/>
  <c r="P25" i="76"/>
  <c r="O23" i="77"/>
  <c r="O24" i="76"/>
  <c r="P22" i="77"/>
  <c r="P22" i="76"/>
  <c r="P24" i="76"/>
  <c r="P23" i="76"/>
  <c r="O23" i="76"/>
  <c r="P23" i="77"/>
  <c r="O22" i="77"/>
  <c r="P25" i="77"/>
  <c r="O22" i="76"/>
  <c r="AO7" i="17"/>
  <c r="AP7" i="17" s="1"/>
  <c r="L5" i="24"/>
  <c r="E7" i="74" l="1"/>
  <c r="E7" i="25"/>
  <c r="I6" i="74"/>
  <c r="I6" i="25"/>
  <c r="AJ12" i="17"/>
  <c r="AI13" i="17"/>
  <c r="N78" i="36"/>
  <c r="F90" i="36"/>
  <c r="E87" i="36"/>
  <c r="M75" i="36"/>
  <c r="F95" i="36"/>
  <c r="N83" i="36"/>
  <c r="F96" i="36"/>
  <c r="N84" i="36"/>
  <c r="M78" i="36"/>
  <c r="E90" i="36"/>
  <c r="F91" i="36"/>
  <c r="N79" i="36"/>
  <c r="F92" i="36"/>
  <c r="N80" i="36"/>
  <c r="F88" i="36"/>
  <c r="N76" i="36"/>
  <c r="N85" i="36"/>
  <c r="F97" i="36"/>
  <c r="E92" i="36"/>
  <c r="M80" i="36"/>
  <c r="F94" i="36"/>
  <c r="N82" i="36"/>
  <c r="E97" i="36"/>
  <c r="M85" i="36"/>
  <c r="M79" i="36"/>
  <c r="E91" i="36"/>
  <c r="M82" i="36"/>
  <c r="E94" i="36"/>
  <c r="E95" i="36"/>
  <c r="M83" i="36"/>
  <c r="E89" i="36"/>
  <c r="M77" i="36"/>
  <c r="E93" i="36"/>
  <c r="M81" i="36"/>
  <c r="N81" i="36"/>
  <c r="F93" i="36"/>
  <c r="E96" i="36"/>
  <c r="M84" i="36"/>
  <c r="E88" i="36"/>
  <c r="M76" i="36"/>
  <c r="N77" i="36"/>
  <c r="F89" i="36"/>
  <c r="F87" i="36"/>
  <c r="N75" i="36"/>
  <c r="BS86" i="67"/>
  <c r="I85" i="77"/>
  <c r="G85" i="36"/>
  <c r="O85" i="36" s="1"/>
  <c r="G85" i="32"/>
  <c r="O85" i="32" s="1"/>
  <c r="S85" i="32" s="1"/>
  <c r="E34" i="76"/>
  <c r="O34" i="76" s="1"/>
  <c r="F36" i="76"/>
  <c r="P36" i="76" s="1"/>
  <c r="E34" i="77"/>
  <c r="O34" i="77" s="1"/>
  <c r="F37" i="76"/>
  <c r="P37" i="76" s="1"/>
  <c r="F33" i="77"/>
  <c r="P33" i="77" s="1"/>
  <c r="F36" i="77"/>
  <c r="P36" i="77" s="1"/>
  <c r="E36" i="76"/>
  <c r="O36" i="76" s="1"/>
  <c r="E37" i="76"/>
  <c r="O37" i="76" s="1"/>
  <c r="E37" i="77"/>
  <c r="O37" i="77" s="1"/>
  <c r="F37" i="77"/>
  <c r="P37" i="77" s="1"/>
  <c r="F35" i="77"/>
  <c r="P35" i="77" s="1"/>
  <c r="E35" i="76"/>
  <c r="O35" i="76" s="1"/>
  <c r="F34" i="76"/>
  <c r="P34" i="76" s="1"/>
  <c r="F34" i="77"/>
  <c r="P34" i="77" s="1"/>
  <c r="E36" i="77"/>
  <c r="O36" i="77" s="1"/>
  <c r="E35" i="77"/>
  <c r="O35" i="77" s="1"/>
  <c r="F35" i="76"/>
  <c r="P35" i="76" s="1"/>
  <c r="E33" i="77"/>
  <c r="O33" i="77" s="1"/>
  <c r="AO8" i="17"/>
  <c r="AP8" i="17" s="1"/>
  <c r="B6" i="24"/>
  <c r="D6" i="24" s="1"/>
  <c r="J6" i="24"/>
  <c r="L6" i="24" s="1"/>
  <c r="F7" i="74" l="1"/>
  <c r="F7" i="25"/>
  <c r="J6" i="74"/>
  <c r="J6" i="25"/>
  <c r="AJ13" i="17"/>
  <c r="AI14" i="17"/>
  <c r="AI15" i="17" s="1"/>
  <c r="AJ15" i="17" s="1"/>
  <c r="F100" i="36"/>
  <c r="N88" i="36"/>
  <c r="N89" i="36"/>
  <c r="F101" i="36"/>
  <c r="E108" i="36"/>
  <c r="M96" i="36"/>
  <c r="M90" i="36"/>
  <c r="E102" i="36"/>
  <c r="F99" i="36"/>
  <c r="N87" i="36"/>
  <c r="E103" i="36"/>
  <c r="M91" i="36"/>
  <c r="F108" i="36"/>
  <c r="N96" i="36"/>
  <c r="M87" i="36"/>
  <c r="E99" i="36"/>
  <c r="M95" i="36"/>
  <c r="E107" i="36"/>
  <c r="M94" i="36"/>
  <c r="E106" i="36"/>
  <c r="N91" i="36"/>
  <c r="F103" i="36"/>
  <c r="E109" i="36"/>
  <c r="M97" i="36"/>
  <c r="N94" i="36"/>
  <c r="F106" i="36"/>
  <c r="N93" i="36"/>
  <c r="F105" i="36"/>
  <c r="F109" i="36"/>
  <c r="N97" i="36"/>
  <c r="N90" i="36"/>
  <c r="F102" i="36"/>
  <c r="E101" i="36"/>
  <c r="M89" i="36"/>
  <c r="F104" i="36"/>
  <c r="N92" i="36"/>
  <c r="E100" i="36"/>
  <c r="M88" i="36"/>
  <c r="F107" i="36"/>
  <c r="N95" i="36"/>
  <c r="E104" i="36"/>
  <c r="M92" i="36"/>
  <c r="E105" i="36"/>
  <c r="M93" i="36"/>
  <c r="BS87" i="67"/>
  <c r="I86" i="77"/>
  <c r="G86" i="36"/>
  <c r="O86" i="36" s="1"/>
  <c r="G86" i="32"/>
  <c r="O86" i="32" s="1"/>
  <c r="S86" i="32" s="1"/>
  <c r="F48" i="76"/>
  <c r="P48" i="76" s="1"/>
  <c r="F45" i="77"/>
  <c r="P45" i="77" s="1"/>
  <c r="E47" i="77"/>
  <c r="O47" i="77" s="1"/>
  <c r="F49" i="76"/>
  <c r="P49" i="76" s="1"/>
  <c r="E48" i="77"/>
  <c r="O48" i="77" s="1"/>
  <c r="F48" i="77"/>
  <c r="P48" i="77" s="1"/>
  <c r="E46" i="77"/>
  <c r="O46" i="77" s="1"/>
  <c r="F46" i="77"/>
  <c r="P46" i="77" s="1"/>
  <c r="E49" i="76"/>
  <c r="O49" i="76" s="1"/>
  <c r="F47" i="77"/>
  <c r="P47" i="77" s="1"/>
  <c r="F49" i="77"/>
  <c r="P49" i="77" s="1"/>
  <c r="F46" i="76"/>
  <c r="P46" i="76" s="1"/>
  <c r="E48" i="76"/>
  <c r="O48" i="76" s="1"/>
  <c r="E49" i="77"/>
  <c r="O49" i="77" s="1"/>
  <c r="F47" i="76"/>
  <c r="P47" i="76" s="1"/>
  <c r="E46" i="76"/>
  <c r="O46" i="76" s="1"/>
  <c r="E45" i="77"/>
  <c r="O45" i="77" s="1"/>
  <c r="E47" i="76"/>
  <c r="O47" i="76" s="1"/>
  <c r="AO9" i="17"/>
  <c r="B7" i="24"/>
  <c r="D7" i="24" s="1"/>
  <c r="J7" i="24"/>
  <c r="L7" i="24" s="1"/>
  <c r="M6" i="25" l="1"/>
  <c r="M6" i="74"/>
  <c r="K6" i="25"/>
  <c r="K6" i="74"/>
  <c r="AO10" i="17"/>
  <c r="AP9" i="17"/>
  <c r="AJ14" i="17"/>
  <c r="F114" i="36"/>
  <c r="N102" i="36"/>
  <c r="M99" i="36"/>
  <c r="E111" i="36"/>
  <c r="F121" i="36"/>
  <c r="N109" i="36"/>
  <c r="F117" i="36"/>
  <c r="N105" i="36"/>
  <c r="E115" i="36"/>
  <c r="M103" i="36"/>
  <c r="M109" i="36"/>
  <c r="E121" i="36"/>
  <c r="E118" i="36"/>
  <c r="M106" i="36"/>
  <c r="E117" i="36"/>
  <c r="M105" i="36"/>
  <c r="E116" i="36"/>
  <c r="M104" i="36"/>
  <c r="F120" i="36"/>
  <c r="N108" i="36"/>
  <c r="F113" i="36"/>
  <c r="N101" i="36"/>
  <c r="F116" i="36"/>
  <c r="N104" i="36"/>
  <c r="E119" i="36"/>
  <c r="M107" i="36"/>
  <c r="F118" i="36"/>
  <c r="N106" i="36"/>
  <c r="F111" i="36"/>
  <c r="N99" i="36"/>
  <c r="E114" i="36"/>
  <c r="M102" i="36"/>
  <c r="F119" i="36"/>
  <c r="N107" i="36"/>
  <c r="F115" i="36"/>
  <c r="N103" i="36"/>
  <c r="M100" i="36"/>
  <c r="E112" i="36"/>
  <c r="E120" i="36"/>
  <c r="M108" i="36"/>
  <c r="E113" i="36"/>
  <c r="M101" i="36"/>
  <c r="F112" i="36"/>
  <c r="N100" i="36"/>
  <c r="BS88" i="67"/>
  <c r="I87" i="77"/>
  <c r="G87" i="36"/>
  <c r="O87" i="36" s="1"/>
  <c r="G87" i="32"/>
  <c r="O87" i="32" s="1"/>
  <c r="S87" i="32" s="1"/>
  <c r="E58" i="76"/>
  <c r="O58" i="76" s="1"/>
  <c r="F59" i="77"/>
  <c r="P59" i="77" s="1"/>
  <c r="E60" i="76"/>
  <c r="O60" i="76" s="1"/>
  <c r="E61" i="76"/>
  <c r="O61" i="76" s="1"/>
  <c r="F58" i="76"/>
  <c r="P58" i="76" s="1"/>
  <c r="E58" i="77"/>
  <c r="O58" i="77" s="1"/>
  <c r="F57" i="77"/>
  <c r="P57" i="77" s="1"/>
  <c r="F60" i="77"/>
  <c r="P60" i="77" s="1"/>
  <c r="E59" i="77"/>
  <c r="O59" i="77" s="1"/>
  <c r="E61" i="77"/>
  <c r="O61" i="77" s="1"/>
  <c r="F60" i="76"/>
  <c r="P60" i="76" s="1"/>
  <c r="E59" i="76"/>
  <c r="O59" i="76" s="1"/>
  <c r="E57" i="77"/>
  <c r="O57" i="77" s="1"/>
  <c r="E60" i="77"/>
  <c r="O60" i="77" s="1"/>
  <c r="F61" i="76"/>
  <c r="P61" i="76" s="1"/>
  <c r="F61" i="77"/>
  <c r="P61" i="77" s="1"/>
  <c r="F58" i="77"/>
  <c r="P58" i="77" s="1"/>
  <c r="F59" i="76"/>
  <c r="P59" i="76" s="1"/>
  <c r="J8" i="24"/>
  <c r="B8" i="24"/>
  <c r="D8" i="24" s="1"/>
  <c r="G7" i="74" l="1"/>
  <c r="G7" i="25"/>
  <c r="L6" i="74"/>
  <c r="L6" i="25"/>
  <c r="AO11" i="17"/>
  <c r="AP10" i="17"/>
  <c r="K14" i="24"/>
  <c r="K14" i="57"/>
  <c r="V7" i="25"/>
  <c r="AI16" i="17"/>
  <c r="AI17" i="17" s="1"/>
  <c r="M121" i="36"/>
  <c r="E133" i="36"/>
  <c r="N112" i="36"/>
  <c r="F124" i="36"/>
  <c r="N118" i="36"/>
  <c r="F130" i="36"/>
  <c r="M114" i="36"/>
  <c r="E126" i="36"/>
  <c r="M117" i="36"/>
  <c r="E129" i="36"/>
  <c r="E127" i="36"/>
  <c r="M115" i="36"/>
  <c r="F123" i="36"/>
  <c r="N111" i="36"/>
  <c r="N117" i="36"/>
  <c r="F129" i="36"/>
  <c r="N121" i="36"/>
  <c r="F133" i="36"/>
  <c r="M111" i="36"/>
  <c r="E123" i="36"/>
  <c r="M118" i="36"/>
  <c r="E130" i="36"/>
  <c r="M113" i="36"/>
  <c r="E125" i="36"/>
  <c r="N113" i="36"/>
  <c r="F125" i="36"/>
  <c r="E132" i="36"/>
  <c r="M120" i="36"/>
  <c r="N116" i="36"/>
  <c r="F128" i="36"/>
  <c r="E124" i="36"/>
  <c r="M112" i="36"/>
  <c r="N120" i="36"/>
  <c r="F132" i="36"/>
  <c r="M119" i="36"/>
  <c r="E131" i="36"/>
  <c r="N115" i="36"/>
  <c r="F127" i="36"/>
  <c r="F131" i="36"/>
  <c r="N119" i="36"/>
  <c r="M116" i="36"/>
  <c r="E128" i="36"/>
  <c r="F126" i="36"/>
  <c r="N114" i="36"/>
  <c r="J9" i="24"/>
  <c r="L8" i="24"/>
  <c r="BS89" i="67"/>
  <c r="I88" i="77"/>
  <c r="G88" i="36"/>
  <c r="O88" i="36" s="1"/>
  <c r="G88" i="32"/>
  <c r="O88" i="32" s="1"/>
  <c r="S88" i="32" s="1"/>
  <c r="B9" i="24"/>
  <c r="D9" i="24" s="1"/>
  <c r="F71" i="77"/>
  <c r="P71" i="77" s="1"/>
  <c r="F71" i="76"/>
  <c r="P71" i="76" s="1"/>
  <c r="E69" i="77"/>
  <c r="O69" i="77" s="1"/>
  <c r="F70" i="76"/>
  <c r="P70" i="76" s="1"/>
  <c r="F69" i="77"/>
  <c r="P69" i="77" s="1"/>
  <c r="F70" i="77"/>
  <c r="P70" i="77" s="1"/>
  <c r="F73" i="77"/>
  <c r="P73" i="77" s="1"/>
  <c r="E71" i="76"/>
  <c r="O71" i="76" s="1"/>
  <c r="E73" i="77"/>
  <c r="O73" i="77" s="1"/>
  <c r="E72" i="76"/>
  <c r="O72" i="76" s="1"/>
  <c r="F72" i="76"/>
  <c r="P72" i="76" s="1"/>
  <c r="E71" i="77"/>
  <c r="O71" i="77" s="1"/>
  <c r="E70" i="76"/>
  <c r="O70" i="76" s="1"/>
  <c r="E70" i="77"/>
  <c r="O70" i="77" s="1"/>
  <c r="E72" i="77"/>
  <c r="O72" i="77" s="1"/>
  <c r="F73" i="76"/>
  <c r="P73" i="76" s="1"/>
  <c r="F72" i="77"/>
  <c r="P72" i="77" s="1"/>
  <c r="E73" i="76"/>
  <c r="O73" i="76" s="1"/>
  <c r="R6" i="23"/>
  <c r="R7" i="23" s="1"/>
  <c r="R8" i="23" s="1"/>
  <c r="H7" i="25" l="1"/>
  <c r="H7" i="74"/>
  <c r="M14" i="57"/>
  <c r="AP11" i="17"/>
  <c r="AO12" i="17"/>
  <c r="N129" i="36"/>
  <c r="F141" i="36"/>
  <c r="N141" i="36" s="1"/>
  <c r="F135" i="36"/>
  <c r="N135" i="36" s="1"/>
  <c r="N123" i="36"/>
  <c r="E139" i="36"/>
  <c r="M139" i="36" s="1"/>
  <c r="M127" i="36"/>
  <c r="M124" i="36"/>
  <c r="E136" i="36"/>
  <c r="M136" i="36" s="1"/>
  <c r="E141" i="36"/>
  <c r="M141" i="36" s="1"/>
  <c r="M129" i="36"/>
  <c r="M126" i="36"/>
  <c r="E138" i="36"/>
  <c r="M138" i="36" s="1"/>
  <c r="N125" i="36"/>
  <c r="F137" i="36"/>
  <c r="N137" i="36" s="1"/>
  <c r="F139" i="36"/>
  <c r="N139" i="36" s="1"/>
  <c r="N127" i="36"/>
  <c r="M130" i="36"/>
  <c r="E142" i="36"/>
  <c r="M142" i="36" s="1"/>
  <c r="N130" i="36"/>
  <c r="F142" i="36"/>
  <c r="N142" i="36" s="1"/>
  <c r="F140" i="36"/>
  <c r="N140" i="36" s="1"/>
  <c r="N128" i="36"/>
  <c r="N131" i="36"/>
  <c r="F143" i="36"/>
  <c r="N143" i="36" s="1"/>
  <c r="M131" i="36"/>
  <c r="E143" i="36"/>
  <c r="M143" i="36" s="1"/>
  <c r="E135" i="36"/>
  <c r="M135" i="36" s="1"/>
  <c r="M123" i="36"/>
  <c r="N124" i="36"/>
  <c r="F136" i="36"/>
  <c r="N136" i="36" s="1"/>
  <c r="F144" i="36"/>
  <c r="N144" i="36" s="1"/>
  <c r="N132" i="36"/>
  <c r="N133" i="36"/>
  <c r="F145" i="36"/>
  <c r="N145" i="36" s="1"/>
  <c r="M133" i="36"/>
  <c r="E145" i="36"/>
  <c r="M145" i="36" s="1"/>
  <c r="N126" i="36"/>
  <c r="F138" i="36"/>
  <c r="N138" i="36" s="1"/>
  <c r="E144" i="36"/>
  <c r="M144" i="36" s="1"/>
  <c r="M132" i="36"/>
  <c r="E140" i="36"/>
  <c r="M140" i="36" s="1"/>
  <c r="M128" i="36"/>
  <c r="M125" i="36"/>
  <c r="E137" i="36"/>
  <c r="M137" i="36" s="1"/>
  <c r="J10" i="24"/>
  <c r="L9" i="24"/>
  <c r="BS90" i="67"/>
  <c r="I89" i="77"/>
  <c r="G89" i="36"/>
  <c r="O89" i="36" s="1"/>
  <c r="G89" i="32"/>
  <c r="O89" i="32" s="1"/>
  <c r="S89" i="32" s="1"/>
  <c r="B10" i="24"/>
  <c r="D10" i="24" s="1"/>
  <c r="N6" i="23"/>
  <c r="J6" i="23"/>
  <c r="U71" i="77"/>
  <c r="U73" i="77"/>
  <c r="U70" i="77"/>
  <c r="U69" i="77"/>
  <c r="U72" i="77"/>
  <c r="U73" i="76"/>
  <c r="U71" i="76"/>
  <c r="U70" i="76"/>
  <c r="U72" i="76"/>
  <c r="E83" i="76"/>
  <c r="O83" i="76" s="1"/>
  <c r="E84" i="76"/>
  <c r="O84" i="76" s="1"/>
  <c r="F85" i="77"/>
  <c r="P85" i="77" s="1"/>
  <c r="F81" i="77"/>
  <c r="P81" i="77" s="1"/>
  <c r="E81" i="77"/>
  <c r="O81" i="77" s="1"/>
  <c r="E84" i="77"/>
  <c r="O84" i="77" s="1"/>
  <c r="E82" i="77"/>
  <c r="O82" i="77" s="1"/>
  <c r="F84" i="76"/>
  <c r="P84" i="76" s="1"/>
  <c r="F84" i="77"/>
  <c r="P84" i="77" s="1"/>
  <c r="F83" i="76"/>
  <c r="P83" i="76" s="1"/>
  <c r="E82" i="76"/>
  <c r="O82" i="76" s="1"/>
  <c r="E83" i="77"/>
  <c r="O83" i="77" s="1"/>
  <c r="E85" i="77"/>
  <c r="O85" i="77" s="1"/>
  <c r="F83" i="77"/>
  <c r="P83" i="77" s="1"/>
  <c r="F85" i="76"/>
  <c r="P85" i="76" s="1"/>
  <c r="E85" i="76"/>
  <c r="O85" i="76" s="1"/>
  <c r="F82" i="77"/>
  <c r="P82" i="77" s="1"/>
  <c r="F82" i="76"/>
  <c r="P82" i="76" s="1"/>
  <c r="R9" i="23"/>
  <c r="I7" i="25" l="1"/>
  <c r="I7" i="74"/>
  <c r="AP12" i="17"/>
  <c r="AO13" i="17"/>
  <c r="L10" i="24"/>
  <c r="J11" i="24"/>
  <c r="BS91" i="67"/>
  <c r="I90" i="77"/>
  <c r="G90" i="36"/>
  <c r="O90" i="36" s="1"/>
  <c r="G90" i="32"/>
  <c r="O90" i="32" s="1"/>
  <c r="S90" i="32" s="1"/>
  <c r="B11" i="24"/>
  <c r="D11" i="24" s="1"/>
  <c r="N7" i="23"/>
  <c r="J7" i="23"/>
  <c r="F6" i="23"/>
  <c r="F97" i="77"/>
  <c r="P97" i="77" s="1"/>
  <c r="E94" i="77"/>
  <c r="O94" i="77" s="1"/>
  <c r="E96" i="77"/>
  <c r="O96" i="77" s="1"/>
  <c r="E94" i="76"/>
  <c r="O94" i="76" s="1"/>
  <c r="F94" i="76"/>
  <c r="P94" i="76" s="1"/>
  <c r="E97" i="76"/>
  <c r="O97" i="76" s="1"/>
  <c r="F95" i="76"/>
  <c r="P95" i="76" s="1"/>
  <c r="E93" i="77"/>
  <c r="O93" i="77" s="1"/>
  <c r="F94" i="77"/>
  <c r="P94" i="77" s="1"/>
  <c r="F97" i="76"/>
  <c r="P97" i="76" s="1"/>
  <c r="E96" i="76"/>
  <c r="O96" i="76" s="1"/>
  <c r="F95" i="77"/>
  <c r="P95" i="77" s="1"/>
  <c r="F96" i="77"/>
  <c r="P96" i="77" s="1"/>
  <c r="F93" i="77"/>
  <c r="P93" i="77" s="1"/>
  <c r="E95" i="77"/>
  <c r="O95" i="77" s="1"/>
  <c r="F96" i="76"/>
  <c r="P96" i="76" s="1"/>
  <c r="E97" i="77"/>
  <c r="O97" i="77" s="1"/>
  <c r="E95" i="76"/>
  <c r="O95" i="76" s="1"/>
  <c r="R10" i="23"/>
  <c r="R11" i="23" s="1"/>
  <c r="R12" i="23" s="1"/>
  <c r="R13" i="23" s="1"/>
  <c r="R14" i="23" s="1"/>
  <c r="J7" i="25" l="1"/>
  <c r="J7" i="74"/>
  <c r="AP13" i="17"/>
  <c r="AO14" i="17"/>
  <c r="AO15" i="17" s="1"/>
  <c r="AP15" i="17" s="1"/>
  <c r="L11" i="24"/>
  <c r="J12" i="24"/>
  <c r="BS92" i="67"/>
  <c r="I91" i="77"/>
  <c r="G91" i="36"/>
  <c r="O91" i="36" s="1"/>
  <c r="G91" i="32"/>
  <c r="O91" i="32" s="1"/>
  <c r="S91" i="32" s="1"/>
  <c r="B12" i="24"/>
  <c r="D12" i="24" s="1"/>
  <c r="N8" i="23"/>
  <c r="J8" i="23"/>
  <c r="F7" i="23"/>
  <c r="F106" i="76"/>
  <c r="E106" i="76"/>
  <c r="F106" i="77"/>
  <c r="E105" i="77"/>
  <c r="E109" i="77"/>
  <c r="F105" i="77"/>
  <c r="F107" i="77"/>
  <c r="E108" i="77"/>
  <c r="E106" i="77"/>
  <c r="E109" i="76"/>
  <c r="E108" i="76"/>
  <c r="F108" i="77"/>
  <c r="F107" i="76"/>
  <c r="E107" i="76"/>
  <c r="E107" i="77"/>
  <c r="F108" i="76"/>
  <c r="F109" i="76"/>
  <c r="F109" i="77"/>
  <c r="R15" i="23"/>
  <c r="R18" i="23"/>
  <c r="K7" i="25" l="1"/>
  <c r="K7" i="74"/>
  <c r="M7" i="25"/>
  <c r="M7" i="74"/>
  <c r="AP14" i="17"/>
  <c r="L12" i="24"/>
  <c r="J13" i="24"/>
  <c r="O105" i="77"/>
  <c r="E117" i="77"/>
  <c r="O117" i="77" s="1"/>
  <c r="P106" i="77"/>
  <c r="F118" i="77"/>
  <c r="P118" i="77" s="1"/>
  <c r="O108" i="77"/>
  <c r="E120" i="77"/>
  <c r="O120" i="77" s="1"/>
  <c r="P107" i="77"/>
  <c r="F119" i="77"/>
  <c r="P119" i="77" s="1"/>
  <c r="P105" i="77"/>
  <c r="F117" i="77"/>
  <c r="P117" i="77" s="1"/>
  <c r="O109" i="77"/>
  <c r="E121" i="77"/>
  <c r="O121" i="77" s="1"/>
  <c r="P109" i="77"/>
  <c r="F121" i="77"/>
  <c r="P121" i="77" s="1"/>
  <c r="O107" i="77"/>
  <c r="E119" i="77"/>
  <c r="O119" i="77" s="1"/>
  <c r="P108" i="77"/>
  <c r="F120" i="77"/>
  <c r="P120" i="77" s="1"/>
  <c r="O106" i="77"/>
  <c r="E118" i="77"/>
  <c r="O118" i="77" s="1"/>
  <c r="P109" i="76"/>
  <c r="F121" i="76"/>
  <c r="P121" i="76" s="1"/>
  <c r="O107" i="76"/>
  <c r="E119" i="76"/>
  <c r="O119" i="76" s="1"/>
  <c r="P107" i="76"/>
  <c r="F119" i="76"/>
  <c r="P119" i="76" s="1"/>
  <c r="O108" i="76"/>
  <c r="E120" i="76"/>
  <c r="O120" i="76" s="1"/>
  <c r="O109" i="76"/>
  <c r="E121" i="76"/>
  <c r="O121" i="76" s="1"/>
  <c r="O106" i="76"/>
  <c r="E118" i="76"/>
  <c r="O118" i="76" s="1"/>
  <c r="P106" i="76"/>
  <c r="F118" i="76"/>
  <c r="P118" i="76" s="1"/>
  <c r="P108" i="76"/>
  <c r="F120" i="76"/>
  <c r="P120" i="76" s="1"/>
  <c r="BS93" i="67"/>
  <c r="I92" i="77"/>
  <c r="G92" i="36"/>
  <c r="O92" i="36" s="1"/>
  <c r="G92" i="32"/>
  <c r="O92" i="32" s="1"/>
  <c r="S92" i="32" s="1"/>
  <c r="B13" i="24"/>
  <c r="N9" i="23"/>
  <c r="J9" i="23"/>
  <c r="F8" i="23"/>
  <c r="R16" i="23"/>
  <c r="R19" i="23"/>
  <c r="L7" i="25" l="1"/>
  <c r="L7" i="74"/>
  <c r="D13" i="24"/>
  <c r="B14" i="24"/>
  <c r="D14" i="24" s="1"/>
  <c r="D25" i="24" s="1"/>
  <c r="L13" i="24"/>
  <c r="J14" i="24"/>
  <c r="L14" i="24" s="1"/>
  <c r="S5" i="23"/>
  <c r="O5" i="23"/>
  <c r="K5" i="23"/>
  <c r="G5" i="23"/>
  <c r="C5" i="23"/>
  <c r="V8" i="25"/>
  <c r="AO16" i="17"/>
  <c r="AO17" i="17" s="1"/>
  <c r="BS94" i="67"/>
  <c r="I93" i="77"/>
  <c r="G93" i="36"/>
  <c r="O93" i="36" s="1"/>
  <c r="G93" i="32"/>
  <c r="O93" i="32" s="1"/>
  <c r="S93" i="32" s="1"/>
  <c r="N10" i="23"/>
  <c r="J10" i="23"/>
  <c r="F9" i="23"/>
  <c r="E130" i="76"/>
  <c r="E132" i="76"/>
  <c r="E131" i="77"/>
  <c r="F133" i="77"/>
  <c r="F131" i="76"/>
  <c r="F133" i="76"/>
  <c r="F130" i="77"/>
  <c r="F129" i="77"/>
  <c r="E129" i="77"/>
  <c r="F130" i="76"/>
  <c r="E130" i="77"/>
  <c r="E133" i="76"/>
  <c r="E131" i="76"/>
  <c r="F131" i="77"/>
  <c r="F132" i="77"/>
  <c r="F132" i="76"/>
  <c r="E132" i="77"/>
  <c r="E133" i="77"/>
  <c r="B6" i="23"/>
  <c r="M21" i="25" l="1"/>
  <c r="D24" i="24"/>
  <c r="M22" i="25"/>
  <c r="L25" i="24"/>
  <c r="M14" i="24"/>
  <c r="L24" i="24"/>
  <c r="K6" i="23"/>
  <c r="C6" i="23"/>
  <c r="G6" i="23"/>
  <c r="S6" i="23"/>
  <c r="O6" i="23"/>
  <c r="BS95" i="67"/>
  <c r="I94" i="77"/>
  <c r="G94" i="36"/>
  <c r="O94" i="36" s="1"/>
  <c r="G94" i="32"/>
  <c r="O94" i="32" s="1"/>
  <c r="S94" i="32" s="1"/>
  <c r="N11" i="23"/>
  <c r="J11" i="23"/>
  <c r="F10" i="23"/>
  <c r="P133" i="77"/>
  <c r="F145" i="77"/>
  <c r="P145" i="77" s="1"/>
  <c r="E144" i="76"/>
  <c r="O144" i="76" s="1"/>
  <c r="O132" i="76"/>
  <c r="F144" i="76"/>
  <c r="P144" i="76" s="1"/>
  <c r="P132" i="76"/>
  <c r="P130" i="77"/>
  <c r="F142" i="77"/>
  <c r="P142" i="77" s="1"/>
  <c r="P132" i="77"/>
  <c r="F144" i="77"/>
  <c r="P144" i="77" s="1"/>
  <c r="P129" i="77"/>
  <c r="F141" i="77"/>
  <c r="P141" i="77" s="1"/>
  <c r="O129" i="77"/>
  <c r="E141" i="77"/>
  <c r="O141" i="77" s="1"/>
  <c r="O131" i="77"/>
  <c r="E143" i="77"/>
  <c r="O143" i="77" s="1"/>
  <c r="F145" i="76"/>
  <c r="P145" i="76" s="1"/>
  <c r="P133" i="76"/>
  <c r="P130" i="76"/>
  <c r="F142" i="76"/>
  <c r="P142" i="76" s="1"/>
  <c r="E142" i="76"/>
  <c r="O142" i="76" s="1"/>
  <c r="O130" i="76"/>
  <c r="F143" i="76"/>
  <c r="P143" i="76" s="1"/>
  <c r="P131" i="76"/>
  <c r="O130" i="77"/>
  <c r="E142" i="77"/>
  <c r="O142" i="77" s="1"/>
  <c r="E145" i="76"/>
  <c r="O145" i="76" s="1"/>
  <c r="O133" i="76"/>
  <c r="O131" i="76"/>
  <c r="E143" i="76"/>
  <c r="O143" i="76" s="1"/>
  <c r="P131" i="77"/>
  <c r="F143" i="77"/>
  <c r="P143" i="77" s="1"/>
  <c r="O133" i="77"/>
  <c r="E145" i="77"/>
  <c r="O145" i="77" s="1"/>
  <c r="O132" i="77"/>
  <c r="E144" i="77"/>
  <c r="O144" i="77" s="1"/>
  <c r="B7" i="23"/>
  <c r="M23" i="25" l="1"/>
  <c r="V12" i="25"/>
  <c r="V11" i="25"/>
  <c r="S7" i="23"/>
  <c r="O7" i="23"/>
  <c r="K7" i="23"/>
  <c r="C7" i="23"/>
  <c r="G7" i="23"/>
  <c r="BS96" i="67"/>
  <c r="I95" i="77"/>
  <c r="G95" i="36"/>
  <c r="O95" i="36" s="1"/>
  <c r="G95" i="32"/>
  <c r="O95" i="32" s="1"/>
  <c r="S95" i="32" s="1"/>
  <c r="N12" i="23"/>
  <c r="J12" i="23"/>
  <c r="F11" i="23"/>
  <c r="B8" i="23"/>
  <c r="V13" i="25" l="1"/>
  <c r="B9" i="23"/>
  <c r="S8" i="23"/>
  <c r="O8" i="23"/>
  <c r="K8" i="23"/>
  <c r="G8" i="23"/>
  <c r="C8" i="23"/>
  <c r="BS97" i="67"/>
  <c r="I96" i="77"/>
  <c r="G96" i="36"/>
  <c r="O96" i="36" s="1"/>
  <c r="G96" i="32"/>
  <c r="O96" i="32" s="1"/>
  <c r="S96" i="32" s="1"/>
  <c r="N13" i="23"/>
  <c r="N14" i="23" s="1"/>
  <c r="J13" i="23"/>
  <c r="J14" i="23" s="1"/>
  <c r="F12" i="23"/>
  <c r="B10" i="23" l="1"/>
  <c r="O9" i="23"/>
  <c r="G9" i="23"/>
  <c r="C9" i="23"/>
  <c r="K9" i="23"/>
  <c r="S9" i="23"/>
  <c r="BS98" i="67"/>
  <c r="I97" i="77"/>
  <c r="G97" i="36"/>
  <c r="O97" i="36" s="1"/>
  <c r="G97" i="32"/>
  <c r="O97" i="32" s="1"/>
  <c r="S97" i="32" s="1"/>
  <c r="F13" i="23"/>
  <c r="F14" i="23" s="1"/>
  <c r="S10" i="23" l="1"/>
  <c r="O10" i="23"/>
  <c r="K10" i="23"/>
  <c r="C10" i="23"/>
  <c r="G10" i="23"/>
  <c r="B11" i="23"/>
  <c r="BS99" i="67"/>
  <c r="I98" i="77"/>
  <c r="G98" i="36"/>
  <c r="O98" i="36" s="1"/>
  <c r="G98" i="32"/>
  <c r="O98" i="32" s="1"/>
  <c r="S98" i="32" s="1"/>
  <c r="N15" i="23"/>
  <c r="N18" i="23"/>
  <c r="J18" i="23"/>
  <c r="J15" i="23"/>
  <c r="C11" i="23" l="1"/>
  <c r="O11" i="23"/>
  <c r="S11" i="23"/>
  <c r="K11" i="23"/>
  <c r="G11" i="23"/>
  <c r="B12" i="23"/>
  <c r="BS100" i="67"/>
  <c r="I99" i="77"/>
  <c r="G99" i="36"/>
  <c r="O99" i="36" s="1"/>
  <c r="G99" i="32"/>
  <c r="O99" i="32" s="1"/>
  <c r="S99" i="32" s="1"/>
  <c r="N16" i="23"/>
  <c r="N19" i="23"/>
  <c r="J19" i="23"/>
  <c r="J16" i="23"/>
  <c r="F18" i="23"/>
  <c r="F15" i="23"/>
  <c r="S12" i="23" l="1"/>
  <c r="G12" i="23"/>
  <c r="K12" i="23"/>
  <c r="O12" i="23"/>
  <c r="C12" i="23"/>
  <c r="B13" i="23"/>
  <c r="BS101" i="67"/>
  <c r="I100" i="77"/>
  <c r="G100" i="36"/>
  <c r="O100" i="36" s="1"/>
  <c r="G100" i="32"/>
  <c r="O100" i="32" s="1"/>
  <c r="S100" i="32" s="1"/>
  <c r="F16" i="23"/>
  <c r="F19" i="23"/>
  <c r="B14" i="23" l="1"/>
  <c r="O13" i="23"/>
  <c r="C13" i="23"/>
  <c r="G13" i="23"/>
  <c r="H18" i="23" s="1"/>
  <c r="S13" i="23"/>
  <c r="K13" i="23"/>
  <c r="BS102" i="67"/>
  <c r="I101" i="77"/>
  <c r="G101" i="36"/>
  <c r="O101" i="36" s="1"/>
  <c r="G101" i="32"/>
  <c r="O101" i="32" s="1"/>
  <c r="S101" i="32" s="1"/>
  <c r="C14" i="23" l="1"/>
  <c r="G14" i="23"/>
  <c r="K14" i="23"/>
  <c r="S14" i="23"/>
  <c r="O14" i="23"/>
  <c r="B18" i="23"/>
  <c r="B15" i="23"/>
  <c r="BS103" i="67"/>
  <c r="I102" i="77"/>
  <c r="G102" i="36"/>
  <c r="O102" i="36" s="1"/>
  <c r="G102" i="32"/>
  <c r="O102" i="32" s="1"/>
  <c r="S102" i="32" s="1"/>
  <c r="M7" i="17"/>
  <c r="X7" i="17"/>
  <c r="H14" i="23" l="1"/>
  <c r="D14" i="23"/>
  <c r="L14" i="23"/>
  <c r="AK15" i="17"/>
  <c r="AL15" i="17" s="1"/>
  <c r="AM15" i="17" s="1"/>
  <c r="P14" i="23"/>
  <c r="B16" i="23"/>
  <c r="B19" i="23"/>
  <c r="AQ15" i="17"/>
  <c r="AR15" i="17" s="1"/>
  <c r="T14" i="23"/>
  <c r="Y7" i="17"/>
  <c r="E5" i="25" s="1"/>
  <c r="Z7" i="17"/>
  <c r="N7" i="17"/>
  <c r="E4" i="25" s="1"/>
  <c r="O7" i="17"/>
  <c r="BS104" i="67"/>
  <c r="I103" i="77"/>
  <c r="G103" i="36"/>
  <c r="O103" i="36" s="1"/>
  <c r="G103" i="32"/>
  <c r="O103" i="32" s="1"/>
  <c r="S103" i="32" s="1"/>
  <c r="X8" i="17"/>
  <c r="M8" i="17"/>
  <c r="AS15" i="17" l="1"/>
  <c r="AR16" i="17"/>
  <c r="Y8" i="17"/>
  <c r="F5" i="25" s="1"/>
  <c r="Z8" i="17"/>
  <c r="N8" i="17"/>
  <c r="F4" i="25" s="1"/>
  <c r="O8" i="17"/>
  <c r="BS105" i="67"/>
  <c r="I104" i="77"/>
  <c r="G104" i="36"/>
  <c r="O104" i="36" s="1"/>
  <c r="G104" i="32"/>
  <c r="O104" i="32" s="1"/>
  <c r="S104" i="32" s="1"/>
  <c r="M9" i="17"/>
  <c r="X9" i="17"/>
  <c r="X10" i="17" l="1"/>
  <c r="Y9" i="17"/>
  <c r="G5" i="25" s="1"/>
  <c r="Z9" i="17"/>
  <c r="M10" i="17"/>
  <c r="N9" i="17"/>
  <c r="G4" i="25" s="1"/>
  <c r="O9" i="17"/>
  <c r="BS106" i="67"/>
  <c r="I105" i="77"/>
  <c r="G105" i="36"/>
  <c r="O105" i="36" s="1"/>
  <c r="G105" i="32"/>
  <c r="O105" i="32" s="1"/>
  <c r="S105" i="32" s="1"/>
  <c r="CG55" i="4"/>
  <c r="CF55" i="4"/>
  <c r="BS55" i="4"/>
  <c r="BR55" i="4"/>
  <c r="BE55" i="4"/>
  <c r="BD55" i="4"/>
  <c r="X11" i="17" l="1"/>
  <c r="Y10" i="17"/>
  <c r="H5" i="25" s="1"/>
  <c r="Z10" i="17"/>
  <c r="M11" i="17"/>
  <c r="N10" i="17"/>
  <c r="H4" i="25" s="1"/>
  <c r="O10" i="17"/>
  <c r="BS107" i="67"/>
  <c r="I106" i="77"/>
  <c r="G106" i="36"/>
  <c r="O106" i="36" s="1"/>
  <c r="G106" i="32"/>
  <c r="O106" i="32" s="1"/>
  <c r="S106" i="32" s="1"/>
  <c r="Y11" i="17" l="1"/>
  <c r="I5" i="25" s="1"/>
  <c r="Z11" i="17"/>
  <c r="X12" i="17"/>
  <c r="N11" i="17"/>
  <c r="I4" i="25" s="1"/>
  <c r="O11" i="17"/>
  <c r="M12" i="17"/>
  <c r="BS108" i="67"/>
  <c r="I107" i="77"/>
  <c r="G107" i="36"/>
  <c r="O107" i="36" s="1"/>
  <c r="G107" i="32"/>
  <c r="O107" i="32" s="1"/>
  <c r="S107" i="32" s="1"/>
  <c r="Y12" i="17" l="1"/>
  <c r="J5" i="25" s="1"/>
  <c r="X13" i="17"/>
  <c r="N12" i="17"/>
  <c r="J4" i="25" s="1"/>
  <c r="M13" i="17"/>
  <c r="BS109" i="67"/>
  <c r="I108" i="77"/>
  <c r="G108" i="36"/>
  <c r="O108" i="36" s="1"/>
  <c r="G108" i="32"/>
  <c r="O108" i="32" s="1"/>
  <c r="S108" i="32" s="1"/>
  <c r="Y13" i="17" l="1"/>
  <c r="K5" i="25" s="1"/>
  <c r="X14" i="17"/>
  <c r="X15" i="17" s="1"/>
  <c r="N13" i="17"/>
  <c r="K4" i="25" s="1"/>
  <c r="M14" i="17"/>
  <c r="M15" i="17" s="1"/>
  <c r="BS110" i="67"/>
  <c r="I109" i="77"/>
  <c r="G109" i="36"/>
  <c r="O109" i="36" s="1"/>
  <c r="G109" i="32"/>
  <c r="O109" i="32" s="1"/>
  <c r="S109" i="32" s="1"/>
  <c r="B7" i="17"/>
  <c r="Y15" i="17" l="1"/>
  <c r="M5" i="25" s="1"/>
  <c r="N15" i="17"/>
  <c r="M4" i="25" s="1"/>
  <c r="Y14" i="17"/>
  <c r="L5" i="25" s="1"/>
  <c r="N14" i="17"/>
  <c r="L4" i="25" s="1"/>
  <c r="C7" i="17"/>
  <c r="E3" i="25" s="1"/>
  <c r="D7" i="17"/>
  <c r="BS111" i="67"/>
  <c r="I110" i="77"/>
  <c r="G110" i="36"/>
  <c r="O110" i="36" s="1"/>
  <c r="G110" i="32"/>
  <c r="O110" i="32" s="1"/>
  <c r="S110" i="32" s="1"/>
  <c r="B8" i="17"/>
  <c r="X16" i="17" l="1"/>
  <c r="X17" i="17" s="1"/>
  <c r="M16" i="17"/>
  <c r="M17" i="17" s="1"/>
  <c r="V5" i="25"/>
  <c r="C8" i="17"/>
  <c r="F3" i="25" s="1"/>
  <c r="D8" i="17"/>
  <c r="BS112" i="67"/>
  <c r="I111" i="77"/>
  <c r="G111" i="36"/>
  <c r="O111" i="36" s="1"/>
  <c r="G111" i="32"/>
  <c r="O111" i="32" s="1"/>
  <c r="S111" i="32" s="1"/>
  <c r="B9" i="17"/>
  <c r="V6" i="25" l="1"/>
  <c r="C14" i="24"/>
  <c r="B10" i="17"/>
  <c r="C9" i="17"/>
  <c r="G3" i="25" s="1"/>
  <c r="D9" i="17"/>
  <c r="BS113" i="67"/>
  <c r="I112" i="77"/>
  <c r="G112" i="36"/>
  <c r="O112" i="36" s="1"/>
  <c r="G112" i="32"/>
  <c r="O112" i="32" s="1"/>
  <c r="S112" i="32" s="1"/>
  <c r="E14" i="24" l="1"/>
  <c r="E14" i="57" s="1"/>
  <c r="B11" i="17"/>
  <c r="C10" i="17"/>
  <c r="H3" i="25" s="1"/>
  <c r="D10" i="17"/>
  <c r="BS114" i="67"/>
  <c r="I113" i="77"/>
  <c r="G113" i="36"/>
  <c r="O113" i="36" s="1"/>
  <c r="G113" i="32"/>
  <c r="O113" i="32" s="1"/>
  <c r="S113" i="32" s="1"/>
  <c r="Q13" i="38"/>
  <c r="Q11" i="38"/>
  <c r="Q10" i="38"/>
  <c r="Q12" i="38"/>
  <c r="Q8" i="38"/>
  <c r="Q9" i="38"/>
  <c r="Q7" i="38"/>
  <c r="Q6" i="38"/>
  <c r="L24" i="38"/>
  <c r="L21" i="38"/>
  <c r="L20" i="38"/>
  <c r="M21" i="38"/>
  <c r="M24" i="38"/>
  <c r="M18" i="38"/>
  <c r="M25" i="38"/>
  <c r="M20" i="38"/>
  <c r="M23" i="38"/>
  <c r="L19" i="38"/>
  <c r="L18" i="38"/>
  <c r="M19" i="38"/>
  <c r="M22" i="38"/>
  <c r="L22" i="38"/>
  <c r="L25" i="38"/>
  <c r="L23" i="38"/>
  <c r="C11" i="17" l="1"/>
  <c r="I3" i="25" s="1"/>
  <c r="D11" i="17"/>
  <c r="B12" i="17"/>
  <c r="BS115" i="67"/>
  <c r="I114" i="77"/>
  <c r="G114" i="36"/>
  <c r="O114" i="36" s="1"/>
  <c r="G114" i="32"/>
  <c r="O114" i="32" s="1"/>
  <c r="S114" i="32" s="1"/>
  <c r="Q23" i="38"/>
  <c r="Q22" i="38"/>
  <c r="Q25" i="38"/>
  <c r="Q20" i="38"/>
  <c r="Q21" i="38"/>
  <c r="Q24" i="38"/>
  <c r="Q18" i="38"/>
  <c r="Q19" i="38"/>
  <c r="E36" i="38"/>
  <c r="L36" i="38" s="1"/>
  <c r="E33" i="38"/>
  <c r="L33" i="38" s="1"/>
  <c r="E32" i="38"/>
  <c r="L32" i="38" s="1"/>
  <c r="F33" i="38"/>
  <c r="M33" i="38" s="1"/>
  <c r="E31" i="38"/>
  <c r="L31" i="38" s="1"/>
  <c r="F37" i="38"/>
  <c r="M37" i="38" s="1"/>
  <c r="F36" i="38"/>
  <c r="M36" i="38" s="1"/>
  <c r="F30" i="38"/>
  <c r="M30" i="38" s="1"/>
  <c r="F35" i="38"/>
  <c r="M35" i="38" s="1"/>
  <c r="F32" i="38"/>
  <c r="M32" i="38" s="1"/>
  <c r="E30" i="38"/>
  <c r="L30" i="38" s="1"/>
  <c r="F31" i="38"/>
  <c r="M31" i="38" s="1"/>
  <c r="F34" i="38"/>
  <c r="M34" i="38" s="1"/>
  <c r="E37" i="38"/>
  <c r="L37" i="38" s="1"/>
  <c r="E34" i="38"/>
  <c r="L34" i="38" s="1"/>
  <c r="E35" i="38"/>
  <c r="L35" i="38" s="1"/>
  <c r="C12" i="17" l="1"/>
  <c r="J3" i="25" s="1"/>
  <c r="B13" i="17"/>
  <c r="G115" i="36"/>
  <c r="O115" i="36" s="1"/>
  <c r="BS116" i="67"/>
  <c r="I115" i="77"/>
  <c r="G115" i="32"/>
  <c r="O115" i="32" s="1"/>
  <c r="S115" i="32" s="1"/>
  <c r="Q32" i="38"/>
  <c r="Q35" i="38"/>
  <c r="Q31" i="38"/>
  <c r="Q34" i="38"/>
  <c r="Q37" i="38"/>
  <c r="Q33" i="38"/>
  <c r="Q36" i="38"/>
  <c r="Q30" i="38"/>
  <c r="E48" i="38"/>
  <c r="L48" i="38" s="1"/>
  <c r="E45" i="38"/>
  <c r="L45" i="38" s="1"/>
  <c r="E44" i="38"/>
  <c r="L44" i="38" s="1"/>
  <c r="F45" i="38"/>
  <c r="M45" i="38" s="1"/>
  <c r="E43" i="38"/>
  <c r="L43" i="38" s="1"/>
  <c r="E42" i="38"/>
  <c r="L42" i="38" s="1"/>
  <c r="F42" i="38"/>
  <c r="M42" i="38" s="1"/>
  <c r="F49" i="38"/>
  <c r="M49" i="38" s="1"/>
  <c r="F48" i="38"/>
  <c r="M48" i="38" s="1"/>
  <c r="F44" i="38"/>
  <c r="M44" i="38" s="1"/>
  <c r="F47" i="38"/>
  <c r="M47" i="38" s="1"/>
  <c r="E47" i="38"/>
  <c r="L47" i="38" s="1"/>
  <c r="E46" i="38"/>
  <c r="L46" i="38" s="1"/>
  <c r="F43" i="38"/>
  <c r="M43" i="38" s="1"/>
  <c r="F46" i="38"/>
  <c r="M46" i="38" s="1"/>
  <c r="E49" i="38"/>
  <c r="L49" i="38" s="1"/>
  <c r="C13" i="17" l="1"/>
  <c r="K3" i="25" s="1"/>
  <c r="B14" i="17"/>
  <c r="B15" i="17" s="1"/>
  <c r="BS117" i="67"/>
  <c r="I116" i="77"/>
  <c r="G116" i="32"/>
  <c r="O116" i="32" s="1"/>
  <c r="S116" i="32" s="1"/>
  <c r="G116" i="36"/>
  <c r="O116" i="36" s="1"/>
  <c r="Q48" i="38"/>
  <c r="Q47" i="38"/>
  <c r="Q42" i="38"/>
  <c r="Q49" i="38"/>
  <c r="Q44" i="38"/>
  <c r="Q46" i="38"/>
  <c r="Q43" i="38"/>
  <c r="Q45" i="38"/>
  <c r="E60" i="38"/>
  <c r="L60" i="38" s="1"/>
  <c r="E57" i="38"/>
  <c r="L57" i="38" s="1"/>
  <c r="E56" i="38"/>
  <c r="L56" i="38" s="1"/>
  <c r="F57" i="38"/>
  <c r="M57" i="38" s="1"/>
  <c r="E55" i="38"/>
  <c r="L55" i="38" s="1"/>
  <c r="E54" i="38"/>
  <c r="L54" i="38" s="1"/>
  <c r="F60" i="38"/>
  <c r="M60" i="38" s="1"/>
  <c r="F54" i="38"/>
  <c r="M54" i="38" s="1"/>
  <c r="F61" i="38"/>
  <c r="M61" i="38" s="1"/>
  <c r="F56" i="38"/>
  <c r="M56" i="38" s="1"/>
  <c r="F59" i="38"/>
  <c r="M59" i="38" s="1"/>
  <c r="F58" i="38"/>
  <c r="M58" i="38" s="1"/>
  <c r="F55" i="38"/>
  <c r="M55" i="38" s="1"/>
  <c r="E59" i="38"/>
  <c r="L59" i="38" s="1"/>
  <c r="E58" i="38"/>
  <c r="L58" i="38" s="1"/>
  <c r="E61" i="38"/>
  <c r="L61" i="38" s="1"/>
  <c r="C14" i="17" l="1"/>
  <c r="L3" i="25" s="1"/>
  <c r="BS118" i="67"/>
  <c r="G117" i="36"/>
  <c r="O117" i="36" s="1"/>
  <c r="G117" i="32"/>
  <c r="O117" i="32" s="1"/>
  <c r="S117" i="32" s="1"/>
  <c r="I117" i="77"/>
  <c r="Q56" i="38"/>
  <c r="Q58" i="38"/>
  <c r="Q59" i="38"/>
  <c r="Q61" i="38"/>
  <c r="Q54" i="38"/>
  <c r="Q55" i="38"/>
  <c r="Q57" i="38"/>
  <c r="Q60" i="38"/>
  <c r="E70" i="38"/>
  <c r="F67" i="38"/>
  <c r="F69" i="38"/>
  <c r="E67" i="38"/>
  <c r="E71" i="38"/>
  <c r="E68" i="38"/>
  <c r="E72" i="38"/>
  <c r="F70" i="38"/>
  <c r="F71" i="38"/>
  <c r="F68" i="38"/>
  <c r="F73" i="38"/>
  <c r="F66" i="38"/>
  <c r="E69" i="38"/>
  <c r="F72" i="38"/>
  <c r="E73" i="38"/>
  <c r="E66" i="38"/>
  <c r="B16" i="17" l="1"/>
  <c r="B17" i="17" s="1"/>
  <c r="C15" i="17"/>
  <c r="M3" i="25" s="1"/>
  <c r="BS119" i="67"/>
  <c r="I118" i="77"/>
  <c r="G118" i="32"/>
  <c r="O118" i="32" s="1"/>
  <c r="S118" i="32" s="1"/>
  <c r="G118" i="36"/>
  <c r="O118" i="36" s="1"/>
  <c r="L69" i="38"/>
  <c r="L70" i="38"/>
  <c r="M68" i="38"/>
  <c r="M73" i="38"/>
  <c r="M71" i="38"/>
  <c r="M70" i="38"/>
  <c r="L72" i="38"/>
  <c r="L66" i="38"/>
  <c r="L68" i="38"/>
  <c r="L73" i="38"/>
  <c r="L71" i="38"/>
  <c r="L67" i="38"/>
  <c r="M66" i="38"/>
  <c r="M69" i="38"/>
  <c r="M72" i="38"/>
  <c r="M67" i="38"/>
  <c r="E78" i="38"/>
  <c r="E80" i="38"/>
  <c r="E85" i="38"/>
  <c r="F85" i="38"/>
  <c r="F80" i="38"/>
  <c r="E83" i="38"/>
  <c r="E79" i="38"/>
  <c r="F84" i="38"/>
  <c r="F83" i="38"/>
  <c r="F81" i="38"/>
  <c r="F82" i="38"/>
  <c r="F79" i="38"/>
  <c r="E81" i="38"/>
  <c r="E82" i="38"/>
  <c r="F78" i="38"/>
  <c r="E84" i="38"/>
  <c r="BS120" i="67" l="1"/>
  <c r="G119" i="32"/>
  <c r="O119" i="32" s="1"/>
  <c r="S119" i="32" s="1"/>
  <c r="G119" i="36"/>
  <c r="O119" i="36" s="1"/>
  <c r="I119" i="77"/>
  <c r="L81" i="38"/>
  <c r="L80" i="38"/>
  <c r="M79" i="38"/>
  <c r="M82" i="38"/>
  <c r="L78" i="38"/>
  <c r="M81" i="38"/>
  <c r="M83" i="38"/>
  <c r="M84" i="38"/>
  <c r="L79" i="38"/>
  <c r="L83" i="38"/>
  <c r="M80" i="38"/>
  <c r="L84" i="38"/>
  <c r="M78" i="38"/>
  <c r="L82" i="38"/>
  <c r="M85" i="38"/>
  <c r="L85" i="38"/>
  <c r="Q73" i="38"/>
  <c r="Q72" i="38"/>
  <c r="Q67" i="38"/>
  <c r="Q68" i="38"/>
  <c r="Q69" i="38"/>
  <c r="Q70" i="38"/>
  <c r="Q66" i="38"/>
  <c r="Q71" i="38"/>
  <c r="E95" i="38"/>
  <c r="F93" i="38"/>
  <c r="E96" i="38"/>
  <c r="F92" i="38"/>
  <c r="F90" i="38"/>
  <c r="F95" i="38"/>
  <c r="F96" i="38"/>
  <c r="F97" i="38"/>
  <c r="E94" i="38"/>
  <c r="E91" i="38"/>
  <c r="E93" i="38"/>
  <c r="E97" i="38"/>
  <c r="E92" i="38"/>
  <c r="F91" i="38"/>
  <c r="F94" i="38"/>
  <c r="E90" i="38"/>
  <c r="BS121" i="67" l="1"/>
  <c r="G120" i="32"/>
  <c r="O120" i="32" s="1"/>
  <c r="S120" i="32" s="1"/>
  <c r="G120" i="36"/>
  <c r="O120" i="36" s="1"/>
  <c r="I120" i="77"/>
  <c r="L97" i="38"/>
  <c r="L91" i="38"/>
  <c r="L94" i="38"/>
  <c r="M97" i="38"/>
  <c r="M96" i="38"/>
  <c r="L90" i="38"/>
  <c r="M95" i="38"/>
  <c r="M90" i="38"/>
  <c r="L93" i="38"/>
  <c r="M94" i="38"/>
  <c r="M92" i="38"/>
  <c r="L96" i="38"/>
  <c r="M93" i="38"/>
  <c r="M91" i="38"/>
  <c r="L92" i="38"/>
  <c r="L95" i="38"/>
  <c r="Q85" i="38"/>
  <c r="Q78" i="38"/>
  <c r="Q83" i="38"/>
  <c r="Q84" i="38"/>
  <c r="Q82" i="38"/>
  <c r="Q80" i="38"/>
  <c r="Q79" i="38"/>
  <c r="Q81" i="38"/>
  <c r="E108" i="38"/>
  <c r="E120" i="38" s="1"/>
  <c r="L120" i="38" s="1"/>
  <c r="F106" i="38"/>
  <c r="F118" i="38" s="1"/>
  <c r="M118" i="38" s="1"/>
  <c r="F102" i="38"/>
  <c r="F114" i="38" s="1"/>
  <c r="M114" i="38" s="1"/>
  <c r="E103" i="38"/>
  <c r="E115" i="38" s="1"/>
  <c r="L115" i="38" s="1"/>
  <c r="E104" i="38"/>
  <c r="E116" i="38" s="1"/>
  <c r="L116" i="38" s="1"/>
  <c r="F109" i="38"/>
  <c r="F121" i="38" s="1"/>
  <c r="M121" i="38" s="1"/>
  <c r="F107" i="38"/>
  <c r="F119" i="38" s="1"/>
  <c r="M119" i="38" s="1"/>
  <c r="F105" i="38"/>
  <c r="F117" i="38" s="1"/>
  <c r="M117" i="38" s="1"/>
  <c r="E106" i="38"/>
  <c r="E118" i="38" s="1"/>
  <c r="L118" i="38" s="1"/>
  <c r="E102" i="38"/>
  <c r="E114" i="38" s="1"/>
  <c r="L114" i="38" s="1"/>
  <c r="E107" i="38"/>
  <c r="E119" i="38" s="1"/>
  <c r="L119" i="38" s="1"/>
  <c r="E105" i="38"/>
  <c r="E117" i="38" s="1"/>
  <c r="L117" i="38" s="1"/>
  <c r="F104" i="38"/>
  <c r="F116" i="38" s="1"/>
  <c r="M116" i="38" s="1"/>
  <c r="F103" i="38"/>
  <c r="F115" i="38" s="1"/>
  <c r="M115" i="38" s="1"/>
  <c r="F108" i="38"/>
  <c r="F120" i="38" s="1"/>
  <c r="M120" i="38" s="1"/>
  <c r="E109" i="38"/>
  <c r="E121" i="38" s="1"/>
  <c r="L121" i="38" s="1"/>
  <c r="P14" i="15" l="1"/>
  <c r="I121" i="77"/>
  <c r="G121" i="36"/>
  <c r="O121" i="36" s="1"/>
  <c r="G121" i="32"/>
  <c r="O121" i="32" s="1"/>
  <c r="S121" i="32" s="1"/>
  <c r="Q120" i="38"/>
  <c r="Q117" i="38"/>
  <c r="Q119" i="38"/>
  <c r="Q121" i="38"/>
  <c r="Q118" i="38"/>
  <c r="Q116" i="38"/>
  <c r="I122" i="77"/>
  <c r="Q115" i="38"/>
  <c r="Q114" i="38"/>
  <c r="L107" i="38"/>
  <c r="L102" i="38"/>
  <c r="L105" i="38"/>
  <c r="L106" i="38"/>
  <c r="M105" i="38"/>
  <c r="M109" i="38"/>
  <c r="M107" i="38"/>
  <c r="L104" i="38"/>
  <c r="M102" i="38"/>
  <c r="L103" i="38"/>
  <c r="M106" i="38"/>
  <c r="L109" i="38"/>
  <c r="M108" i="38"/>
  <c r="M103" i="38"/>
  <c r="M104" i="38"/>
  <c r="L108" i="38"/>
  <c r="Q97" i="38"/>
  <c r="Q91" i="38"/>
  <c r="Q95" i="38"/>
  <c r="Q90" i="38"/>
  <c r="Q92" i="38"/>
  <c r="Q96" i="38"/>
  <c r="Q94" i="38"/>
  <c r="Q93" i="38"/>
  <c r="P49" i="34"/>
  <c r="P45" i="34"/>
  <c r="P41" i="34"/>
  <c r="P37" i="34"/>
  <c r="P33" i="34"/>
  <c r="P29" i="34"/>
  <c r="P25" i="34"/>
  <c r="P21" i="34"/>
  <c r="P17" i="34"/>
  <c r="P13" i="34"/>
  <c r="P9" i="34"/>
  <c r="P5" i="34"/>
  <c r="P46" i="34"/>
  <c r="P42" i="34"/>
  <c r="P38" i="34"/>
  <c r="P34" i="34"/>
  <c r="P30" i="34"/>
  <c r="P26" i="34"/>
  <c r="P22" i="34"/>
  <c r="P18" i="34"/>
  <c r="P14" i="34"/>
  <c r="P10" i="34"/>
  <c r="P6" i="34"/>
  <c r="P2" i="34"/>
  <c r="P1" i="34"/>
  <c r="P47" i="34"/>
  <c r="P43" i="34"/>
  <c r="P39" i="34"/>
  <c r="P35" i="34"/>
  <c r="P31" i="34"/>
  <c r="P27" i="34"/>
  <c r="P23" i="34"/>
  <c r="P19" i="34"/>
  <c r="P15" i="34"/>
  <c r="P11" i="34"/>
  <c r="P7" i="34"/>
  <c r="P3" i="34"/>
  <c r="N1" i="38"/>
  <c r="N1" i="28"/>
  <c r="P48" i="34"/>
  <c r="P44" i="34"/>
  <c r="P40" i="34"/>
  <c r="P36" i="34"/>
  <c r="P32" i="34"/>
  <c r="P28" i="34"/>
  <c r="P24" i="34"/>
  <c r="P20" i="34"/>
  <c r="P16" i="34"/>
  <c r="P12" i="34"/>
  <c r="P8" i="34"/>
  <c r="P4" i="34"/>
  <c r="G122" i="36" l="1"/>
  <c r="I123" i="77"/>
  <c r="Q122" i="77"/>
  <c r="Q102" i="38"/>
  <c r="Q106" i="38"/>
  <c r="Q108" i="38"/>
  <c r="Q104" i="38"/>
  <c r="Q109" i="38"/>
  <c r="Q103" i="38"/>
  <c r="Q107" i="38"/>
  <c r="Q105" i="38"/>
  <c r="F127" i="38"/>
  <c r="E132" i="38"/>
  <c r="E131" i="38"/>
  <c r="F126" i="38"/>
  <c r="E133" i="38"/>
  <c r="F131" i="38"/>
  <c r="E126" i="38"/>
  <c r="E129" i="38"/>
  <c r="E127" i="38"/>
  <c r="E130" i="38"/>
  <c r="F129" i="38"/>
  <c r="E128" i="38"/>
  <c r="F128" i="38"/>
  <c r="F133" i="38"/>
  <c r="F132" i="38"/>
  <c r="F130" i="38"/>
  <c r="I124" i="77" l="1"/>
  <c r="Q123" i="77"/>
  <c r="G123" i="36"/>
  <c r="O122" i="36"/>
  <c r="X253" i="4"/>
  <c r="X250" i="4"/>
  <c r="U59" i="77"/>
  <c r="U61" i="77"/>
  <c r="X252" i="4"/>
  <c r="U59" i="76"/>
  <c r="X244" i="4"/>
  <c r="U58" i="77"/>
  <c r="U60" i="77"/>
  <c r="U58" i="76"/>
  <c r="U60" i="76"/>
  <c r="U57" i="77"/>
  <c r="X245" i="4"/>
  <c r="U61" i="76"/>
  <c r="M131" i="38"/>
  <c r="M130" i="38"/>
  <c r="M126" i="38"/>
  <c r="L133" i="38"/>
  <c r="M132" i="38"/>
  <c r="M133" i="38"/>
  <c r="L131" i="38"/>
  <c r="L132" i="38"/>
  <c r="M127" i="38"/>
  <c r="L130" i="38"/>
  <c r="L127" i="38"/>
  <c r="L129" i="38"/>
  <c r="L128" i="38"/>
  <c r="M129" i="38"/>
  <c r="M128" i="38"/>
  <c r="L126" i="38"/>
  <c r="X248" i="4"/>
  <c r="X251" i="4"/>
  <c r="X247" i="4"/>
  <c r="X243" i="4"/>
  <c r="X246" i="4"/>
  <c r="X249" i="4"/>
  <c r="F145" i="38"/>
  <c r="E141" i="38"/>
  <c r="F140" i="38"/>
  <c r="E145" i="38"/>
  <c r="F138" i="38"/>
  <c r="E143" i="38"/>
  <c r="E140" i="38"/>
  <c r="F144" i="38"/>
  <c r="E139" i="38"/>
  <c r="F141" i="38"/>
  <c r="E144" i="38"/>
  <c r="E138" i="38"/>
  <c r="E142" i="38"/>
  <c r="F143" i="38"/>
  <c r="F139" i="38"/>
  <c r="F142" i="38"/>
  <c r="G124" i="36" l="1"/>
  <c r="O123" i="36"/>
  <c r="I125" i="77"/>
  <c r="Q124" i="77"/>
  <c r="AD53" i="17"/>
  <c r="AA53" i="17"/>
  <c r="H53" i="17"/>
  <c r="E53" i="17"/>
  <c r="S53" i="17"/>
  <c r="P53" i="17"/>
  <c r="X242" i="4"/>
  <c r="C9" i="15"/>
  <c r="O9" i="15"/>
  <c r="M140" i="38"/>
  <c r="L141" i="38"/>
  <c r="M142" i="38"/>
  <c r="L142" i="38"/>
  <c r="M145" i="38"/>
  <c r="M139" i="38"/>
  <c r="L144" i="38"/>
  <c r="M141" i="38"/>
  <c r="L139" i="38"/>
  <c r="M143" i="38"/>
  <c r="M144" i="38"/>
  <c r="L145" i="38"/>
  <c r="L140" i="38"/>
  <c r="L143" i="38"/>
  <c r="L138" i="38"/>
  <c r="M138" i="38"/>
  <c r="Q131" i="38"/>
  <c r="Q128" i="38"/>
  <c r="Q133" i="38"/>
  <c r="Q129" i="38"/>
  <c r="Q132" i="38"/>
  <c r="Q130" i="38"/>
  <c r="Q126" i="38"/>
  <c r="Q127" i="38"/>
  <c r="AD11" i="17"/>
  <c r="S11" i="17"/>
  <c r="H11" i="17"/>
  <c r="S10" i="17"/>
  <c r="AD10" i="17"/>
  <c r="H10" i="17"/>
  <c r="I126" i="77" l="1"/>
  <c r="Q125" i="77"/>
  <c r="G125" i="36"/>
  <c r="O124" i="36"/>
  <c r="D21" i="25"/>
  <c r="I21" i="25"/>
  <c r="K21" i="25"/>
  <c r="J21" i="25"/>
  <c r="H22" i="74"/>
  <c r="D22" i="74"/>
  <c r="F22" i="74"/>
  <c r="G22" i="74"/>
  <c r="E22" i="74"/>
  <c r="S6" i="25"/>
  <c r="S5" i="25"/>
  <c r="U5" i="25"/>
  <c r="U6" i="25"/>
  <c r="T6" i="25"/>
  <c r="T5" i="25"/>
  <c r="E34" i="74"/>
  <c r="AK8" i="17"/>
  <c r="F36" i="74"/>
  <c r="J34" i="74"/>
  <c r="E35" i="74"/>
  <c r="J37" i="25"/>
  <c r="J37" i="74"/>
  <c r="I22" i="25"/>
  <c r="I22" i="74"/>
  <c r="AQ7" i="17"/>
  <c r="E37" i="74"/>
  <c r="J36" i="25"/>
  <c r="J36" i="74"/>
  <c r="AK7" i="17"/>
  <c r="E36" i="74"/>
  <c r="J33" i="74"/>
  <c r="E33" i="74"/>
  <c r="I35" i="25"/>
  <c r="I35" i="74"/>
  <c r="D33" i="74"/>
  <c r="L33" i="74"/>
  <c r="I34" i="25"/>
  <c r="I34" i="74"/>
  <c r="J35" i="25"/>
  <c r="J35" i="74"/>
  <c r="AQ9" i="17"/>
  <c r="G37" i="74"/>
  <c r="AK6" i="17"/>
  <c r="D36" i="74"/>
  <c r="L36" i="25"/>
  <c r="L36" i="74"/>
  <c r="I36" i="74"/>
  <c r="D35" i="74"/>
  <c r="L35" i="74"/>
  <c r="I37" i="74"/>
  <c r="AK9" i="17"/>
  <c r="AL9" i="17" s="1"/>
  <c r="G36" i="74"/>
  <c r="AQ6" i="17"/>
  <c r="D37" i="74"/>
  <c r="L37" i="25"/>
  <c r="L37" i="74"/>
  <c r="I33" i="25"/>
  <c r="I33" i="74"/>
  <c r="D34" i="74"/>
  <c r="H10" i="23"/>
  <c r="H34" i="74"/>
  <c r="L34" i="74"/>
  <c r="G33" i="74"/>
  <c r="G34" i="74"/>
  <c r="G35" i="74"/>
  <c r="D10" i="23"/>
  <c r="H33" i="74"/>
  <c r="K33" i="74"/>
  <c r="H36" i="74"/>
  <c r="K35" i="25"/>
  <c r="K35" i="74"/>
  <c r="K22" i="25"/>
  <c r="K22" i="74"/>
  <c r="AQ8" i="17"/>
  <c r="AR8" i="17" s="1"/>
  <c r="F37" i="74"/>
  <c r="H37" i="74"/>
  <c r="K37" i="25"/>
  <c r="K37" i="74"/>
  <c r="F34" i="74"/>
  <c r="F33" i="74"/>
  <c r="L10" i="23"/>
  <c r="H35" i="74"/>
  <c r="K36" i="25"/>
  <c r="K36" i="74"/>
  <c r="J22" i="25"/>
  <c r="J22" i="74"/>
  <c r="F35" i="74"/>
  <c r="K34" i="74"/>
  <c r="U47" i="77"/>
  <c r="U46" i="77"/>
  <c r="U33" i="77"/>
  <c r="U37" i="77"/>
  <c r="U34" i="77"/>
  <c r="I9" i="15"/>
  <c r="U11" i="77"/>
  <c r="U36" i="77"/>
  <c r="U25" i="77"/>
  <c r="U24" i="77"/>
  <c r="U23" i="77"/>
  <c r="U10" i="77"/>
  <c r="U12" i="77"/>
  <c r="U13" i="77"/>
  <c r="U9" i="77"/>
  <c r="U35" i="77"/>
  <c r="U48" i="77"/>
  <c r="U21" i="77"/>
  <c r="U22" i="77"/>
  <c r="U45" i="77"/>
  <c r="U49" i="77"/>
  <c r="U10" i="76"/>
  <c r="U46" i="76"/>
  <c r="U34" i="76"/>
  <c r="U12" i="76"/>
  <c r="U48" i="76"/>
  <c r="U37" i="76"/>
  <c r="U22" i="76"/>
  <c r="U35" i="76"/>
  <c r="U25" i="76"/>
  <c r="U11" i="76"/>
  <c r="U23" i="76"/>
  <c r="U36" i="76"/>
  <c r="U24" i="76"/>
  <c r="U47" i="76"/>
  <c r="U13" i="76"/>
  <c r="U49" i="76"/>
  <c r="Q145" i="38"/>
  <c r="Q139" i="38"/>
  <c r="Q141" i="38"/>
  <c r="Q140" i="38"/>
  <c r="Q142" i="38"/>
  <c r="Q138" i="38"/>
  <c r="Q143" i="38"/>
  <c r="Q144" i="38"/>
  <c r="H13" i="23"/>
  <c r="L34" i="25"/>
  <c r="E29" i="70"/>
  <c r="L22" i="25"/>
  <c r="K10" i="57"/>
  <c r="K33" i="25"/>
  <c r="D18" i="70"/>
  <c r="L21" i="25"/>
  <c r="K13" i="57"/>
  <c r="M13" i="57" s="1"/>
  <c r="N14" i="57" s="1"/>
  <c r="H12" i="23"/>
  <c r="K34" i="25"/>
  <c r="D29" i="70"/>
  <c r="H11" i="23"/>
  <c r="J34" i="25"/>
  <c r="C29" i="70"/>
  <c r="D11" i="23"/>
  <c r="J33" i="25"/>
  <c r="C18" i="70"/>
  <c r="D13" i="23"/>
  <c r="L33" i="25"/>
  <c r="E18" i="70"/>
  <c r="AK11" i="17"/>
  <c r="I36" i="25"/>
  <c r="L13" i="23"/>
  <c r="L35" i="25"/>
  <c r="AQ11" i="17"/>
  <c r="I37" i="25"/>
  <c r="K12" i="24"/>
  <c r="K12" i="57"/>
  <c r="M12" i="57" s="1"/>
  <c r="K11" i="24"/>
  <c r="K11" i="57"/>
  <c r="M11" i="57" s="1"/>
  <c r="P11" i="17"/>
  <c r="C11" i="24"/>
  <c r="P12" i="23"/>
  <c r="AK13" i="17"/>
  <c r="T11" i="23"/>
  <c r="AQ12" i="17"/>
  <c r="L11" i="23"/>
  <c r="C10" i="24"/>
  <c r="C24" i="24" s="1"/>
  <c r="AA11" i="17"/>
  <c r="P11" i="23"/>
  <c r="AK12" i="17"/>
  <c r="E11" i="17"/>
  <c r="AK14" i="17"/>
  <c r="P13" i="23"/>
  <c r="C13" i="24"/>
  <c r="AQ14" i="17"/>
  <c r="T13" i="23"/>
  <c r="C12" i="24"/>
  <c r="K10" i="24"/>
  <c r="K24" i="24" s="1"/>
  <c r="M24" i="24" s="1"/>
  <c r="D12" i="23"/>
  <c r="P10" i="23"/>
  <c r="AK10" i="17"/>
  <c r="L12" i="23"/>
  <c r="K13" i="24"/>
  <c r="T10" i="23"/>
  <c r="AQ10" i="17"/>
  <c r="T12" i="23"/>
  <c r="AQ13" i="17"/>
  <c r="G21" i="25"/>
  <c r="E21" i="25"/>
  <c r="F21" i="25"/>
  <c r="G22" i="25"/>
  <c r="F22" i="25"/>
  <c r="E22" i="25"/>
  <c r="H21" i="25"/>
  <c r="K5" i="57"/>
  <c r="K6" i="57"/>
  <c r="M6" i="57" s="1"/>
  <c r="K9" i="57"/>
  <c r="K8" i="57"/>
  <c r="M8" i="57" s="1"/>
  <c r="K7" i="57"/>
  <c r="M7" i="57" s="1"/>
  <c r="E34" i="25"/>
  <c r="D34" i="25"/>
  <c r="F35" i="25"/>
  <c r="F34" i="25"/>
  <c r="F36" i="25"/>
  <c r="E36" i="25"/>
  <c r="D35" i="25"/>
  <c r="F33" i="25"/>
  <c r="D33" i="25"/>
  <c r="H34" i="25"/>
  <c r="H35" i="25"/>
  <c r="E37" i="25"/>
  <c r="D36" i="25"/>
  <c r="H33" i="25"/>
  <c r="F37" i="25"/>
  <c r="E35" i="25"/>
  <c r="E33" i="25"/>
  <c r="D37" i="25"/>
  <c r="H37" i="25"/>
  <c r="C9" i="24"/>
  <c r="AA10" i="17"/>
  <c r="E10" i="17"/>
  <c r="H22" i="25"/>
  <c r="K9" i="24"/>
  <c r="P10" i="17"/>
  <c r="H36" i="25"/>
  <c r="X231" i="4"/>
  <c r="X238" i="4"/>
  <c r="X225" i="4"/>
  <c r="X209" i="4"/>
  <c r="X224" i="4"/>
  <c r="X236" i="4"/>
  <c r="X219" i="4"/>
  <c r="X199" i="4"/>
  <c r="X237" i="4"/>
  <c r="D9" i="23"/>
  <c r="G33" i="25"/>
  <c r="D22" i="25"/>
  <c r="K8" i="24"/>
  <c r="X222" i="4"/>
  <c r="X220" i="4"/>
  <c r="X208" i="4"/>
  <c r="X227" i="4"/>
  <c r="X217" i="4"/>
  <c r="X205" i="4"/>
  <c r="X197" i="4"/>
  <c r="X235" i="4"/>
  <c r="X216" i="4"/>
  <c r="X239" i="4"/>
  <c r="X212" i="4"/>
  <c r="X240" i="4"/>
  <c r="X223" i="4"/>
  <c r="X215" i="4"/>
  <c r="X207" i="4"/>
  <c r="X214" i="4"/>
  <c r="P9" i="23"/>
  <c r="G36" i="25"/>
  <c r="K5" i="24"/>
  <c r="K25" i="24" s="1"/>
  <c r="M25" i="24" s="1"/>
  <c r="X204" i="4"/>
  <c r="X233" i="4"/>
  <c r="X198" i="4"/>
  <c r="X234" i="4"/>
  <c r="X201" i="4"/>
  <c r="X200" i="4"/>
  <c r="X232" i="4"/>
  <c r="X229" i="4"/>
  <c r="X211" i="4"/>
  <c r="X203" i="4"/>
  <c r="C8" i="24"/>
  <c r="C6" i="24"/>
  <c r="H9" i="23"/>
  <c r="G34" i="25"/>
  <c r="K6" i="24"/>
  <c r="X228" i="4"/>
  <c r="X210" i="4"/>
  <c r="X221" i="4"/>
  <c r="X213" i="4"/>
  <c r="X196" i="4"/>
  <c r="X195" i="4"/>
  <c r="X226" i="4"/>
  <c r="X202" i="4"/>
  <c r="C7" i="24"/>
  <c r="C5" i="24"/>
  <c r="C25" i="24" s="1"/>
  <c r="T9" i="23"/>
  <c r="G37" i="25"/>
  <c r="L9" i="23"/>
  <c r="G35" i="25"/>
  <c r="K7" i="24"/>
  <c r="X241" i="4"/>
  <c r="AD9" i="17"/>
  <c r="D8" i="23"/>
  <c r="H7" i="23"/>
  <c r="P7" i="23"/>
  <c r="P6" i="23"/>
  <c r="H7" i="17"/>
  <c r="P8" i="23"/>
  <c r="T7" i="23"/>
  <c r="L6" i="23"/>
  <c r="D6" i="23"/>
  <c r="H8" i="17"/>
  <c r="H9" i="17"/>
  <c r="H8" i="23"/>
  <c r="D7" i="23"/>
  <c r="H6" i="23"/>
  <c r="AD7" i="17"/>
  <c r="AD8" i="17"/>
  <c r="AD6" i="17"/>
  <c r="H6" i="17"/>
  <c r="T8" i="23"/>
  <c r="L8" i="23"/>
  <c r="L7" i="23"/>
  <c r="T6" i="23"/>
  <c r="E23" i="25" l="1"/>
  <c r="G23" i="25"/>
  <c r="J23" i="25"/>
  <c r="K23" i="25"/>
  <c r="H23" i="25"/>
  <c r="I23" i="25"/>
  <c r="L23" i="25"/>
  <c r="D23" i="25"/>
  <c r="F23" i="25"/>
  <c r="H15" i="23"/>
  <c r="H16" i="23"/>
  <c r="G15" i="23"/>
  <c r="P15" i="23"/>
  <c r="O15" i="23" s="1"/>
  <c r="M10" i="57"/>
  <c r="K33" i="57"/>
  <c r="M33" i="57" s="1"/>
  <c r="M5" i="57"/>
  <c r="K34" i="57"/>
  <c r="M34" i="57" s="1"/>
  <c r="D15" i="23"/>
  <c r="C15" i="23" s="1"/>
  <c r="L15" i="23"/>
  <c r="K15" i="23" s="1"/>
  <c r="T15" i="23"/>
  <c r="S15" i="23" s="1"/>
  <c r="G126" i="36"/>
  <c r="O125" i="36"/>
  <c r="I127" i="77"/>
  <c r="Q126" i="77"/>
  <c r="T11" i="25"/>
  <c r="S11" i="25"/>
  <c r="AR6" i="17"/>
  <c r="AS6" i="17" s="1"/>
  <c r="AL8" i="17"/>
  <c r="AR9" i="17"/>
  <c r="AL12" i="17"/>
  <c r="AR13" i="17"/>
  <c r="AS13" i="17" s="1"/>
  <c r="AL13" i="17"/>
  <c r="AR14" i="17"/>
  <c r="AR7" i="17"/>
  <c r="AS7" i="17" s="1"/>
  <c r="AR10" i="17"/>
  <c r="AS10" i="17" s="1"/>
  <c r="AL6" i="17"/>
  <c r="AL11" i="17"/>
  <c r="AL7" i="17"/>
  <c r="AL10" i="17"/>
  <c r="AL14" i="17"/>
  <c r="P50" i="17"/>
  <c r="H50" i="17"/>
  <c r="H52" i="17"/>
  <c r="AS8" i="17"/>
  <c r="M8" i="24"/>
  <c r="M7" i="24"/>
  <c r="M6" i="24"/>
  <c r="M11" i="24"/>
  <c r="M5" i="24"/>
  <c r="M10" i="24"/>
  <c r="M12" i="24"/>
  <c r="N14" i="24" s="1"/>
  <c r="E6" i="24"/>
  <c r="E8" i="24"/>
  <c r="E8" i="57" s="1"/>
  <c r="E7" i="24"/>
  <c r="E7" i="57" s="1"/>
  <c r="E10" i="24"/>
  <c r="E10" i="57" s="1"/>
  <c r="E12" i="24"/>
  <c r="E11" i="24"/>
  <c r="E11" i="57" s="1"/>
  <c r="U12" i="25"/>
  <c r="U17" i="25"/>
  <c r="T16" i="25"/>
  <c r="U15" i="25"/>
  <c r="U11" i="25"/>
  <c r="S16" i="25"/>
  <c r="S18" i="25"/>
  <c r="S7" i="25"/>
  <c r="T19" i="25"/>
  <c r="U8" i="25"/>
  <c r="T18" i="25"/>
  <c r="U16" i="25"/>
  <c r="U7" i="25"/>
  <c r="U18" i="25"/>
  <c r="U19" i="25"/>
  <c r="S19" i="25"/>
  <c r="T17" i="25"/>
  <c r="S15" i="25"/>
  <c r="T15" i="25"/>
  <c r="S8" i="25"/>
  <c r="S17" i="25"/>
  <c r="T7" i="25"/>
  <c r="T8" i="25"/>
  <c r="T12" i="25"/>
  <c r="S12" i="25"/>
  <c r="I38" i="74"/>
  <c r="K38" i="74"/>
  <c r="G38" i="74"/>
  <c r="E38" i="74"/>
  <c r="F38" i="74"/>
  <c r="H38" i="74"/>
  <c r="J38" i="74"/>
  <c r="L38" i="74"/>
  <c r="D38" i="74"/>
  <c r="E52" i="17"/>
  <c r="S50" i="17"/>
  <c r="E50" i="17"/>
  <c r="S51" i="17"/>
  <c r="P51" i="17"/>
  <c r="H49" i="17"/>
  <c r="E49" i="17"/>
  <c r="AD50" i="17"/>
  <c r="AA50" i="17"/>
  <c r="S49" i="17"/>
  <c r="P49" i="17"/>
  <c r="H51" i="17"/>
  <c r="E51" i="17"/>
  <c r="AD51" i="17"/>
  <c r="AA51" i="17"/>
  <c r="AD49" i="17"/>
  <c r="AA49" i="17"/>
  <c r="AD52" i="17"/>
  <c r="AA52" i="17"/>
  <c r="S52" i="17"/>
  <c r="P52" i="17"/>
  <c r="N10" i="57"/>
  <c r="N11" i="57"/>
  <c r="N13" i="57"/>
  <c r="L38" i="25"/>
  <c r="K38" i="25"/>
  <c r="I38" i="25"/>
  <c r="E19" i="70"/>
  <c r="E23" i="70" s="1"/>
  <c r="D19" i="70"/>
  <c r="D23" i="70" s="1"/>
  <c r="J38" i="25"/>
  <c r="E30" i="70"/>
  <c r="E34" i="70" s="1"/>
  <c r="D30" i="70"/>
  <c r="D34" i="70" s="1"/>
  <c r="N12" i="57"/>
  <c r="M13" i="24"/>
  <c r="E13" i="24"/>
  <c r="E13" i="57" s="1"/>
  <c r="E25" i="24"/>
  <c r="E24" i="24"/>
  <c r="X206" i="4"/>
  <c r="O6" i="15"/>
  <c r="N6" i="57"/>
  <c r="M9" i="57"/>
  <c r="N8" i="57"/>
  <c r="N7" i="57"/>
  <c r="X230" i="4"/>
  <c r="O7" i="15"/>
  <c r="X218" i="4"/>
  <c r="O8" i="15"/>
  <c r="AM9" i="17"/>
  <c r="K21" i="57" s="1"/>
  <c r="E9" i="24"/>
  <c r="E9" i="57" s="1"/>
  <c r="E5" i="24"/>
  <c r="O5" i="15"/>
  <c r="X194" i="4"/>
  <c r="M9" i="24"/>
  <c r="AA9" i="17"/>
  <c r="AA8" i="17"/>
  <c r="E9" i="17"/>
  <c r="AA6" i="17"/>
  <c r="AA7" i="17"/>
  <c r="E7" i="17"/>
  <c r="H38" i="25"/>
  <c r="S7" i="17"/>
  <c r="P7" i="17"/>
  <c r="G38" i="25"/>
  <c r="S8" i="17"/>
  <c r="P8" i="17"/>
  <c r="E8" i="17"/>
  <c r="E38" i="25"/>
  <c r="E6" i="17"/>
  <c r="S6" i="17"/>
  <c r="P6" i="17"/>
  <c r="D38" i="25"/>
  <c r="F38" i="25"/>
  <c r="S9" i="17"/>
  <c r="P9" i="17"/>
  <c r="G36" i="23" l="1"/>
  <c r="G16" i="23"/>
  <c r="M18" i="24"/>
  <c r="M18" i="57"/>
  <c r="K36" i="23"/>
  <c r="K37" i="23" s="1"/>
  <c r="K38" i="23" s="1"/>
  <c r="K39" i="23" s="1"/>
  <c r="K40" i="23" s="1"/>
  <c r="K41" i="23" s="1"/>
  <c r="K42" i="23" s="1"/>
  <c r="K43" i="23" s="1"/>
  <c r="K44" i="23" s="1"/>
  <c r="K45" i="23" s="1"/>
  <c r="K46" i="23" s="1"/>
  <c r="K47" i="23" s="1"/>
  <c r="E18" i="24"/>
  <c r="E19" i="24" s="1"/>
  <c r="F20" i="24"/>
  <c r="F21" i="24"/>
  <c r="F18" i="24"/>
  <c r="F19" i="24"/>
  <c r="E12" i="57"/>
  <c r="F14" i="57" s="1"/>
  <c r="F14" i="24"/>
  <c r="E6" i="57"/>
  <c r="E5" i="57"/>
  <c r="M19" i="24"/>
  <c r="I128" i="77"/>
  <c r="Q127" i="77"/>
  <c r="G127" i="36"/>
  <c r="O126" i="36"/>
  <c r="F11" i="57"/>
  <c r="F10" i="57"/>
  <c r="M19" i="57"/>
  <c r="M20" i="57" s="1"/>
  <c r="M21" i="57" s="1"/>
  <c r="M22" i="57" s="1"/>
  <c r="M23" i="57" s="1"/>
  <c r="M24" i="57" s="1"/>
  <c r="M25" i="57" s="1"/>
  <c r="M26" i="57" s="1"/>
  <c r="M27" i="57" s="1"/>
  <c r="M28" i="57" s="1"/>
  <c r="M29" i="57" s="1"/>
  <c r="T13" i="25"/>
  <c r="F8" i="24"/>
  <c r="S13" i="25"/>
  <c r="AS9" i="17"/>
  <c r="F18" i="70"/>
  <c r="AM13" i="17"/>
  <c r="K25" i="57" s="1"/>
  <c r="AS14" i="17"/>
  <c r="N8" i="24"/>
  <c r="N9" i="24"/>
  <c r="N10" i="24"/>
  <c r="F12" i="24"/>
  <c r="N13" i="24"/>
  <c r="N11" i="24"/>
  <c r="N12" i="24"/>
  <c r="N7" i="24"/>
  <c r="F13" i="24"/>
  <c r="S20" i="25"/>
  <c r="T20" i="25"/>
  <c r="U20" i="25"/>
  <c r="Q110" i="34"/>
  <c r="E33" i="70"/>
  <c r="E35" i="70" s="1"/>
  <c r="E37" i="70" s="1"/>
  <c r="E46" i="70" s="1"/>
  <c r="D22" i="70"/>
  <c r="D24" i="70" s="1"/>
  <c r="D26" i="70" s="1"/>
  <c r="D42" i="70" s="1"/>
  <c r="E43" i="70" s="1"/>
  <c r="E22" i="70"/>
  <c r="E24" i="70" s="1"/>
  <c r="E26" i="70" s="1"/>
  <c r="E42" i="70" s="1"/>
  <c r="E44" i="70" s="1"/>
  <c r="I8" i="15"/>
  <c r="I7" i="15"/>
  <c r="C8" i="15"/>
  <c r="C6" i="15"/>
  <c r="C7" i="15"/>
  <c r="I5" i="15"/>
  <c r="C5" i="15"/>
  <c r="I6" i="15"/>
  <c r="AM14" i="17"/>
  <c r="K26" i="57" s="1"/>
  <c r="D33" i="70"/>
  <c r="D35" i="70" s="1"/>
  <c r="D37" i="70" s="1"/>
  <c r="D46" i="70" s="1"/>
  <c r="P16" i="23"/>
  <c r="O16" i="23" s="1"/>
  <c r="T16" i="23"/>
  <c r="S16" i="23" s="1"/>
  <c r="F9" i="24"/>
  <c r="F11" i="24"/>
  <c r="F10" i="24"/>
  <c r="N9" i="57"/>
  <c r="N27" i="57" s="1"/>
  <c r="F7" i="24"/>
  <c r="AM10" i="17"/>
  <c r="K22" i="57" s="1"/>
  <c r="AM7" i="17"/>
  <c r="AM8" i="17"/>
  <c r="AM6" i="17"/>
  <c r="F13" i="57" l="1"/>
  <c r="H36" i="23"/>
  <c r="G37" i="23"/>
  <c r="N18" i="24"/>
  <c r="F12" i="57"/>
  <c r="E18" i="57"/>
  <c r="E19" i="57" s="1"/>
  <c r="E20" i="57" s="1"/>
  <c r="E21" i="57" s="1"/>
  <c r="E22" i="57" s="1"/>
  <c r="E23" i="57" s="1"/>
  <c r="E24" i="57" s="1"/>
  <c r="E25" i="57" s="1"/>
  <c r="E26" i="57" s="1"/>
  <c r="E27" i="57" s="1"/>
  <c r="E28" i="57" s="1"/>
  <c r="E29" i="57" s="1"/>
  <c r="N25" i="57"/>
  <c r="N24" i="57"/>
  <c r="N18" i="57"/>
  <c r="N26" i="57"/>
  <c r="N23" i="57"/>
  <c r="N22" i="57"/>
  <c r="N21" i="57"/>
  <c r="N20" i="57"/>
  <c r="N19" i="57"/>
  <c r="F28" i="57"/>
  <c r="F29" i="57"/>
  <c r="F18" i="57"/>
  <c r="F20" i="57"/>
  <c r="F27" i="57"/>
  <c r="F25" i="57"/>
  <c r="F22" i="57"/>
  <c r="F19" i="57"/>
  <c r="F26" i="57"/>
  <c r="F24" i="57"/>
  <c r="F23" i="57"/>
  <c r="F21" i="57"/>
  <c r="N29" i="57"/>
  <c r="N19" i="24"/>
  <c r="N20" i="24"/>
  <c r="N21" i="24"/>
  <c r="N28" i="57"/>
  <c r="G128" i="36"/>
  <c r="O127" i="36"/>
  <c r="I129" i="77"/>
  <c r="Q128" i="77"/>
  <c r="L21" i="57"/>
  <c r="E20" i="24"/>
  <c r="D32" i="71"/>
  <c r="L16" i="23"/>
  <c r="K16" i="23" s="1"/>
  <c r="AL16" i="17"/>
  <c r="AL17" i="17" s="1"/>
  <c r="AR17" i="17"/>
  <c r="M20" i="24"/>
  <c r="F43" i="70"/>
  <c r="D44" i="70"/>
  <c r="D45" i="70" s="1"/>
  <c r="K18" i="57"/>
  <c r="L18" i="57" s="1"/>
  <c r="K20" i="57"/>
  <c r="L20" i="57" s="1"/>
  <c r="K19" i="57"/>
  <c r="L19" i="57" s="1"/>
  <c r="E32" i="71"/>
  <c r="C32" i="71"/>
  <c r="F33" i="71" s="1"/>
  <c r="F26" i="71" s="1"/>
  <c r="Q111" i="34"/>
  <c r="K18" i="24"/>
  <c r="L18" i="24" s="1"/>
  <c r="E45" i="70"/>
  <c r="E47" i="70"/>
  <c r="D48" i="70"/>
  <c r="D49" i="70" s="1"/>
  <c r="E48" i="70"/>
  <c r="F47" i="70"/>
  <c r="F19" i="70"/>
  <c r="F23" i="70" s="1"/>
  <c r="L25" i="57"/>
  <c r="D16" i="23"/>
  <c r="C16" i="23" s="1"/>
  <c r="L22" i="57"/>
  <c r="R64" i="34"/>
  <c r="R68" i="34"/>
  <c r="R66" i="34"/>
  <c r="R65" i="34"/>
  <c r="R63" i="34"/>
  <c r="R62" i="34"/>
  <c r="R69" i="34"/>
  <c r="R67" i="34"/>
  <c r="AR11" i="17"/>
  <c r="AM11" i="17"/>
  <c r="K23" i="57" s="1"/>
  <c r="H37" i="23" l="1"/>
  <c r="G38" i="23"/>
  <c r="G39" i="23" s="1"/>
  <c r="G40" i="23" s="1"/>
  <c r="G41" i="23" s="1"/>
  <c r="G42" i="23" s="1"/>
  <c r="G43" i="23" s="1"/>
  <c r="G44" i="23" s="1"/>
  <c r="G45" i="23" s="1"/>
  <c r="G46" i="23" s="1"/>
  <c r="G47" i="23" s="1"/>
  <c r="G48" i="23" s="1"/>
  <c r="G49" i="23" s="1"/>
  <c r="G50" i="23" s="1"/>
  <c r="G51" i="23" s="1"/>
  <c r="G52" i="23" s="1"/>
  <c r="G53" i="23" s="1"/>
  <c r="G54" i="23" s="1"/>
  <c r="G55" i="23" s="1"/>
  <c r="G56" i="23" s="1"/>
  <c r="G57" i="23" s="1"/>
  <c r="G58" i="23" s="1"/>
  <c r="G59" i="23" s="1"/>
  <c r="K48" i="23"/>
  <c r="K49" i="23" s="1"/>
  <c r="K50" i="23" s="1"/>
  <c r="K51" i="23" s="1"/>
  <c r="K52" i="23" s="1"/>
  <c r="K53" i="23" s="1"/>
  <c r="K54" i="23" s="1"/>
  <c r="K55" i="23" s="1"/>
  <c r="K56" i="23" s="1"/>
  <c r="K57" i="23" s="1"/>
  <c r="K58" i="23" s="1"/>
  <c r="K59" i="23" s="1"/>
  <c r="I130" i="77"/>
  <c r="Q129" i="77"/>
  <c r="U129" i="77" s="1"/>
  <c r="G129" i="36"/>
  <c r="O128" i="36"/>
  <c r="M21" i="24"/>
  <c r="AS11" i="17"/>
  <c r="E21" i="24"/>
  <c r="D33" i="71"/>
  <c r="L22" i="74"/>
  <c r="F27" i="71"/>
  <c r="E33" i="71"/>
  <c r="E26" i="71" s="1"/>
  <c r="Q112" i="34"/>
  <c r="F22" i="70"/>
  <c r="F24" i="70" s="1"/>
  <c r="F26" i="70" s="1"/>
  <c r="F42" i="70" s="1"/>
  <c r="E49" i="70"/>
  <c r="L26" i="57"/>
  <c r="R70" i="34"/>
  <c r="AR12" i="17"/>
  <c r="AM12" i="17"/>
  <c r="K24" i="57" s="1"/>
  <c r="F44" i="70" l="1"/>
  <c r="G43" i="70"/>
  <c r="G130" i="36"/>
  <c r="O129" i="36"/>
  <c r="I131" i="77"/>
  <c r="Q130" i="77"/>
  <c r="U130" i="77" s="1"/>
  <c r="AS12" i="17"/>
  <c r="E27" i="71"/>
  <c r="R113" i="34"/>
  <c r="Q113" i="34"/>
  <c r="R72" i="34"/>
  <c r="R71" i="34"/>
  <c r="F45" i="70" l="1"/>
  <c r="I132" i="77"/>
  <c r="Q131" i="77"/>
  <c r="U131" i="77" s="1"/>
  <c r="G131" i="36"/>
  <c r="O130" i="36"/>
  <c r="R114" i="34"/>
  <c r="Q114" i="34"/>
  <c r="G132" i="36" l="1"/>
  <c r="O131" i="36"/>
  <c r="I133" i="77"/>
  <c r="Q132" i="77"/>
  <c r="U132" i="77" s="1"/>
  <c r="R115" i="34"/>
  <c r="Q115" i="34"/>
  <c r="R73" i="34"/>
  <c r="R74" i="34"/>
  <c r="I134" i="77" l="1"/>
  <c r="Q133" i="77"/>
  <c r="U133" i="77" s="1"/>
  <c r="G133" i="36"/>
  <c r="O132" i="36"/>
  <c r="R75" i="34"/>
  <c r="G134" i="36" l="1"/>
  <c r="O133" i="36"/>
  <c r="I135" i="77"/>
  <c r="Q134" i="77"/>
  <c r="R76" i="34"/>
  <c r="I136" i="77" l="1"/>
  <c r="Q135" i="77"/>
  <c r="G135" i="36"/>
  <c r="O134" i="36"/>
  <c r="R77" i="34"/>
  <c r="G136" i="36" l="1"/>
  <c r="O135" i="36"/>
  <c r="I137" i="77"/>
  <c r="Q136" i="77"/>
  <c r="R78" i="34"/>
  <c r="I138" i="77" l="1"/>
  <c r="Q137" i="77"/>
  <c r="G137" i="36"/>
  <c r="O136" i="36"/>
  <c r="R79" i="34"/>
  <c r="G138" i="36" l="1"/>
  <c r="O137" i="36"/>
  <c r="I139" i="77"/>
  <c r="Q138" i="77"/>
  <c r="R80" i="34"/>
  <c r="I140" i="77" l="1"/>
  <c r="Q139" i="77"/>
  <c r="G139" i="36"/>
  <c r="O138" i="36"/>
  <c r="M34" i="74"/>
  <c r="Q122" i="34"/>
  <c r="M34" i="25"/>
  <c r="F29" i="70"/>
  <c r="R122" i="34"/>
  <c r="R86" i="34"/>
  <c r="R81" i="34"/>
  <c r="V16" i="25" l="1"/>
  <c r="G140" i="36"/>
  <c r="O139" i="36"/>
  <c r="I141" i="77"/>
  <c r="Q140" i="77"/>
  <c r="H122" i="34"/>
  <c r="P122" i="34" s="1"/>
  <c r="J122" i="76"/>
  <c r="R122" i="76" s="1"/>
  <c r="Q123" i="34"/>
  <c r="F30" i="70"/>
  <c r="F34" i="70" s="1"/>
  <c r="R87" i="34"/>
  <c r="R123" i="34"/>
  <c r="R82" i="34"/>
  <c r="H123" i="34" l="1"/>
  <c r="P123" i="34" s="1"/>
  <c r="J123" i="76"/>
  <c r="R123" i="76" s="1"/>
  <c r="I142" i="77"/>
  <c r="Q141" i="77"/>
  <c r="U141" i="77" s="1"/>
  <c r="G141" i="36"/>
  <c r="O140" i="36"/>
  <c r="J124" i="76"/>
  <c r="R124" i="76" s="1"/>
  <c r="H124" i="34"/>
  <c r="P124" i="34" s="1"/>
  <c r="Q124" i="34"/>
  <c r="F33" i="70"/>
  <c r="F35" i="70" s="1"/>
  <c r="F37" i="70" s="1"/>
  <c r="F46" i="70" s="1"/>
  <c r="R88" i="34"/>
  <c r="R124" i="34"/>
  <c r="R83" i="34"/>
  <c r="H38" i="23" l="1"/>
  <c r="G142" i="36"/>
  <c r="O141" i="36"/>
  <c r="I143" i="77"/>
  <c r="Q142" i="77"/>
  <c r="U142" i="77" s="1"/>
  <c r="J125" i="76"/>
  <c r="R125" i="76" s="1"/>
  <c r="H125" i="34"/>
  <c r="P125" i="34" s="1"/>
  <c r="Q125" i="34"/>
  <c r="F48" i="70"/>
  <c r="G47" i="70"/>
  <c r="R125" i="34"/>
  <c r="R89" i="34"/>
  <c r="H39" i="23"/>
  <c r="R84" i="34"/>
  <c r="F49" i="70" l="1"/>
  <c r="I144" i="77"/>
  <c r="Q143" i="77"/>
  <c r="U143" i="77" s="1"/>
  <c r="G143" i="36"/>
  <c r="O142" i="36"/>
  <c r="J126" i="76"/>
  <c r="R126" i="76" s="1"/>
  <c r="H126" i="34"/>
  <c r="P126" i="34" s="1"/>
  <c r="C18" i="23"/>
  <c r="D18" i="23" s="1"/>
  <c r="Q126" i="34"/>
  <c r="R126" i="34"/>
  <c r="R90" i="34"/>
  <c r="K18" i="23"/>
  <c r="H40" i="23"/>
  <c r="R85" i="34"/>
  <c r="G144" i="36" l="1"/>
  <c r="O143" i="36"/>
  <c r="I145" i="77"/>
  <c r="Q145" i="77" s="1"/>
  <c r="U145" i="77" s="1"/>
  <c r="Q144" i="77"/>
  <c r="U144" i="77" s="1"/>
  <c r="C36" i="23"/>
  <c r="J127" i="76"/>
  <c r="R127" i="76" s="1"/>
  <c r="H127" i="34"/>
  <c r="P127" i="34" s="1"/>
  <c r="M35" i="74"/>
  <c r="M33" i="74"/>
  <c r="Q127" i="34"/>
  <c r="L18" i="23"/>
  <c r="M35" i="25"/>
  <c r="M33" i="25"/>
  <c r="R127" i="34"/>
  <c r="R91" i="34"/>
  <c r="O18" i="23"/>
  <c r="H41" i="23"/>
  <c r="V15" i="25" l="1"/>
  <c r="V17" i="25"/>
  <c r="L36" i="23"/>
  <c r="G145" i="36"/>
  <c r="O145" i="36" s="1"/>
  <c r="O144" i="36"/>
  <c r="G18" i="70"/>
  <c r="H18" i="70"/>
  <c r="J128" i="76"/>
  <c r="R128" i="76" s="1"/>
  <c r="H128" i="34"/>
  <c r="P128" i="34" s="1"/>
  <c r="G19" i="70"/>
  <c r="G23" i="70" s="1"/>
  <c r="C37" i="23"/>
  <c r="C38" i="23" s="1"/>
  <c r="D36" i="23"/>
  <c r="M36" i="25"/>
  <c r="M36" i="74"/>
  <c r="Q128" i="34"/>
  <c r="R128" i="34"/>
  <c r="R92" i="34"/>
  <c r="P18" i="23"/>
  <c r="S18" i="23"/>
  <c r="H42" i="23"/>
  <c r="V18" i="25" l="1"/>
  <c r="H19" i="70"/>
  <c r="H22" i="70" s="1"/>
  <c r="G22" i="70"/>
  <c r="G24" i="70" s="1"/>
  <c r="G26" i="70" s="1"/>
  <c r="G42" i="70" s="1"/>
  <c r="G44" i="70" s="1"/>
  <c r="S36" i="23"/>
  <c r="T36" i="23" s="1"/>
  <c r="O36" i="23"/>
  <c r="P36" i="23" s="1"/>
  <c r="J129" i="76"/>
  <c r="R129" i="76" s="1"/>
  <c r="H129" i="34"/>
  <c r="P129" i="34" s="1"/>
  <c r="D37" i="23"/>
  <c r="K27" i="57"/>
  <c r="L27" i="57" s="1"/>
  <c r="M37" i="25"/>
  <c r="M37" i="74"/>
  <c r="Q129" i="34"/>
  <c r="N6" i="25"/>
  <c r="K19" i="24"/>
  <c r="L19" i="24" s="1"/>
  <c r="M22" i="74" s="1"/>
  <c r="R93" i="34"/>
  <c r="R129" i="34"/>
  <c r="T18" i="23"/>
  <c r="D38" i="23"/>
  <c r="C39" i="23"/>
  <c r="L38" i="23"/>
  <c r="H43" i="23"/>
  <c r="V19" i="25" l="1"/>
  <c r="L37" i="23"/>
  <c r="G45" i="70"/>
  <c r="O37" i="23"/>
  <c r="O38" i="23" s="1"/>
  <c r="O39" i="23" s="1"/>
  <c r="H23" i="70"/>
  <c r="H24" i="70" s="1"/>
  <c r="H26" i="70" s="1"/>
  <c r="H42" i="70" s="1"/>
  <c r="H43" i="70"/>
  <c r="N7" i="25"/>
  <c r="P37" i="23"/>
  <c r="M38" i="25"/>
  <c r="M38" i="74"/>
  <c r="S37" i="23"/>
  <c r="T37" i="23" s="1"/>
  <c r="J130" i="76"/>
  <c r="R130" i="76" s="1"/>
  <c r="U130" i="76" s="1"/>
  <c r="H130" i="34"/>
  <c r="P130" i="34" s="1"/>
  <c r="Q130" i="34"/>
  <c r="N22" i="25"/>
  <c r="R94" i="34"/>
  <c r="R130" i="34"/>
  <c r="D39" i="23"/>
  <c r="C40" i="23"/>
  <c r="L39" i="23"/>
  <c r="H44" i="23"/>
  <c r="E54" i="70" l="1"/>
  <c r="V20" i="25"/>
  <c r="P38" i="23"/>
  <c r="H44" i="70"/>
  <c r="I43" i="70"/>
  <c r="I45" i="70" s="1"/>
  <c r="G54" i="70" s="1"/>
  <c r="S38" i="23"/>
  <c r="T38" i="23" s="1"/>
  <c r="J131" i="76"/>
  <c r="R131" i="76" s="1"/>
  <c r="U131" i="76" s="1"/>
  <c r="H131" i="34"/>
  <c r="P131" i="34" s="1"/>
  <c r="Q131" i="34"/>
  <c r="R131" i="34"/>
  <c r="R95" i="34"/>
  <c r="C41" i="23"/>
  <c r="D40" i="23"/>
  <c r="S39" i="23"/>
  <c r="P39" i="23"/>
  <c r="O40" i="23"/>
  <c r="L40" i="23"/>
  <c r="H45" i="23"/>
  <c r="E60" i="70" l="1"/>
  <c r="H45" i="70"/>
  <c r="J132" i="76"/>
  <c r="R132" i="76" s="1"/>
  <c r="U132" i="76" s="1"/>
  <c r="H132" i="34"/>
  <c r="P132" i="34" s="1"/>
  <c r="Q132" i="34"/>
  <c r="R132" i="34"/>
  <c r="R96" i="34"/>
  <c r="C42" i="23"/>
  <c r="D41" i="23"/>
  <c r="T39" i="23"/>
  <c r="S40" i="23"/>
  <c r="O41" i="23"/>
  <c r="P40" i="23"/>
  <c r="L41" i="23"/>
  <c r="H46" i="23"/>
  <c r="E8" i="71" l="1"/>
  <c r="F54" i="70"/>
  <c r="G19" i="23"/>
  <c r="H19" i="23" s="1"/>
  <c r="J133" i="76"/>
  <c r="R133" i="76" s="1"/>
  <c r="U133" i="76" s="1"/>
  <c r="H133" i="34"/>
  <c r="P133" i="34" s="1"/>
  <c r="Q133" i="34"/>
  <c r="R133" i="34"/>
  <c r="R97" i="34"/>
  <c r="C43" i="23"/>
  <c r="D42" i="23"/>
  <c r="T40" i="23"/>
  <c r="S41" i="23"/>
  <c r="P41" i="23"/>
  <c r="O42" i="23"/>
  <c r="L42" i="23"/>
  <c r="H47" i="23"/>
  <c r="F60" i="70" l="1"/>
  <c r="G60" i="70"/>
  <c r="J134" i="76"/>
  <c r="R134" i="76" s="1"/>
  <c r="H134" i="34"/>
  <c r="P134" i="34" s="1"/>
  <c r="N34" i="74"/>
  <c r="Q134" i="34"/>
  <c r="N34" i="25"/>
  <c r="G29" i="70"/>
  <c r="R98" i="34"/>
  <c r="R134" i="34"/>
  <c r="C44" i="23"/>
  <c r="D43" i="23"/>
  <c r="S42" i="23"/>
  <c r="T41" i="23"/>
  <c r="O43" i="23"/>
  <c r="P42" i="23"/>
  <c r="L43" i="23"/>
  <c r="H48" i="23"/>
  <c r="F8" i="71" l="1"/>
  <c r="W16" i="25"/>
  <c r="J135" i="76"/>
  <c r="R135" i="76" s="1"/>
  <c r="H135" i="34"/>
  <c r="P135" i="34" s="1"/>
  <c r="Q135" i="34"/>
  <c r="G30" i="70"/>
  <c r="G34" i="70" s="1"/>
  <c r="R135" i="34"/>
  <c r="R99" i="34"/>
  <c r="D44" i="23"/>
  <c r="C45" i="23"/>
  <c r="S43" i="23"/>
  <c r="T42" i="23"/>
  <c r="O44" i="23"/>
  <c r="P43" i="23"/>
  <c r="L44" i="23"/>
  <c r="H49" i="23"/>
  <c r="J136" i="76" l="1"/>
  <c r="R136" i="76" s="1"/>
  <c r="H136" i="34"/>
  <c r="P136" i="34" s="1"/>
  <c r="G33" i="70"/>
  <c r="G35" i="70" s="1"/>
  <c r="G37" i="70" s="1"/>
  <c r="G46" i="70" s="1"/>
  <c r="Q136" i="34"/>
  <c r="R100" i="34"/>
  <c r="R136" i="34"/>
  <c r="C46" i="23"/>
  <c r="D45" i="23"/>
  <c r="T43" i="23"/>
  <c r="S44" i="23"/>
  <c r="P44" i="23"/>
  <c r="O45" i="23"/>
  <c r="L45" i="23"/>
  <c r="H50" i="23"/>
  <c r="J137" i="76" l="1"/>
  <c r="R137" i="76" s="1"/>
  <c r="H137" i="34"/>
  <c r="P137" i="34" s="1"/>
  <c r="Q137" i="34"/>
  <c r="G48" i="70"/>
  <c r="H47" i="70"/>
  <c r="R137" i="34"/>
  <c r="R101" i="34"/>
  <c r="D46" i="23"/>
  <c r="C47" i="23"/>
  <c r="S45" i="23"/>
  <c r="T44" i="23"/>
  <c r="P45" i="23"/>
  <c r="O46" i="23"/>
  <c r="L46" i="23"/>
  <c r="H51" i="23"/>
  <c r="G49" i="70" l="1"/>
  <c r="C19" i="23"/>
  <c r="C48" i="23"/>
  <c r="C49" i="23" s="1"/>
  <c r="C50" i="23" s="1"/>
  <c r="C51" i="23" s="1"/>
  <c r="C52" i="23" s="1"/>
  <c r="C53" i="23" s="1"/>
  <c r="C54" i="23" s="1"/>
  <c r="C55" i="23" s="1"/>
  <c r="C56" i="23" s="1"/>
  <c r="C57" i="23" s="1"/>
  <c r="C58" i="23" s="1"/>
  <c r="C59" i="23" s="1"/>
  <c r="D19" i="23"/>
  <c r="J138" i="76"/>
  <c r="R138" i="76" s="1"/>
  <c r="H138" i="34"/>
  <c r="P138" i="34" s="1"/>
  <c r="Q138" i="34"/>
  <c r="R102" i="34"/>
  <c r="R138" i="34"/>
  <c r="D47" i="23"/>
  <c r="T45" i="23"/>
  <c r="S46" i="23"/>
  <c r="O47" i="23"/>
  <c r="P46" i="23"/>
  <c r="L47" i="23"/>
  <c r="K19" i="23"/>
  <c r="H52" i="23"/>
  <c r="E55" i="70" l="1"/>
  <c r="J139" i="76"/>
  <c r="R139" i="76" s="1"/>
  <c r="H139" i="34"/>
  <c r="P139" i="34" s="1"/>
  <c r="N33" i="25"/>
  <c r="N33" i="74"/>
  <c r="N35" i="25"/>
  <c r="N35" i="74"/>
  <c r="Q139" i="34"/>
  <c r="R103" i="34"/>
  <c r="R139" i="34"/>
  <c r="D48" i="23"/>
  <c r="L19" i="23"/>
  <c r="S47" i="23"/>
  <c r="T46" i="23"/>
  <c r="P47" i="23"/>
  <c r="O48" i="23"/>
  <c r="O19" i="23"/>
  <c r="L48" i="23"/>
  <c r="H53" i="23"/>
  <c r="E61" i="70" l="1"/>
  <c r="E56" i="70"/>
  <c r="AK16" i="17"/>
  <c r="AM16" i="17" s="1"/>
  <c r="W17" i="25"/>
  <c r="W15" i="25"/>
  <c r="J140" i="76"/>
  <c r="R140" i="76" s="1"/>
  <c r="H140" i="34"/>
  <c r="P140" i="34" s="1"/>
  <c r="N36" i="74"/>
  <c r="Q140" i="34"/>
  <c r="N36" i="25"/>
  <c r="L23" i="57"/>
  <c r="R140" i="34"/>
  <c r="R104" i="34"/>
  <c r="D49" i="23"/>
  <c r="T47" i="23"/>
  <c r="S48" i="23"/>
  <c r="S19" i="23"/>
  <c r="P48" i="23"/>
  <c r="O49" i="23"/>
  <c r="P19" i="23"/>
  <c r="L49" i="23"/>
  <c r="H54" i="23"/>
  <c r="E9" i="71" l="1"/>
  <c r="E11" i="71" s="1"/>
  <c r="E62" i="70"/>
  <c r="AQ16" i="17"/>
  <c r="W18" i="25"/>
  <c r="J141" i="76"/>
  <c r="R141" i="76" s="1"/>
  <c r="H141" i="34"/>
  <c r="P141" i="34" s="1"/>
  <c r="N6" i="74"/>
  <c r="K28" i="57"/>
  <c r="L28" i="57" s="1"/>
  <c r="N37" i="74"/>
  <c r="Q141" i="34"/>
  <c r="H21" i="73"/>
  <c r="J21" i="73" s="1"/>
  <c r="K20" i="24"/>
  <c r="L20" i="24" s="1"/>
  <c r="O6" i="25"/>
  <c r="N37" i="25"/>
  <c r="R141" i="34"/>
  <c r="R105" i="34"/>
  <c r="D50" i="23"/>
  <c r="T48" i="23"/>
  <c r="S49" i="23"/>
  <c r="T19" i="23"/>
  <c r="O50" i="23"/>
  <c r="P49" i="23"/>
  <c r="L50" i="23"/>
  <c r="H55" i="23"/>
  <c r="AS16" i="17" l="1"/>
  <c r="O7" i="25" s="1"/>
  <c r="W7" i="25"/>
  <c r="N38" i="74"/>
  <c r="J142" i="76"/>
  <c r="R142" i="76" s="1"/>
  <c r="U142" i="76" s="1"/>
  <c r="H142" i="34"/>
  <c r="P142" i="34" s="1"/>
  <c r="O22" i="25"/>
  <c r="N22" i="74"/>
  <c r="N38" i="25"/>
  <c r="W19" i="25"/>
  <c r="Q142" i="34"/>
  <c r="R106" i="34"/>
  <c r="R142" i="34"/>
  <c r="D51" i="23"/>
  <c r="T49" i="23"/>
  <c r="S50" i="23"/>
  <c r="P50" i="23"/>
  <c r="O51" i="23"/>
  <c r="L51" i="23"/>
  <c r="H56" i="23"/>
  <c r="N7" i="74" l="1"/>
  <c r="W20" i="25"/>
  <c r="W8" i="25"/>
  <c r="W12" i="25"/>
  <c r="J143" i="76"/>
  <c r="R143" i="76" s="1"/>
  <c r="U143" i="76" s="1"/>
  <c r="H143" i="34"/>
  <c r="P143" i="34" s="1"/>
  <c r="Q143" i="34"/>
  <c r="R143" i="34"/>
  <c r="R107" i="34"/>
  <c r="D52" i="23"/>
  <c r="T50" i="23"/>
  <c r="S51" i="23"/>
  <c r="O52" i="23"/>
  <c r="P51" i="23"/>
  <c r="L52" i="23"/>
  <c r="H57" i="23"/>
  <c r="J144" i="76" l="1"/>
  <c r="R144" i="76" s="1"/>
  <c r="U144" i="76" s="1"/>
  <c r="H144" i="34"/>
  <c r="P144" i="34" s="1"/>
  <c r="Q144" i="34"/>
  <c r="R108" i="34"/>
  <c r="R144" i="34"/>
  <c r="D53" i="23"/>
  <c r="T51" i="23"/>
  <c r="S52" i="23"/>
  <c r="P52" i="23"/>
  <c r="O53" i="23"/>
  <c r="L53" i="23"/>
  <c r="H58" i="23"/>
  <c r="G20" i="23"/>
  <c r="H20" i="23" s="1"/>
  <c r="J145" i="76" l="1"/>
  <c r="R145" i="76" s="1"/>
  <c r="U145" i="76" s="1"/>
  <c r="H145" i="34"/>
  <c r="P145" i="34" s="1"/>
  <c r="Q145" i="34"/>
  <c r="R145" i="34"/>
  <c r="D54" i="23"/>
  <c r="S53" i="23"/>
  <c r="T52" i="23"/>
  <c r="O54" i="23"/>
  <c r="P53" i="23"/>
  <c r="L54" i="23"/>
  <c r="H59" i="23"/>
  <c r="O34" i="74" l="1"/>
  <c r="G22" i="23"/>
  <c r="O34" i="25"/>
  <c r="H29" i="70"/>
  <c r="D55" i="23"/>
  <c r="T53" i="23"/>
  <c r="S54" i="23"/>
  <c r="P54" i="23"/>
  <c r="O55" i="23"/>
  <c r="L55" i="23"/>
  <c r="E43" i="25" l="1"/>
  <c r="X16" i="25"/>
  <c r="E43" i="74"/>
  <c r="H30" i="70"/>
  <c r="H34" i="70" s="1"/>
  <c r="D56" i="23"/>
  <c r="T54" i="23"/>
  <c r="S55" i="23"/>
  <c r="P55" i="23"/>
  <c r="O56" i="23"/>
  <c r="L56" i="23"/>
  <c r="H33" i="70" l="1"/>
  <c r="H35" i="70" s="1"/>
  <c r="H37" i="70" s="1"/>
  <c r="H46" i="70" s="1"/>
  <c r="D57" i="23"/>
  <c r="T55" i="23"/>
  <c r="S56" i="23"/>
  <c r="O57" i="23"/>
  <c r="P56" i="23"/>
  <c r="L57" i="23"/>
  <c r="I47" i="70" l="1"/>
  <c r="I49" i="70" s="1"/>
  <c r="G55" i="70" s="1"/>
  <c r="H48" i="70"/>
  <c r="D58" i="23"/>
  <c r="T56" i="23"/>
  <c r="S57" i="23"/>
  <c r="O58" i="23"/>
  <c r="P57" i="23"/>
  <c r="L58" i="23"/>
  <c r="G56" i="70" l="1"/>
  <c r="H49" i="70"/>
  <c r="D59" i="23"/>
  <c r="C20" i="23"/>
  <c r="S58" i="23"/>
  <c r="T57" i="23"/>
  <c r="P58" i="23"/>
  <c r="O59" i="23"/>
  <c r="L59" i="23"/>
  <c r="K20" i="23"/>
  <c r="F55" i="70" l="1"/>
  <c r="O35" i="25"/>
  <c r="O35" i="74"/>
  <c r="O33" i="25"/>
  <c r="O33" i="74"/>
  <c r="D20" i="23"/>
  <c r="C22" i="23"/>
  <c r="L20" i="23"/>
  <c r="K22" i="23"/>
  <c r="T58" i="23"/>
  <c r="S59" i="23"/>
  <c r="P59" i="23"/>
  <c r="O20" i="23"/>
  <c r="F56" i="70" l="1"/>
  <c r="F61" i="70"/>
  <c r="G61" i="70"/>
  <c r="G62" i="70" s="1"/>
  <c r="AK17" i="17"/>
  <c r="E44" i="74"/>
  <c r="E44" i="25"/>
  <c r="E42" i="25"/>
  <c r="X17" i="25"/>
  <c r="X15" i="25"/>
  <c r="E42" i="74"/>
  <c r="O36" i="74"/>
  <c r="AM17" i="17"/>
  <c r="O36" i="25"/>
  <c r="L24" i="57"/>
  <c r="P20" i="23"/>
  <c r="O22" i="23"/>
  <c r="T59" i="23"/>
  <c r="S20" i="23"/>
  <c r="F62" i="70" l="1"/>
  <c r="F9" i="71"/>
  <c r="F11" i="71" s="1"/>
  <c r="AQ17" i="17"/>
  <c r="E45" i="74"/>
  <c r="O6" i="74"/>
  <c r="K29" i="57"/>
  <c r="L29" i="57" s="1"/>
  <c r="O37" i="74"/>
  <c r="E45" i="25"/>
  <c r="X18" i="25"/>
  <c r="K21" i="24"/>
  <c r="L21" i="24" s="1"/>
  <c r="M21" i="73"/>
  <c r="O21" i="73" s="1"/>
  <c r="P6" i="25"/>
  <c r="O37" i="25"/>
  <c r="T20" i="23"/>
  <c r="S22" i="23"/>
  <c r="AS17" i="17" l="1"/>
  <c r="O7" i="74" s="1"/>
  <c r="E46" i="74"/>
  <c r="E47" i="74" s="1"/>
  <c r="X19" i="25"/>
  <c r="X7" i="25"/>
  <c r="C15" i="74"/>
  <c r="P22" i="25"/>
  <c r="O22" i="74"/>
  <c r="O38" i="74"/>
  <c r="C15" i="25"/>
  <c r="O38" i="25"/>
  <c r="E46" i="25"/>
  <c r="E15" i="74" l="1"/>
  <c r="P7" i="25"/>
  <c r="C28" i="74"/>
  <c r="E15" i="25"/>
  <c r="X12" i="25"/>
  <c r="X20" i="25"/>
  <c r="C16" i="74"/>
  <c r="C28" i="25"/>
  <c r="E47" i="25"/>
  <c r="E16" i="74" l="1"/>
  <c r="J15" i="25"/>
  <c r="K15" i="25"/>
  <c r="C16" i="25"/>
  <c r="X8" i="25"/>
  <c r="C45" i="74"/>
  <c r="H15" i="74"/>
  <c r="C45" i="25"/>
  <c r="H15" i="25"/>
  <c r="E28" i="25"/>
  <c r="E28" i="74"/>
  <c r="E16" i="25" l="1"/>
  <c r="D45" i="74"/>
  <c r="D45" i="25"/>
  <c r="H16" i="74"/>
  <c r="C46" i="74"/>
  <c r="J16" i="25" l="1"/>
  <c r="K16" i="25"/>
  <c r="H16" i="25"/>
  <c r="C46" i="25"/>
  <c r="O2" i="34" l="1"/>
  <c r="S2" i="30"/>
  <c r="R2" i="28" l="1"/>
  <c r="T2" i="30"/>
  <c r="O3" i="34"/>
  <c r="S3" i="30" l="1"/>
  <c r="R3" i="28"/>
  <c r="T2" i="32"/>
  <c r="U2" i="32" s="1"/>
  <c r="O4" i="34"/>
  <c r="S4" i="30"/>
  <c r="U2" i="30"/>
  <c r="S2" i="28"/>
  <c r="S3" i="28" l="1"/>
  <c r="T3" i="30"/>
  <c r="U3" i="30" s="1"/>
  <c r="T3" i="32"/>
  <c r="U3" i="32" s="1"/>
  <c r="O5" i="34"/>
  <c r="S5" i="30"/>
  <c r="R4" i="28"/>
  <c r="T4" i="30"/>
  <c r="T4" i="32" l="1"/>
  <c r="U4" i="32" s="1"/>
  <c r="S4" i="28"/>
  <c r="R5" i="28"/>
  <c r="U4" i="30"/>
  <c r="O6" i="34"/>
  <c r="S6" i="30"/>
  <c r="T5" i="30"/>
  <c r="T5" i="32" l="1"/>
  <c r="U5" i="32" s="1"/>
  <c r="T6" i="30"/>
  <c r="U5" i="30"/>
  <c r="R6" i="28"/>
  <c r="O7" i="34"/>
  <c r="S7" i="30"/>
  <c r="S5" i="28"/>
  <c r="R7" i="28" l="1"/>
  <c r="T6" i="32"/>
  <c r="U6" i="32" s="1"/>
  <c r="S6" i="28"/>
  <c r="O8" i="34"/>
  <c r="T7" i="30"/>
  <c r="U6" i="30"/>
  <c r="S7" i="28" l="1"/>
  <c r="S8" i="30"/>
  <c r="T8" i="30" s="1"/>
  <c r="U8" i="30" s="1"/>
  <c r="T7" i="32"/>
  <c r="U7" i="32" s="1"/>
  <c r="U7" i="30"/>
  <c r="R8" i="28"/>
  <c r="O9" i="34"/>
  <c r="S9" i="30"/>
  <c r="R9" i="28" l="1"/>
  <c r="T8" i="32"/>
  <c r="U8" i="32" s="1"/>
  <c r="O10" i="34"/>
  <c r="T9" i="30"/>
  <c r="S8" i="28"/>
  <c r="S9" i="28" l="1"/>
  <c r="R10" i="28"/>
  <c r="S10" i="30"/>
  <c r="T10" i="30" s="1"/>
  <c r="T9" i="32"/>
  <c r="U9" i="32" s="1"/>
  <c r="O11" i="34"/>
  <c r="U9" i="30"/>
  <c r="S10" i="28" l="1"/>
  <c r="U10" i="30"/>
  <c r="S11" i="30"/>
  <c r="T11" i="30" s="1"/>
  <c r="R11" i="28"/>
  <c r="T10" i="32"/>
  <c r="U10" i="32" s="1"/>
  <c r="O12" i="34"/>
  <c r="S11" i="28" l="1"/>
  <c r="U11" i="30"/>
  <c r="S12" i="30"/>
  <c r="T12" i="30" s="1"/>
  <c r="R12" i="28"/>
  <c r="T11" i="32"/>
  <c r="U11" i="32" s="1"/>
  <c r="O13" i="34"/>
  <c r="S12" i="28" l="1"/>
  <c r="U12" i="30"/>
  <c r="R13" i="28"/>
  <c r="S13" i="28" s="1"/>
  <c r="S13" i="30"/>
  <c r="T13" i="30" s="1"/>
  <c r="T12" i="32"/>
  <c r="U12" i="32" s="1"/>
  <c r="S14" i="30"/>
  <c r="O14" i="34"/>
  <c r="U13" i="30" l="1"/>
  <c r="T13" i="32"/>
  <c r="U13" i="32" s="1"/>
  <c r="T14" i="30"/>
  <c r="R14" i="28"/>
  <c r="O15" i="34"/>
  <c r="S15" i="30" l="1"/>
  <c r="R15" i="28"/>
  <c r="T14" i="32"/>
  <c r="U14" i="32" s="1"/>
  <c r="O16" i="34"/>
  <c r="S16" i="30"/>
  <c r="S14" i="28"/>
  <c r="U14" i="30"/>
  <c r="S15" i="28" l="1"/>
  <c r="T15" i="30"/>
  <c r="U15" i="30" s="1"/>
  <c r="T15" i="32"/>
  <c r="U15" i="32" s="1"/>
  <c r="T16" i="30"/>
  <c r="O17" i="34"/>
  <c r="S17" i="30"/>
  <c r="R16" i="28"/>
  <c r="U16" i="30" l="1"/>
  <c r="R17" i="28"/>
  <c r="S17" i="28" s="1"/>
  <c r="T16" i="32"/>
  <c r="U16" i="32" s="1"/>
  <c r="T17" i="30"/>
  <c r="S16" i="28"/>
  <c r="O18" i="34"/>
  <c r="S18" i="30"/>
  <c r="T17" i="32" l="1"/>
  <c r="U17" i="32" s="1"/>
  <c r="U17" i="30"/>
  <c r="T18" i="30"/>
  <c r="R18" i="28"/>
  <c r="O19" i="34"/>
  <c r="U18" i="30" l="1"/>
  <c r="R19" i="28"/>
  <c r="S19" i="30"/>
  <c r="T19" i="30" s="1"/>
  <c r="U19" i="30" s="1"/>
  <c r="T18" i="32"/>
  <c r="U18" i="32" s="1"/>
  <c r="S18" i="28"/>
  <c r="O20" i="34"/>
  <c r="S20" i="30"/>
  <c r="S19" i="28" l="1"/>
  <c r="T19" i="32"/>
  <c r="U19" i="32" s="1"/>
  <c r="R20" i="28"/>
  <c r="O21" i="34"/>
  <c r="T20" i="30"/>
  <c r="S21" i="30" l="1"/>
  <c r="T21" i="30" s="1"/>
  <c r="U21" i="30" s="1"/>
  <c r="R21" i="28"/>
  <c r="T20" i="32"/>
  <c r="U20" i="32" s="1"/>
  <c r="U20" i="30"/>
  <c r="O22" i="34"/>
  <c r="S20" i="28"/>
  <c r="S21" i="28" l="1"/>
  <c r="S22" i="30"/>
  <c r="T22" i="30" s="1"/>
  <c r="U22" i="30" s="1"/>
  <c r="T21" i="32"/>
  <c r="U21" i="32" s="1"/>
  <c r="R22" i="28"/>
  <c r="O23" i="34"/>
  <c r="S23" i="30" l="1"/>
  <c r="T23" i="30" s="1"/>
  <c r="U23" i="30" s="1"/>
  <c r="R23" i="28"/>
  <c r="S23" i="28" s="1"/>
  <c r="T22" i="32"/>
  <c r="U22" i="32" s="1"/>
  <c r="O24" i="34"/>
  <c r="S22" i="28"/>
  <c r="R24" i="28" l="1"/>
  <c r="S24" i="28" s="1"/>
  <c r="S24" i="30"/>
  <c r="T24" i="30" s="1"/>
  <c r="U24" i="30" s="1"/>
  <c r="T23" i="32"/>
  <c r="U23" i="32" s="1"/>
  <c r="O25" i="34"/>
  <c r="S25" i="30" l="1"/>
  <c r="T25" i="30" s="1"/>
  <c r="U25" i="30" s="1"/>
  <c r="R25" i="28"/>
  <c r="S25" i="28" s="1"/>
  <c r="T24" i="32"/>
  <c r="U24" i="32" s="1"/>
  <c r="O26" i="34"/>
  <c r="S26" i="30"/>
  <c r="T25" i="32" l="1"/>
  <c r="U25" i="32" s="1"/>
  <c r="T26" i="30"/>
  <c r="R26" i="28"/>
  <c r="O27" i="34"/>
  <c r="S27" i="30" l="1"/>
  <c r="R27" i="28"/>
  <c r="S27" i="28" s="1"/>
  <c r="T26" i="32"/>
  <c r="U26" i="32" s="1"/>
  <c r="U26" i="30"/>
  <c r="S26" i="28"/>
  <c r="O28" i="34"/>
  <c r="S28" i="30"/>
  <c r="T27" i="30" l="1"/>
  <c r="U27" i="30" s="1"/>
  <c r="T27" i="32"/>
  <c r="U27" i="32" s="1"/>
  <c r="T28" i="30"/>
  <c r="U28" i="30" s="1"/>
  <c r="O29" i="34"/>
  <c r="S29" i="30"/>
  <c r="R28" i="28"/>
  <c r="R29" i="28" l="1"/>
  <c r="S29" i="28" s="1"/>
  <c r="T28" i="32"/>
  <c r="U28" i="32" s="1"/>
  <c r="T29" i="30"/>
  <c r="S30" i="30"/>
  <c r="O30" i="34"/>
  <c r="S28" i="28"/>
  <c r="T29" i="32" l="1"/>
  <c r="U29" i="32" s="1"/>
  <c r="T30" i="30"/>
  <c r="U30" i="30" s="1"/>
  <c r="U29" i="30"/>
  <c r="R30" i="28"/>
  <c r="O31" i="34"/>
  <c r="S31" i="30"/>
  <c r="R31" i="28" l="1"/>
  <c r="S31" i="28" s="1"/>
  <c r="T30" i="32"/>
  <c r="U30" i="32" s="1"/>
  <c r="T31" i="30"/>
  <c r="S30" i="28"/>
  <c r="O32" i="34"/>
  <c r="S32" i="30"/>
  <c r="T31" i="32" l="1"/>
  <c r="U31" i="32" s="1"/>
  <c r="T32" i="30"/>
  <c r="U32" i="30" s="1"/>
  <c r="R32" i="28"/>
  <c r="O33" i="34"/>
  <c r="U31" i="30"/>
  <c r="S33" i="30" l="1"/>
  <c r="T33" i="30" s="1"/>
  <c r="U33" i="30" s="1"/>
  <c r="T32" i="32"/>
  <c r="U32" i="32" s="1"/>
  <c r="R33" i="28"/>
  <c r="S33" i="28" s="1"/>
  <c r="O34" i="34"/>
  <c r="S32" i="28"/>
  <c r="S34" i="30" l="1"/>
  <c r="T34" i="30" s="1"/>
  <c r="U34" i="30" s="1"/>
  <c r="T33" i="32"/>
  <c r="U33" i="32" s="1"/>
  <c r="R34" i="28"/>
  <c r="O35" i="34"/>
  <c r="S35" i="30" l="1"/>
  <c r="T35" i="30" s="1"/>
  <c r="U35" i="30" s="1"/>
  <c r="R35" i="28"/>
  <c r="S35" i="28" s="1"/>
  <c r="T34" i="32"/>
  <c r="U34" i="32" s="1"/>
  <c r="O36" i="34"/>
  <c r="S34" i="28"/>
  <c r="R36" i="28" l="1"/>
  <c r="S36" i="28" s="1"/>
  <c r="S36" i="30"/>
  <c r="T36" i="30" s="1"/>
  <c r="U36" i="30" s="1"/>
  <c r="T35" i="32"/>
  <c r="U35" i="32" s="1"/>
  <c r="O37" i="34"/>
  <c r="S37" i="30" l="1"/>
  <c r="T37" i="30" s="1"/>
  <c r="U37" i="30" s="1"/>
  <c r="R37" i="28"/>
  <c r="S37" i="28" s="1"/>
  <c r="T36" i="32"/>
  <c r="U36" i="32" s="1"/>
  <c r="O38" i="34"/>
  <c r="S38" i="30"/>
  <c r="T37" i="32" l="1"/>
  <c r="U37" i="32" s="1"/>
  <c r="T38" i="30"/>
  <c r="R38" i="28"/>
  <c r="O39" i="34"/>
  <c r="S39" i="30" l="1"/>
  <c r="R39" i="28"/>
  <c r="S39" i="28" s="1"/>
  <c r="T38" i="32"/>
  <c r="U38" i="32" s="1"/>
  <c r="O40" i="34"/>
  <c r="S40" i="30"/>
  <c r="S38" i="28"/>
  <c r="U38" i="30"/>
  <c r="T39" i="30" l="1"/>
  <c r="U39" i="30" s="1"/>
  <c r="R40" i="28"/>
  <c r="T39" i="32"/>
  <c r="U39" i="32" s="1"/>
  <c r="T40" i="30"/>
  <c r="O41" i="34"/>
  <c r="S41" i="30"/>
  <c r="S40" i="28" l="1"/>
  <c r="T40" i="32"/>
  <c r="U40" i="32" s="1"/>
  <c r="T41" i="30"/>
  <c r="U41" i="30" s="1"/>
  <c r="U40" i="30"/>
  <c r="R41" i="28"/>
  <c r="O42" i="34"/>
  <c r="S42" i="30"/>
  <c r="R42" i="28" l="1"/>
  <c r="T41" i="32"/>
  <c r="U41" i="32" s="1"/>
  <c r="T42" i="30"/>
  <c r="U42" i="30" s="1"/>
  <c r="O43" i="34"/>
  <c r="S43" i="30"/>
  <c r="S41" i="28"/>
  <c r="S42" i="28" l="1"/>
  <c r="R43" i="28"/>
  <c r="S43" i="28" s="1"/>
  <c r="T42" i="32"/>
  <c r="U42" i="32" s="1"/>
  <c r="T43" i="30"/>
  <c r="O44" i="34"/>
  <c r="S44" i="30"/>
  <c r="R44" i="28" l="1"/>
  <c r="T43" i="32"/>
  <c r="U43" i="32" s="1"/>
  <c r="O45" i="34"/>
  <c r="S45" i="30"/>
  <c r="U43" i="30"/>
  <c r="T44" i="30"/>
  <c r="U44" i="30" s="1"/>
  <c r="S44" i="28" l="1"/>
  <c r="R45" i="28"/>
  <c r="S45" i="28" s="1"/>
  <c r="T44" i="32"/>
  <c r="U44" i="32" s="1"/>
  <c r="T45" i="30"/>
  <c r="O46" i="34"/>
  <c r="S46" i="30" l="1"/>
  <c r="T46" i="30" s="1"/>
  <c r="U46" i="30" s="1"/>
  <c r="R46" i="28"/>
  <c r="S46" i="28" s="1"/>
  <c r="T45" i="32"/>
  <c r="U45" i="32" s="1"/>
  <c r="O47" i="34"/>
  <c r="U45" i="30"/>
  <c r="S47" i="30" l="1"/>
  <c r="T47" i="30" s="1"/>
  <c r="U47" i="30" s="1"/>
  <c r="R47" i="28"/>
  <c r="S47" i="28" s="1"/>
  <c r="T46" i="32"/>
  <c r="U46" i="32" s="1"/>
  <c r="O48" i="34"/>
  <c r="R48" i="28" l="1"/>
  <c r="S48" i="28" s="1"/>
  <c r="S48" i="30"/>
  <c r="T48" i="30" s="1"/>
  <c r="U48" i="30" s="1"/>
  <c r="T47" i="32"/>
  <c r="U47" i="32" s="1"/>
  <c r="O49" i="34"/>
  <c r="S49" i="30" l="1"/>
  <c r="T49" i="30" s="1"/>
  <c r="U49" i="30" s="1"/>
  <c r="R49" i="28"/>
  <c r="S49" i="28" s="1"/>
  <c r="T48" i="32"/>
  <c r="U48" i="32" s="1"/>
  <c r="O50" i="34"/>
  <c r="S50" i="30"/>
  <c r="T49" i="32" l="1"/>
  <c r="U49" i="32" s="1"/>
  <c r="R50" i="28"/>
  <c r="O51" i="34"/>
  <c r="T50" i="30"/>
  <c r="R51" i="28" l="1"/>
  <c r="S51" i="28" s="1"/>
  <c r="S51" i="30"/>
  <c r="T50" i="32"/>
  <c r="U50" i="32" s="1"/>
  <c r="U50" i="30"/>
  <c r="O52" i="34"/>
  <c r="S52" i="30"/>
  <c r="S50" i="28"/>
  <c r="T51" i="30" l="1"/>
  <c r="U51" i="30" s="1"/>
  <c r="R52" i="28"/>
  <c r="T51" i="32"/>
  <c r="U51" i="32" s="1"/>
  <c r="O53" i="34"/>
  <c r="T52" i="30"/>
  <c r="S52" i="28" l="1"/>
  <c r="S53" i="30"/>
  <c r="T52" i="32"/>
  <c r="U52" i="32" s="1"/>
  <c r="U52" i="30"/>
  <c r="O54" i="34"/>
  <c r="S54" i="30"/>
  <c r="R53" i="28"/>
  <c r="T53" i="30" l="1"/>
  <c r="U53" i="30" s="1"/>
  <c r="R54" i="28"/>
  <c r="S54" i="28" s="1"/>
  <c r="T53" i="32"/>
  <c r="U53" i="32" s="1"/>
  <c r="O55" i="34"/>
  <c r="S53" i="28"/>
  <c r="T54" i="30"/>
  <c r="S55" i="30" l="1"/>
  <c r="T54" i="32"/>
  <c r="U54" i="32" s="1"/>
  <c r="O56" i="34"/>
  <c r="S56" i="30"/>
  <c r="U54" i="30"/>
  <c r="R55" i="28"/>
  <c r="T55" i="30" l="1"/>
  <c r="U55" i="30" s="1"/>
  <c r="R56" i="28"/>
  <c r="S56" i="28" s="1"/>
  <c r="T55" i="32"/>
  <c r="U55" i="32" s="1"/>
  <c r="S55" i="28"/>
  <c r="T56" i="30"/>
  <c r="O57" i="34"/>
  <c r="S57" i="30" l="1"/>
  <c r="T57" i="30" s="1"/>
  <c r="U57" i="30" s="1"/>
  <c r="R57" i="28"/>
  <c r="S57" i="28" s="1"/>
  <c r="T56" i="32"/>
  <c r="U56" i="32" s="1"/>
  <c r="S58" i="30"/>
  <c r="O58" i="34"/>
  <c r="U56" i="30"/>
  <c r="R58" i="28" l="1"/>
  <c r="S58" i="28" s="1"/>
  <c r="T57" i="32"/>
  <c r="U57" i="32" s="1"/>
  <c r="T58" i="30"/>
  <c r="O59" i="34"/>
  <c r="S59" i="30" l="1"/>
  <c r="T59" i="30" s="1"/>
  <c r="U59" i="30" s="1"/>
  <c r="R59" i="28"/>
  <c r="S59" i="28" s="1"/>
  <c r="T58" i="32"/>
  <c r="U58" i="32" s="1"/>
  <c r="U58" i="30"/>
  <c r="O60" i="34"/>
  <c r="S62" i="30" l="1"/>
  <c r="S60" i="30"/>
  <c r="T60" i="30" s="1"/>
  <c r="U60" i="30" s="1"/>
  <c r="R60" i="28"/>
  <c r="S60" i="28" s="1"/>
  <c r="T59" i="32"/>
  <c r="U59" i="32" s="1"/>
  <c r="S61" i="30"/>
  <c r="T62" i="30" l="1"/>
  <c r="T62" i="32"/>
  <c r="U62" i="32" s="1"/>
  <c r="R62" i="28"/>
  <c r="T63" i="32"/>
  <c r="U63" i="32" s="1"/>
  <c r="R63" i="28"/>
  <c r="S63" i="28" s="1"/>
  <c r="S63" i="30"/>
  <c r="T63" i="30" s="1"/>
  <c r="U63" i="30" s="1"/>
  <c r="T60" i="32"/>
  <c r="U60" i="32" s="1"/>
  <c r="J5" i="15"/>
  <c r="J6" i="15"/>
  <c r="J7" i="15"/>
  <c r="J8" i="15"/>
  <c r="J9" i="15"/>
  <c r="O61" i="34"/>
  <c r="T61" i="30"/>
  <c r="R61" i="28"/>
  <c r="D5" i="15"/>
  <c r="D6" i="15"/>
  <c r="D7" i="15"/>
  <c r="D8" i="15"/>
  <c r="D9" i="15"/>
  <c r="E7" i="15" l="1"/>
  <c r="E6" i="15"/>
  <c r="E8" i="15"/>
  <c r="E5" i="15"/>
  <c r="E9" i="15"/>
  <c r="U62" i="30"/>
  <c r="S62" i="28"/>
  <c r="S64" i="30"/>
  <c r="T64" i="30" s="1"/>
  <c r="U64" i="30" s="1"/>
  <c r="P5" i="15"/>
  <c r="P6" i="15"/>
  <c r="P7" i="15"/>
  <c r="P8" i="15"/>
  <c r="P9" i="15"/>
  <c r="T61" i="32"/>
  <c r="U61" i="32" s="1"/>
  <c r="S61" i="28"/>
  <c r="U61" i="30"/>
  <c r="O62" i="34"/>
  <c r="Q8" i="15" l="1"/>
  <c r="Q7" i="15"/>
  <c r="Q9" i="15"/>
  <c r="Q6" i="15"/>
  <c r="Q5" i="15"/>
  <c r="T64" i="32"/>
  <c r="U64" i="32" s="1"/>
  <c r="R64" i="28"/>
  <c r="T65" i="32"/>
  <c r="U65" i="32" s="1"/>
  <c r="S65" i="30"/>
  <c r="T65" i="30" s="1"/>
  <c r="U65" i="30" s="1"/>
  <c r="R65" i="28"/>
  <c r="S65" i="28" s="1"/>
  <c r="O63" i="34"/>
  <c r="S64" i="28" l="1"/>
  <c r="T66" i="32"/>
  <c r="U66" i="32" s="1"/>
  <c r="S66" i="30"/>
  <c r="R66" i="28"/>
  <c r="S66" i="28" s="1"/>
  <c r="O64" i="34"/>
  <c r="T66" i="30" l="1"/>
  <c r="U66" i="30" s="1"/>
  <c r="S67" i="30"/>
  <c r="T67" i="32"/>
  <c r="U67" i="32" s="1"/>
  <c r="R67" i="28"/>
  <c r="O65" i="34"/>
  <c r="S67" i="28" l="1"/>
  <c r="T67" i="30"/>
  <c r="S68" i="30"/>
  <c r="T68" i="30" s="1"/>
  <c r="U68" i="30" s="1"/>
  <c r="O66" i="34"/>
  <c r="U67" i="30" l="1"/>
  <c r="T68" i="32"/>
  <c r="U68" i="32" s="1"/>
  <c r="R68" i="28"/>
  <c r="S69" i="30"/>
  <c r="T69" i="30" s="1"/>
  <c r="U69" i="30" s="1"/>
  <c r="T69" i="32"/>
  <c r="U69" i="32" s="1"/>
  <c r="R69" i="28"/>
  <c r="S69" i="28" s="1"/>
  <c r="O67" i="34"/>
  <c r="S68" i="28" l="1"/>
  <c r="T70" i="32"/>
  <c r="U70" i="32" s="1"/>
  <c r="R70" i="28"/>
  <c r="S70" i="28" s="1"/>
  <c r="S70" i="30"/>
  <c r="T70" i="30" s="1"/>
  <c r="U70" i="30" s="1"/>
  <c r="O68" i="34"/>
  <c r="T71" i="32" l="1"/>
  <c r="U71" i="32" s="1"/>
  <c r="S71" i="30"/>
  <c r="T71" i="30" s="1"/>
  <c r="U71" i="30" s="1"/>
  <c r="R71" i="28"/>
  <c r="O69" i="34"/>
  <c r="S71" i="28" l="1"/>
  <c r="T72" i="32"/>
  <c r="U72" i="32" s="1"/>
  <c r="S72" i="30"/>
  <c r="T72" i="30" s="1"/>
  <c r="U72" i="30" s="1"/>
  <c r="R72" i="28"/>
  <c r="S72" i="28" s="1"/>
  <c r="O70" i="34"/>
  <c r="T73" i="32" l="1"/>
  <c r="U73" i="32" s="1"/>
  <c r="S73" i="30"/>
  <c r="T73" i="30" s="1"/>
  <c r="U73" i="30" s="1"/>
  <c r="R73" i="28"/>
  <c r="S73" i="28" s="1"/>
  <c r="O71" i="34"/>
  <c r="S74" i="30" l="1"/>
  <c r="O72" i="34"/>
  <c r="S75" i="30" l="1"/>
  <c r="O73" i="34"/>
  <c r="S76" i="30" l="1"/>
  <c r="O74" i="34"/>
  <c r="S77" i="30" l="1"/>
  <c r="O75" i="34"/>
  <c r="S78" i="30" l="1"/>
  <c r="O76" i="34"/>
  <c r="S79" i="30" l="1"/>
  <c r="O77" i="34"/>
  <c r="S80" i="30" l="1"/>
  <c r="O78" i="34"/>
  <c r="S81" i="30" l="1"/>
  <c r="O79" i="34"/>
  <c r="S82" i="30" l="1"/>
  <c r="O80" i="34"/>
  <c r="S83" i="30" l="1"/>
  <c r="O81" i="34"/>
  <c r="S84" i="30" l="1"/>
  <c r="O82" i="34"/>
  <c r="S85" i="30" l="1"/>
  <c r="O83" i="34"/>
  <c r="S86" i="30" l="1"/>
  <c r="O84" i="34"/>
  <c r="O85" i="34" l="1"/>
  <c r="S87" i="30"/>
  <c r="S88" i="30" l="1"/>
  <c r="O86" i="34"/>
  <c r="F7" i="57"/>
  <c r="O87" i="34" l="1"/>
  <c r="S89" i="30"/>
  <c r="F6" i="57"/>
  <c r="F8" i="57"/>
  <c r="S90" i="30" l="1"/>
  <c r="O88" i="34"/>
  <c r="F9" i="57"/>
  <c r="O89" i="34" l="1"/>
  <c r="S91" i="30"/>
  <c r="S92" i="30" l="1"/>
  <c r="O90" i="34"/>
  <c r="O91" i="34" l="1"/>
  <c r="S93" i="30"/>
  <c r="S94" i="30" l="1"/>
  <c r="O92" i="34"/>
  <c r="O93" i="34" l="1"/>
  <c r="S95" i="30"/>
  <c r="O94" i="34" l="1"/>
  <c r="S96" i="30"/>
  <c r="K5" i="15"/>
  <c r="K6" i="15"/>
  <c r="K7" i="15"/>
  <c r="K8" i="15"/>
  <c r="K9" i="15"/>
  <c r="S97" i="30" l="1"/>
  <c r="O95" i="34"/>
  <c r="O96" i="34" l="1"/>
  <c r="S98" i="30"/>
  <c r="S99" i="30" l="1"/>
  <c r="O97" i="34"/>
  <c r="O98" i="34" l="1"/>
  <c r="S100" i="30"/>
  <c r="S101" i="30" l="1"/>
  <c r="O99" i="34"/>
  <c r="S102" i="30" l="1"/>
  <c r="O100" i="34"/>
  <c r="O101" i="34" l="1"/>
  <c r="S103" i="30"/>
  <c r="S104" i="30" l="1"/>
  <c r="O102" i="34"/>
  <c r="O103" i="34" l="1"/>
  <c r="S105" i="30"/>
  <c r="O104" i="34" l="1"/>
  <c r="S106" i="30"/>
  <c r="S107" i="30" l="1"/>
  <c r="O105" i="34"/>
  <c r="O106" i="34" l="1"/>
  <c r="S108" i="30"/>
  <c r="S109" i="30" l="1"/>
  <c r="O107" i="34"/>
  <c r="J10" i="15" l="1"/>
  <c r="J11" i="15"/>
  <c r="J12" i="15"/>
  <c r="J13" i="15"/>
  <c r="P10" i="15"/>
  <c r="P11" i="15"/>
  <c r="P12" i="15"/>
  <c r="P13" i="15"/>
  <c r="D10" i="15"/>
  <c r="D11" i="15"/>
  <c r="D12" i="15"/>
  <c r="D13" i="15"/>
  <c r="O108" i="34"/>
  <c r="Q10" i="15" l="1"/>
  <c r="K10" i="15"/>
  <c r="E10" i="15"/>
  <c r="O109" i="34"/>
  <c r="O110" i="34" l="1"/>
  <c r="O111" i="34" l="1"/>
  <c r="O112" i="34" l="1"/>
  <c r="O113" i="34" l="1"/>
  <c r="O114" i="34" l="1"/>
  <c r="O115" i="34" l="1"/>
  <c r="O122" i="34" l="1"/>
  <c r="O123" i="34" l="1"/>
  <c r="O124" i="34" l="1"/>
  <c r="O125" i="34" l="1"/>
  <c r="O126" i="34" l="1"/>
  <c r="O127" i="34" l="1"/>
  <c r="O128" i="34" l="1"/>
  <c r="O129" i="34" l="1"/>
  <c r="O130" i="34" l="1"/>
  <c r="O131" i="34" l="1"/>
  <c r="O132" i="34" l="1"/>
  <c r="O133" i="34" l="1"/>
  <c r="O134" i="34" l="1"/>
  <c r="O135" i="34" l="1"/>
  <c r="O136" i="34" l="1"/>
  <c r="O137" i="34" l="1"/>
  <c r="O138" i="34" l="1"/>
  <c r="O139" i="34" l="1"/>
  <c r="O140" i="34" l="1"/>
  <c r="O141" i="34" l="1"/>
  <c r="O142" i="34" l="1"/>
  <c r="O143" i="34" l="1"/>
  <c r="O144" i="34" l="1"/>
  <c r="O145" i="34"/>
  <c r="K12" i="72" l="1"/>
  <c r="P12" i="72" l="1"/>
  <c r="S12" i="72"/>
  <c r="Q12" i="72"/>
  <c r="R12" i="72"/>
  <c r="T12" i="72"/>
  <c r="U12" i="72"/>
  <c r="U26" i="72" l="1"/>
  <c r="G58" i="72"/>
  <c r="G61" i="72" s="1"/>
  <c r="U36" i="72"/>
  <c r="U37" i="72"/>
  <c r="U38" i="72"/>
  <c r="F58" i="72"/>
  <c r="F61" i="72" s="1"/>
  <c r="T26" i="72"/>
  <c r="T37" i="72"/>
  <c r="T38" i="72"/>
  <c r="T36" i="72"/>
  <c r="D58" i="72"/>
  <c r="R26" i="72"/>
  <c r="R37" i="72"/>
  <c r="R36" i="72"/>
  <c r="R38" i="72"/>
  <c r="Q26" i="72"/>
  <c r="Q37" i="72"/>
  <c r="Q38" i="72"/>
  <c r="Q36" i="72"/>
  <c r="S26" i="72"/>
  <c r="S38" i="72"/>
  <c r="S37" i="72"/>
  <c r="S36" i="72"/>
  <c r="P26" i="72"/>
  <c r="P37" i="72"/>
  <c r="P38" i="72"/>
  <c r="J58" i="72" l="1"/>
  <c r="D61" i="72"/>
  <c r="H8" i="73"/>
  <c r="D86" i="148"/>
  <c r="D81" i="148"/>
  <c r="D68" i="148"/>
  <c r="E90" i="148"/>
  <c r="I9" i="73"/>
  <c r="K9" i="73" s="1"/>
  <c r="C93" i="148"/>
  <c r="L7" i="73"/>
  <c r="U40" i="72"/>
  <c r="C81" i="148"/>
  <c r="R40" i="72"/>
  <c r="R30" i="72"/>
  <c r="R32" i="72"/>
  <c r="R31" i="72"/>
  <c r="P30" i="72"/>
  <c r="P31" i="72"/>
  <c r="P32" i="72"/>
  <c r="I8" i="73"/>
  <c r="K8" i="73" s="1"/>
  <c r="D90" i="148"/>
  <c r="E93" i="148"/>
  <c r="L9" i="73"/>
  <c r="N9" i="73" s="1"/>
  <c r="Q31" i="72"/>
  <c r="Q30" i="72"/>
  <c r="Q32" i="72"/>
  <c r="E81" i="148"/>
  <c r="P40" i="72"/>
  <c r="C68" i="148"/>
  <c r="E68" i="148"/>
  <c r="C90" i="148"/>
  <c r="T40" i="72"/>
  <c r="I7" i="73"/>
  <c r="C86" i="148"/>
  <c r="H7" i="73"/>
  <c r="S40" i="72"/>
  <c r="T31" i="72"/>
  <c r="T32" i="72"/>
  <c r="T30" i="72"/>
  <c r="T34" i="72" s="1"/>
  <c r="E86" i="148"/>
  <c r="H9" i="73"/>
  <c r="S32" i="72"/>
  <c r="S31" i="72"/>
  <c r="S30" i="72"/>
  <c r="D93" i="148"/>
  <c r="L8" i="73"/>
  <c r="N8" i="73" s="1"/>
  <c r="Q40" i="72"/>
  <c r="C75" i="148"/>
  <c r="E75" i="148"/>
  <c r="D75" i="148"/>
  <c r="U30" i="72"/>
  <c r="U31" i="72"/>
  <c r="U32" i="72"/>
  <c r="Q9" i="73" l="1"/>
  <c r="I20" i="73" s="1"/>
  <c r="R9" i="73"/>
  <c r="N20" i="73" s="1"/>
  <c r="P9" i="73"/>
  <c r="P7" i="73"/>
  <c r="P8" i="73"/>
  <c r="Q8" i="73"/>
  <c r="R8" i="73"/>
  <c r="I22" i="73"/>
  <c r="H12" i="73"/>
  <c r="N7" i="73"/>
  <c r="R7" i="73" s="1"/>
  <c r="L12" i="73"/>
  <c r="N12" i="73" s="1"/>
  <c r="H93" i="148"/>
  <c r="K7" i="73"/>
  <c r="Q7" i="73" s="1"/>
  <c r="I12" i="73"/>
  <c r="K12" i="73" s="1"/>
  <c r="K13" i="148"/>
  <c r="U34" i="72"/>
  <c r="R34" i="72"/>
  <c r="L13" i="148"/>
  <c r="P34" i="72"/>
  <c r="S34" i="72"/>
  <c r="Q34" i="72"/>
  <c r="J13" i="148"/>
  <c r="H68" i="148"/>
  <c r="F12" i="73"/>
  <c r="H81" i="148"/>
  <c r="H91" i="148"/>
  <c r="H90" i="148"/>
  <c r="H75" i="148"/>
  <c r="H86" i="148"/>
  <c r="O69" i="72"/>
  <c r="P69" i="72"/>
  <c r="P72" i="72" s="1"/>
  <c r="Q69" i="72"/>
  <c r="Q72" i="72" s="1"/>
  <c r="J61" i="72"/>
  <c r="H69" i="148" l="1"/>
  <c r="J14" i="148"/>
  <c r="D14" i="74"/>
  <c r="D14" i="25"/>
  <c r="N22" i="73"/>
  <c r="O13" i="148"/>
  <c r="J43" i="148"/>
  <c r="K14" i="148"/>
  <c r="L43" i="148"/>
  <c r="D13" i="25"/>
  <c r="D13" i="74"/>
  <c r="K43" i="148"/>
  <c r="L14" i="148"/>
  <c r="U69" i="72"/>
  <c r="O72" i="72"/>
  <c r="U72" i="72" s="1"/>
  <c r="H82" i="148"/>
  <c r="H88" i="148"/>
  <c r="H87" i="148"/>
  <c r="H76" i="148"/>
  <c r="D12" i="25" l="1"/>
  <c r="D12" i="74"/>
  <c r="H77" i="148"/>
  <c r="H84" i="148"/>
  <c r="H83" i="148"/>
  <c r="M78" i="67"/>
  <c r="N78" i="67" s="1"/>
  <c r="M79" i="67"/>
  <c r="N79" i="67" s="1"/>
  <c r="M80" i="67"/>
  <c r="N80" i="67" s="1"/>
  <c r="M81" i="67"/>
  <c r="N81" i="67" s="1"/>
  <c r="M77" i="67"/>
  <c r="N77" i="67" s="1"/>
  <c r="M82" i="67"/>
  <c r="N82" i="67" s="1"/>
  <c r="M83" i="67"/>
  <c r="N83" i="67" s="1"/>
  <c r="M84" i="67"/>
  <c r="N84" i="67" s="1"/>
  <c r="M85" i="67"/>
  <c r="N85" i="67" s="1"/>
  <c r="M74" i="67"/>
  <c r="M75" i="67"/>
  <c r="N75" i="67" s="1"/>
  <c r="M76" i="67"/>
  <c r="N76" i="67" s="1"/>
  <c r="L44" i="148"/>
  <c r="K27" i="148"/>
  <c r="K15" i="148"/>
  <c r="J44" i="148"/>
  <c r="O14" i="148"/>
  <c r="E79" i="67"/>
  <c r="F79" i="67" s="1"/>
  <c r="E82" i="67"/>
  <c r="F82" i="67" s="1"/>
  <c r="E84" i="67"/>
  <c r="F84" i="67" s="1"/>
  <c r="E83" i="67"/>
  <c r="F83" i="67" s="1"/>
  <c r="E85" i="67"/>
  <c r="F85" i="67" s="1"/>
  <c r="E75" i="67"/>
  <c r="F75" i="67" s="1"/>
  <c r="E81" i="67"/>
  <c r="F81" i="67" s="1"/>
  <c r="E80" i="67"/>
  <c r="F80" i="67" s="1"/>
  <c r="E74" i="67"/>
  <c r="E78" i="67"/>
  <c r="F78" i="67" s="1"/>
  <c r="E77" i="67"/>
  <c r="F77" i="67" s="1"/>
  <c r="E76" i="67"/>
  <c r="F76" i="67" s="1"/>
  <c r="J27" i="148"/>
  <c r="H70" i="148"/>
  <c r="J15" i="148"/>
  <c r="L15" i="148"/>
  <c r="I75" i="67"/>
  <c r="J75" i="67" s="1"/>
  <c r="I78" i="67"/>
  <c r="J78" i="67" s="1"/>
  <c r="I79" i="67"/>
  <c r="J79" i="67" s="1"/>
  <c r="I84" i="67"/>
  <c r="J84" i="67" s="1"/>
  <c r="I85" i="67"/>
  <c r="J85" i="67" s="1"/>
  <c r="I76" i="67"/>
  <c r="J76" i="67" s="1"/>
  <c r="I80" i="67"/>
  <c r="J80" i="67" s="1"/>
  <c r="I81" i="67"/>
  <c r="J81" i="67" s="1"/>
  <c r="I82" i="67"/>
  <c r="J82" i="67" s="1"/>
  <c r="I77" i="67"/>
  <c r="J77" i="67" s="1"/>
  <c r="I74" i="67"/>
  <c r="I83" i="67"/>
  <c r="J83" i="67" s="1"/>
  <c r="K44" i="148"/>
  <c r="N74" i="67" l="1"/>
  <c r="Z55" i="17"/>
  <c r="Z12" i="17"/>
  <c r="U276" i="4"/>
  <c r="DR276" i="4"/>
  <c r="D84" i="77"/>
  <c r="D84" i="36"/>
  <c r="D84" i="32"/>
  <c r="T84" i="32" s="1"/>
  <c r="U84" i="32" s="1"/>
  <c r="DR275" i="4"/>
  <c r="U275" i="4"/>
  <c r="D83" i="77"/>
  <c r="U83" i="77" s="1"/>
  <c r="D83" i="36"/>
  <c r="D83" i="32"/>
  <c r="T83" i="32" s="1"/>
  <c r="U83" i="32" s="1"/>
  <c r="DQ273" i="4"/>
  <c r="T273" i="4"/>
  <c r="X273" i="4" s="1"/>
  <c r="D81" i="76"/>
  <c r="D81" i="34"/>
  <c r="D81" i="30"/>
  <c r="T81" i="30" s="1"/>
  <c r="DP277" i="4"/>
  <c r="S277" i="4"/>
  <c r="D85" i="75"/>
  <c r="D85" i="38"/>
  <c r="D85" i="28"/>
  <c r="R85" i="28" s="1"/>
  <c r="DR274" i="4"/>
  <c r="U274" i="4"/>
  <c r="D82" i="77"/>
  <c r="U82" i="77" s="1"/>
  <c r="D82" i="36"/>
  <c r="D82" i="32"/>
  <c r="T82" i="32" s="1"/>
  <c r="U82" i="32" s="1"/>
  <c r="U269" i="4"/>
  <c r="DR269" i="4"/>
  <c r="D77" i="77"/>
  <c r="D77" i="36"/>
  <c r="D77" i="32"/>
  <c r="F74" i="67"/>
  <c r="DD74" i="67" s="1"/>
  <c r="D55" i="17"/>
  <c r="D12" i="17"/>
  <c r="DP273" i="4"/>
  <c r="S273" i="4"/>
  <c r="D81" i="75"/>
  <c r="D81" i="38"/>
  <c r="D81" i="28"/>
  <c r="R81" i="28" s="1"/>
  <c r="DQ270" i="4"/>
  <c r="T270" i="4"/>
  <c r="X270" i="4" s="1"/>
  <c r="D78" i="76"/>
  <c r="D78" i="34"/>
  <c r="D78" i="30"/>
  <c r="T78" i="30" s="1"/>
  <c r="D81" i="77"/>
  <c r="U81" i="77" s="1"/>
  <c r="DR273" i="4"/>
  <c r="U273" i="4"/>
  <c r="D81" i="36"/>
  <c r="D81" i="32"/>
  <c r="T81" i="32" s="1"/>
  <c r="U81" i="32" s="1"/>
  <c r="DP274" i="4"/>
  <c r="S274" i="4"/>
  <c r="D82" i="75"/>
  <c r="D82" i="38"/>
  <c r="D82" i="28"/>
  <c r="R82" i="28" s="1"/>
  <c r="DR272" i="4"/>
  <c r="U272" i="4"/>
  <c r="D80" i="77"/>
  <c r="D80" i="36"/>
  <c r="D80" i="32"/>
  <c r="T80" i="32" s="1"/>
  <c r="U80" i="32" s="1"/>
  <c r="DP272" i="4"/>
  <c r="S272" i="4"/>
  <c r="D80" i="75"/>
  <c r="D80" i="38"/>
  <c r="D80" i="28"/>
  <c r="R80" i="28" s="1"/>
  <c r="DP271" i="4"/>
  <c r="S271" i="4"/>
  <c r="D79" i="75"/>
  <c r="D79" i="38"/>
  <c r="D79" i="28"/>
  <c r="R79" i="28" s="1"/>
  <c r="T277" i="4"/>
  <c r="X277" i="4" s="1"/>
  <c r="DQ277" i="4"/>
  <c r="D85" i="76"/>
  <c r="U85" i="76" s="1"/>
  <c r="D85" i="34"/>
  <c r="D85" i="30"/>
  <c r="T85" i="30" s="1"/>
  <c r="DR271" i="4"/>
  <c r="U271" i="4"/>
  <c r="D79" i="77"/>
  <c r="D79" i="36"/>
  <c r="D79" i="32"/>
  <c r="T79" i="32" s="1"/>
  <c r="U79" i="32" s="1"/>
  <c r="T268" i="4"/>
  <c r="X268" i="4" s="1"/>
  <c r="DQ268" i="4"/>
  <c r="D76" i="76"/>
  <c r="D76" i="34"/>
  <c r="D76" i="30"/>
  <c r="T76" i="30" s="1"/>
  <c r="DR270" i="4"/>
  <c r="D78" i="77"/>
  <c r="U270" i="4"/>
  <c r="D78" i="36"/>
  <c r="D78" i="32"/>
  <c r="T78" i="32" s="1"/>
  <c r="U78" i="32" s="1"/>
  <c r="T276" i="4"/>
  <c r="X276" i="4" s="1"/>
  <c r="DQ276" i="4"/>
  <c r="D84" i="76"/>
  <c r="U84" i="76" s="1"/>
  <c r="D84" i="34"/>
  <c r="D84" i="30"/>
  <c r="T84" i="30" s="1"/>
  <c r="DQ275" i="4"/>
  <c r="T275" i="4"/>
  <c r="X275" i="4" s="1"/>
  <c r="D83" i="76"/>
  <c r="U83" i="76" s="1"/>
  <c r="D83" i="34"/>
  <c r="D83" i="30"/>
  <c r="T83" i="30" s="1"/>
  <c r="S267" i="4"/>
  <c r="DP267" i="4"/>
  <c r="D75" i="75"/>
  <c r="D75" i="38"/>
  <c r="D75" i="28"/>
  <c r="R75" i="28" s="1"/>
  <c r="J74" i="67"/>
  <c r="DG74" i="67" s="1"/>
  <c r="O55" i="17"/>
  <c r="O12" i="17"/>
  <c r="S268" i="4"/>
  <c r="DP268" i="4"/>
  <c r="D76" i="75"/>
  <c r="D76" i="38"/>
  <c r="D76" i="28"/>
  <c r="R76" i="28" s="1"/>
  <c r="DQ272" i="4"/>
  <c r="T272" i="4"/>
  <c r="X272" i="4" s="1"/>
  <c r="D80" i="76"/>
  <c r="D80" i="34"/>
  <c r="D80" i="30"/>
  <c r="T80" i="30" s="1"/>
  <c r="DQ271" i="4"/>
  <c r="T271" i="4"/>
  <c r="X271" i="4" s="1"/>
  <c r="D79" i="76"/>
  <c r="D79" i="34"/>
  <c r="D79" i="30"/>
  <c r="T79" i="30" s="1"/>
  <c r="DP276" i="4"/>
  <c r="S276" i="4"/>
  <c r="D84" i="75"/>
  <c r="D84" i="38"/>
  <c r="D84" i="28"/>
  <c r="R84" i="28" s="1"/>
  <c r="T269" i="4"/>
  <c r="X269" i="4" s="1"/>
  <c r="DQ269" i="4"/>
  <c r="D77" i="76"/>
  <c r="D77" i="34"/>
  <c r="D77" i="30"/>
  <c r="T77" i="30" s="1"/>
  <c r="S269" i="4"/>
  <c r="DP269" i="4"/>
  <c r="D77" i="75"/>
  <c r="D77" i="38"/>
  <c r="D77" i="28"/>
  <c r="R77" i="28" s="1"/>
  <c r="D76" i="77"/>
  <c r="U268" i="4"/>
  <c r="DR268" i="4"/>
  <c r="D76" i="36"/>
  <c r="D76" i="32"/>
  <c r="T76" i="32" s="1"/>
  <c r="U76" i="32" s="1"/>
  <c r="U277" i="4"/>
  <c r="DR277" i="4"/>
  <c r="D85" i="77"/>
  <c r="U85" i="77" s="1"/>
  <c r="D85" i="36"/>
  <c r="D85" i="32"/>
  <c r="T85" i="32" s="1"/>
  <c r="U85" i="32" s="1"/>
  <c r="S275" i="4"/>
  <c r="DP275" i="4"/>
  <c r="D83" i="75"/>
  <c r="D83" i="38"/>
  <c r="D83" i="28"/>
  <c r="R83" i="28" s="1"/>
  <c r="DQ267" i="4"/>
  <c r="T267" i="4"/>
  <c r="X267" i="4" s="1"/>
  <c r="D75" i="76"/>
  <c r="D75" i="34"/>
  <c r="D75" i="30"/>
  <c r="T75" i="30" s="1"/>
  <c r="DQ274" i="4"/>
  <c r="T274" i="4"/>
  <c r="X274" i="4" s="1"/>
  <c r="D82" i="76"/>
  <c r="U82" i="76" s="1"/>
  <c r="D82" i="34"/>
  <c r="D82" i="30"/>
  <c r="T82" i="30" s="1"/>
  <c r="S270" i="4"/>
  <c r="DP270" i="4"/>
  <c r="D78" i="75"/>
  <c r="D78" i="38"/>
  <c r="D78" i="28"/>
  <c r="R78" i="28" s="1"/>
  <c r="DR267" i="4"/>
  <c r="U267" i="4"/>
  <c r="D75" i="77"/>
  <c r="D75" i="36"/>
  <c r="D75" i="32"/>
  <c r="T75" i="32" s="1"/>
  <c r="U75" i="32" s="1"/>
  <c r="D17" i="74"/>
  <c r="D17" i="25"/>
  <c r="DE83" i="67"/>
  <c r="DF83" i="67" s="1"/>
  <c r="DG83" i="67"/>
  <c r="DG75" i="67"/>
  <c r="DE75" i="67"/>
  <c r="DF75" i="67" s="1"/>
  <c r="DB83" i="67"/>
  <c r="DC83" i="67" s="1"/>
  <c r="DD83" i="67"/>
  <c r="L16" i="148"/>
  <c r="L46" i="148" s="1"/>
  <c r="M110" i="67" s="1"/>
  <c r="L27" i="148"/>
  <c r="DB84" i="67"/>
  <c r="DC84" i="67" s="1"/>
  <c r="DD84" i="67"/>
  <c r="L45" i="148"/>
  <c r="DD82" i="67"/>
  <c r="DB82" i="67"/>
  <c r="DC82" i="67" s="1"/>
  <c r="DL76" i="67"/>
  <c r="DK76" i="67"/>
  <c r="DH76" i="67"/>
  <c r="DD79" i="67"/>
  <c r="DB79" i="67"/>
  <c r="DC79" i="67" s="1"/>
  <c r="DH75" i="67"/>
  <c r="DK75" i="67"/>
  <c r="DL75" i="67"/>
  <c r="DH74" i="67"/>
  <c r="DK74" i="67"/>
  <c r="DL74" i="67"/>
  <c r="O15" i="148"/>
  <c r="J45" i="148"/>
  <c r="DK85" i="67"/>
  <c r="DL85" i="67"/>
  <c r="DH85" i="67"/>
  <c r="DH84" i="67"/>
  <c r="DL84" i="67"/>
  <c r="DK84" i="67"/>
  <c r="H71" i="148"/>
  <c r="J16" i="148"/>
  <c r="J28" i="148"/>
  <c r="DK83" i="67"/>
  <c r="DL83" i="67"/>
  <c r="DH83" i="67"/>
  <c r="I88" i="67"/>
  <c r="J88" i="67" s="1"/>
  <c r="I96" i="67"/>
  <c r="J96" i="67" s="1"/>
  <c r="I87" i="67"/>
  <c r="J87" i="67" s="1"/>
  <c r="I94" i="67"/>
  <c r="J94" i="67" s="1"/>
  <c r="I93" i="67"/>
  <c r="J93" i="67" s="1"/>
  <c r="I89" i="67"/>
  <c r="J89" i="67" s="1"/>
  <c r="I90" i="67"/>
  <c r="J90" i="67" s="1"/>
  <c r="I97" i="67"/>
  <c r="J97" i="67" s="1"/>
  <c r="I92" i="67"/>
  <c r="J92" i="67" s="1"/>
  <c r="I86" i="67"/>
  <c r="I95" i="67"/>
  <c r="J95" i="67" s="1"/>
  <c r="I91" i="67"/>
  <c r="J91" i="67" s="1"/>
  <c r="DK82" i="67"/>
  <c r="DL82" i="67"/>
  <c r="DH82" i="67"/>
  <c r="DG81" i="67"/>
  <c r="DE81" i="67"/>
  <c r="DF81" i="67" s="1"/>
  <c r="DB77" i="67"/>
  <c r="DC77" i="67" s="1"/>
  <c r="DD77" i="67"/>
  <c r="M91" i="67"/>
  <c r="N91" i="67" s="1"/>
  <c r="M94" i="67"/>
  <c r="N94" i="67" s="1"/>
  <c r="M95" i="67"/>
  <c r="N95" i="67" s="1"/>
  <c r="M97" i="67"/>
  <c r="N97" i="67" s="1"/>
  <c r="M88" i="67"/>
  <c r="N88" i="67" s="1"/>
  <c r="M90" i="67"/>
  <c r="N90" i="67" s="1"/>
  <c r="M92" i="67"/>
  <c r="N92" i="67" s="1"/>
  <c r="M86" i="67"/>
  <c r="M96" i="67"/>
  <c r="N96" i="67" s="1"/>
  <c r="M87" i="67"/>
  <c r="N87" i="67" s="1"/>
  <c r="M89" i="67"/>
  <c r="N89" i="67" s="1"/>
  <c r="M93" i="67"/>
  <c r="N93" i="67" s="1"/>
  <c r="DH77" i="67"/>
  <c r="DL77" i="67"/>
  <c r="DK77" i="67"/>
  <c r="DD76" i="67"/>
  <c r="DB76" i="67"/>
  <c r="DC76" i="67" s="1"/>
  <c r="DH81" i="67"/>
  <c r="DL81" i="67"/>
  <c r="DK81" i="67"/>
  <c r="DG82" i="67"/>
  <c r="DE82" i="67"/>
  <c r="DF82" i="67" s="1"/>
  <c r="DB78" i="67"/>
  <c r="DC78" i="67" s="1"/>
  <c r="DD78" i="67"/>
  <c r="DE76" i="67"/>
  <c r="DF76" i="67" s="1"/>
  <c r="DG76" i="67"/>
  <c r="K45" i="148"/>
  <c r="T77" i="32"/>
  <c r="U77" i="32" s="1"/>
  <c r="DH80" i="67"/>
  <c r="DK80" i="67"/>
  <c r="DL80" i="67"/>
  <c r="DL79" i="67"/>
  <c r="DK79" i="67"/>
  <c r="DH79" i="67"/>
  <c r="H79" i="148"/>
  <c r="H78" i="148"/>
  <c r="DG85" i="67"/>
  <c r="DE85" i="67"/>
  <c r="DF85" i="67" s="1"/>
  <c r="DD80" i="67"/>
  <c r="DB80" i="67"/>
  <c r="DC80" i="67" s="1"/>
  <c r="DG84" i="67"/>
  <c r="DE84" i="67"/>
  <c r="DF84" i="67" s="1"/>
  <c r="DB81" i="67"/>
  <c r="DC81" i="67" s="1"/>
  <c r="DD81" i="67"/>
  <c r="DL78" i="67"/>
  <c r="DK78" i="67"/>
  <c r="DH78" i="67"/>
  <c r="DE77" i="67"/>
  <c r="DF77" i="67" s="1"/>
  <c r="DG77" i="67"/>
  <c r="U84" i="77"/>
  <c r="DE80" i="67"/>
  <c r="DF80" i="67" s="1"/>
  <c r="DG80" i="67"/>
  <c r="K16" i="148"/>
  <c r="K46" i="148" s="1"/>
  <c r="I114" i="67" s="1"/>
  <c r="J114" i="67" s="1"/>
  <c r="DE79" i="67"/>
  <c r="DF79" i="67" s="1"/>
  <c r="DG79" i="67"/>
  <c r="DB75" i="67"/>
  <c r="DC75" i="67" s="1"/>
  <c r="DD75" i="67"/>
  <c r="E93" i="67"/>
  <c r="F93" i="67" s="1"/>
  <c r="E87" i="67"/>
  <c r="F87" i="67" s="1"/>
  <c r="E89" i="67"/>
  <c r="F89" i="67" s="1"/>
  <c r="E95" i="67"/>
  <c r="F95" i="67" s="1"/>
  <c r="E90" i="67"/>
  <c r="F90" i="67" s="1"/>
  <c r="E92" i="67"/>
  <c r="F92" i="67" s="1"/>
  <c r="E86" i="67"/>
  <c r="E97" i="67"/>
  <c r="F97" i="67" s="1"/>
  <c r="E91" i="67"/>
  <c r="F91" i="67" s="1"/>
  <c r="E88" i="67"/>
  <c r="F88" i="67" s="1"/>
  <c r="E94" i="67"/>
  <c r="F94" i="67" s="1"/>
  <c r="E96" i="67"/>
  <c r="F96" i="67" s="1"/>
  <c r="DE78" i="67"/>
  <c r="DF78" i="67" s="1"/>
  <c r="DG78" i="67"/>
  <c r="DD85" i="67"/>
  <c r="DB85" i="67"/>
  <c r="DC85" i="67" s="1"/>
  <c r="M119" i="67" l="1"/>
  <c r="N119" i="67" s="1"/>
  <c r="DR311" i="4" s="1"/>
  <c r="M116" i="67"/>
  <c r="N116" i="67" s="1"/>
  <c r="DR308" i="4" s="1"/>
  <c r="M117" i="67"/>
  <c r="N117" i="67" s="1"/>
  <c r="DR309" i="4" s="1"/>
  <c r="M121" i="67"/>
  <c r="N121" i="67" s="1"/>
  <c r="DR313" i="4" s="1"/>
  <c r="I120" i="67"/>
  <c r="J120" i="67" s="1"/>
  <c r="DQ312" i="4" s="1"/>
  <c r="I119" i="67"/>
  <c r="J119" i="67" s="1"/>
  <c r="DQ311" i="4" s="1"/>
  <c r="I116" i="67"/>
  <c r="J116" i="67" s="1"/>
  <c r="DQ308" i="4" s="1"/>
  <c r="I118" i="67"/>
  <c r="J118" i="67" s="1"/>
  <c r="DQ310" i="4" s="1"/>
  <c r="I117" i="67"/>
  <c r="J117" i="67" s="1"/>
  <c r="DQ309" i="4" s="1"/>
  <c r="I121" i="67"/>
  <c r="J121" i="67" s="1"/>
  <c r="DQ313" i="4" s="1"/>
  <c r="M118" i="67"/>
  <c r="N118" i="67" s="1"/>
  <c r="DR310" i="4" s="1"/>
  <c r="M120" i="67"/>
  <c r="N120" i="67" s="1"/>
  <c r="DR312" i="4" s="1"/>
  <c r="N110" i="67"/>
  <c r="DR302" i="4" s="1"/>
  <c r="DB74" i="67"/>
  <c r="DC74" i="67" s="1"/>
  <c r="M114" i="67"/>
  <c r="N114" i="67" s="1"/>
  <c r="D114" i="77" s="1"/>
  <c r="M111" i="67"/>
  <c r="N111" i="67" s="1"/>
  <c r="DR303" i="4" s="1"/>
  <c r="DE74" i="67"/>
  <c r="DF74" i="67" s="1"/>
  <c r="S283" i="4"/>
  <c r="DP283" i="4"/>
  <c r="D91" i="75"/>
  <c r="D91" i="38"/>
  <c r="D91" i="28"/>
  <c r="R91" i="28" s="1"/>
  <c r="S91" i="28" s="1"/>
  <c r="DR286" i="4"/>
  <c r="D94" i="77"/>
  <c r="U94" i="77" s="1"/>
  <c r="U286" i="4"/>
  <c r="D94" i="36"/>
  <c r="D94" i="32"/>
  <c r="T94" i="32" s="1"/>
  <c r="U94" i="32" s="1"/>
  <c r="DQ282" i="4"/>
  <c r="T282" i="4"/>
  <c r="X282" i="4" s="1"/>
  <c r="D90" i="76"/>
  <c r="D90" i="34"/>
  <c r="D90" i="30"/>
  <c r="T90" i="30" s="1"/>
  <c r="U90" i="30" s="1"/>
  <c r="DR283" i="4"/>
  <c r="U283" i="4"/>
  <c r="D91" i="77"/>
  <c r="D91" i="36"/>
  <c r="D91" i="32"/>
  <c r="T91" i="32" s="1"/>
  <c r="U91" i="32" s="1"/>
  <c r="DQ281" i="4"/>
  <c r="T281" i="4"/>
  <c r="X281" i="4" s="1"/>
  <c r="D89" i="76"/>
  <c r="D89" i="34"/>
  <c r="D89" i="30"/>
  <c r="T89" i="30" s="1"/>
  <c r="U89" i="30" s="1"/>
  <c r="T285" i="4"/>
  <c r="X285" i="4" s="1"/>
  <c r="DQ285" i="4"/>
  <c r="D93" i="76"/>
  <c r="D93" i="34"/>
  <c r="D93" i="30"/>
  <c r="T93" i="30" s="1"/>
  <c r="U93" i="30" s="1"/>
  <c r="DQ286" i="4"/>
  <c r="T286" i="4"/>
  <c r="D94" i="76"/>
  <c r="U94" i="76" s="1"/>
  <c r="D94" i="34"/>
  <c r="D94" i="30"/>
  <c r="T94" i="30" s="1"/>
  <c r="U94" i="30" s="1"/>
  <c r="DQ288" i="4"/>
  <c r="T288" i="4"/>
  <c r="X288" i="4" s="1"/>
  <c r="D96" i="76"/>
  <c r="U96" i="76" s="1"/>
  <c r="D96" i="34"/>
  <c r="D96" i="30"/>
  <c r="T96" i="30" s="1"/>
  <c r="U96" i="30" s="1"/>
  <c r="DQ266" i="4"/>
  <c r="T266" i="4"/>
  <c r="X266" i="4" s="1"/>
  <c r="D74" i="76"/>
  <c r="D74" i="34"/>
  <c r="D74" i="30"/>
  <c r="S286" i="4"/>
  <c r="DP286" i="4"/>
  <c r="D94" i="75"/>
  <c r="D94" i="38"/>
  <c r="D94" i="28"/>
  <c r="R94" i="28" s="1"/>
  <c r="S94" i="28" s="1"/>
  <c r="T280" i="4"/>
  <c r="X280" i="4" s="1"/>
  <c r="DQ280" i="4"/>
  <c r="D88" i="76"/>
  <c r="D88" i="34"/>
  <c r="D88" i="30"/>
  <c r="T88" i="30" s="1"/>
  <c r="U88" i="30" s="1"/>
  <c r="T279" i="4"/>
  <c r="X279" i="4" s="1"/>
  <c r="DQ279" i="4"/>
  <c r="D87" i="76"/>
  <c r="D87" i="34"/>
  <c r="D87" i="30"/>
  <c r="T87" i="30" s="1"/>
  <c r="U87" i="30" s="1"/>
  <c r="DP289" i="4"/>
  <c r="S289" i="4"/>
  <c r="D97" i="75"/>
  <c r="D97" i="38"/>
  <c r="D97" i="28"/>
  <c r="R97" i="28" s="1"/>
  <c r="S97" i="28" s="1"/>
  <c r="DR281" i="4"/>
  <c r="U281" i="4"/>
  <c r="D89" i="77"/>
  <c r="D89" i="36"/>
  <c r="D89" i="32"/>
  <c r="T89" i="32" s="1"/>
  <c r="U89" i="32" s="1"/>
  <c r="F86" i="67"/>
  <c r="DB86" i="67" s="1"/>
  <c r="DC86" i="67" s="1"/>
  <c r="D56" i="17"/>
  <c r="D13" i="17"/>
  <c r="D87" i="77"/>
  <c r="U279" i="4"/>
  <c r="DR279" i="4"/>
  <c r="D87" i="36"/>
  <c r="D87" i="32"/>
  <c r="T87" i="32" s="1"/>
  <c r="U87" i="32" s="1"/>
  <c r="D111" i="36"/>
  <c r="DP282" i="4"/>
  <c r="S282" i="4"/>
  <c r="D90" i="75"/>
  <c r="D90" i="38"/>
  <c r="D90" i="28"/>
  <c r="R90" i="28" s="1"/>
  <c r="S90" i="28" s="1"/>
  <c r="N86" i="67"/>
  <c r="DL86" i="67" s="1"/>
  <c r="Z13" i="17"/>
  <c r="Z56" i="17"/>
  <c r="DQ306" i="4"/>
  <c r="T306" i="4"/>
  <c r="X306" i="4" s="1"/>
  <c r="D114" i="76"/>
  <c r="D114" i="34"/>
  <c r="D114" i="30"/>
  <c r="T114" i="30" s="1"/>
  <c r="U114" i="30" s="1"/>
  <c r="S284" i="4"/>
  <c r="DP284" i="4"/>
  <c r="D92" i="75"/>
  <c r="D92" i="38"/>
  <c r="D92" i="28"/>
  <c r="R92" i="28" s="1"/>
  <c r="S92" i="28" s="1"/>
  <c r="DQ283" i="4"/>
  <c r="T283" i="4"/>
  <c r="X283" i="4" s="1"/>
  <c r="D91" i="76"/>
  <c r="D91" i="34"/>
  <c r="D91" i="30"/>
  <c r="T91" i="30" s="1"/>
  <c r="U91" i="30" s="1"/>
  <c r="DP288" i="4"/>
  <c r="S288" i="4"/>
  <c r="D96" i="75"/>
  <c r="D96" i="38"/>
  <c r="D96" i="28"/>
  <c r="R96" i="28" s="1"/>
  <c r="S96" i="28" s="1"/>
  <c r="S280" i="4"/>
  <c r="DP280" i="4"/>
  <c r="D88" i="75"/>
  <c r="D88" i="38"/>
  <c r="D88" i="28"/>
  <c r="R88" i="28" s="1"/>
  <c r="S88" i="28" s="1"/>
  <c r="DP287" i="4"/>
  <c r="S287" i="4"/>
  <c r="D95" i="75"/>
  <c r="D95" i="38"/>
  <c r="D95" i="28"/>
  <c r="R95" i="28" s="1"/>
  <c r="S95" i="28" s="1"/>
  <c r="D93" i="77"/>
  <c r="U93" i="77" s="1"/>
  <c r="U285" i="4"/>
  <c r="DR285" i="4"/>
  <c r="D93" i="36"/>
  <c r="D93" i="32"/>
  <c r="T93" i="32" s="1"/>
  <c r="U93" i="32" s="1"/>
  <c r="D92" i="77"/>
  <c r="U284" i="4"/>
  <c r="DR284" i="4"/>
  <c r="D92" i="36"/>
  <c r="D92" i="32"/>
  <c r="T92" i="32" s="1"/>
  <c r="U92" i="32" s="1"/>
  <c r="DP281" i="4"/>
  <c r="S281" i="4"/>
  <c r="D89" i="75"/>
  <c r="D89" i="38"/>
  <c r="D89" i="28"/>
  <c r="R89" i="28" s="1"/>
  <c r="S89" i="28" s="1"/>
  <c r="DR282" i="4"/>
  <c r="U282" i="4"/>
  <c r="D90" i="77"/>
  <c r="D90" i="36"/>
  <c r="D90" i="32"/>
  <c r="T90" i="32" s="1"/>
  <c r="U90" i="32" s="1"/>
  <c r="S279" i="4"/>
  <c r="DP279" i="4"/>
  <c r="D87" i="75"/>
  <c r="D87" i="38"/>
  <c r="D87" i="28"/>
  <c r="R87" i="28" s="1"/>
  <c r="S87" i="28" s="1"/>
  <c r="U280" i="4"/>
  <c r="DR280" i="4"/>
  <c r="D88" i="77"/>
  <c r="D88" i="36"/>
  <c r="D88" i="32"/>
  <c r="T88" i="32" s="1"/>
  <c r="U88" i="32" s="1"/>
  <c r="J86" i="67"/>
  <c r="DE86" i="67" s="1"/>
  <c r="DF86" i="67" s="1"/>
  <c r="O56" i="17"/>
  <c r="O13" i="17"/>
  <c r="DR288" i="4"/>
  <c r="U288" i="4"/>
  <c r="D96" i="77"/>
  <c r="U96" i="77" s="1"/>
  <c r="D96" i="36"/>
  <c r="D96" i="32"/>
  <c r="T96" i="32" s="1"/>
  <c r="U96" i="32" s="1"/>
  <c r="DQ287" i="4"/>
  <c r="T287" i="4"/>
  <c r="X287" i="4" s="1"/>
  <c r="D95" i="76"/>
  <c r="U95" i="76" s="1"/>
  <c r="D95" i="34"/>
  <c r="D95" i="30"/>
  <c r="T95" i="30" s="1"/>
  <c r="U95" i="30" s="1"/>
  <c r="S285" i="4"/>
  <c r="DP285" i="4"/>
  <c r="D93" i="75"/>
  <c r="D93" i="38"/>
  <c r="D93" i="28"/>
  <c r="R93" i="28" s="1"/>
  <c r="S93" i="28" s="1"/>
  <c r="D97" i="77"/>
  <c r="U97" i="77" s="1"/>
  <c r="DR289" i="4"/>
  <c r="U289" i="4"/>
  <c r="D97" i="36"/>
  <c r="D97" i="32"/>
  <c r="T97" i="32" s="1"/>
  <c r="U97" i="32" s="1"/>
  <c r="T284" i="4"/>
  <c r="X284" i="4" s="1"/>
  <c r="DQ284" i="4"/>
  <c r="D92" i="76"/>
  <c r="D92" i="34"/>
  <c r="D92" i="30"/>
  <c r="T92" i="30" s="1"/>
  <c r="U92" i="30" s="1"/>
  <c r="DP266" i="4"/>
  <c r="S266" i="4"/>
  <c r="D74" i="75"/>
  <c r="D74" i="38"/>
  <c r="D74" i="28"/>
  <c r="DR287" i="4"/>
  <c r="D95" i="77"/>
  <c r="U95" i="77" s="1"/>
  <c r="U287" i="4"/>
  <c r="D95" i="36"/>
  <c r="D95" i="32"/>
  <c r="T95" i="32" s="1"/>
  <c r="U95" i="32" s="1"/>
  <c r="DQ289" i="4"/>
  <c r="T289" i="4"/>
  <c r="X289" i="4" s="1"/>
  <c r="D97" i="76"/>
  <c r="U97" i="76" s="1"/>
  <c r="D97" i="34"/>
  <c r="D97" i="30"/>
  <c r="T97" i="30" s="1"/>
  <c r="U97" i="30" s="1"/>
  <c r="DR266" i="4"/>
  <c r="U266" i="4"/>
  <c r="D74" i="77"/>
  <c r="D74" i="36"/>
  <c r="D74" i="32"/>
  <c r="O27" i="148"/>
  <c r="DE114" i="67"/>
  <c r="DF114" i="67" s="1"/>
  <c r="DG114" i="67"/>
  <c r="DJ81" i="67"/>
  <c r="DI81" i="67"/>
  <c r="DB94" i="67"/>
  <c r="DC94" i="67" s="1"/>
  <c r="DD94" i="67"/>
  <c r="S85" i="28"/>
  <c r="DH91" i="67"/>
  <c r="DK91" i="67"/>
  <c r="DL91" i="67"/>
  <c r="H72" i="148"/>
  <c r="J17" i="148"/>
  <c r="DE91" i="67"/>
  <c r="DF91" i="67" s="1"/>
  <c r="DG91" i="67"/>
  <c r="J46" i="148"/>
  <c r="O16" i="148"/>
  <c r="M100" i="67"/>
  <c r="N100" i="67" s="1"/>
  <c r="M103" i="67"/>
  <c r="N103" i="67" s="1"/>
  <c r="M106" i="67"/>
  <c r="N106" i="67" s="1"/>
  <c r="M109" i="67"/>
  <c r="N109" i="67" s="1"/>
  <c r="M98" i="67"/>
  <c r="M107" i="67"/>
  <c r="N107" i="67" s="1"/>
  <c r="M105" i="67"/>
  <c r="N105" i="67" s="1"/>
  <c r="M101" i="67"/>
  <c r="N101" i="67" s="1"/>
  <c r="M102" i="67"/>
  <c r="N102" i="67" s="1"/>
  <c r="M104" i="67"/>
  <c r="N104" i="67" s="1"/>
  <c r="M108" i="67"/>
  <c r="N108" i="67" s="1"/>
  <c r="M99" i="67"/>
  <c r="N99" i="67" s="1"/>
  <c r="U82" i="30"/>
  <c r="DB88" i="67"/>
  <c r="DC88" i="67" s="1"/>
  <c r="DD88" i="67"/>
  <c r="DJ84" i="67"/>
  <c r="DI84" i="67"/>
  <c r="DJ74" i="67"/>
  <c r="DI74" i="67"/>
  <c r="S83" i="28"/>
  <c r="H12" i="17"/>
  <c r="E12" i="17"/>
  <c r="DK94" i="67"/>
  <c r="DL94" i="67"/>
  <c r="DH94" i="67"/>
  <c r="S79" i="28"/>
  <c r="DI75" i="67"/>
  <c r="DJ75" i="67"/>
  <c r="E55" i="17"/>
  <c r="H55" i="17"/>
  <c r="U84" i="30"/>
  <c r="DB96" i="67"/>
  <c r="DC96" i="67" s="1"/>
  <c r="DD96" i="67"/>
  <c r="S77" i="28"/>
  <c r="U80" i="30"/>
  <c r="DB91" i="67"/>
  <c r="DC91" i="67" s="1"/>
  <c r="DD91" i="67"/>
  <c r="DG95" i="67"/>
  <c r="DE95" i="67"/>
  <c r="DF95" i="67" s="1"/>
  <c r="DD97" i="67"/>
  <c r="DB97" i="67"/>
  <c r="DC97" i="67" s="1"/>
  <c r="DJ79" i="67"/>
  <c r="DI79" i="67"/>
  <c r="DE92" i="67"/>
  <c r="DF92" i="67" s="1"/>
  <c r="DG92" i="67"/>
  <c r="DJ83" i="67"/>
  <c r="DI83" i="67"/>
  <c r="DI76" i="67"/>
  <c r="DJ76" i="67"/>
  <c r="DH93" i="67"/>
  <c r="DK93" i="67"/>
  <c r="DL93" i="67"/>
  <c r="DG97" i="67"/>
  <c r="DE97" i="67"/>
  <c r="DF97" i="67" s="1"/>
  <c r="S76" i="28"/>
  <c r="DH89" i="67"/>
  <c r="DL89" i="67"/>
  <c r="DK89" i="67"/>
  <c r="DG90" i="67"/>
  <c r="DE90" i="67"/>
  <c r="DF90" i="67" s="1"/>
  <c r="S81" i="28"/>
  <c r="U79" i="30"/>
  <c r="DB95" i="67"/>
  <c r="DC95" i="67" s="1"/>
  <c r="DD95" i="67"/>
  <c r="DH87" i="67"/>
  <c r="DK87" i="67"/>
  <c r="DL87" i="67"/>
  <c r="DG89" i="67"/>
  <c r="DE89" i="67"/>
  <c r="DF89" i="67" s="1"/>
  <c r="DJ85" i="67"/>
  <c r="DI85" i="67"/>
  <c r="E108" i="67"/>
  <c r="F108" i="67" s="1"/>
  <c r="E109" i="67"/>
  <c r="F109" i="67" s="1"/>
  <c r="E100" i="67"/>
  <c r="F100" i="67" s="1"/>
  <c r="E107" i="67"/>
  <c r="F107" i="67" s="1"/>
  <c r="E99" i="67"/>
  <c r="F99" i="67" s="1"/>
  <c r="E98" i="67"/>
  <c r="E104" i="67"/>
  <c r="F104" i="67" s="1"/>
  <c r="E101" i="67"/>
  <c r="F101" i="67" s="1"/>
  <c r="E102" i="67"/>
  <c r="F102" i="67" s="1"/>
  <c r="E106" i="67"/>
  <c r="F106" i="67" s="1"/>
  <c r="E105" i="67"/>
  <c r="F105" i="67" s="1"/>
  <c r="E103" i="67"/>
  <c r="F103" i="67" s="1"/>
  <c r="S12" i="17"/>
  <c r="P12" i="17"/>
  <c r="L17" i="148"/>
  <c r="L28" i="148"/>
  <c r="DB92" i="67"/>
  <c r="DC92" i="67" s="1"/>
  <c r="DD92" i="67"/>
  <c r="U78" i="30"/>
  <c r="DD90" i="67"/>
  <c r="DB90" i="67"/>
  <c r="DC90" i="67" s="1"/>
  <c r="DB89" i="67"/>
  <c r="DC89" i="67" s="1"/>
  <c r="DD89" i="67"/>
  <c r="K28" i="148"/>
  <c r="K17" i="148"/>
  <c r="DI78" i="67"/>
  <c r="DJ78" i="67"/>
  <c r="DJ80" i="67"/>
  <c r="DI80" i="67"/>
  <c r="I111" i="67"/>
  <c r="J111" i="67" s="1"/>
  <c r="DH96" i="67"/>
  <c r="DL96" i="67"/>
  <c r="DK96" i="67"/>
  <c r="DE93" i="67"/>
  <c r="DF93" i="67" s="1"/>
  <c r="DG93" i="67"/>
  <c r="U83" i="30"/>
  <c r="U77" i="30"/>
  <c r="P55" i="17"/>
  <c r="S55" i="17"/>
  <c r="DD87" i="67"/>
  <c r="DB87" i="67"/>
  <c r="DC87" i="67" s="1"/>
  <c r="I110" i="67"/>
  <c r="DG94" i="67"/>
  <c r="DE94" i="67"/>
  <c r="DF94" i="67" s="1"/>
  <c r="AD12" i="17"/>
  <c r="AA12" i="17"/>
  <c r="DD93" i="67"/>
  <c r="DB93" i="67"/>
  <c r="DC93" i="67" s="1"/>
  <c r="I112" i="67"/>
  <c r="J112" i="67" s="1"/>
  <c r="S82" i="28"/>
  <c r="I113" i="67"/>
  <c r="J113" i="67" s="1"/>
  <c r="U85" i="30"/>
  <c r="DH90" i="67"/>
  <c r="DL90" i="67"/>
  <c r="DK90" i="67"/>
  <c r="DG96" i="67"/>
  <c r="DE96" i="67"/>
  <c r="DF96" i="67" s="1"/>
  <c r="U81" i="30"/>
  <c r="DG87" i="67"/>
  <c r="DE87" i="67"/>
  <c r="DF87" i="67" s="1"/>
  <c r="DH88" i="67"/>
  <c r="DK88" i="67"/>
  <c r="DL88" i="67"/>
  <c r="DE88" i="67"/>
  <c r="DF88" i="67" s="1"/>
  <c r="DG88" i="67"/>
  <c r="DL92" i="67"/>
  <c r="DH92" i="67"/>
  <c r="DK92" i="67"/>
  <c r="U76" i="30"/>
  <c r="I115" i="67"/>
  <c r="J115" i="67" s="1"/>
  <c r="DJ77" i="67"/>
  <c r="DI77" i="67"/>
  <c r="I98" i="67"/>
  <c r="I100" i="67"/>
  <c r="J100" i="67" s="1"/>
  <c r="I102" i="67"/>
  <c r="J102" i="67" s="1"/>
  <c r="I103" i="67"/>
  <c r="J103" i="67" s="1"/>
  <c r="I99" i="67"/>
  <c r="J99" i="67" s="1"/>
  <c r="I104" i="67"/>
  <c r="J104" i="67" s="1"/>
  <c r="I106" i="67"/>
  <c r="J106" i="67" s="1"/>
  <c r="I109" i="67"/>
  <c r="J109" i="67" s="1"/>
  <c r="I101" i="67"/>
  <c r="J101" i="67" s="1"/>
  <c r="I105" i="67"/>
  <c r="J105" i="67" s="1"/>
  <c r="I107" i="67"/>
  <c r="J107" i="67" s="1"/>
  <c r="I108" i="67"/>
  <c r="J108" i="67" s="1"/>
  <c r="DH97" i="67"/>
  <c r="DK97" i="67"/>
  <c r="DL97" i="67"/>
  <c r="S78" i="28"/>
  <c r="S75" i="28"/>
  <c r="M112" i="67"/>
  <c r="N112" i="67" s="1"/>
  <c r="X286" i="4"/>
  <c r="AD55" i="17"/>
  <c r="AA55" i="17"/>
  <c r="U75" i="30"/>
  <c r="DK95" i="67"/>
  <c r="DH95" i="67"/>
  <c r="DL95" i="67"/>
  <c r="DI82" i="67"/>
  <c r="DJ82" i="67"/>
  <c r="S84" i="28"/>
  <c r="M113" i="67"/>
  <c r="N113" i="67" s="1"/>
  <c r="S80" i="28"/>
  <c r="M115" i="67"/>
  <c r="N115" i="67" s="1"/>
  <c r="D115" i="36" s="1"/>
  <c r="O15" i="17" l="1"/>
  <c r="O58" i="17"/>
  <c r="Z58" i="17"/>
  <c r="DL111" i="67"/>
  <c r="DH111" i="67"/>
  <c r="DK111" i="67"/>
  <c r="D111" i="32"/>
  <c r="S15" i="17"/>
  <c r="P15" i="17"/>
  <c r="DK114" i="67"/>
  <c r="DH114" i="67"/>
  <c r="Z15" i="17"/>
  <c r="DL114" i="67"/>
  <c r="DH86" i="67"/>
  <c r="DK86" i="67"/>
  <c r="DK110" i="67"/>
  <c r="D110" i="32"/>
  <c r="DL110" i="67"/>
  <c r="D110" i="36"/>
  <c r="DH110" i="67"/>
  <c r="DI110" i="67" s="1"/>
  <c r="U302" i="4"/>
  <c r="D110" i="77"/>
  <c r="D114" i="32"/>
  <c r="T114" i="32" s="1"/>
  <c r="U114" i="32" s="1"/>
  <c r="D114" i="36"/>
  <c r="U306" i="4"/>
  <c r="DR306" i="4"/>
  <c r="DH120" i="67"/>
  <c r="D120" i="36"/>
  <c r="D120" i="32"/>
  <c r="T120" i="32" s="1"/>
  <c r="U120" i="32" s="1"/>
  <c r="D120" i="77"/>
  <c r="U120" i="77" s="1"/>
  <c r="DL120" i="67"/>
  <c r="DK120" i="67"/>
  <c r="U312" i="4"/>
  <c r="DH118" i="67"/>
  <c r="D118" i="32"/>
  <c r="T118" i="32" s="1"/>
  <c r="U118" i="32" s="1"/>
  <c r="D118" i="36"/>
  <c r="D118" i="77"/>
  <c r="U118" i="77" s="1"/>
  <c r="DL118" i="67"/>
  <c r="DK118" i="67"/>
  <c r="U310" i="4"/>
  <c r="J29" i="148"/>
  <c r="J18" i="148"/>
  <c r="DE121" i="67"/>
  <c r="DF121" i="67" s="1"/>
  <c r="D121" i="76"/>
  <c r="U121" i="76" s="1"/>
  <c r="D121" i="30"/>
  <c r="T121" i="30" s="1"/>
  <c r="U121" i="30" s="1"/>
  <c r="D121" i="34"/>
  <c r="DG121" i="67"/>
  <c r="T313" i="4"/>
  <c r="X313" i="4" s="1"/>
  <c r="E117" i="67"/>
  <c r="F117" i="67" s="1"/>
  <c r="DP309" i="4" s="1"/>
  <c r="E121" i="67"/>
  <c r="F121" i="67" s="1"/>
  <c r="DP313" i="4" s="1"/>
  <c r="E118" i="67"/>
  <c r="F118" i="67" s="1"/>
  <c r="DP310" i="4" s="1"/>
  <c r="E119" i="67"/>
  <c r="F119" i="67" s="1"/>
  <c r="DP311" i="4" s="1"/>
  <c r="E116" i="67"/>
  <c r="F116" i="67" s="1"/>
  <c r="DP308" i="4" s="1"/>
  <c r="E120" i="67"/>
  <c r="F120" i="67" s="1"/>
  <c r="DP312" i="4" s="1"/>
  <c r="K18" i="148"/>
  <c r="K29" i="148"/>
  <c r="DE117" i="67"/>
  <c r="DF117" i="67" s="1"/>
  <c r="D117" i="30"/>
  <c r="T117" i="30" s="1"/>
  <c r="U117" i="30" s="1"/>
  <c r="D117" i="76"/>
  <c r="D117" i="34"/>
  <c r="DG117" i="67"/>
  <c r="T309" i="4"/>
  <c r="X309" i="4" s="1"/>
  <c r="D118" i="30"/>
  <c r="T118" i="30" s="1"/>
  <c r="U118" i="30" s="1"/>
  <c r="D118" i="76"/>
  <c r="U118" i="76" s="1"/>
  <c r="DE118" i="67"/>
  <c r="DF118" i="67" s="1"/>
  <c r="D118" i="34"/>
  <c r="DG118" i="67"/>
  <c r="T310" i="4"/>
  <c r="X310" i="4" s="1"/>
  <c r="D116" i="34"/>
  <c r="DE116" i="67"/>
  <c r="DF116" i="67" s="1"/>
  <c r="D116" i="30"/>
  <c r="T116" i="30" s="1"/>
  <c r="U116" i="30" s="1"/>
  <c r="D116" i="76"/>
  <c r="DG116" i="67"/>
  <c r="T308" i="4"/>
  <c r="X308" i="4" s="1"/>
  <c r="D119" i="30"/>
  <c r="T119" i="30" s="1"/>
  <c r="U119" i="30" s="1"/>
  <c r="D119" i="34"/>
  <c r="D119" i="76"/>
  <c r="U119" i="76" s="1"/>
  <c r="DE119" i="67"/>
  <c r="DF119" i="67" s="1"/>
  <c r="DG119" i="67"/>
  <c r="T311" i="4"/>
  <c r="X311" i="4" s="1"/>
  <c r="D120" i="76"/>
  <c r="U120" i="76" s="1"/>
  <c r="DE120" i="67"/>
  <c r="DF120" i="67" s="1"/>
  <c r="D120" i="30"/>
  <c r="T120" i="30" s="1"/>
  <c r="U120" i="30" s="1"/>
  <c r="D120" i="34"/>
  <c r="DG120" i="67"/>
  <c r="T312" i="4"/>
  <c r="X312" i="4" s="1"/>
  <c r="D121" i="36"/>
  <c r="DH121" i="67"/>
  <c r="D121" i="77"/>
  <c r="U121" i="77" s="1"/>
  <c r="D121" i="32"/>
  <c r="T121" i="32" s="1"/>
  <c r="U121" i="32" s="1"/>
  <c r="DL121" i="67"/>
  <c r="U313" i="4"/>
  <c r="DK121" i="67"/>
  <c r="DH117" i="67"/>
  <c r="D117" i="32"/>
  <c r="T117" i="32" s="1"/>
  <c r="U117" i="32" s="1"/>
  <c r="D117" i="36"/>
  <c r="DL117" i="67"/>
  <c r="D117" i="77"/>
  <c r="U117" i="77" s="1"/>
  <c r="U309" i="4"/>
  <c r="DK117" i="67"/>
  <c r="D116" i="36"/>
  <c r="DL116" i="67"/>
  <c r="D116" i="32"/>
  <c r="T116" i="32" s="1"/>
  <c r="U116" i="32" s="1"/>
  <c r="DH116" i="67"/>
  <c r="D116" i="77"/>
  <c r="U308" i="4"/>
  <c r="DK116" i="67"/>
  <c r="DH119" i="67"/>
  <c r="D119" i="32"/>
  <c r="T119" i="32" s="1"/>
  <c r="U119" i="32" s="1"/>
  <c r="D119" i="77"/>
  <c r="U119" i="77" s="1"/>
  <c r="D119" i="36"/>
  <c r="DL119" i="67"/>
  <c r="DK119" i="67"/>
  <c r="U311" i="4"/>
  <c r="J110" i="67"/>
  <c r="DG110" i="67" s="1"/>
  <c r="U303" i="4"/>
  <c r="D111" i="77"/>
  <c r="AD59" i="17"/>
  <c r="AD16" i="17"/>
  <c r="H59" i="17"/>
  <c r="H16" i="17"/>
  <c r="S59" i="17"/>
  <c r="S16" i="17"/>
  <c r="DD86" i="67"/>
  <c r="DG86" i="67"/>
  <c r="DQ297" i="4"/>
  <c r="T297" i="4"/>
  <c r="X297" i="4" s="1"/>
  <c r="D105" i="76"/>
  <c r="D105" i="34"/>
  <c r="D105" i="30"/>
  <c r="T105" i="30" s="1"/>
  <c r="U105" i="30" s="1"/>
  <c r="T293" i="4"/>
  <c r="X293" i="4" s="1"/>
  <c r="DQ293" i="4"/>
  <c r="D101" i="76"/>
  <c r="D101" i="34"/>
  <c r="D101" i="30"/>
  <c r="T101" i="30" s="1"/>
  <c r="U101" i="30" s="1"/>
  <c r="T301" i="4"/>
  <c r="X301" i="4" s="1"/>
  <c r="DQ301" i="4"/>
  <c r="D109" i="76"/>
  <c r="U109" i="76" s="1"/>
  <c r="D109" i="34"/>
  <c r="D109" i="30"/>
  <c r="T109" i="30" s="1"/>
  <c r="U109" i="30" s="1"/>
  <c r="S296" i="4"/>
  <c r="DP296" i="4"/>
  <c r="D104" i="75"/>
  <c r="D104" i="38"/>
  <c r="D104" i="28"/>
  <c r="R104" i="28" s="1"/>
  <c r="J98" i="67"/>
  <c r="DE98" i="67" s="1"/>
  <c r="DF98" i="67" s="1"/>
  <c r="O57" i="17"/>
  <c r="O14" i="17"/>
  <c r="S295" i="4"/>
  <c r="DP295" i="4"/>
  <c r="D103" i="75"/>
  <c r="D103" i="38"/>
  <c r="D103" i="28"/>
  <c r="R103" i="28" s="1"/>
  <c r="S103" i="28" s="1"/>
  <c r="DR291" i="4"/>
  <c r="U291" i="4"/>
  <c r="D99" i="77"/>
  <c r="D99" i="36"/>
  <c r="D99" i="32"/>
  <c r="T99" i="32" s="1"/>
  <c r="U99" i="32" s="1"/>
  <c r="DR307" i="4"/>
  <c r="U307" i="4"/>
  <c r="D115" i="77"/>
  <c r="D115" i="32"/>
  <c r="T115" i="32" s="1"/>
  <c r="U115" i="32" s="1"/>
  <c r="T300" i="4"/>
  <c r="X300" i="4" s="1"/>
  <c r="DQ300" i="4"/>
  <c r="D108" i="76"/>
  <c r="U108" i="76" s="1"/>
  <c r="D108" i="34"/>
  <c r="D108" i="30"/>
  <c r="T108" i="30" s="1"/>
  <c r="U108" i="30" s="1"/>
  <c r="DP297" i="4"/>
  <c r="S297" i="4"/>
  <c r="D105" i="75"/>
  <c r="D105" i="38"/>
  <c r="D105" i="28"/>
  <c r="R105" i="28" s="1"/>
  <c r="D108" i="77"/>
  <c r="U108" i="77" s="1"/>
  <c r="U300" i="4"/>
  <c r="DR300" i="4"/>
  <c r="D108" i="36"/>
  <c r="D108" i="32"/>
  <c r="T108" i="32" s="1"/>
  <c r="U108" i="32" s="1"/>
  <c r="DQ299" i="4"/>
  <c r="T299" i="4"/>
  <c r="X299" i="4" s="1"/>
  <c r="D107" i="76"/>
  <c r="U107" i="76" s="1"/>
  <c r="D107" i="34"/>
  <c r="D107" i="30"/>
  <c r="T107" i="30" s="1"/>
  <c r="U107" i="30" s="1"/>
  <c r="DQ307" i="4"/>
  <c r="T307" i="4"/>
  <c r="X307" i="4" s="1"/>
  <c r="D115" i="76"/>
  <c r="D115" i="34"/>
  <c r="D115" i="30"/>
  <c r="T115" i="30" s="1"/>
  <c r="U115" i="30" s="1"/>
  <c r="DP298" i="4"/>
  <c r="S298" i="4"/>
  <c r="D106" i="75"/>
  <c r="D106" i="38"/>
  <c r="D106" i="28"/>
  <c r="R106" i="28" s="1"/>
  <c r="U296" i="4"/>
  <c r="D104" i="77"/>
  <c r="DR296" i="4"/>
  <c r="D104" i="36"/>
  <c r="D104" i="32"/>
  <c r="T104" i="32" s="1"/>
  <c r="U104" i="32" s="1"/>
  <c r="S294" i="4"/>
  <c r="DP294" i="4"/>
  <c r="D102" i="75"/>
  <c r="D102" i="38"/>
  <c r="D102" i="28"/>
  <c r="R102" i="28" s="1"/>
  <c r="U294" i="4"/>
  <c r="DR294" i="4"/>
  <c r="D102" i="77"/>
  <c r="D102" i="36"/>
  <c r="D102" i="32"/>
  <c r="T102" i="32" s="1"/>
  <c r="U102" i="32" s="1"/>
  <c r="DR297" i="4"/>
  <c r="U297" i="4"/>
  <c r="D105" i="77"/>
  <c r="U105" i="77" s="1"/>
  <c r="D105" i="36"/>
  <c r="D105" i="32"/>
  <c r="T105" i="32" s="1"/>
  <c r="U105" i="32" s="1"/>
  <c r="S278" i="4"/>
  <c r="DP278" i="4"/>
  <c r="D86" i="75"/>
  <c r="D86" i="38"/>
  <c r="D86" i="28"/>
  <c r="DQ298" i="4"/>
  <c r="T298" i="4"/>
  <c r="X298" i="4" s="1"/>
  <c r="D106" i="76"/>
  <c r="U106" i="76" s="1"/>
  <c r="D106" i="34"/>
  <c r="D106" i="30"/>
  <c r="T106" i="30" s="1"/>
  <c r="U106" i="30" s="1"/>
  <c r="F98" i="67"/>
  <c r="DD98" i="67" s="1"/>
  <c r="D57" i="17"/>
  <c r="D14" i="17"/>
  <c r="DR299" i="4"/>
  <c r="U299" i="4"/>
  <c r="D107" i="77"/>
  <c r="U107" i="77" s="1"/>
  <c r="D107" i="36"/>
  <c r="D107" i="32"/>
  <c r="T107" i="32" s="1"/>
  <c r="U107" i="32" s="1"/>
  <c r="T296" i="4"/>
  <c r="X296" i="4" s="1"/>
  <c r="DQ296" i="4"/>
  <c r="D104" i="76"/>
  <c r="D104" i="34"/>
  <c r="D104" i="30"/>
  <c r="T104" i="30" s="1"/>
  <c r="U104" i="30" s="1"/>
  <c r="DQ305" i="4"/>
  <c r="T305" i="4"/>
  <c r="X305" i="4" s="1"/>
  <c r="D113" i="76"/>
  <c r="D113" i="34"/>
  <c r="D113" i="30"/>
  <c r="T113" i="30" s="1"/>
  <c r="U113" i="30" s="1"/>
  <c r="S291" i="4"/>
  <c r="DP291" i="4"/>
  <c r="D99" i="75"/>
  <c r="D99" i="38"/>
  <c r="D99" i="28"/>
  <c r="R99" i="28" s="1"/>
  <c r="N98" i="67"/>
  <c r="DL98" i="67" s="1"/>
  <c r="Z57" i="17"/>
  <c r="Z14" i="17"/>
  <c r="DQ291" i="4"/>
  <c r="T291" i="4"/>
  <c r="X291" i="4" s="1"/>
  <c r="D99" i="76"/>
  <c r="D99" i="34"/>
  <c r="D99" i="30"/>
  <c r="T99" i="30" s="1"/>
  <c r="DP292" i="4"/>
  <c r="S292" i="4"/>
  <c r="D100" i="75"/>
  <c r="D100" i="38"/>
  <c r="D100" i="28"/>
  <c r="R100" i="28" s="1"/>
  <c r="D86" i="77"/>
  <c r="U278" i="4"/>
  <c r="DR278" i="4"/>
  <c r="D86" i="36"/>
  <c r="D86" i="32"/>
  <c r="U293" i="4"/>
  <c r="DR293" i="4"/>
  <c r="D101" i="77"/>
  <c r="D101" i="36"/>
  <c r="D101" i="32"/>
  <c r="T101" i="32" s="1"/>
  <c r="U101" i="32" s="1"/>
  <c r="S299" i="4"/>
  <c r="DP299" i="4"/>
  <c r="D107" i="75"/>
  <c r="D107" i="38"/>
  <c r="D107" i="28"/>
  <c r="R107" i="28" s="1"/>
  <c r="S107" i="28" s="1"/>
  <c r="T295" i="4"/>
  <c r="X295" i="4" s="1"/>
  <c r="DQ295" i="4"/>
  <c r="D103" i="76"/>
  <c r="D103" i="34"/>
  <c r="D103" i="30"/>
  <c r="T103" i="30" s="1"/>
  <c r="DR298" i="4"/>
  <c r="U298" i="4"/>
  <c r="D106" i="77"/>
  <c r="U106" i="77" s="1"/>
  <c r="D106" i="36"/>
  <c r="D106" i="32"/>
  <c r="T106" i="32" s="1"/>
  <c r="U106" i="32" s="1"/>
  <c r="T294" i="4"/>
  <c r="X294" i="4" s="1"/>
  <c r="DQ294" i="4"/>
  <c r="D102" i="76"/>
  <c r="D102" i="34"/>
  <c r="D102" i="30"/>
  <c r="T102" i="30" s="1"/>
  <c r="DQ303" i="4"/>
  <c r="T303" i="4"/>
  <c r="X303" i="4" s="1"/>
  <c r="D111" i="76"/>
  <c r="D111" i="34"/>
  <c r="D111" i="30"/>
  <c r="T111" i="30" s="1"/>
  <c r="U111" i="30" s="1"/>
  <c r="S301" i="4"/>
  <c r="DP301" i="4"/>
  <c r="D109" i="75"/>
  <c r="D109" i="38"/>
  <c r="D109" i="28"/>
  <c r="R109" i="28" s="1"/>
  <c r="S109" i="28" s="1"/>
  <c r="D103" i="77"/>
  <c r="U295" i="4"/>
  <c r="DR295" i="4"/>
  <c r="D103" i="36"/>
  <c r="D103" i="32"/>
  <c r="T103" i="32" s="1"/>
  <c r="U103" i="32" s="1"/>
  <c r="T278" i="4"/>
  <c r="X278" i="4" s="1"/>
  <c r="DQ278" i="4"/>
  <c r="D86" i="76"/>
  <c r="D86" i="34"/>
  <c r="D86" i="30"/>
  <c r="DR305" i="4"/>
  <c r="U305" i="4"/>
  <c r="D113" i="77"/>
  <c r="D113" i="36"/>
  <c r="D113" i="32"/>
  <c r="T113" i="32" s="1"/>
  <c r="U113" i="32" s="1"/>
  <c r="DP293" i="4"/>
  <c r="S293" i="4"/>
  <c r="D101" i="75"/>
  <c r="D101" i="38"/>
  <c r="D101" i="28"/>
  <c r="R101" i="28" s="1"/>
  <c r="S101" i="28" s="1"/>
  <c r="DR304" i="4"/>
  <c r="D112" i="77"/>
  <c r="U304" i="4"/>
  <c r="D112" i="36"/>
  <c r="D112" i="32"/>
  <c r="T112" i="32" s="1"/>
  <c r="U112" i="32" s="1"/>
  <c r="D109" i="77"/>
  <c r="U109" i="77" s="1"/>
  <c r="U301" i="4"/>
  <c r="DR301" i="4"/>
  <c r="D109" i="36"/>
  <c r="D109" i="32"/>
  <c r="T109" i="32" s="1"/>
  <c r="U109" i="32" s="1"/>
  <c r="DQ304" i="4"/>
  <c r="T304" i="4"/>
  <c r="X304" i="4" s="1"/>
  <c r="D112" i="76"/>
  <c r="D112" i="34"/>
  <c r="D112" i="30"/>
  <c r="T112" i="30" s="1"/>
  <c r="U112" i="30" s="1"/>
  <c r="T292" i="4"/>
  <c r="X292" i="4" s="1"/>
  <c r="DQ292" i="4"/>
  <c r="D100" i="76"/>
  <c r="D100" i="34"/>
  <c r="D100" i="30"/>
  <c r="T100" i="30" s="1"/>
  <c r="S300" i="4"/>
  <c r="DP300" i="4"/>
  <c r="D108" i="75"/>
  <c r="D108" i="38"/>
  <c r="D108" i="28"/>
  <c r="R108" i="28" s="1"/>
  <c r="U292" i="4"/>
  <c r="DR292" i="4"/>
  <c r="D100" i="77"/>
  <c r="D100" i="36"/>
  <c r="D100" i="32"/>
  <c r="T100" i="32" s="1"/>
  <c r="U100" i="32" s="1"/>
  <c r="C11" i="15"/>
  <c r="R74" i="28"/>
  <c r="DJ94" i="67"/>
  <c r="DI94" i="67"/>
  <c r="DK104" i="67"/>
  <c r="DL104" i="67"/>
  <c r="DH104" i="67"/>
  <c r="DD99" i="67"/>
  <c r="DB99" i="67"/>
  <c r="DC99" i="67" s="1"/>
  <c r="T111" i="32"/>
  <c r="U111" i="32" s="1"/>
  <c r="DJ93" i="67"/>
  <c r="DI93" i="67"/>
  <c r="DL102" i="67"/>
  <c r="DK102" i="67"/>
  <c r="DH102" i="67"/>
  <c r="DG101" i="67"/>
  <c r="DE101" i="67"/>
  <c r="DF101" i="67" s="1"/>
  <c r="DE104" i="67"/>
  <c r="DF104" i="67" s="1"/>
  <c r="DG104" i="67"/>
  <c r="DE99" i="67"/>
  <c r="DF99" i="67" s="1"/>
  <c r="DG99" i="67"/>
  <c r="I11" i="15"/>
  <c r="T74" i="30"/>
  <c r="DH112" i="67"/>
  <c r="DK112" i="67"/>
  <c r="DL112" i="67"/>
  <c r="DJ97" i="67"/>
  <c r="DI97" i="67"/>
  <c r="DE103" i="67"/>
  <c r="DF103" i="67" s="1"/>
  <c r="DG103" i="67"/>
  <c r="DJ92" i="67"/>
  <c r="DI92" i="67"/>
  <c r="DJ88" i="67"/>
  <c r="DI88" i="67"/>
  <c r="DI90" i="67"/>
  <c r="DJ90" i="67"/>
  <c r="DI96" i="67"/>
  <c r="DJ96" i="67"/>
  <c r="DD107" i="67"/>
  <c r="DB107" i="67"/>
  <c r="DC107" i="67" s="1"/>
  <c r="DL101" i="67"/>
  <c r="DH101" i="67"/>
  <c r="DK101" i="67"/>
  <c r="DG102" i="67"/>
  <c r="DE102" i="67"/>
  <c r="DF102" i="67" s="1"/>
  <c r="DD100" i="67"/>
  <c r="DB100" i="67"/>
  <c r="DC100" i="67" s="1"/>
  <c r="DL105" i="67"/>
  <c r="DK105" i="67"/>
  <c r="DH105" i="67"/>
  <c r="DD109" i="67"/>
  <c r="DB109" i="67"/>
  <c r="DC109" i="67" s="1"/>
  <c r="DK107" i="67"/>
  <c r="DL107" i="67"/>
  <c r="DH107" i="67"/>
  <c r="DG100" i="67"/>
  <c r="DE100" i="67"/>
  <c r="DF100" i="67" s="1"/>
  <c r="DL115" i="67"/>
  <c r="DK115" i="67"/>
  <c r="DH115" i="67"/>
  <c r="DE113" i="67"/>
  <c r="DF113" i="67" s="1"/>
  <c r="DG113" i="67"/>
  <c r="DD108" i="67"/>
  <c r="DB108" i="67"/>
  <c r="DC108" i="67" s="1"/>
  <c r="DJ111" i="67"/>
  <c r="DI111" i="67"/>
  <c r="O11" i="15"/>
  <c r="T74" i="32"/>
  <c r="U74" i="32" s="1"/>
  <c r="DJ86" i="67"/>
  <c r="DI86" i="67"/>
  <c r="L29" i="148"/>
  <c r="L18" i="148"/>
  <c r="DJ89" i="67"/>
  <c r="DI89" i="67"/>
  <c r="DH109" i="67"/>
  <c r="DK109" i="67"/>
  <c r="DL109" i="67"/>
  <c r="S13" i="17"/>
  <c r="P13" i="17"/>
  <c r="DK113" i="67"/>
  <c r="DL113" i="67"/>
  <c r="DH113" i="67"/>
  <c r="S56" i="17"/>
  <c r="P56" i="17"/>
  <c r="AD13" i="17"/>
  <c r="AA13" i="17"/>
  <c r="DL106" i="67"/>
  <c r="DH106" i="67"/>
  <c r="DK106" i="67"/>
  <c r="O28" i="148"/>
  <c r="DG115" i="67"/>
  <c r="DE115" i="67"/>
  <c r="DF115" i="67" s="1"/>
  <c r="DE112" i="67"/>
  <c r="DF112" i="67" s="1"/>
  <c r="DG112" i="67"/>
  <c r="DK103" i="67"/>
  <c r="DL103" i="67"/>
  <c r="DH103" i="67"/>
  <c r="O17" i="148"/>
  <c r="AD56" i="17"/>
  <c r="AA56" i="17"/>
  <c r="DL100" i="67"/>
  <c r="DH100" i="67"/>
  <c r="DK100" i="67"/>
  <c r="H73" i="148"/>
  <c r="DB103" i="67"/>
  <c r="DC103" i="67" s="1"/>
  <c r="DD103" i="67"/>
  <c r="DG107" i="67"/>
  <c r="DE107" i="67"/>
  <c r="DF107" i="67" s="1"/>
  <c r="DE111" i="67"/>
  <c r="DF111" i="67" s="1"/>
  <c r="DG111" i="67"/>
  <c r="DD105" i="67"/>
  <c r="DB105" i="67"/>
  <c r="DC105" i="67" s="1"/>
  <c r="E111" i="67"/>
  <c r="F111" i="67" s="1"/>
  <c r="E112" i="67"/>
  <c r="F112" i="67" s="1"/>
  <c r="E113" i="67"/>
  <c r="F113" i="67" s="1"/>
  <c r="E114" i="67"/>
  <c r="F114" i="67" s="1"/>
  <c r="E110" i="67"/>
  <c r="E115" i="67"/>
  <c r="F115" i="67" s="1"/>
  <c r="DJ114" i="67"/>
  <c r="DI114" i="67"/>
  <c r="H13" i="17"/>
  <c r="E13" i="17"/>
  <c r="DB106" i="67"/>
  <c r="DC106" i="67" s="1"/>
  <c r="DD106" i="67"/>
  <c r="DJ91" i="67"/>
  <c r="DI91" i="67"/>
  <c r="H56" i="17"/>
  <c r="E56" i="17"/>
  <c r="DD102" i="67"/>
  <c r="DB102" i="67"/>
  <c r="DC102" i="67" s="1"/>
  <c r="DI87" i="67"/>
  <c r="DJ87" i="67"/>
  <c r="DG109" i="67"/>
  <c r="DE109" i="67"/>
  <c r="DF109" i="67" s="1"/>
  <c r="DB101" i="67"/>
  <c r="DC101" i="67" s="1"/>
  <c r="DD101" i="67"/>
  <c r="DK99" i="67"/>
  <c r="DH99" i="67"/>
  <c r="DL99" i="67"/>
  <c r="DG108" i="67"/>
  <c r="DE108" i="67"/>
  <c r="DF108" i="67" s="1"/>
  <c r="DG105" i="67"/>
  <c r="DE105" i="67"/>
  <c r="DF105" i="67" s="1"/>
  <c r="DJ95" i="67"/>
  <c r="DI95" i="67"/>
  <c r="DG106" i="67"/>
  <c r="DE106" i="67"/>
  <c r="DF106" i="67" s="1"/>
  <c r="DB104" i="67"/>
  <c r="DC104" i="67" s="1"/>
  <c r="DD104" i="67"/>
  <c r="DH108" i="67"/>
  <c r="DL108" i="67"/>
  <c r="DK108" i="67"/>
  <c r="AD58" i="17" l="1"/>
  <c r="AA58" i="17"/>
  <c r="D58" i="17"/>
  <c r="S58" i="17"/>
  <c r="P58" i="17"/>
  <c r="T302" i="4"/>
  <c r="X302" i="4" s="1"/>
  <c r="AD15" i="17"/>
  <c r="AA15" i="17"/>
  <c r="DJ110" i="67"/>
  <c r="DE110" i="67"/>
  <c r="DF110" i="67" s="1"/>
  <c r="D110" i="34"/>
  <c r="DQ302" i="4"/>
  <c r="D110" i="30"/>
  <c r="I14" i="15" s="1"/>
  <c r="K14" i="15" s="1"/>
  <c r="DG98" i="67"/>
  <c r="DJ116" i="67"/>
  <c r="DI116" i="67"/>
  <c r="DJ121" i="67"/>
  <c r="DI121" i="67"/>
  <c r="D120" i="38"/>
  <c r="D120" i="28"/>
  <c r="R120" i="28" s="1"/>
  <c r="S120" i="28" s="1"/>
  <c r="D120" i="75"/>
  <c r="DB120" i="67"/>
  <c r="DC120" i="67" s="1"/>
  <c r="S312" i="4"/>
  <c r="DD120" i="67"/>
  <c r="D110" i="76"/>
  <c r="D116" i="28"/>
  <c r="R116" i="28" s="1"/>
  <c r="S116" i="28" s="1"/>
  <c r="D116" i="75"/>
  <c r="D116" i="38"/>
  <c r="DB116" i="67"/>
  <c r="DC116" i="67" s="1"/>
  <c r="DD116" i="67"/>
  <c r="S308" i="4"/>
  <c r="D119" i="28"/>
  <c r="R119" i="28" s="1"/>
  <c r="S119" i="28" s="1"/>
  <c r="DB119" i="67"/>
  <c r="DC119" i="67" s="1"/>
  <c r="D119" i="75"/>
  <c r="D119" i="38"/>
  <c r="DD119" i="67"/>
  <c r="S311" i="4"/>
  <c r="DB118" i="67"/>
  <c r="DC118" i="67" s="1"/>
  <c r="D118" i="75"/>
  <c r="D118" i="28"/>
  <c r="R118" i="28" s="1"/>
  <c r="S118" i="28" s="1"/>
  <c r="D118" i="38"/>
  <c r="DD118" i="67"/>
  <c r="S310" i="4"/>
  <c r="DB121" i="67"/>
  <c r="DC121" i="67" s="1"/>
  <c r="D121" i="38"/>
  <c r="D121" i="75"/>
  <c r="D121" i="28"/>
  <c r="R121" i="28" s="1"/>
  <c r="S121" i="28" s="1"/>
  <c r="S313" i="4"/>
  <c r="DD121" i="67"/>
  <c r="DJ118" i="67"/>
  <c r="DI118" i="67"/>
  <c r="DB117" i="67"/>
  <c r="DC117" i="67" s="1"/>
  <c r="D117" i="28"/>
  <c r="R117" i="28" s="1"/>
  <c r="S117" i="28" s="1"/>
  <c r="D117" i="75"/>
  <c r="D117" i="38"/>
  <c r="DD117" i="67"/>
  <c r="S309" i="4"/>
  <c r="DJ117" i="67"/>
  <c r="DI117" i="67"/>
  <c r="DJ119" i="67"/>
  <c r="DI119" i="67"/>
  <c r="DJ120" i="67"/>
  <c r="DI120" i="67"/>
  <c r="F110" i="67"/>
  <c r="S302" i="4" s="1"/>
  <c r="D15" i="17"/>
  <c r="AD60" i="17"/>
  <c r="AD17" i="17"/>
  <c r="S60" i="17"/>
  <c r="S17" i="17"/>
  <c r="H60" i="17"/>
  <c r="H17" i="17"/>
  <c r="DB98" i="67"/>
  <c r="DC98" i="67" s="1"/>
  <c r="DK98" i="67"/>
  <c r="DH98" i="67"/>
  <c r="DJ98" i="67" s="1"/>
  <c r="DP303" i="4"/>
  <c r="S303" i="4"/>
  <c r="D111" i="75"/>
  <c r="D111" i="38"/>
  <c r="D111" i="28"/>
  <c r="R111" i="28" s="1"/>
  <c r="S111" i="28" s="1"/>
  <c r="DP304" i="4"/>
  <c r="S304" i="4"/>
  <c r="D112" i="75"/>
  <c r="D112" i="38"/>
  <c r="D112" i="28"/>
  <c r="R112" i="28" s="1"/>
  <c r="S112" i="28" s="1"/>
  <c r="DR290" i="4"/>
  <c r="U290" i="4"/>
  <c r="D98" i="77"/>
  <c r="D98" i="32"/>
  <c r="D98" i="36"/>
  <c r="DQ290" i="4"/>
  <c r="T290" i="4"/>
  <c r="X290" i="4" s="1"/>
  <c r="D98" i="76"/>
  <c r="D98" i="34"/>
  <c r="D98" i="30"/>
  <c r="S307" i="4"/>
  <c r="DP307" i="4"/>
  <c r="D115" i="75"/>
  <c r="D115" i="38"/>
  <c r="D115" i="28"/>
  <c r="R115" i="28" s="1"/>
  <c r="DP290" i="4"/>
  <c r="S290" i="4"/>
  <c r="D98" i="75"/>
  <c r="D98" i="38"/>
  <c r="D98" i="28"/>
  <c r="DP306" i="4"/>
  <c r="S306" i="4"/>
  <c r="D114" i="75"/>
  <c r="D114" i="38"/>
  <c r="D114" i="28"/>
  <c r="R114" i="28" s="1"/>
  <c r="S114" i="28" s="1"/>
  <c r="DP305" i="4"/>
  <c r="S305" i="4"/>
  <c r="D113" i="75"/>
  <c r="D113" i="38"/>
  <c r="D113" i="28"/>
  <c r="R113" i="28" s="1"/>
  <c r="S113" i="28" s="1"/>
  <c r="Q11" i="15"/>
  <c r="K11" i="15"/>
  <c r="E11" i="15"/>
  <c r="O18" i="148"/>
  <c r="S99" i="28"/>
  <c r="DJ109" i="67"/>
  <c r="DI109" i="67"/>
  <c r="O14" i="15"/>
  <c r="Q14" i="15" s="1"/>
  <c r="T110" i="32"/>
  <c r="U110" i="32" s="1"/>
  <c r="DB115" i="67"/>
  <c r="DC115" i="67" s="1"/>
  <c r="DD115" i="67"/>
  <c r="DI108" i="67"/>
  <c r="DJ108" i="67"/>
  <c r="S104" i="28"/>
  <c r="U74" i="30"/>
  <c r="DJ99" i="67"/>
  <c r="DI99" i="67"/>
  <c r="DB114" i="67"/>
  <c r="DC114" i="67" s="1"/>
  <c r="DD114" i="67"/>
  <c r="DI106" i="67"/>
  <c r="DJ106" i="67"/>
  <c r="AA57" i="17"/>
  <c r="AD57" i="17"/>
  <c r="DD113" i="67"/>
  <c r="DB113" i="67"/>
  <c r="DC113" i="67" s="1"/>
  <c r="U103" i="30"/>
  <c r="DI103" i="67"/>
  <c r="DJ103" i="67"/>
  <c r="O12" i="15"/>
  <c r="T86" i="32"/>
  <c r="U86" i="32" s="1"/>
  <c r="S106" i="28"/>
  <c r="C12" i="15"/>
  <c r="R86" i="28"/>
  <c r="DB112" i="67"/>
  <c r="DC112" i="67" s="1"/>
  <c r="DD112" i="67"/>
  <c r="DJ107" i="67"/>
  <c r="DI107" i="67"/>
  <c r="DD111" i="67"/>
  <c r="DB111" i="67"/>
  <c r="DC111" i="67" s="1"/>
  <c r="S105" i="28"/>
  <c r="U102" i="30"/>
  <c r="P57" i="17"/>
  <c r="S57" i="17"/>
  <c r="U99" i="30"/>
  <c r="S14" i="17"/>
  <c r="P14" i="17"/>
  <c r="O29" i="148"/>
  <c r="DJ102" i="67"/>
  <c r="DI102" i="67"/>
  <c r="DJ105" i="67"/>
  <c r="DI105" i="67"/>
  <c r="DJ112" i="67"/>
  <c r="DI112" i="67"/>
  <c r="H14" i="17"/>
  <c r="E14" i="17"/>
  <c r="DJ113" i="67"/>
  <c r="DI113" i="67"/>
  <c r="DJ101" i="67"/>
  <c r="DI101" i="67"/>
  <c r="S74" i="28"/>
  <c r="S102" i="28"/>
  <c r="S108" i="28"/>
  <c r="H57" i="17"/>
  <c r="E57" i="17"/>
  <c r="I12" i="15"/>
  <c r="T86" i="30"/>
  <c r="S100" i="28"/>
  <c r="U100" i="30"/>
  <c r="DJ104" i="67"/>
  <c r="DI104" i="67"/>
  <c r="AD14" i="17"/>
  <c r="AA14" i="17"/>
  <c r="DJ100" i="67"/>
  <c r="DI100" i="67"/>
  <c r="DJ115" i="67"/>
  <c r="DI115" i="67"/>
  <c r="H58" i="17" l="1"/>
  <c r="E58" i="17"/>
  <c r="T110" i="30"/>
  <c r="U110" i="30" s="1"/>
  <c r="D110" i="28"/>
  <c r="D110" i="38"/>
  <c r="DD110" i="67"/>
  <c r="DB110" i="67"/>
  <c r="DC110" i="67" s="1"/>
  <c r="D110" i="75"/>
  <c r="DP302" i="4"/>
  <c r="H15" i="17"/>
  <c r="E15" i="17"/>
  <c r="DI98" i="67"/>
  <c r="Q12" i="15"/>
  <c r="K12" i="15"/>
  <c r="E12" i="15"/>
  <c r="R110" i="28"/>
  <c r="S110" i="28" s="1"/>
  <c r="C14" i="15"/>
  <c r="E14" i="15" s="1"/>
  <c r="U86" i="30"/>
  <c r="S86" i="28"/>
  <c r="O13" i="15"/>
  <c r="T98" i="32"/>
  <c r="U98" i="32" s="1"/>
  <c r="I13" i="15"/>
  <c r="T98" i="30"/>
  <c r="C13" i="15"/>
  <c r="R98" i="28"/>
  <c r="S115" i="28"/>
  <c r="U122" i="32" l="1"/>
  <c r="Q17" i="15" s="1"/>
  <c r="Q13" i="15"/>
  <c r="Q16" i="15" s="1"/>
  <c r="K13" i="15"/>
  <c r="K16" i="15" s="1"/>
  <c r="E13" i="15"/>
  <c r="E16" i="15" s="1"/>
  <c r="U13" i="25"/>
  <c r="S98" i="28"/>
  <c r="U98" i="30"/>
  <c r="U122" i="30" l="1"/>
  <c r="K17" i="15" s="1"/>
  <c r="S122" i="28"/>
  <c r="E17" i="15" s="1"/>
  <c r="L125" i="69" l="1"/>
  <c r="H125" i="69" l="1"/>
  <c r="G125" i="69"/>
  <c r="I125" i="69" l="1"/>
  <c r="J125" i="69" l="1"/>
  <c r="K125" i="69" l="1"/>
  <c r="U5" i="77" l="1"/>
  <c r="U4" i="77"/>
  <c r="U7" i="76"/>
  <c r="U6" i="77"/>
  <c r="U6" i="76"/>
  <c r="P18" i="77"/>
  <c r="F30" i="77"/>
  <c r="O20" i="77"/>
  <c r="E32" i="77"/>
  <c r="U8" i="77"/>
  <c r="O18" i="77"/>
  <c r="E30" i="77"/>
  <c r="O17" i="77"/>
  <c r="E29" i="77"/>
  <c r="O16" i="77"/>
  <c r="E28" i="77"/>
  <c r="P15" i="77"/>
  <c r="F27" i="77"/>
  <c r="U3" i="77"/>
  <c r="P20" i="77"/>
  <c r="F32" i="77"/>
  <c r="P16" i="77"/>
  <c r="F28" i="77"/>
  <c r="P14" i="77"/>
  <c r="F26" i="77"/>
  <c r="O15" i="77"/>
  <c r="E27" i="77"/>
  <c r="U7" i="77"/>
  <c r="P17" i="77"/>
  <c r="F29" i="77"/>
  <c r="O14" i="77"/>
  <c r="E26" i="77"/>
  <c r="P19" i="77"/>
  <c r="F31" i="77"/>
  <c r="O19" i="77"/>
  <c r="E31" i="77"/>
  <c r="U2" i="77"/>
  <c r="U2" i="76"/>
  <c r="U8" i="76"/>
  <c r="P21" i="76"/>
  <c r="F33" i="76"/>
  <c r="P19" i="76"/>
  <c r="F31" i="76"/>
  <c r="O17" i="76"/>
  <c r="E29" i="76"/>
  <c r="O18" i="76"/>
  <c r="E30" i="76"/>
  <c r="O19" i="76"/>
  <c r="E31" i="76"/>
  <c r="P18" i="76"/>
  <c r="F30" i="76"/>
  <c r="O14" i="76"/>
  <c r="E26" i="76"/>
  <c r="O21" i="76"/>
  <c r="E33" i="76"/>
  <c r="O16" i="76"/>
  <c r="E28" i="76"/>
  <c r="U5" i="76"/>
  <c r="O15" i="76"/>
  <c r="E27" i="76"/>
  <c r="P14" i="76"/>
  <c r="F26" i="76"/>
  <c r="U4" i="76"/>
  <c r="P16" i="76"/>
  <c r="F28" i="76"/>
  <c r="P15" i="76"/>
  <c r="F27" i="76"/>
  <c r="S5" i="34"/>
  <c r="U3" i="76"/>
  <c r="P20" i="76"/>
  <c r="F32" i="76"/>
  <c r="U9" i="76"/>
  <c r="O20" i="76"/>
  <c r="E32" i="76"/>
  <c r="P17" i="76"/>
  <c r="F29" i="76"/>
  <c r="O16" i="75"/>
  <c r="S7" i="75"/>
  <c r="O25" i="75"/>
  <c r="O20" i="75"/>
  <c r="S6" i="75"/>
  <c r="S12" i="75"/>
  <c r="O17" i="75"/>
  <c r="S8" i="75"/>
  <c r="O19" i="75"/>
  <c r="S4" i="75"/>
  <c r="O15" i="75"/>
  <c r="S9" i="75"/>
  <c r="O21" i="75"/>
  <c r="O23" i="75"/>
  <c r="S11" i="75"/>
  <c r="O14" i="75"/>
  <c r="S10" i="75"/>
  <c r="S2" i="75"/>
  <c r="S3" i="75"/>
  <c r="O24" i="75"/>
  <c r="O18" i="75"/>
  <c r="S13" i="75"/>
  <c r="S5" i="75"/>
  <c r="O22" i="75"/>
  <c r="S2" i="34"/>
  <c r="S13" i="36"/>
  <c r="S12" i="36"/>
  <c r="S8" i="36"/>
  <c r="S10" i="36"/>
  <c r="S6" i="36"/>
  <c r="S9" i="36"/>
  <c r="S11" i="36"/>
  <c r="S7" i="36"/>
  <c r="S10" i="34"/>
  <c r="E33" i="34"/>
  <c r="M21" i="34"/>
  <c r="S12" i="34"/>
  <c r="S9" i="34"/>
  <c r="E35" i="34"/>
  <c r="M23" i="34"/>
  <c r="E36" i="34"/>
  <c r="M24" i="34"/>
  <c r="S13" i="34"/>
  <c r="S11" i="34"/>
  <c r="S3" i="34"/>
  <c r="E37" i="34"/>
  <c r="M25" i="34"/>
  <c r="E34" i="34"/>
  <c r="M22" i="34"/>
  <c r="S4" i="34"/>
  <c r="F29" i="34"/>
  <c r="N17" i="34"/>
  <c r="E27" i="34"/>
  <c r="M15" i="34"/>
  <c r="E30" i="34"/>
  <c r="M18" i="34"/>
  <c r="E31" i="34"/>
  <c r="M19" i="34"/>
  <c r="E28" i="34"/>
  <c r="M16" i="34"/>
  <c r="F26" i="34"/>
  <c r="N14" i="34"/>
  <c r="F28" i="34"/>
  <c r="N16" i="34"/>
  <c r="E32" i="34"/>
  <c r="M20" i="34"/>
  <c r="S7" i="34"/>
  <c r="S6" i="34"/>
  <c r="E26" i="34"/>
  <c r="M14" i="34"/>
  <c r="E29" i="34"/>
  <c r="M17" i="34"/>
  <c r="S8" i="34"/>
  <c r="F27" i="34"/>
  <c r="N15" i="34"/>
  <c r="L17" i="38"/>
  <c r="E29" i="38"/>
  <c r="Q4" i="38"/>
  <c r="Q2" i="38"/>
  <c r="Q3" i="38"/>
  <c r="Q5" i="38"/>
  <c r="E27" i="38"/>
  <c r="E28" i="38"/>
  <c r="E26" i="38"/>
  <c r="L26" i="38" s="1"/>
  <c r="U20" i="77" l="1"/>
  <c r="U19" i="76"/>
  <c r="U16" i="77"/>
  <c r="U14" i="77"/>
  <c r="U17" i="77"/>
  <c r="U18" i="77"/>
  <c r="U19" i="77"/>
  <c r="P29" i="77"/>
  <c r="F41" i="77"/>
  <c r="P27" i="77"/>
  <c r="F39" i="77"/>
  <c r="P26" i="77"/>
  <c r="F38" i="77"/>
  <c r="P28" i="77"/>
  <c r="F40" i="77"/>
  <c r="P30" i="77"/>
  <c r="F42" i="77"/>
  <c r="O28" i="77"/>
  <c r="E40" i="77"/>
  <c r="O29" i="77"/>
  <c r="E41" i="77"/>
  <c r="O27" i="77"/>
  <c r="E39" i="77"/>
  <c r="U15" i="77"/>
  <c r="O26" i="77"/>
  <c r="E38" i="77"/>
  <c r="O30" i="77"/>
  <c r="E42" i="77"/>
  <c r="O32" i="77"/>
  <c r="E44" i="77"/>
  <c r="AC49" i="17"/>
  <c r="P32" i="77"/>
  <c r="F44" i="77"/>
  <c r="P31" i="77"/>
  <c r="F43" i="77"/>
  <c r="U14" i="76"/>
  <c r="O31" i="77"/>
  <c r="E43" i="77"/>
  <c r="U21" i="76"/>
  <c r="R49" i="17"/>
  <c r="P28" i="76"/>
  <c r="F40" i="76"/>
  <c r="P29" i="76"/>
  <c r="F41" i="76"/>
  <c r="U18" i="76"/>
  <c r="P27" i="76"/>
  <c r="F39" i="76"/>
  <c r="O31" i="76"/>
  <c r="E43" i="76"/>
  <c r="P26" i="76"/>
  <c r="F38" i="76"/>
  <c r="O29" i="76"/>
  <c r="E41" i="76"/>
  <c r="O32" i="76"/>
  <c r="E44" i="76"/>
  <c r="U15" i="76"/>
  <c r="U17" i="76"/>
  <c r="O33" i="76"/>
  <c r="E45" i="76"/>
  <c r="P30" i="76"/>
  <c r="F42" i="76"/>
  <c r="O30" i="76"/>
  <c r="E42" i="76"/>
  <c r="O27" i="76"/>
  <c r="E39" i="76"/>
  <c r="U20" i="76"/>
  <c r="P31" i="76"/>
  <c r="F43" i="76"/>
  <c r="O28" i="76"/>
  <c r="E40" i="76"/>
  <c r="O26" i="76"/>
  <c r="E38" i="76"/>
  <c r="U16" i="76"/>
  <c r="P33" i="76"/>
  <c r="F45" i="76"/>
  <c r="P32" i="76"/>
  <c r="F44" i="76"/>
  <c r="S4" i="36"/>
  <c r="O30" i="75"/>
  <c r="N18" i="75"/>
  <c r="S18" i="75" s="1"/>
  <c r="O37" i="75"/>
  <c r="N21" i="75"/>
  <c r="S21" i="75" s="1"/>
  <c r="S14" i="75"/>
  <c r="N16" i="75"/>
  <c r="S16" i="75" s="1"/>
  <c r="O29" i="75"/>
  <c r="O35" i="75"/>
  <c r="O34" i="75"/>
  <c r="G49" i="17"/>
  <c r="N19" i="75"/>
  <c r="S19" i="75" s="1"/>
  <c r="N23" i="75"/>
  <c r="S23" i="75" s="1"/>
  <c r="O27" i="75"/>
  <c r="N22" i="75"/>
  <c r="S22" i="75" s="1"/>
  <c r="O31" i="75"/>
  <c r="N25" i="75"/>
  <c r="S25" i="75" s="1"/>
  <c r="N24" i="75"/>
  <c r="S24" i="75" s="1"/>
  <c r="O28" i="75"/>
  <c r="O36" i="75"/>
  <c r="O33" i="75"/>
  <c r="O32" i="75"/>
  <c r="N15" i="75"/>
  <c r="S15" i="75" s="1"/>
  <c r="N17" i="75"/>
  <c r="S17" i="75" s="1"/>
  <c r="O26" i="75"/>
  <c r="N20" i="75"/>
  <c r="S20" i="75" s="1"/>
  <c r="S24" i="36"/>
  <c r="S25" i="36"/>
  <c r="S22" i="36"/>
  <c r="S2" i="36"/>
  <c r="N26" i="36"/>
  <c r="S19" i="36"/>
  <c r="S21" i="36"/>
  <c r="S20" i="36"/>
  <c r="S18" i="36"/>
  <c r="S3" i="36"/>
  <c r="S23" i="36"/>
  <c r="M26" i="36"/>
  <c r="S5" i="36"/>
  <c r="E49" i="34"/>
  <c r="M37" i="34"/>
  <c r="F36" i="34"/>
  <c r="N24" i="34"/>
  <c r="S24" i="34" s="1"/>
  <c r="R6" i="17"/>
  <c r="T6" i="17" s="1"/>
  <c r="V6" i="17" s="1"/>
  <c r="F37" i="34"/>
  <c r="N25" i="34"/>
  <c r="S25" i="34" s="1"/>
  <c r="E48" i="34"/>
  <c r="M36" i="34"/>
  <c r="F33" i="34"/>
  <c r="N21" i="34"/>
  <c r="S21" i="34" s="1"/>
  <c r="S17" i="34"/>
  <c r="E45" i="34"/>
  <c r="M33" i="34"/>
  <c r="E46" i="34"/>
  <c r="M34" i="34"/>
  <c r="E47" i="34"/>
  <c r="M35" i="34"/>
  <c r="F35" i="34"/>
  <c r="N23" i="34"/>
  <c r="S23" i="34" s="1"/>
  <c r="F34" i="34"/>
  <c r="N22" i="34"/>
  <c r="S22" i="34" s="1"/>
  <c r="F40" i="34"/>
  <c r="N28" i="34"/>
  <c r="E40" i="34"/>
  <c r="M28" i="34"/>
  <c r="F38" i="34"/>
  <c r="N26" i="34"/>
  <c r="S14" i="34"/>
  <c r="E38" i="34"/>
  <c r="M26" i="34"/>
  <c r="E42" i="34"/>
  <c r="M30" i="34"/>
  <c r="F32" i="34"/>
  <c r="N20" i="34"/>
  <c r="S20" i="34" s="1"/>
  <c r="E43" i="34"/>
  <c r="M31" i="34"/>
  <c r="F39" i="34"/>
  <c r="N27" i="34"/>
  <c r="E39" i="34"/>
  <c r="M27" i="34"/>
  <c r="E41" i="34"/>
  <c r="M29" i="34"/>
  <c r="S15" i="34"/>
  <c r="F31" i="34"/>
  <c r="N19" i="34"/>
  <c r="S19" i="34" s="1"/>
  <c r="F41" i="34"/>
  <c r="N29" i="34"/>
  <c r="S16" i="34"/>
  <c r="F30" i="34"/>
  <c r="N18" i="34"/>
  <c r="S18" i="34" s="1"/>
  <c r="E44" i="34"/>
  <c r="M32" i="34"/>
  <c r="L27" i="38"/>
  <c r="E39" i="38"/>
  <c r="M17" i="38"/>
  <c r="Q17" i="38" s="1"/>
  <c r="F29" i="38"/>
  <c r="Q15" i="38"/>
  <c r="F27" i="38"/>
  <c r="Q14" i="38"/>
  <c r="F26" i="38"/>
  <c r="G6" i="17"/>
  <c r="I6" i="17" s="1"/>
  <c r="K6" i="17" s="1"/>
  <c r="M16" i="38"/>
  <c r="Q16" i="38" s="1"/>
  <c r="F28" i="38"/>
  <c r="E38" i="38"/>
  <c r="L29" i="38"/>
  <c r="E41" i="38"/>
  <c r="L28" i="38"/>
  <c r="E40" i="38"/>
  <c r="AC50" i="17" l="1"/>
  <c r="U30" i="76"/>
  <c r="U27" i="77"/>
  <c r="U29" i="76"/>
  <c r="U29" i="77"/>
  <c r="U27" i="76"/>
  <c r="U28" i="77"/>
  <c r="AE49" i="17"/>
  <c r="O38" i="77"/>
  <c r="E50" i="77"/>
  <c r="P39" i="77"/>
  <c r="F51" i="77"/>
  <c r="O41" i="77"/>
  <c r="E53" i="77"/>
  <c r="P42" i="77"/>
  <c r="F54" i="77"/>
  <c r="U30" i="77"/>
  <c r="U26" i="77"/>
  <c r="R50" i="17"/>
  <c r="P40" i="77"/>
  <c r="F52" i="77"/>
  <c r="O44" i="77"/>
  <c r="E56" i="77"/>
  <c r="U32" i="77"/>
  <c r="O42" i="77"/>
  <c r="E54" i="77"/>
  <c r="O43" i="77"/>
  <c r="E55" i="77"/>
  <c r="P41" i="77"/>
  <c r="F53" i="77"/>
  <c r="P43" i="77"/>
  <c r="F55" i="77"/>
  <c r="O40" i="77"/>
  <c r="E52" i="77"/>
  <c r="P44" i="77"/>
  <c r="F56" i="77"/>
  <c r="P38" i="77"/>
  <c r="F50" i="77"/>
  <c r="U28" i="76"/>
  <c r="U31" i="77"/>
  <c r="O39" i="77"/>
  <c r="E51" i="77"/>
  <c r="T49" i="17"/>
  <c r="U32" i="76"/>
  <c r="P45" i="76"/>
  <c r="F57" i="76"/>
  <c r="P42" i="76"/>
  <c r="F54" i="76"/>
  <c r="O42" i="76"/>
  <c r="E54" i="76"/>
  <c r="P39" i="76"/>
  <c r="F51" i="76"/>
  <c r="O45" i="76"/>
  <c r="E57" i="76"/>
  <c r="O43" i="76"/>
  <c r="E55" i="76"/>
  <c r="U31" i="76"/>
  <c r="U33" i="76"/>
  <c r="P40" i="76"/>
  <c r="F52" i="76"/>
  <c r="O41" i="76"/>
  <c r="E53" i="76"/>
  <c r="P38" i="76"/>
  <c r="F50" i="76"/>
  <c r="O39" i="76"/>
  <c r="E51" i="76"/>
  <c r="O38" i="76"/>
  <c r="E50" i="76"/>
  <c r="P43" i="76"/>
  <c r="F55" i="76"/>
  <c r="P44" i="76"/>
  <c r="F56" i="76"/>
  <c r="U26" i="76"/>
  <c r="P41" i="76"/>
  <c r="F53" i="76"/>
  <c r="O40" i="76"/>
  <c r="E52" i="76"/>
  <c r="O44" i="76"/>
  <c r="E56" i="76"/>
  <c r="O43" i="75"/>
  <c r="O44" i="75"/>
  <c r="G50" i="17"/>
  <c r="O40" i="75"/>
  <c r="N31" i="75"/>
  <c r="S31" i="75" s="1"/>
  <c r="O49" i="75"/>
  <c r="O41" i="75"/>
  <c r="O39" i="75"/>
  <c r="N29" i="75"/>
  <c r="S29" i="75" s="1"/>
  <c r="N34" i="75"/>
  <c r="S34" i="75" s="1"/>
  <c r="O45" i="75"/>
  <c r="N26" i="75"/>
  <c r="S26" i="75" s="1"/>
  <c r="N33" i="75"/>
  <c r="S33" i="75" s="1"/>
  <c r="I49" i="17"/>
  <c r="N30" i="75"/>
  <c r="S30" i="75" s="1"/>
  <c r="O47" i="75"/>
  <c r="N27" i="75"/>
  <c r="S27" i="75" s="1"/>
  <c r="O48" i="75"/>
  <c r="N35" i="75"/>
  <c r="S35" i="75" s="1"/>
  <c r="N32" i="75"/>
  <c r="S32" i="75" s="1"/>
  <c r="S28" i="34"/>
  <c r="O38" i="75"/>
  <c r="N37" i="75"/>
  <c r="S37" i="75" s="1"/>
  <c r="O46" i="75"/>
  <c r="O42" i="75"/>
  <c r="N28" i="75"/>
  <c r="S28" i="75" s="1"/>
  <c r="N36" i="75"/>
  <c r="S36" i="75" s="1"/>
  <c r="S16" i="36"/>
  <c r="S37" i="36"/>
  <c r="S36" i="36"/>
  <c r="S26" i="34"/>
  <c r="S14" i="36"/>
  <c r="S15" i="36"/>
  <c r="S17" i="36"/>
  <c r="S33" i="36"/>
  <c r="M38" i="36"/>
  <c r="AC6" i="17"/>
  <c r="AE6" i="17" s="1"/>
  <c r="N38" i="36"/>
  <c r="S35" i="36"/>
  <c r="S31" i="36"/>
  <c r="S34" i="36"/>
  <c r="S30" i="36"/>
  <c r="S32" i="36"/>
  <c r="S27" i="34"/>
  <c r="F47" i="34"/>
  <c r="N35" i="34"/>
  <c r="S35" i="34" s="1"/>
  <c r="E59" i="34"/>
  <c r="M47" i="34"/>
  <c r="F48" i="34"/>
  <c r="N36" i="34"/>
  <c r="S36" i="34" s="1"/>
  <c r="E57" i="34"/>
  <c r="M45" i="34"/>
  <c r="E61" i="34"/>
  <c r="M49" i="34"/>
  <c r="F45" i="34"/>
  <c r="N33" i="34"/>
  <c r="S33" i="34" s="1"/>
  <c r="F46" i="34"/>
  <c r="N34" i="34"/>
  <c r="S34" i="34" s="1"/>
  <c r="F49" i="34"/>
  <c r="N37" i="34"/>
  <c r="S37" i="34" s="1"/>
  <c r="E58" i="34"/>
  <c r="M46" i="34"/>
  <c r="E60" i="34"/>
  <c r="M48" i="34"/>
  <c r="F44" i="34"/>
  <c r="N32" i="34"/>
  <c r="S32" i="34" s="1"/>
  <c r="F53" i="34"/>
  <c r="N41" i="34"/>
  <c r="E54" i="34"/>
  <c r="M42" i="34"/>
  <c r="E50" i="34"/>
  <c r="M38" i="34"/>
  <c r="E53" i="34"/>
  <c r="M41" i="34"/>
  <c r="F51" i="34"/>
  <c r="N39" i="34"/>
  <c r="F43" i="34"/>
  <c r="N31" i="34"/>
  <c r="S31" i="34" s="1"/>
  <c r="E52" i="34"/>
  <c r="M40" i="34"/>
  <c r="F42" i="34"/>
  <c r="N30" i="34"/>
  <c r="S30" i="34" s="1"/>
  <c r="E55" i="34"/>
  <c r="M43" i="34"/>
  <c r="R7" i="17"/>
  <c r="T7" i="17" s="1"/>
  <c r="V7" i="17" s="1"/>
  <c r="S29" i="34"/>
  <c r="E51" i="34"/>
  <c r="M39" i="34"/>
  <c r="F50" i="34"/>
  <c r="N38" i="34"/>
  <c r="E56" i="34"/>
  <c r="M44" i="34"/>
  <c r="F52" i="34"/>
  <c r="N40" i="34"/>
  <c r="L38" i="38"/>
  <c r="E50" i="38"/>
  <c r="M28" i="38"/>
  <c r="Q28" i="38" s="1"/>
  <c r="F40" i="38"/>
  <c r="M26" i="38"/>
  <c r="Q26" i="38" s="1"/>
  <c r="F38" i="38"/>
  <c r="L41" i="38"/>
  <c r="E53" i="38"/>
  <c r="G7" i="17"/>
  <c r="I7" i="17" s="1"/>
  <c r="K7" i="17" s="1"/>
  <c r="M27" i="38"/>
  <c r="Q27" i="38" s="1"/>
  <c r="F39" i="38"/>
  <c r="M29" i="38"/>
  <c r="Q29" i="38" s="1"/>
  <c r="F41" i="38"/>
  <c r="L40" i="38"/>
  <c r="E52" i="38"/>
  <c r="L39" i="38"/>
  <c r="E51" i="38"/>
  <c r="D5" i="74" l="1"/>
  <c r="D4" i="74"/>
  <c r="D3" i="74"/>
  <c r="K49" i="17"/>
  <c r="V49" i="17"/>
  <c r="T50" i="17"/>
  <c r="U39" i="77"/>
  <c r="AE50" i="17"/>
  <c r="U38" i="76"/>
  <c r="U38" i="77"/>
  <c r="U40" i="76"/>
  <c r="AC51" i="17"/>
  <c r="U41" i="76"/>
  <c r="P55" i="77"/>
  <c r="F67" i="77"/>
  <c r="P53" i="77"/>
  <c r="F65" i="77"/>
  <c r="O51" i="77"/>
  <c r="E63" i="77"/>
  <c r="P51" i="77"/>
  <c r="F63" i="77"/>
  <c r="O50" i="77"/>
  <c r="E62" i="77"/>
  <c r="O52" i="77"/>
  <c r="E64" i="77"/>
  <c r="O55" i="77"/>
  <c r="E67" i="77"/>
  <c r="U43" i="77"/>
  <c r="O54" i="77"/>
  <c r="E66" i="77"/>
  <c r="O56" i="77"/>
  <c r="E68" i="77"/>
  <c r="P56" i="77"/>
  <c r="F68" i="77"/>
  <c r="U40" i="77"/>
  <c r="P54" i="77"/>
  <c r="F66" i="77"/>
  <c r="U41" i="77"/>
  <c r="U42" i="77"/>
  <c r="P50" i="77"/>
  <c r="F62" i="77"/>
  <c r="U44" i="77"/>
  <c r="AG49" i="17"/>
  <c r="O53" i="77"/>
  <c r="E65" i="77"/>
  <c r="U45" i="76"/>
  <c r="P52" i="77"/>
  <c r="F64" i="77"/>
  <c r="U43" i="76"/>
  <c r="U39" i="76"/>
  <c r="R51" i="17"/>
  <c r="O56" i="76"/>
  <c r="E68" i="76"/>
  <c r="O53" i="76"/>
  <c r="E65" i="76"/>
  <c r="U42" i="76"/>
  <c r="O52" i="76"/>
  <c r="E64" i="76"/>
  <c r="P52" i="76"/>
  <c r="F64" i="76"/>
  <c r="O55" i="76"/>
  <c r="E67" i="76"/>
  <c r="P51" i="76"/>
  <c r="F63" i="76"/>
  <c r="P50" i="76"/>
  <c r="F62" i="76"/>
  <c r="P54" i="76"/>
  <c r="F66" i="76"/>
  <c r="P57" i="76"/>
  <c r="F69" i="76"/>
  <c r="O51" i="76"/>
  <c r="E63" i="76"/>
  <c r="P53" i="76"/>
  <c r="F65" i="76"/>
  <c r="P55" i="76"/>
  <c r="F67" i="76"/>
  <c r="O57" i="76"/>
  <c r="E69" i="76"/>
  <c r="O54" i="76"/>
  <c r="E66" i="76"/>
  <c r="O50" i="76"/>
  <c r="E62" i="76"/>
  <c r="U44" i="76"/>
  <c r="P56" i="76"/>
  <c r="F68" i="76"/>
  <c r="O59" i="75"/>
  <c r="O61" i="75"/>
  <c r="O50" i="75"/>
  <c r="N45" i="75"/>
  <c r="S45" i="75" s="1"/>
  <c r="G51" i="17"/>
  <c r="N47" i="75"/>
  <c r="S47" i="75" s="1"/>
  <c r="O57" i="75"/>
  <c r="O58" i="75"/>
  <c r="N42" i="75"/>
  <c r="S42" i="75" s="1"/>
  <c r="I50" i="17"/>
  <c r="O53" i="75"/>
  <c r="N38" i="75"/>
  <c r="S38" i="75" s="1"/>
  <c r="O60" i="75"/>
  <c r="N46" i="75"/>
  <c r="S46" i="75" s="1"/>
  <c r="O56" i="75"/>
  <c r="N43" i="75"/>
  <c r="S43" i="75" s="1"/>
  <c r="N44" i="75"/>
  <c r="S44" i="75" s="1"/>
  <c r="N40" i="75"/>
  <c r="S40" i="75" s="1"/>
  <c r="N49" i="75"/>
  <c r="S49" i="75" s="1"/>
  <c r="N39" i="75"/>
  <c r="S39" i="75" s="1"/>
  <c r="N41" i="75"/>
  <c r="S41" i="75" s="1"/>
  <c r="O55" i="75"/>
  <c r="O51" i="75"/>
  <c r="O52" i="75"/>
  <c r="N48" i="75"/>
  <c r="S48" i="75" s="1"/>
  <c r="O54" i="75"/>
  <c r="AC7" i="17"/>
  <c r="AE7" i="17" s="1"/>
  <c r="C6" i="57" s="1"/>
  <c r="D6" i="57" s="1"/>
  <c r="S28" i="36"/>
  <c r="S48" i="36"/>
  <c r="S49" i="36"/>
  <c r="N50" i="36"/>
  <c r="C18" i="57"/>
  <c r="D18" i="57" s="1"/>
  <c r="C5" i="57"/>
  <c r="D5" i="57" s="1"/>
  <c r="AG6" i="17"/>
  <c r="S42" i="36"/>
  <c r="S44" i="36"/>
  <c r="S46" i="36"/>
  <c r="S27" i="36"/>
  <c r="M50" i="36"/>
  <c r="S26" i="36"/>
  <c r="S45" i="36"/>
  <c r="S43" i="36"/>
  <c r="S47" i="36"/>
  <c r="S29" i="36"/>
  <c r="F57" i="34"/>
  <c r="N45" i="34"/>
  <c r="S45" i="34" s="1"/>
  <c r="E72" i="34"/>
  <c r="M60" i="34"/>
  <c r="F60" i="34"/>
  <c r="N48" i="34"/>
  <c r="S48" i="34" s="1"/>
  <c r="E70" i="34"/>
  <c r="M58" i="34"/>
  <c r="E71" i="34"/>
  <c r="M59" i="34"/>
  <c r="E69" i="34"/>
  <c r="M57" i="34"/>
  <c r="S41" i="34"/>
  <c r="F61" i="34"/>
  <c r="N49" i="34"/>
  <c r="S49" i="34" s="1"/>
  <c r="E73" i="34"/>
  <c r="M61" i="34"/>
  <c r="F58" i="34"/>
  <c r="N46" i="34"/>
  <c r="S46" i="34" s="1"/>
  <c r="F59" i="34"/>
  <c r="N47" i="34"/>
  <c r="S47" i="34" s="1"/>
  <c r="R8" i="17"/>
  <c r="T8" i="17" s="1"/>
  <c r="V8" i="17" s="1"/>
  <c r="E66" i="34"/>
  <c r="M54" i="34"/>
  <c r="S38" i="34"/>
  <c r="F62" i="34"/>
  <c r="N50" i="34"/>
  <c r="S39" i="34"/>
  <c r="E67" i="34"/>
  <c r="M55" i="34"/>
  <c r="F65" i="34"/>
  <c r="N53" i="34"/>
  <c r="F55" i="34"/>
  <c r="N43" i="34"/>
  <c r="S43" i="34" s="1"/>
  <c r="E62" i="34"/>
  <c r="M50" i="34"/>
  <c r="F54" i="34"/>
  <c r="N42" i="34"/>
  <c r="S42" i="34" s="1"/>
  <c r="E68" i="34"/>
  <c r="M56" i="34"/>
  <c r="F63" i="34"/>
  <c r="N51" i="34"/>
  <c r="E65" i="34"/>
  <c r="M53" i="34"/>
  <c r="E63" i="34"/>
  <c r="M51" i="34"/>
  <c r="S40" i="34"/>
  <c r="F56" i="34"/>
  <c r="N44" i="34"/>
  <c r="S44" i="34" s="1"/>
  <c r="F64" i="34"/>
  <c r="N52" i="34"/>
  <c r="E64" i="34"/>
  <c r="M52" i="34"/>
  <c r="M39" i="38"/>
  <c r="Q39" i="38" s="1"/>
  <c r="F51" i="38"/>
  <c r="M38" i="38"/>
  <c r="Q38" i="38" s="1"/>
  <c r="F50" i="38"/>
  <c r="M40" i="38"/>
  <c r="Q40" i="38" s="1"/>
  <c r="F52" i="38"/>
  <c r="G8" i="17"/>
  <c r="I8" i="17" s="1"/>
  <c r="K8" i="17" s="1"/>
  <c r="L51" i="38"/>
  <c r="E63" i="38"/>
  <c r="L53" i="38"/>
  <c r="E65" i="38"/>
  <c r="L50" i="38"/>
  <c r="E62" i="38"/>
  <c r="L52" i="38"/>
  <c r="E64" i="38"/>
  <c r="M41" i="38"/>
  <c r="Q41" i="38" s="1"/>
  <c r="F53" i="38"/>
  <c r="E3" i="74" l="1"/>
  <c r="E5" i="74"/>
  <c r="E4" i="74"/>
  <c r="H18" i="57"/>
  <c r="D21" i="74"/>
  <c r="D23" i="74" s="1"/>
  <c r="K50" i="17"/>
  <c r="V50" i="17"/>
  <c r="AG50" i="17"/>
  <c r="AC52" i="17"/>
  <c r="U53" i="77"/>
  <c r="AE51" i="17"/>
  <c r="U55" i="77"/>
  <c r="U52" i="77"/>
  <c r="R52" i="17"/>
  <c r="O66" i="77"/>
  <c r="E78" i="77"/>
  <c r="P65" i="77"/>
  <c r="F77" i="77"/>
  <c r="O62" i="77"/>
  <c r="E74" i="77"/>
  <c r="U50" i="77"/>
  <c r="P63" i="77"/>
  <c r="F75" i="77"/>
  <c r="O65" i="77"/>
  <c r="E77" i="77"/>
  <c r="U56" i="77"/>
  <c r="U54" i="77"/>
  <c r="P66" i="77"/>
  <c r="F78" i="77"/>
  <c r="P64" i="77"/>
  <c r="F76" i="77"/>
  <c r="P68" i="77"/>
  <c r="F80" i="77"/>
  <c r="O68" i="77"/>
  <c r="E80" i="77"/>
  <c r="U51" i="77"/>
  <c r="D8" i="74"/>
  <c r="P67" i="77"/>
  <c r="F79" i="77"/>
  <c r="P62" i="77"/>
  <c r="F74" i="77"/>
  <c r="O64" i="77"/>
  <c r="E76" i="77"/>
  <c r="O63" i="77"/>
  <c r="E75" i="77"/>
  <c r="O67" i="77"/>
  <c r="E79" i="77"/>
  <c r="U50" i="76"/>
  <c r="T51" i="17"/>
  <c r="U55" i="76"/>
  <c r="U57" i="76"/>
  <c r="O67" i="76"/>
  <c r="E79" i="76"/>
  <c r="O64" i="76"/>
  <c r="E76" i="76"/>
  <c r="P69" i="76"/>
  <c r="F81" i="76"/>
  <c r="P66" i="76"/>
  <c r="F78" i="76"/>
  <c r="P67" i="76"/>
  <c r="F79" i="76"/>
  <c r="P64" i="76"/>
  <c r="F76" i="76"/>
  <c r="U52" i="76"/>
  <c r="O65" i="76"/>
  <c r="E77" i="76"/>
  <c r="O66" i="76"/>
  <c r="E78" i="76"/>
  <c r="P62" i="76"/>
  <c r="F74" i="76"/>
  <c r="U53" i="76"/>
  <c r="P65" i="76"/>
  <c r="F77" i="76"/>
  <c r="U51" i="76"/>
  <c r="O62" i="76"/>
  <c r="E74" i="76"/>
  <c r="U54" i="76"/>
  <c r="O68" i="76"/>
  <c r="E80" i="76"/>
  <c r="P68" i="76"/>
  <c r="F80" i="76"/>
  <c r="O63" i="76"/>
  <c r="E75" i="76"/>
  <c r="O69" i="76"/>
  <c r="E81" i="76"/>
  <c r="P63" i="76"/>
  <c r="F75" i="76"/>
  <c r="U56" i="76"/>
  <c r="AG7" i="17"/>
  <c r="E8" i="25" s="1"/>
  <c r="O70" i="75"/>
  <c r="O68" i="75"/>
  <c r="N57" i="75"/>
  <c r="S57" i="75" s="1"/>
  <c r="N61" i="75"/>
  <c r="S61" i="75" s="1"/>
  <c r="O65" i="75"/>
  <c r="O62" i="75"/>
  <c r="N59" i="75"/>
  <c r="S59" i="75" s="1"/>
  <c r="O67" i="75"/>
  <c r="N53" i="75"/>
  <c r="S53" i="75" s="1"/>
  <c r="N51" i="75"/>
  <c r="S51" i="75" s="1"/>
  <c r="C19" i="57"/>
  <c r="D19" i="57" s="1"/>
  <c r="O66" i="75"/>
  <c r="N52" i="75"/>
  <c r="S52" i="75" s="1"/>
  <c r="O73" i="75"/>
  <c r="O72" i="75"/>
  <c r="N50" i="75"/>
  <c r="S50" i="75" s="1"/>
  <c r="N55" i="75"/>
  <c r="S55" i="75" s="1"/>
  <c r="O63" i="75"/>
  <c r="I51" i="17"/>
  <c r="N60" i="75"/>
  <c r="S60" i="75" s="1"/>
  <c r="N56" i="75"/>
  <c r="S56" i="75" s="1"/>
  <c r="N54" i="75"/>
  <c r="S54" i="75" s="1"/>
  <c r="O71" i="75"/>
  <c r="O64" i="75"/>
  <c r="O69" i="75"/>
  <c r="N58" i="75"/>
  <c r="S58" i="75" s="1"/>
  <c r="G52" i="17"/>
  <c r="S38" i="36"/>
  <c r="S60" i="36"/>
  <c r="S41" i="36"/>
  <c r="S61" i="36"/>
  <c r="S59" i="36"/>
  <c r="M62" i="36"/>
  <c r="S55" i="36"/>
  <c r="S56" i="36"/>
  <c r="S58" i="36"/>
  <c r="S57" i="36"/>
  <c r="N62" i="36"/>
  <c r="S39" i="36"/>
  <c r="AC8" i="17"/>
  <c r="AE8" i="17" s="1"/>
  <c r="S54" i="36"/>
  <c r="S40" i="36"/>
  <c r="E81" i="34"/>
  <c r="M69" i="34"/>
  <c r="F71" i="34"/>
  <c r="N59" i="34"/>
  <c r="S59" i="34" s="1"/>
  <c r="F70" i="34"/>
  <c r="N58" i="34"/>
  <c r="S58" i="34" s="1"/>
  <c r="F72" i="34"/>
  <c r="N60" i="34"/>
  <c r="S60" i="34" s="1"/>
  <c r="F73" i="34"/>
  <c r="N61" i="34"/>
  <c r="S61" i="34" s="1"/>
  <c r="S51" i="34"/>
  <c r="E83" i="34"/>
  <c r="M71" i="34"/>
  <c r="E85" i="34"/>
  <c r="M73" i="34"/>
  <c r="E84" i="34"/>
  <c r="M72" i="34"/>
  <c r="E82" i="34"/>
  <c r="M70" i="34"/>
  <c r="F69" i="34"/>
  <c r="N57" i="34"/>
  <c r="S57" i="34" s="1"/>
  <c r="E79" i="34"/>
  <c r="M67" i="34"/>
  <c r="E75" i="34"/>
  <c r="M63" i="34"/>
  <c r="F75" i="34"/>
  <c r="N63" i="34"/>
  <c r="F74" i="34"/>
  <c r="N62" i="34"/>
  <c r="E77" i="34"/>
  <c r="M65" i="34"/>
  <c r="F67" i="34"/>
  <c r="N55" i="34"/>
  <c r="S55" i="34" s="1"/>
  <c r="E80" i="34"/>
  <c r="M68" i="34"/>
  <c r="F68" i="34"/>
  <c r="N56" i="34"/>
  <c r="S56" i="34" s="1"/>
  <c r="R9" i="17"/>
  <c r="T9" i="17" s="1"/>
  <c r="V9" i="17" s="1"/>
  <c r="S52" i="34"/>
  <c r="F66" i="34"/>
  <c r="N54" i="34"/>
  <c r="S54" i="34" s="1"/>
  <c r="E74" i="34"/>
  <c r="M62" i="34"/>
  <c r="F76" i="34"/>
  <c r="N64" i="34"/>
  <c r="F77" i="34"/>
  <c r="N65" i="34"/>
  <c r="S53" i="34"/>
  <c r="E76" i="34"/>
  <c r="M64" i="34"/>
  <c r="S50" i="34"/>
  <c r="E78" i="34"/>
  <c r="M66" i="34"/>
  <c r="G9" i="17"/>
  <c r="I9" i="17" s="1"/>
  <c r="K9" i="17" s="1"/>
  <c r="M50" i="38"/>
  <c r="Q50" i="38" s="1"/>
  <c r="F62" i="38"/>
  <c r="L64" i="38"/>
  <c r="E76" i="38"/>
  <c r="M51" i="38"/>
  <c r="Q51" i="38" s="1"/>
  <c r="F63" i="38"/>
  <c r="L65" i="38"/>
  <c r="E77" i="38"/>
  <c r="L63" i="38"/>
  <c r="E75" i="38"/>
  <c r="M52" i="38"/>
  <c r="Q52" i="38" s="1"/>
  <c r="F64" i="38"/>
  <c r="M53" i="38"/>
  <c r="Q53" i="38" s="1"/>
  <c r="F65" i="38"/>
  <c r="L62" i="38"/>
  <c r="E74" i="38"/>
  <c r="F3" i="74" l="1"/>
  <c r="F5" i="74"/>
  <c r="F4" i="74"/>
  <c r="H19" i="57"/>
  <c r="E21" i="74"/>
  <c r="E23" i="74" s="1"/>
  <c r="K51" i="17"/>
  <c r="D8" i="25"/>
  <c r="E8" i="74"/>
  <c r="U68" i="77"/>
  <c r="AG51" i="17"/>
  <c r="AE52" i="17"/>
  <c r="AC53" i="17"/>
  <c r="T52" i="17"/>
  <c r="U65" i="77"/>
  <c r="U66" i="77"/>
  <c r="O79" i="77"/>
  <c r="E91" i="77"/>
  <c r="U67" i="77"/>
  <c r="P80" i="77"/>
  <c r="F92" i="77"/>
  <c r="V51" i="17"/>
  <c r="O75" i="77"/>
  <c r="E87" i="77"/>
  <c r="O78" i="77"/>
  <c r="E90" i="77"/>
  <c r="P78" i="77"/>
  <c r="F90" i="77"/>
  <c r="O74" i="77"/>
  <c r="E86" i="77"/>
  <c r="O80" i="77"/>
  <c r="E92" i="77"/>
  <c r="U63" i="77"/>
  <c r="O76" i="77"/>
  <c r="E88" i="77"/>
  <c r="O77" i="77"/>
  <c r="E89" i="77"/>
  <c r="P75" i="77"/>
  <c r="F87" i="77"/>
  <c r="U62" i="77"/>
  <c r="P77" i="77"/>
  <c r="F89" i="77"/>
  <c r="U64" i="77"/>
  <c r="P79" i="77"/>
  <c r="F91" i="77"/>
  <c r="P76" i="77"/>
  <c r="F88" i="77"/>
  <c r="P74" i="77"/>
  <c r="F86" i="77"/>
  <c r="R53" i="17"/>
  <c r="U69" i="76"/>
  <c r="U62" i="76"/>
  <c r="O75" i="76"/>
  <c r="E87" i="76"/>
  <c r="O78" i="76"/>
  <c r="E90" i="76"/>
  <c r="P81" i="76"/>
  <c r="F93" i="76"/>
  <c r="U63" i="76"/>
  <c r="U66" i="76"/>
  <c r="P74" i="76"/>
  <c r="F86" i="76"/>
  <c r="O77" i="76"/>
  <c r="E89" i="76"/>
  <c r="U64" i="76"/>
  <c r="O81" i="76"/>
  <c r="E93" i="76"/>
  <c r="P80" i="76"/>
  <c r="F92" i="76"/>
  <c r="O76" i="76"/>
  <c r="E88" i="76"/>
  <c r="U65" i="76"/>
  <c r="O79" i="76"/>
  <c r="E91" i="76"/>
  <c r="P79" i="76"/>
  <c r="F91" i="76"/>
  <c r="P75" i="76"/>
  <c r="F87" i="76"/>
  <c r="O80" i="76"/>
  <c r="E92" i="76"/>
  <c r="U67" i="76"/>
  <c r="P76" i="76"/>
  <c r="F88" i="76"/>
  <c r="P77" i="76"/>
  <c r="F89" i="76"/>
  <c r="P78" i="76"/>
  <c r="F90" i="76"/>
  <c r="U68" i="76"/>
  <c r="O74" i="76"/>
  <c r="E86" i="76"/>
  <c r="AC9" i="17"/>
  <c r="AE9" i="17" s="1"/>
  <c r="AG9" i="17" s="1"/>
  <c r="G8" i="25" s="1"/>
  <c r="N71" i="75"/>
  <c r="S71" i="75" s="1"/>
  <c r="O74" i="75"/>
  <c r="N72" i="75"/>
  <c r="S72" i="75" s="1"/>
  <c r="O78" i="75"/>
  <c r="N69" i="75"/>
  <c r="S69" i="75" s="1"/>
  <c r="O79" i="75"/>
  <c r="N62" i="75"/>
  <c r="S62" i="75" s="1"/>
  <c r="O83" i="75"/>
  <c r="N66" i="75"/>
  <c r="S66" i="75" s="1"/>
  <c r="O85" i="75"/>
  <c r="O77" i="75"/>
  <c r="N64" i="75"/>
  <c r="S64" i="75" s="1"/>
  <c r="I52" i="17"/>
  <c r="N63" i="75"/>
  <c r="S63" i="75" s="1"/>
  <c r="G53" i="17"/>
  <c r="O84" i="75"/>
  <c r="N68" i="75"/>
  <c r="S68" i="75" s="1"/>
  <c r="N70" i="75"/>
  <c r="S70" i="75" s="1"/>
  <c r="O75" i="75"/>
  <c r="O80" i="75"/>
  <c r="O81" i="75"/>
  <c r="N65" i="75"/>
  <c r="S65" i="75" s="1"/>
  <c r="O76" i="75"/>
  <c r="N73" i="75"/>
  <c r="S73" i="75" s="1"/>
  <c r="N67" i="75"/>
  <c r="S67" i="75" s="1"/>
  <c r="O82" i="75"/>
  <c r="S53" i="36"/>
  <c r="S73" i="36"/>
  <c r="S51" i="36"/>
  <c r="S72" i="36"/>
  <c r="S52" i="36"/>
  <c r="N74" i="36"/>
  <c r="S69" i="36"/>
  <c r="M74" i="36"/>
  <c r="C7" i="57"/>
  <c r="D7" i="57" s="1"/>
  <c r="AG8" i="17"/>
  <c r="F8" i="25" s="1"/>
  <c r="C20" i="57"/>
  <c r="D20" i="57" s="1"/>
  <c r="S50" i="36"/>
  <c r="S67" i="36"/>
  <c r="S66" i="36"/>
  <c r="S70" i="36"/>
  <c r="S71" i="36"/>
  <c r="S68" i="36"/>
  <c r="S64" i="34"/>
  <c r="F84" i="34"/>
  <c r="N72" i="34"/>
  <c r="S72" i="34" s="1"/>
  <c r="E94" i="34"/>
  <c r="M82" i="34"/>
  <c r="F81" i="34"/>
  <c r="N69" i="34"/>
  <c r="S69" i="34" s="1"/>
  <c r="E96" i="34"/>
  <c r="M84" i="34"/>
  <c r="F82" i="34"/>
  <c r="N70" i="34"/>
  <c r="S70" i="34" s="1"/>
  <c r="E97" i="34"/>
  <c r="M85" i="34"/>
  <c r="F83" i="34"/>
  <c r="N71" i="34"/>
  <c r="S71" i="34" s="1"/>
  <c r="F85" i="34"/>
  <c r="N73" i="34"/>
  <c r="S73" i="34" s="1"/>
  <c r="E95" i="34"/>
  <c r="M83" i="34"/>
  <c r="E93" i="34"/>
  <c r="M81" i="34"/>
  <c r="F89" i="34"/>
  <c r="N77" i="34"/>
  <c r="F88" i="34"/>
  <c r="N76" i="34"/>
  <c r="F86" i="34"/>
  <c r="N74" i="34"/>
  <c r="E88" i="34"/>
  <c r="M76" i="34"/>
  <c r="E86" i="34"/>
  <c r="M74" i="34"/>
  <c r="F78" i="34"/>
  <c r="N66" i="34"/>
  <c r="S66" i="34" s="1"/>
  <c r="F87" i="34"/>
  <c r="N75" i="34"/>
  <c r="E92" i="34"/>
  <c r="M80" i="34"/>
  <c r="E89" i="34"/>
  <c r="M77" i="34"/>
  <c r="S62" i="34"/>
  <c r="S63" i="34"/>
  <c r="E87" i="34"/>
  <c r="M75" i="34"/>
  <c r="F79" i="34"/>
  <c r="N67" i="34"/>
  <c r="S67" i="34" s="1"/>
  <c r="S65" i="34"/>
  <c r="E90" i="34"/>
  <c r="M78" i="34"/>
  <c r="R10" i="17"/>
  <c r="T10" i="17" s="1"/>
  <c r="V10" i="17" s="1"/>
  <c r="F80" i="34"/>
  <c r="N68" i="34"/>
  <c r="S68" i="34" s="1"/>
  <c r="E91" i="34"/>
  <c r="M79" i="34"/>
  <c r="G10" i="17"/>
  <c r="I10" i="17" s="1"/>
  <c r="K10" i="17" s="1"/>
  <c r="M62" i="38"/>
  <c r="Q62" i="38" s="1"/>
  <c r="F74" i="38"/>
  <c r="F77" i="38"/>
  <c r="M65" i="38"/>
  <c r="Q65" i="38" s="1"/>
  <c r="E87" i="38"/>
  <c r="L75" i="38"/>
  <c r="E88" i="38"/>
  <c r="L76" i="38"/>
  <c r="E86" i="38"/>
  <c r="L74" i="38"/>
  <c r="M63" i="38"/>
  <c r="Q63" i="38" s="1"/>
  <c r="F75" i="38"/>
  <c r="E89" i="38"/>
  <c r="L77" i="38"/>
  <c r="M64" i="38"/>
  <c r="Q64" i="38" s="1"/>
  <c r="F76" i="38"/>
  <c r="G3" i="74" l="1"/>
  <c r="G4" i="74"/>
  <c r="G5" i="74"/>
  <c r="H20" i="57"/>
  <c r="F21" i="74"/>
  <c r="F23" i="74" s="1"/>
  <c r="K52" i="17"/>
  <c r="T53" i="17"/>
  <c r="AG52" i="17"/>
  <c r="AE53" i="17"/>
  <c r="V52" i="17"/>
  <c r="F8" i="74"/>
  <c r="U74" i="77"/>
  <c r="U80" i="77"/>
  <c r="O87" i="77"/>
  <c r="E99" i="77"/>
  <c r="U77" i="76"/>
  <c r="P86" i="77"/>
  <c r="F98" i="77"/>
  <c r="O89" i="77"/>
  <c r="E101" i="77"/>
  <c r="U75" i="77"/>
  <c r="P90" i="77"/>
  <c r="F102" i="77"/>
  <c r="U78" i="77"/>
  <c r="P88" i="77"/>
  <c r="F100" i="77"/>
  <c r="O86" i="77"/>
  <c r="E98" i="77"/>
  <c r="P89" i="77"/>
  <c r="F101" i="77"/>
  <c r="AC54" i="17"/>
  <c r="O88" i="77"/>
  <c r="E100" i="77"/>
  <c r="O92" i="77"/>
  <c r="E104" i="77"/>
  <c r="E116" i="77" s="1"/>
  <c r="O116" i="77" s="1"/>
  <c r="P87" i="77"/>
  <c r="F99" i="77"/>
  <c r="U77" i="77"/>
  <c r="P92" i="77"/>
  <c r="F104" i="77"/>
  <c r="F116" i="77" s="1"/>
  <c r="P116" i="77" s="1"/>
  <c r="U76" i="77"/>
  <c r="O91" i="77"/>
  <c r="E103" i="77"/>
  <c r="O90" i="77"/>
  <c r="E102" i="77"/>
  <c r="P91" i="77"/>
  <c r="F103" i="77"/>
  <c r="U79" i="77"/>
  <c r="U74" i="76"/>
  <c r="U81" i="76"/>
  <c r="R54" i="17"/>
  <c r="P91" i="76"/>
  <c r="F103" i="76"/>
  <c r="P90" i="76"/>
  <c r="F102" i="76"/>
  <c r="O91" i="76"/>
  <c r="E103" i="76"/>
  <c r="P93" i="76"/>
  <c r="F105" i="76"/>
  <c r="F117" i="76" s="1"/>
  <c r="P117" i="76" s="1"/>
  <c r="C21" i="57"/>
  <c r="P89" i="76"/>
  <c r="F101" i="76"/>
  <c r="U79" i="76"/>
  <c r="C8" i="57"/>
  <c r="D8" i="57" s="1"/>
  <c r="P88" i="76"/>
  <c r="F100" i="76"/>
  <c r="O88" i="76"/>
  <c r="E100" i="76"/>
  <c r="U78" i="76"/>
  <c r="U76" i="76"/>
  <c r="O87" i="76"/>
  <c r="E99" i="76"/>
  <c r="O90" i="76"/>
  <c r="E102" i="76"/>
  <c r="P92" i="76"/>
  <c r="F104" i="76"/>
  <c r="F116" i="76" s="1"/>
  <c r="P116" i="76" s="1"/>
  <c r="U75" i="76"/>
  <c r="O86" i="76"/>
  <c r="E98" i="76"/>
  <c r="P87" i="76"/>
  <c r="F99" i="76"/>
  <c r="O92" i="76"/>
  <c r="E104" i="76"/>
  <c r="E116" i="76" s="1"/>
  <c r="O116" i="76" s="1"/>
  <c r="O89" i="76"/>
  <c r="E101" i="76"/>
  <c r="P86" i="76"/>
  <c r="F98" i="76"/>
  <c r="U80" i="76"/>
  <c r="O93" i="76"/>
  <c r="E105" i="76"/>
  <c r="E117" i="76" s="1"/>
  <c r="O117" i="76" s="1"/>
  <c r="N74" i="75"/>
  <c r="S74" i="75" s="1"/>
  <c r="G54" i="17"/>
  <c r="N75" i="75"/>
  <c r="S75" i="75" s="1"/>
  <c r="O116" i="75"/>
  <c r="O92" i="75"/>
  <c r="O87" i="75"/>
  <c r="O89" i="75"/>
  <c r="N84" i="75"/>
  <c r="S84" i="75" s="1"/>
  <c r="I53" i="17"/>
  <c r="N77" i="75"/>
  <c r="S77" i="75" s="1"/>
  <c r="N81" i="75"/>
  <c r="S81" i="75" s="1"/>
  <c r="AC10" i="17"/>
  <c r="AE10" i="17" s="1"/>
  <c r="C22" i="57" s="1"/>
  <c r="D22" i="57" s="1"/>
  <c r="O118" i="75"/>
  <c r="O94" i="75"/>
  <c r="N82" i="75"/>
  <c r="S82" i="75" s="1"/>
  <c r="O97" i="75"/>
  <c r="O121" i="75"/>
  <c r="O86" i="75"/>
  <c r="O119" i="75"/>
  <c r="O91" i="75"/>
  <c r="N76" i="75"/>
  <c r="S76" i="75" s="1"/>
  <c r="N85" i="75"/>
  <c r="S85" i="75" s="1"/>
  <c r="O120" i="75"/>
  <c r="O96" i="75"/>
  <c r="O88" i="75"/>
  <c r="O93" i="75"/>
  <c r="O117" i="75"/>
  <c r="O90" i="75"/>
  <c r="N78" i="75"/>
  <c r="S78" i="75" s="1"/>
  <c r="N79" i="75"/>
  <c r="S79" i="75" s="1"/>
  <c r="N80" i="75"/>
  <c r="S80" i="75" s="1"/>
  <c r="N83" i="75"/>
  <c r="S83" i="75" s="1"/>
  <c r="S84" i="36"/>
  <c r="S62" i="36"/>
  <c r="S85" i="36"/>
  <c r="S80" i="36"/>
  <c r="S78" i="36"/>
  <c r="M86" i="36"/>
  <c r="S81" i="36"/>
  <c r="S64" i="36"/>
  <c r="S83" i="36"/>
  <c r="S79" i="36"/>
  <c r="S63" i="36"/>
  <c r="N86" i="36"/>
  <c r="S82" i="36"/>
  <c r="S65" i="36"/>
  <c r="E107" i="34"/>
  <c r="E119" i="34" s="1"/>
  <c r="M119" i="34" s="1"/>
  <c r="M95" i="34"/>
  <c r="E109" i="34"/>
  <c r="E121" i="34" s="1"/>
  <c r="M121" i="34" s="1"/>
  <c r="M97" i="34"/>
  <c r="S77" i="34"/>
  <c r="F93" i="34"/>
  <c r="N81" i="34"/>
  <c r="S81" i="34" s="1"/>
  <c r="F95" i="34"/>
  <c r="N83" i="34"/>
  <c r="S83" i="34" s="1"/>
  <c r="F94" i="34"/>
  <c r="N82" i="34"/>
  <c r="S82" i="34" s="1"/>
  <c r="S74" i="34"/>
  <c r="E106" i="34"/>
  <c r="E118" i="34" s="1"/>
  <c r="M118" i="34" s="1"/>
  <c r="M94" i="34"/>
  <c r="E108" i="34"/>
  <c r="E120" i="34" s="1"/>
  <c r="M120" i="34" s="1"/>
  <c r="M96" i="34"/>
  <c r="F97" i="34"/>
  <c r="N85" i="34"/>
  <c r="S85" i="34" s="1"/>
  <c r="E105" i="34"/>
  <c r="E117" i="34" s="1"/>
  <c r="M117" i="34" s="1"/>
  <c r="M93" i="34"/>
  <c r="S76" i="34"/>
  <c r="F96" i="34"/>
  <c r="N84" i="34"/>
  <c r="S84" i="34" s="1"/>
  <c r="S75" i="34"/>
  <c r="E100" i="34"/>
  <c r="M88" i="34"/>
  <c r="E104" i="34"/>
  <c r="E116" i="34" s="1"/>
  <c r="M116" i="34" s="1"/>
  <c r="M92" i="34"/>
  <c r="E102" i="34"/>
  <c r="M90" i="34"/>
  <c r="E99" i="34"/>
  <c r="M87" i="34"/>
  <c r="F98" i="34"/>
  <c r="N86" i="34"/>
  <c r="F99" i="34"/>
  <c r="N87" i="34"/>
  <c r="F90" i="34"/>
  <c r="N78" i="34"/>
  <c r="S78" i="34" s="1"/>
  <c r="E98" i="34"/>
  <c r="M86" i="34"/>
  <c r="R11" i="17"/>
  <c r="T11" i="17" s="1"/>
  <c r="V11" i="17" s="1"/>
  <c r="F100" i="34"/>
  <c r="N88" i="34"/>
  <c r="F91" i="34"/>
  <c r="N79" i="34"/>
  <c r="S79" i="34" s="1"/>
  <c r="E103" i="34"/>
  <c r="M91" i="34"/>
  <c r="F92" i="34"/>
  <c r="N80" i="34"/>
  <c r="S80" i="34" s="1"/>
  <c r="E101" i="34"/>
  <c r="M89" i="34"/>
  <c r="F101" i="34"/>
  <c r="N89" i="34"/>
  <c r="L86" i="38"/>
  <c r="E98" i="38"/>
  <c r="E100" i="38"/>
  <c r="L88" i="38"/>
  <c r="M76" i="38"/>
  <c r="Q76" i="38" s="1"/>
  <c r="F88" i="38"/>
  <c r="G11" i="17"/>
  <c r="I11" i="17" s="1"/>
  <c r="K11" i="17" s="1"/>
  <c r="M74" i="38"/>
  <c r="Q74" i="38" s="1"/>
  <c r="F86" i="38"/>
  <c r="F87" i="38"/>
  <c r="M75" i="38"/>
  <c r="Q75" i="38" s="1"/>
  <c r="E99" i="38"/>
  <c r="L87" i="38"/>
  <c r="F89" i="38"/>
  <c r="M77" i="38"/>
  <c r="Q77" i="38" s="1"/>
  <c r="E101" i="38"/>
  <c r="L89" i="38"/>
  <c r="H3" i="74" l="1"/>
  <c r="H5" i="74"/>
  <c r="H22" i="57"/>
  <c r="H21" i="74"/>
  <c r="H23" i="74" s="1"/>
  <c r="V53" i="17"/>
  <c r="H4" i="74"/>
  <c r="U116" i="77"/>
  <c r="K53" i="17"/>
  <c r="U116" i="76"/>
  <c r="U117" i="76"/>
  <c r="AG53" i="17"/>
  <c r="U93" i="76"/>
  <c r="U86" i="76"/>
  <c r="D21" i="57"/>
  <c r="U91" i="76"/>
  <c r="AC55" i="17"/>
  <c r="U89" i="77"/>
  <c r="U86" i="77"/>
  <c r="P104" i="77"/>
  <c r="O100" i="77"/>
  <c r="E112" i="77"/>
  <c r="F115" i="77"/>
  <c r="P103" i="77"/>
  <c r="U88" i="77"/>
  <c r="E113" i="77"/>
  <c r="O101" i="77"/>
  <c r="AE54" i="17"/>
  <c r="P99" i="77"/>
  <c r="F111" i="77"/>
  <c r="P101" i="77"/>
  <c r="F113" i="77"/>
  <c r="P100" i="77"/>
  <c r="F112" i="77"/>
  <c r="O104" i="77"/>
  <c r="U92" i="77"/>
  <c r="O102" i="77"/>
  <c r="E114" i="77"/>
  <c r="U90" i="77"/>
  <c r="E115" i="77"/>
  <c r="O103" i="77"/>
  <c r="E111" i="77"/>
  <c r="O99" i="77"/>
  <c r="P102" i="77"/>
  <c r="F114" i="77"/>
  <c r="F110" i="77"/>
  <c r="P98" i="77"/>
  <c r="U91" i="77"/>
  <c r="E110" i="77"/>
  <c r="O98" i="77"/>
  <c r="U87" i="77"/>
  <c r="U90" i="76"/>
  <c r="T54" i="17"/>
  <c r="R55" i="17"/>
  <c r="O105" i="76"/>
  <c r="O99" i="76"/>
  <c r="E111" i="76"/>
  <c r="O103" i="76"/>
  <c r="E115" i="76"/>
  <c r="U87" i="76"/>
  <c r="U92" i="76"/>
  <c r="P98" i="76"/>
  <c r="F110" i="76"/>
  <c r="E114" i="76"/>
  <c r="O102" i="76"/>
  <c r="O104" i="76"/>
  <c r="P103" i="76"/>
  <c r="F115" i="76"/>
  <c r="P104" i="76"/>
  <c r="O100" i="76"/>
  <c r="E112" i="76"/>
  <c r="O101" i="76"/>
  <c r="E113" i="76"/>
  <c r="U89" i="76"/>
  <c r="U88" i="76"/>
  <c r="O98" i="76"/>
  <c r="E110" i="76"/>
  <c r="P101" i="76"/>
  <c r="F113" i="76"/>
  <c r="P105" i="76"/>
  <c r="P102" i="76"/>
  <c r="F114" i="76"/>
  <c r="P99" i="76"/>
  <c r="F111" i="76"/>
  <c r="P100" i="76"/>
  <c r="F112" i="76"/>
  <c r="N96" i="75"/>
  <c r="S96" i="75" s="1"/>
  <c r="N120" i="75"/>
  <c r="S120" i="75" s="1"/>
  <c r="O104" i="75"/>
  <c r="O108" i="75"/>
  <c r="O106" i="75"/>
  <c r="O100" i="75"/>
  <c r="N87" i="75"/>
  <c r="S87" i="75" s="1"/>
  <c r="O107" i="75"/>
  <c r="O98" i="75"/>
  <c r="O101" i="75"/>
  <c r="AG10" i="17"/>
  <c r="H8" i="25" s="1"/>
  <c r="N95" i="75"/>
  <c r="S95" i="75" s="1"/>
  <c r="N119" i="75"/>
  <c r="S119" i="75" s="1"/>
  <c r="N121" i="75"/>
  <c r="S121" i="75" s="1"/>
  <c r="N97" i="75"/>
  <c r="S97" i="75" s="1"/>
  <c r="N117" i="75"/>
  <c r="S117" i="75" s="1"/>
  <c r="N93" i="75"/>
  <c r="S93" i="75" s="1"/>
  <c r="N90" i="75"/>
  <c r="S90" i="75" s="1"/>
  <c r="O105" i="75"/>
  <c r="C9" i="57"/>
  <c r="D9" i="57" s="1"/>
  <c r="N116" i="75"/>
  <c r="S116" i="75" s="1"/>
  <c r="N92" i="75"/>
  <c r="S92" i="75" s="1"/>
  <c r="I54" i="17"/>
  <c r="O109" i="75"/>
  <c r="O99" i="75"/>
  <c r="N88" i="75"/>
  <c r="S88" i="75" s="1"/>
  <c r="N89" i="75"/>
  <c r="S89" i="75" s="1"/>
  <c r="N86" i="75"/>
  <c r="S86" i="75" s="1"/>
  <c r="O102" i="75"/>
  <c r="N118" i="75"/>
  <c r="S118" i="75" s="1"/>
  <c r="N94" i="75"/>
  <c r="S94" i="75" s="1"/>
  <c r="N91" i="75"/>
  <c r="S91" i="75" s="1"/>
  <c r="O103" i="75"/>
  <c r="G55" i="17"/>
  <c r="S97" i="36"/>
  <c r="S121" i="36"/>
  <c r="S96" i="36"/>
  <c r="S120" i="36"/>
  <c r="S77" i="36"/>
  <c r="AC11" i="17"/>
  <c r="AE11" i="17" s="1"/>
  <c r="C10" i="57" s="1"/>
  <c r="D10" i="57" s="1"/>
  <c r="S76" i="36"/>
  <c r="S95" i="36"/>
  <c r="S119" i="36"/>
  <c r="M98" i="36"/>
  <c r="N98" i="36"/>
  <c r="S74" i="36"/>
  <c r="S90" i="36"/>
  <c r="S93" i="36"/>
  <c r="S117" i="36"/>
  <c r="S94" i="36"/>
  <c r="S118" i="36"/>
  <c r="S75" i="36"/>
  <c r="S92" i="36"/>
  <c r="S116" i="36"/>
  <c r="S91" i="36"/>
  <c r="S115" i="36"/>
  <c r="F105" i="34"/>
  <c r="F117" i="34" s="1"/>
  <c r="N117" i="34" s="1"/>
  <c r="S117" i="34" s="1"/>
  <c r="N93" i="34"/>
  <c r="S93" i="34" s="1"/>
  <c r="F109" i="34"/>
  <c r="F121" i="34" s="1"/>
  <c r="N121" i="34" s="1"/>
  <c r="S121" i="34" s="1"/>
  <c r="N97" i="34"/>
  <c r="S97" i="34" s="1"/>
  <c r="F106" i="34"/>
  <c r="F118" i="34" s="1"/>
  <c r="N118" i="34" s="1"/>
  <c r="S118" i="34" s="1"/>
  <c r="N94" i="34"/>
  <c r="S94" i="34" s="1"/>
  <c r="M105" i="34"/>
  <c r="M109" i="34"/>
  <c r="F108" i="34"/>
  <c r="F120" i="34" s="1"/>
  <c r="N120" i="34" s="1"/>
  <c r="S120" i="34" s="1"/>
  <c r="N96" i="34"/>
  <c r="S96" i="34" s="1"/>
  <c r="M108" i="34"/>
  <c r="F107" i="34"/>
  <c r="F119" i="34" s="1"/>
  <c r="N119" i="34" s="1"/>
  <c r="S119" i="34" s="1"/>
  <c r="N95" i="34"/>
  <c r="S95" i="34" s="1"/>
  <c r="M107" i="34"/>
  <c r="M106" i="34"/>
  <c r="R12" i="17"/>
  <c r="T12" i="17" s="1"/>
  <c r="V12" i="17" s="1"/>
  <c r="S89" i="34"/>
  <c r="S87" i="34"/>
  <c r="F102" i="34"/>
  <c r="N90" i="34"/>
  <c r="S90" i="34" s="1"/>
  <c r="F104" i="34"/>
  <c r="F116" i="34" s="1"/>
  <c r="N116" i="34" s="1"/>
  <c r="S116" i="34" s="1"/>
  <c r="N92" i="34"/>
  <c r="S92" i="34" s="1"/>
  <c r="F112" i="34"/>
  <c r="N100" i="34"/>
  <c r="F110" i="34"/>
  <c r="N98" i="34"/>
  <c r="M104" i="34"/>
  <c r="F111" i="34"/>
  <c r="N99" i="34"/>
  <c r="E115" i="34"/>
  <c r="M103" i="34"/>
  <c r="S86" i="34"/>
  <c r="S88" i="34"/>
  <c r="E113" i="34"/>
  <c r="M101" i="34"/>
  <c r="E114" i="34"/>
  <c r="M102" i="34"/>
  <c r="E110" i="34"/>
  <c r="M98" i="34"/>
  <c r="E112" i="34"/>
  <c r="M100" i="34"/>
  <c r="E111" i="34"/>
  <c r="M99" i="34"/>
  <c r="F103" i="34"/>
  <c r="N91" i="34"/>
  <c r="S91" i="34" s="1"/>
  <c r="F113" i="34"/>
  <c r="N101" i="34"/>
  <c r="G12" i="17"/>
  <c r="I12" i="17" s="1"/>
  <c r="K12" i="17" s="1"/>
  <c r="L101" i="38"/>
  <c r="E113" i="38"/>
  <c r="M89" i="38"/>
  <c r="Q89" i="38" s="1"/>
  <c r="F101" i="38"/>
  <c r="E110" i="38"/>
  <c r="L98" i="38"/>
  <c r="M88" i="38"/>
  <c r="Q88" i="38" s="1"/>
  <c r="F100" i="38"/>
  <c r="E111" i="38"/>
  <c r="L99" i="38"/>
  <c r="M87" i="38"/>
  <c r="Q87" i="38" s="1"/>
  <c r="F99" i="38"/>
  <c r="F98" i="38"/>
  <c r="M86" i="38"/>
  <c r="Q86" i="38" s="1"/>
  <c r="L100" i="38"/>
  <c r="E112" i="38"/>
  <c r="I3" i="74" l="1"/>
  <c r="I5" i="74"/>
  <c r="I4" i="74"/>
  <c r="H21" i="57"/>
  <c r="G21" i="74"/>
  <c r="G23" i="74" s="1"/>
  <c r="K54" i="17"/>
  <c r="G8" i="74"/>
  <c r="T55" i="17"/>
  <c r="V54" i="17"/>
  <c r="U101" i="77"/>
  <c r="U102" i="77"/>
  <c r="AE55" i="17"/>
  <c r="U103" i="77"/>
  <c r="AC56" i="17"/>
  <c r="U104" i="77"/>
  <c r="U98" i="77"/>
  <c r="U99" i="77"/>
  <c r="O111" i="77"/>
  <c r="E123" i="77"/>
  <c r="O115" i="77"/>
  <c r="E127" i="77"/>
  <c r="O114" i="77"/>
  <c r="E126" i="77"/>
  <c r="E128" i="77"/>
  <c r="P111" i="77"/>
  <c r="F123" i="77"/>
  <c r="AG54" i="17"/>
  <c r="O113" i="77"/>
  <c r="E125" i="77"/>
  <c r="P115" i="77"/>
  <c r="F127" i="77"/>
  <c r="O112" i="77"/>
  <c r="E124" i="77"/>
  <c r="R56" i="17"/>
  <c r="U100" i="77"/>
  <c r="O110" i="77"/>
  <c r="E122" i="77"/>
  <c r="F128" i="77"/>
  <c r="H8" i="74"/>
  <c r="P110" i="77"/>
  <c r="F122" i="77"/>
  <c r="P113" i="77"/>
  <c r="F125" i="77"/>
  <c r="P114" i="77"/>
  <c r="F126" i="77"/>
  <c r="P112" i="77"/>
  <c r="F124" i="77"/>
  <c r="U101" i="76"/>
  <c r="U103" i="76"/>
  <c r="P114" i="76"/>
  <c r="F126" i="76"/>
  <c r="F128" i="76"/>
  <c r="O115" i="76"/>
  <c r="E127" i="76"/>
  <c r="P110" i="76"/>
  <c r="F122" i="76"/>
  <c r="F129" i="76"/>
  <c r="P115" i="76"/>
  <c r="F127" i="76"/>
  <c r="U99" i="76"/>
  <c r="U100" i="76"/>
  <c r="O111" i="76"/>
  <c r="E123" i="76"/>
  <c r="P113" i="76"/>
  <c r="F125" i="76"/>
  <c r="E129" i="76"/>
  <c r="O113" i="76"/>
  <c r="E125" i="76"/>
  <c r="E128" i="76"/>
  <c r="U105" i="76"/>
  <c r="O114" i="76"/>
  <c r="E126" i="76"/>
  <c r="P112" i="76"/>
  <c r="F124" i="76"/>
  <c r="O112" i="76"/>
  <c r="E124" i="76"/>
  <c r="O110" i="76"/>
  <c r="E122" i="76"/>
  <c r="U104" i="76"/>
  <c r="P111" i="76"/>
  <c r="F123" i="76"/>
  <c r="U98" i="76"/>
  <c r="U102" i="76"/>
  <c r="N106" i="75"/>
  <c r="S106" i="75" s="1"/>
  <c r="N98" i="75"/>
  <c r="S98" i="75" s="1"/>
  <c r="O112" i="75"/>
  <c r="F124" i="75"/>
  <c r="I55" i="17"/>
  <c r="N109" i="75"/>
  <c r="S109" i="75" s="1"/>
  <c r="F132" i="75"/>
  <c r="O110" i="75"/>
  <c r="F122" i="75"/>
  <c r="O122" i="75" s="1"/>
  <c r="O114" i="75"/>
  <c r="F126" i="75"/>
  <c r="N100" i="75"/>
  <c r="S100" i="75" s="1"/>
  <c r="O111" i="75"/>
  <c r="F123" i="75"/>
  <c r="N107" i="75"/>
  <c r="S107" i="75" s="1"/>
  <c r="G56" i="17"/>
  <c r="N99" i="75"/>
  <c r="S99" i="75" s="1"/>
  <c r="F128" i="75"/>
  <c r="F131" i="75"/>
  <c r="O115" i="75"/>
  <c r="F127" i="75"/>
  <c r="F133" i="75"/>
  <c r="N101" i="75"/>
  <c r="S101" i="75" s="1"/>
  <c r="AC12" i="17"/>
  <c r="AE12" i="17" s="1"/>
  <c r="AG12" i="17" s="1"/>
  <c r="N108" i="75"/>
  <c r="S108" i="75" s="1"/>
  <c r="N104" i="75"/>
  <c r="S104" i="75" s="1"/>
  <c r="F129" i="75"/>
  <c r="N102" i="75"/>
  <c r="S102" i="75" s="1"/>
  <c r="N105" i="75"/>
  <c r="S105" i="75" s="1"/>
  <c r="F130" i="75"/>
  <c r="N103" i="75"/>
  <c r="S103" i="75" s="1"/>
  <c r="O113" i="75"/>
  <c r="F125" i="75"/>
  <c r="AG11" i="17"/>
  <c r="I8" i="25" s="1"/>
  <c r="S108" i="36"/>
  <c r="S87" i="36"/>
  <c r="S109" i="36"/>
  <c r="S88" i="36"/>
  <c r="C23" i="57"/>
  <c r="S86" i="36"/>
  <c r="S106" i="36"/>
  <c r="S103" i="36"/>
  <c r="S105" i="36"/>
  <c r="S89" i="36"/>
  <c r="S102" i="36"/>
  <c r="S107" i="36"/>
  <c r="S104" i="36"/>
  <c r="N110" i="36"/>
  <c r="M110" i="36"/>
  <c r="S100" i="34"/>
  <c r="E129" i="34"/>
  <c r="N106" i="34"/>
  <c r="S106" i="34" s="1"/>
  <c r="E131" i="34"/>
  <c r="E132" i="34"/>
  <c r="N108" i="34"/>
  <c r="S108" i="34" s="1"/>
  <c r="N109" i="34"/>
  <c r="S109" i="34" s="1"/>
  <c r="E133" i="34"/>
  <c r="N107" i="34"/>
  <c r="S107" i="34" s="1"/>
  <c r="E130" i="34"/>
  <c r="N105" i="34"/>
  <c r="S105" i="34" s="1"/>
  <c r="E122" i="34"/>
  <c r="M110" i="34"/>
  <c r="F115" i="34"/>
  <c r="N103" i="34"/>
  <c r="S103" i="34" s="1"/>
  <c r="S98" i="34"/>
  <c r="E126" i="34"/>
  <c r="M114" i="34"/>
  <c r="F124" i="34"/>
  <c r="N112" i="34"/>
  <c r="S101" i="34"/>
  <c r="E127" i="34"/>
  <c r="M115" i="34"/>
  <c r="E125" i="34"/>
  <c r="M113" i="34"/>
  <c r="N104" i="34"/>
  <c r="S104" i="34" s="1"/>
  <c r="F123" i="34"/>
  <c r="N111" i="34"/>
  <c r="E123" i="34"/>
  <c r="M111" i="34"/>
  <c r="S99" i="34"/>
  <c r="E128" i="34"/>
  <c r="E124" i="34"/>
  <c r="M112" i="34"/>
  <c r="N110" i="34"/>
  <c r="F122" i="34"/>
  <c r="R13" i="17"/>
  <c r="T13" i="17" s="1"/>
  <c r="V13" i="17" s="1"/>
  <c r="F114" i="34"/>
  <c r="N102" i="34"/>
  <c r="S102" i="34" s="1"/>
  <c r="N113" i="34"/>
  <c r="F125" i="34"/>
  <c r="L111" i="38"/>
  <c r="E123" i="38"/>
  <c r="F112" i="38"/>
  <c r="M100" i="38"/>
  <c r="Q100" i="38" s="1"/>
  <c r="L110" i="38"/>
  <c r="E122" i="38"/>
  <c r="L112" i="38"/>
  <c r="E124" i="38"/>
  <c r="F113" i="38"/>
  <c r="M101" i="38"/>
  <c r="Q101" i="38" s="1"/>
  <c r="L113" i="38"/>
  <c r="E125" i="38"/>
  <c r="F110" i="38"/>
  <c r="M98" i="38"/>
  <c r="Q98" i="38" s="1"/>
  <c r="G13" i="17"/>
  <c r="I13" i="17" s="1"/>
  <c r="K13" i="17" s="1"/>
  <c r="F111" i="38"/>
  <c r="M99" i="38"/>
  <c r="Q99" i="38" s="1"/>
  <c r="J3" i="74" l="1"/>
  <c r="J5" i="74"/>
  <c r="V55" i="17"/>
  <c r="J4" i="74"/>
  <c r="K55" i="17"/>
  <c r="S4" i="25"/>
  <c r="S9" i="25" s="1"/>
  <c r="J8" i="25"/>
  <c r="D23" i="57"/>
  <c r="I21" i="74" s="1"/>
  <c r="I23" i="74" s="1"/>
  <c r="AE56" i="17"/>
  <c r="AG55" i="17"/>
  <c r="T56" i="17"/>
  <c r="U115" i="77"/>
  <c r="AC57" i="17"/>
  <c r="F135" i="77"/>
  <c r="P135" i="77" s="1"/>
  <c r="P123" i="77"/>
  <c r="O128" i="77"/>
  <c r="E140" i="77"/>
  <c r="O140" i="77" s="1"/>
  <c r="U110" i="77"/>
  <c r="O126" i="77"/>
  <c r="E138" i="77"/>
  <c r="O138" i="77" s="1"/>
  <c r="O122" i="77"/>
  <c r="E134" i="77"/>
  <c r="O134" i="77" s="1"/>
  <c r="P124" i="77"/>
  <c r="F136" i="77"/>
  <c r="P136" i="77" s="1"/>
  <c r="U114" i="77"/>
  <c r="U113" i="77"/>
  <c r="O123" i="77"/>
  <c r="E135" i="77"/>
  <c r="O135" i="77" s="1"/>
  <c r="S101" i="36"/>
  <c r="U113" i="76"/>
  <c r="P126" i="77"/>
  <c r="F138" i="77"/>
  <c r="P138" i="77" s="1"/>
  <c r="P127" i="77"/>
  <c r="F139" i="77"/>
  <c r="P139" i="77" s="1"/>
  <c r="U111" i="77"/>
  <c r="E137" i="77"/>
  <c r="O137" i="77" s="1"/>
  <c r="O125" i="77"/>
  <c r="E136" i="77"/>
  <c r="O136" i="77" s="1"/>
  <c r="O124" i="77"/>
  <c r="U112" i="77"/>
  <c r="F134" i="77"/>
  <c r="P134" i="77" s="1"/>
  <c r="P122" i="77"/>
  <c r="F140" i="77"/>
  <c r="P140" i="77" s="1"/>
  <c r="P128" i="77"/>
  <c r="O127" i="77"/>
  <c r="E139" i="77"/>
  <c r="O139" i="77" s="1"/>
  <c r="F137" i="77"/>
  <c r="P137" i="77" s="1"/>
  <c r="P125" i="77"/>
  <c r="U114" i="76"/>
  <c r="U112" i="76"/>
  <c r="F141" i="76"/>
  <c r="P141" i="76" s="1"/>
  <c r="P129" i="76"/>
  <c r="O129" i="76"/>
  <c r="E141" i="76"/>
  <c r="O141" i="76" s="1"/>
  <c r="F140" i="76"/>
  <c r="P140" i="76" s="1"/>
  <c r="P128" i="76"/>
  <c r="O126" i="76"/>
  <c r="E138" i="76"/>
  <c r="O138" i="76" s="1"/>
  <c r="E134" i="76"/>
  <c r="O134" i="76" s="1"/>
  <c r="O122" i="76"/>
  <c r="U110" i="76"/>
  <c r="P127" i="76"/>
  <c r="F139" i="76"/>
  <c r="P139" i="76" s="1"/>
  <c r="O125" i="76"/>
  <c r="E137" i="76"/>
  <c r="O137" i="76" s="1"/>
  <c r="P126" i="76"/>
  <c r="F138" i="76"/>
  <c r="P138" i="76" s="1"/>
  <c r="E136" i="76"/>
  <c r="O136" i="76" s="1"/>
  <c r="O124" i="76"/>
  <c r="E135" i="76"/>
  <c r="O135" i="76" s="1"/>
  <c r="O123" i="76"/>
  <c r="F135" i="76"/>
  <c r="P135" i="76" s="1"/>
  <c r="P123" i="76"/>
  <c r="U111" i="76"/>
  <c r="R57" i="17"/>
  <c r="U115" i="76"/>
  <c r="F137" i="76"/>
  <c r="P137" i="76" s="1"/>
  <c r="P125" i="76"/>
  <c r="P124" i="76"/>
  <c r="F136" i="76"/>
  <c r="P136" i="76" s="1"/>
  <c r="P122" i="76"/>
  <c r="F134" i="76"/>
  <c r="P134" i="76" s="1"/>
  <c r="E140" i="76"/>
  <c r="O140" i="76" s="1"/>
  <c r="O128" i="76"/>
  <c r="E139" i="76"/>
  <c r="O139" i="76" s="1"/>
  <c r="O127" i="76"/>
  <c r="C24" i="57"/>
  <c r="D24" i="57" s="1"/>
  <c r="C11" i="57"/>
  <c r="D11" i="57" s="1"/>
  <c r="O130" i="75"/>
  <c r="F142" i="75"/>
  <c r="O142" i="75" s="1"/>
  <c r="F143" i="75"/>
  <c r="O143" i="75" s="1"/>
  <c r="O131" i="75"/>
  <c r="F140" i="75"/>
  <c r="O140" i="75" s="1"/>
  <c r="O128" i="75"/>
  <c r="N111" i="75"/>
  <c r="S111" i="75" s="1"/>
  <c r="E123" i="75"/>
  <c r="E132" i="75"/>
  <c r="E131" i="75"/>
  <c r="F136" i="75"/>
  <c r="O136" i="75" s="1"/>
  <c r="O124" i="75"/>
  <c r="F134" i="75"/>
  <c r="O134" i="75" s="1"/>
  <c r="F141" i="75"/>
  <c r="O141" i="75" s="1"/>
  <c r="O129" i="75"/>
  <c r="E133" i="75"/>
  <c r="F135" i="75"/>
  <c r="O135" i="75" s="1"/>
  <c r="O123" i="75"/>
  <c r="G57" i="17"/>
  <c r="N114" i="75"/>
  <c r="S114" i="75" s="1"/>
  <c r="E126" i="75"/>
  <c r="I56" i="17"/>
  <c r="F137" i="75"/>
  <c r="O137" i="75" s="1"/>
  <c r="O125" i="75"/>
  <c r="N113" i="75"/>
  <c r="S113" i="75" s="1"/>
  <c r="E125" i="75"/>
  <c r="N110" i="75"/>
  <c r="S110" i="75" s="1"/>
  <c r="E122" i="75"/>
  <c r="N122" i="75" s="1"/>
  <c r="O126" i="75"/>
  <c r="F138" i="75"/>
  <c r="O138" i="75" s="1"/>
  <c r="E129" i="75"/>
  <c r="N115" i="75"/>
  <c r="S115" i="75" s="1"/>
  <c r="E127" i="75"/>
  <c r="O133" i="75"/>
  <c r="F145" i="75"/>
  <c r="O145" i="75" s="1"/>
  <c r="E130" i="75"/>
  <c r="F139" i="75"/>
  <c r="O139" i="75" s="1"/>
  <c r="O127" i="75"/>
  <c r="F144" i="75"/>
  <c r="O144" i="75" s="1"/>
  <c r="O132" i="75"/>
  <c r="E128" i="75"/>
  <c r="N112" i="75"/>
  <c r="S112" i="75" s="1"/>
  <c r="E124" i="75"/>
  <c r="S98" i="36"/>
  <c r="AC13" i="17"/>
  <c r="AE13" i="17" s="1"/>
  <c r="AG13" i="17" s="1"/>
  <c r="S100" i="36"/>
  <c r="S111" i="34"/>
  <c r="N122" i="36"/>
  <c r="S99" i="36"/>
  <c r="S114" i="36"/>
  <c r="M122" i="36"/>
  <c r="E145" i="34"/>
  <c r="M145" i="34" s="1"/>
  <c r="M133" i="34"/>
  <c r="F132" i="34"/>
  <c r="E143" i="34"/>
  <c r="M143" i="34" s="1"/>
  <c r="M131" i="34"/>
  <c r="F133" i="34"/>
  <c r="E142" i="34"/>
  <c r="M142" i="34" s="1"/>
  <c r="M130" i="34"/>
  <c r="F130" i="34"/>
  <c r="E144" i="34"/>
  <c r="M144" i="34" s="1"/>
  <c r="M132" i="34"/>
  <c r="F131" i="34"/>
  <c r="F129" i="34"/>
  <c r="E141" i="34"/>
  <c r="M141" i="34" s="1"/>
  <c r="M129" i="34"/>
  <c r="S113" i="34"/>
  <c r="E137" i="34"/>
  <c r="M137" i="34" s="1"/>
  <c r="M125" i="34"/>
  <c r="E139" i="34"/>
  <c r="M139" i="34" s="1"/>
  <c r="M127" i="34"/>
  <c r="R14" i="17"/>
  <c r="T14" i="17" s="1"/>
  <c r="V14" i="17" s="1"/>
  <c r="E138" i="34"/>
  <c r="M138" i="34" s="1"/>
  <c r="M126" i="34"/>
  <c r="N122" i="34"/>
  <c r="F134" i="34"/>
  <c r="N134" i="34" s="1"/>
  <c r="F136" i="34"/>
  <c r="N136" i="34" s="1"/>
  <c r="N124" i="34"/>
  <c r="E140" i="34"/>
  <c r="M140" i="34" s="1"/>
  <c r="M128" i="34"/>
  <c r="E135" i="34"/>
  <c r="M135" i="34" s="1"/>
  <c r="M123" i="34"/>
  <c r="F127" i="34"/>
  <c r="N115" i="34"/>
  <c r="S115" i="34" s="1"/>
  <c r="S112" i="34"/>
  <c r="N123" i="34"/>
  <c r="F135" i="34"/>
  <c r="N135" i="34" s="1"/>
  <c r="N114" i="34"/>
  <c r="S114" i="34" s="1"/>
  <c r="F126" i="34"/>
  <c r="F137" i="34"/>
  <c r="N137" i="34" s="1"/>
  <c r="N125" i="34"/>
  <c r="S110" i="34"/>
  <c r="E136" i="34"/>
  <c r="M136" i="34" s="1"/>
  <c r="M124" i="34"/>
  <c r="F128" i="34"/>
  <c r="E134" i="34"/>
  <c r="M134" i="34" s="1"/>
  <c r="M122" i="34"/>
  <c r="G14" i="17"/>
  <c r="I14" i="17" s="1"/>
  <c r="K14" i="17" s="1"/>
  <c r="M112" i="38"/>
  <c r="Q112" i="38" s="1"/>
  <c r="F124" i="38"/>
  <c r="E137" i="38"/>
  <c r="L137" i="38" s="1"/>
  <c r="L125" i="38"/>
  <c r="E135" i="38"/>
  <c r="L135" i="38" s="1"/>
  <c r="L123" i="38"/>
  <c r="M113" i="38"/>
  <c r="Q113" i="38" s="1"/>
  <c r="F125" i="38"/>
  <c r="L122" i="38"/>
  <c r="E134" i="38"/>
  <c r="L134" i="38" s="1"/>
  <c r="L124" i="38"/>
  <c r="E136" i="38"/>
  <c r="L136" i="38" s="1"/>
  <c r="M111" i="38"/>
  <c r="Q111" i="38" s="1"/>
  <c r="F123" i="38"/>
  <c r="M110" i="38"/>
  <c r="Q110" i="38" s="1"/>
  <c r="F122" i="38"/>
  <c r="K3" i="74" l="1"/>
  <c r="K5" i="74"/>
  <c r="K4" i="74"/>
  <c r="R58" i="17"/>
  <c r="AC58" i="17"/>
  <c r="G58" i="17"/>
  <c r="H24" i="57"/>
  <c r="J21" i="74"/>
  <c r="K56" i="17"/>
  <c r="T4" i="25"/>
  <c r="T9" i="25" s="1"/>
  <c r="K8" i="25"/>
  <c r="H23" i="57"/>
  <c r="R15" i="17"/>
  <c r="T15" i="17" s="1"/>
  <c r="V15" i="17" s="1"/>
  <c r="G15" i="17"/>
  <c r="I15" i="17" s="1"/>
  <c r="K15" i="17" s="1"/>
  <c r="AG56" i="17"/>
  <c r="V56" i="17"/>
  <c r="AE57" i="17"/>
  <c r="I8" i="74"/>
  <c r="U122" i="76"/>
  <c r="U138" i="76"/>
  <c r="U122" i="77"/>
  <c r="U126" i="76"/>
  <c r="U126" i="77"/>
  <c r="U136" i="77"/>
  <c r="U123" i="77"/>
  <c r="U134" i="76"/>
  <c r="U137" i="77"/>
  <c r="U138" i="77"/>
  <c r="U134" i="77"/>
  <c r="U125" i="77"/>
  <c r="U128" i="76"/>
  <c r="U139" i="77"/>
  <c r="U127" i="77"/>
  <c r="U140" i="77"/>
  <c r="U135" i="77"/>
  <c r="U128" i="77"/>
  <c r="U124" i="77"/>
  <c r="U141" i="76"/>
  <c r="U135" i="76"/>
  <c r="U125" i="76"/>
  <c r="U136" i="76"/>
  <c r="U129" i="76"/>
  <c r="U140" i="76"/>
  <c r="U137" i="76"/>
  <c r="U139" i="76"/>
  <c r="T57" i="17"/>
  <c r="U127" i="76"/>
  <c r="U124" i="76"/>
  <c r="U123" i="76"/>
  <c r="N127" i="75"/>
  <c r="S127" i="75" s="1"/>
  <c r="E139" i="75"/>
  <c r="N139" i="75" s="1"/>
  <c r="S139" i="75" s="1"/>
  <c r="E135" i="75"/>
  <c r="N135" i="75" s="1"/>
  <c r="S135" i="75" s="1"/>
  <c r="N123" i="75"/>
  <c r="S123" i="75" s="1"/>
  <c r="E140" i="75"/>
  <c r="N140" i="75" s="1"/>
  <c r="S140" i="75" s="1"/>
  <c r="N128" i="75"/>
  <c r="S128" i="75" s="1"/>
  <c r="E141" i="75"/>
  <c r="N141" i="75" s="1"/>
  <c r="S141" i="75" s="1"/>
  <c r="N129" i="75"/>
  <c r="S129" i="75" s="1"/>
  <c r="N131" i="75"/>
  <c r="S131" i="75" s="1"/>
  <c r="E143" i="75"/>
  <c r="N143" i="75" s="1"/>
  <c r="S143" i="75" s="1"/>
  <c r="C12" i="57"/>
  <c r="D12" i="57" s="1"/>
  <c r="N126" i="75"/>
  <c r="S126" i="75" s="1"/>
  <c r="E138" i="75"/>
  <c r="N138" i="75" s="1"/>
  <c r="S138" i="75" s="1"/>
  <c r="I57" i="17"/>
  <c r="C25" i="57"/>
  <c r="D25" i="57" s="1"/>
  <c r="N133" i="75"/>
  <c r="S133" i="75" s="1"/>
  <c r="E145" i="75"/>
  <c r="N145" i="75" s="1"/>
  <c r="S145" i="75" s="1"/>
  <c r="S122" i="75"/>
  <c r="E134" i="75"/>
  <c r="N134" i="75" s="1"/>
  <c r="S134" i="75" s="1"/>
  <c r="E137" i="75"/>
  <c r="N137" i="75" s="1"/>
  <c r="S137" i="75" s="1"/>
  <c r="N125" i="75"/>
  <c r="S125" i="75" s="1"/>
  <c r="E142" i="75"/>
  <c r="N142" i="75" s="1"/>
  <c r="S142" i="75" s="1"/>
  <c r="N130" i="75"/>
  <c r="S130" i="75" s="1"/>
  <c r="N132" i="75"/>
  <c r="S132" i="75" s="1"/>
  <c r="E144" i="75"/>
  <c r="N144" i="75" s="1"/>
  <c r="S144" i="75" s="1"/>
  <c r="N124" i="75"/>
  <c r="S124" i="75" s="1"/>
  <c r="E136" i="75"/>
  <c r="N136" i="75" s="1"/>
  <c r="S136" i="75" s="1"/>
  <c r="S112" i="36"/>
  <c r="S124" i="34"/>
  <c r="S136" i="34"/>
  <c r="AC14" i="17"/>
  <c r="AE14" i="17" s="1"/>
  <c r="C26" i="57" s="1"/>
  <c r="D26" i="57" s="1"/>
  <c r="S133" i="36"/>
  <c r="S145" i="36"/>
  <c r="S111" i="36"/>
  <c r="S132" i="36"/>
  <c r="S144" i="36"/>
  <c r="S113" i="36"/>
  <c r="S110" i="36"/>
  <c r="S126" i="36"/>
  <c r="S138" i="36"/>
  <c r="S127" i="36"/>
  <c r="S139" i="36"/>
  <c r="M134" i="36"/>
  <c r="S131" i="36"/>
  <c r="S143" i="36"/>
  <c r="S130" i="36"/>
  <c r="S142" i="36"/>
  <c r="S129" i="36"/>
  <c r="S141" i="36"/>
  <c r="S128" i="36"/>
  <c r="S140" i="36"/>
  <c r="N134" i="36"/>
  <c r="F141" i="34"/>
  <c r="N141" i="34" s="1"/>
  <c r="S141" i="34" s="1"/>
  <c r="N129" i="34"/>
  <c r="S129" i="34" s="1"/>
  <c r="S135" i="34"/>
  <c r="N132" i="34"/>
  <c r="S132" i="34" s="1"/>
  <c r="F144" i="34"/>
  <c r="N144" i="34" s="1"/>
  <c r="S144" i="34" s="1"/>
  <c r="N131" i="34"/>
  <c r="S131" i="34" s="1"/>
  <c r="F143" i="34"/>
  <c r="N143" i="34" s="1"/>
  <c r="S143" i="34" s="1"/>
  <c r="N130" i="34"/>
  <c r="S130" i="34" s="1"/>
  <c r="F142" i="34"/>
  <c r="N142" i="34" s="1"/>
  <c r="S142" i="34" s="1"/>
  <c r="N133" i="34"/>
  <c r="S133" i="34" s="1"/>
  <c r="F145" i="34"/>
  <c r="N145" i="34" s="1"/>
  <c r="S145" i="34" s="1"/>
  <c r="S123" i="34"/>
  <c r="F138" i="34"/>
  <c r="N138" i="34" s="1"/>
  <c r="S138" i="34" s="1"/>
  <c r="N126" i="34"/>
  <c r="S126" i="34" s="1"/>
  <c r="F140" i="34"/>
  <c r="N140" i="34" s="1"/>
  <c r="S140" i="34" s="1"/>
  <c r="N128" i="34"/>
  <c r="S128" i="34" s="1"/>
  <c r="S122" i="34"/>
  <c r="S125" i="34"/>
  <c r="S134" i="34"/>
  <c r="F139" i="34"/>
  <c r="N139" i="34" s="1"/>
  <c r="S139" i="34" s="1"/>
  <c r="N127" i="34"/>
  <c r="S127" i="34" s="1"/>
  <c r="S137" i="34"/>
  <c r="F137" i="38"/>
  <c r="M137" i="38" s="1"/>
  <c r="Q137" i="38" s="1"/>
  <c r="M125" i="38"/>
  <c r="Q125" i="38" s="1"/>
  <c r="F134" i="38"/>
  <c r="M134" i="38" s="1"/>
  <c r="Q134" i="38" s="1"/>
  <c r="M122" i="38"/>
  <c r="Q122" i="38" s="1"/>
  <c r="M124" i="38"/>
  <c r="Q124" i="38" s="1"/>
  <c r="F136" i="38"/>
  <c r="M136" i="38" s="1"/>
  <c r="Q136" i="38" s="1"/>
  <c r="F135" i="38"/>
  <c r="M135" i="38" s="1"/>
  <c r="Q135" i="38" s="1"/>
  <c r="M123" i="38"/>
  <c r="Q123" i="38" s="1"/>
  <c r="J23" i="74" l="1"/>
  <c r="T58" i="17"/>
  <c r="M4" i="74" s="1"/>
  <c r="L3" i="74"/>
  <c r="L4" i="74"/>
  <c r="L5" i="74"/>
  <c r="I58" i="17"/>
  <c r="AE58" i="17"/>
  <c r="H26" i="57"/>
  <c r="L21" i="74"/>
  <c r="L23" i="74" s="1"/>
  <c r="H25" i="57"/>
  <c r="K21" i="74"/>
  <c r="K57" i="17"/>
  <c r="AC15" i="17"/>
  <c r="AE15" i="17" s="1"/>
  <c r="AG15" i="17" s="1"/>
  <c r="J8" i="74"/>
  <c r="AG57" i="17"/>
  <c r="AC60" i="17"/>
  <c r="AC59" i="17"/>
  <c r="R60" i="17"/>
  <c r="R59" i="17"/>
  <c r="K8" i="74"/>
  <c r="V57" i="17"/>
  <c r="G59" i="17"/>
  <c r="G60" i="17"/>
  <c r="C18" i="24"/>
  <c r="D18" i="24" s="1"/>
  <c r="H18" i="24" s="1"/>
  <c r="AG14" i="17"/>
  <c r="C13" i="57"/>
  <c r="S134" i="36"/>
  <c r="S135" i="36"/>
  <c r="S123" i="36"/>
  <c r="S136" i="36"/>
  <c r="S124" i="36"/>
  <c r="S122" i="36"/>
  <c r="S137" i="36"/>
  <c r="S125" i="36"/>
  <c r="R16" i="17"/>
  <c r="R17" i="17"/>
  <c r="G16" i="17"/>
  <c r="I16" i="17" s="1"/>
  <c r="G17" i="17"/>
  <c r="I17" i="17" s="1"/>
  <c r="K23" i="74" l="1"/>
  <c r="T60" i="17"/>
  <c r="T59" i="17"/>
  <c r="K58" i="17"/>
  <c r="V58" i="17"/>
  <c r="AG58" i="17"/>
  <c r="M5" i="74"/>
  <c r="M3" i="74"/>
  <c r="U4" i="25"/>
  <c r="U9" i="25" s="1"/>
  <c r="L8" i="25"/>
  <c r="V4" i="25"/>
  <c r="V9" i="25" s="1"/>
  <c r="M8" i="25"/>
  <c r="C14" i="57"/>
  <c r="C27" i="57"/>
  <c r="D27" i="57" s="1"/>
  <c r="M21" i="74" s="1"/>
  <c r="M23" i="74" s="1"/>
  <c r="AE59" i="17"/>
  <c r="AE60" i="17"/>
  <c r="AC17" i="17"/>
  <c r="AE17" i="17" s="1"/>
  <c r="C21" i="24" s="1"/>
  <c r="I60" i="17"/>
  <c r="I59" i="17"/>
  <c r="D13" i="57"/>
  <c r="C19" i="24"/>
  <c r="AC16" i="17"/>
  <c r="AE16" i="17" s="1"/>
  <c r="C28" i="57" s="1"/>
  <c r="D28" i="57" s="1"/>
  <c r="T17" i="17"/>
  <c r="T16" i="17"/>
  <c r="C33" i="57" l="1"/>
  <c r="C34" i="57"/>
  <c r="D14" i="57"/>
  <c r="D19" i="24"/>
  <c r="L8" i="74"/>
  <c r="C29" i="57"/>
  <c r="D29" i="57" s="1"/>
  <c r="C20" i="24"/>
  <c r="D21" i="24"/>
  <c r="D20" i="24" l="1"/>
  <c r="D34" i="57"/>
  <c r="E34" i="57" s="1"/>
  <c r="D33" i="57"/>
  <c r="E33" i="57" s="1"/>
  <c r="M18" i="69"/>
  <c r="M21" i="69" s="1"/>
  <c r="G140" i="69" s="1"/>
  <c r="M25" i="69"/>
  <c r="M13" i="69"/>
  <c r="Q66" i="69"/>
  <c r="Q69" i="69" s="1"/>
  <c r="Q29" i="69"/>
  <c r="Q32" i="69" s="1"/>
  <c r="P29" i="69"/>
  <c r="P32" i="69" s="1"/>
  <c r="P66" i="69"/>
  <c r="P69" i="69" s="1"/>
  <c r="O29" i="69"/>
  <c r="O22" i="69" s="1"/>
  <c r="O66" i="69"/>
  <c r="O54" i="69" s="1"/>
  <c r="O57" i="69" s="1"/>
  <c r="N66" i="69"/>
  <c r="N69" i="69" s="1"/>
  <c r="R29" i="69"/>
  <c r="R32" i="69" s="1"/>
  <c r="R66" i="69"/>
  <c r="R49" i="69" s="1"/>
  <c r="N29" i="69"/>
  <c r="AA29" i="69"/>
  <c r="AA32" i="69" s="1"/>
  <c r="AA66" i="69"/>
  <c r="AA69" i="69" s="1"/>
  <c r="Z66" i="69"/>
  <c r="Z49" i="69" s="1"/>
  <c r="Z29" i="69"/>
  <c r="Z32" i="69" s="1"/>
  <c r="Y29" i="69"/>
  <c r="Y32" i="69" s="1"/>
  <c r="Y66" i="69"/>
  <c r="Y69" i="69" s="1"/>
  <c r="X66" i="69"/>
  <c r="X49" i="69" s="1"/>
  <c r="X29" i="69"/>
  <c r="X32" i="69" s="1"/>
  <c r="W66" i="69"/>
  <c r="W59" i="69" s="1"/>
  <c r="W62" i="69" s="1"/>
  <c r="W29" i="69"/>
  <c r="V66" i="69"/>
  <c r="V59" i="69" s="1"/>
  <c r="V62" i="69" s="1"/>
  <c r="V29" i="69"/>
  <c r="V32" i="69" s="1"/>
  <c r="U66" i="69"/>
  <c r="U69" i="69" s="1"/>
  <c r="U29" i="69"/>
  <c r="S66" i="69"/>
  <c r="S54" i="69" s="1"/>
  <c r="S57" i="69" s="1"/>
  <c r="S29" i="69"/>
  <c r="S32" i="69" s="1"/>
  <c r="T66" i="69"/>
  <c r="T69" i="69" s="1"/>
  <c r="P28" i="69"/>
  <c r="Q28" i="69" s="1"/>
  <c r="R28" i="69" s="1"/>
  <c r="S28" i="69" s="1"/>
  <c r="T28" i="69" s="1"/>
  <c r="U28" i="69" s="1"/>
  <c r="V28" i="69" s="1"/>
  <c r="W28" i="69" s="1"/>
  <c r="T29" i="69"/>
  <c r="T32" i="69" s="1"/>
  <c r="N22" i="69" l="1"/>
  <c r="N17" i="69"/>
  <c r="M23" i="69"/>
  <c r="N23" i="69" s="1"/>
  <c r="N26" i="69" s="1"/>
  <c r="V69" i="69"/>
  <c r="W69" i="69"/>
  <c r="Z69" i="69"/>
  <c r="O32" i="69"/>
  <c r="X54" i="69"/>
  <c r="X57" i="69" s="1"/>
  <c r="W49" i="69"/>
  <c r="W52" i="69" s="1"/>
  <c r="S69" i="69"/>
  <c r="S49" i="69"/>
  <c r="S52" i="69" s="1"/>
  <c r="X69" i="69"/>
  <c r="P49" i="69"/>
  <c r="P52" i="69" s="1"/>
  <c r="Q59" i="69"/>
  <c r="Q62" i="69" s="1"/>
  <c r="P54" i="69"/>
  <c r="P57" i="69" s="1"/>
  <c r="Q54" i="69"/>
  <c r="Q57" i="69" s="1"/>
  <c r="P59" i="69"/>
  <c r="P62" i="69" s="1"/>
  <c r="R69" i="69"/>
  <c r="Q49" i="69"/>
  <c r="Q52" i="69" s="1"/>
  <c r="R59" i="69"/>
  <c r="R62" i="69" s="1"/>
  <c r="Y59" i="69"/>
  <c r="Y62" i="69" s="1"/>
  <c r="N49" i="69"/>
  <c r="N50" i="69" s="1"/>
  <c r="W54" i="69"/>
  <c r="W57" i="69" s="1"/>
  <c r="S59" i="69"/>
  <c r="S62" i="69" s="1"/>
  <c r="Z59" i="69"/>
  <c r="Z62" i="69" s="1"/>
  <c r="Y54" i="69"/>
  <c r="Y57" i="69" s="1"/>
  <c r="V54" i="69"/>
  <c r="V57" i="69" s="1"/>
  <c r="V49" i="69"/>
  <c r="V52" i="69" s="1"/>
  <c r="Z54" i="69"/>
  <c r="Z57" i="69" s="1"/>
  <c r="O17" i="69"/>
  <c r="O20" i="69" s="1"/>
  <c r="G129" i="69"/>
  <c r="G138" i="69" s="1"/>
  <c r="M15" i="69"/>
  <c r="M20" i="69"/>
  <c r="V17" i="69"/>
  <c r="V20" i="69" s="1"/>
  <c r="G139" i="69"/>
  <c r="G128" i="69"/>
  <c r="G134" i="69" s="1"/>
  <c r="M26" i="69"/>
  <c r="G144" i="69" s="1"/>
  <c r="G130" i="69"/>
  <c r="G142" i="69" s="1"/>
  <c r="R12" i="69"/>
  <c r="L128" i="69" s="1"/>
  <c r="U54" i="69"/>
  <c r="U57" i="69" s="1"/>
  <c r="U49" i="69"/>
  <c r="U59" i="69"/>
  <c r="U62" i="69" s="1"/>
  <c r="X52" i="69"/>
  <c r="X28" i="69"/>
  <c r="Y28" i="69" s="1"/>
  <c r="Z28" i="69" s="1"/>
  <c r="AA28" i="69" s="1"/>
  <c r="AA22" i="69" s="1"/>
  <c r="AA25" i="69" s="1"/>
  <c r="W17" i="69"/>
  <c r="W20" i="69" s="1"/>
  <c r="N25" i="69"/>
  <c r="AA49" i="69"/>
  <c r="AA59" i="69"/>
  <c r="AA62" i="69" s="1"/>
  <c r="AA54" i="69"/>
  <c r="AA57" i="69" s="1"/>
  <c r="O25" i="69"/>
  <c r="Z52" i="69"/>
  <c r="T54" i="69"/>
  <c r="T57" i="69" s="1"/>
  <c r="T59" i="69"/>
  <c r="T62" i="69" s="1"/>
  <c r="T49" i="69"/>
  <c r="W22" i="69"/>
  <c r="W25" i="69" s="1"/>
  <c r="R52" i="69"/>
  <c r="T22" i="69"/>
  <c r="T25" i="69" s="1"/>
  <c r="O69" i="69"/>
  <c r="O59" i="69"/>
  <c r="O62" i="69" s="1"/>
  <c r="O49" i="69"/>
  <c r="S17" i="69"/>
  <c r="S20" i="69" s="1"/>
  <c r="Q17" i="69"/>
  <c r="G135" i="69"/>
  <c r="M16" i="69"/>
  <c r="U17" i="69"/>
  <c r="U20" i="69" s="1"/>
  <c r="N12" i="69"/>
  <c r="N13" i="69" s="1"/>
  <c r="O12" i="69"/>
  <c r="N32" i="69"/>
  <c r="G143" i="69"/>
  <c r="T12" i="69"/>
  <c r="Q22" i="69"/>
  <c r="W12" i="69"/>
  <c r="V22" i="69"/>
  <c r="V25" i="69" s="1"/>
  <c r="T17" i="69"/>
  <c r="T20" i="69" s="1"/>
  <c r="P17" i="69"/>
  <c r="U32" i="69"/>
  <c r="W32" i="69"/>
  <c r="X59" i="69"/>
  <c r="X62" i="69" s="1"/>
  <c r="P12" i="69"/>
  <c r="R22" i="69"/>
  <c r="Y49" i="69"/>
  <c r="N54" i="69"/>
  <c r="Q12" i="69"/>
  <c r="R54" i="69"/>
  <c r="R57" i="69" s="1"/>
  <c r="N59" i="69"/>
  <c r="H130" i="69" s="1"/>
  <c r="H142" i="69" s="1"/>
  <c r="R17" i="69"/>
  <c r="P22" i="69"/>
  <c r="V12" i="69"/>
  <c r="S22" i="69"/>
  <c r="S25" i="69" s="1"/>
  <c r="U12" i="69"/>
  <c r="S12" i="69"/>
  <c r="U22" i="69"/>
  <c r="U25" i="69" s="1"/>
  <c r="N18" i="69"/>
  <c r="M92" i="69" l="1"/>
  <c r="M90" i="69"/>
  <c r="G136" i="69"/>
  <c r="M91" i="69"/>
  <c r="H135" i="69"/>
  <c r="M97" i="69"/>
  <c r="Z12" i="69"/>
  <c r="Z22" i="69"/>
  <c r="Z25" i="69" s="1"/>
  <c r="X17" i="69"/>
  <c r="X20" i="69" s="1"/>
  <c r="V46" i="69"/>
  <c r="V68" i="69" s="1"/>
  <c r="Z46" i="69"/>
  <c r="Z68" i="69" s="1"/>
  <c r="I129" i="69"/>
  <c r="I138" i="69" s="1"/>
  <c r="W46" i="69"/>
  <c r="W68" i="69" s="1"/>
  <c r="S46" i="69"/>
  <c r="S68" i="69" s="1"/>
  <c r="N52" i="69"/>
  <c r="P46" i="69"/>
  <c r="P68" i="69" s="1"/>
  <c r="Q46" i="69"/>
  <c r="Q68" i="69" s="1"/>
  <c r="O23" i="69"/>
  <c r="O26" i="69" s="1"/>
  <c r="R46" i="69"/>
  <c r="R68" i="69" s="1"/>
  <c r="AA12" i="69"/>
  <c r="AA15" i="69" s="1"/>
  <c r="AA17" i="69"/>
  <c r="AA20" i="69" s="1"/>
  <c r="I130" i="69"/>
  <c r="I142" i="69" s="1"/>
  <c r="Y12" i="69"/>
  <c r="Y15" i="69" s="1"/>
  <c r="R15" i="69"/>
  <c r="Z17" i="69"/>
  <c r="Z20" i="69" s="1"/>
  <c r="R9" i="69"/>
  <c r="R31" i="69" s="1"/>
  <c r="X22" i="69"/>
  <c r="X25" i="69" s="1"/>
  <c r="N46" i="69"/>
  <c r="N47" i="69" s="1"/>
  <c r="G127" i="69"/>
  <c r="O18" i="69"/>
  <c r="N21" i="69"/>
  <c r="K128" i="69"/>
  <c r="Q9" i="69"/>
  <c r="Q31" i="69" s="1"/>
  <c r="K126" i="69" s="1"/>
  <c r="Q15" i="69"/>
  <c r="U9" i="69"/>
  <c r="U31" i="69" s="1"/>
  <c r="U15" i="69"/>
  <c r="O50" i="69"/>
  <c r="N53" i="69"/>
  <c r="O13" i="69"/>
  <c r="N16" i="69"/>
  <c r="Q25" i="69"/>
  <c r="K130" i="69"/>
  <c r="Y52" i="69"/>
  <c r="Y46" i="69"/>
  <c r="Y68" i="69" s="1"/>
  <c r="O15" i="69"/>
  <c r="I128" i="69"/>
  <c r="O9" i="69"/>
  <c r="O31" i="69" s="1"/>
  <c r="V9" i="69"/>
  <c r="V31" i="69" s="1"/>
  <c r="V15" i="69"/>
  <c r="T52" i="69"/>
  <c r="T46" i="69"/>
  <c r="T68" i="69" s="1"/>
  <c r="L129" i="69"/>
  <c r="R20" i="69"/>
  <c r="X12" i="69"/>
  <c r="W9" i="69"/>
  <c r="W31" i="69" s="1"/>
  <c r="W15" i="69"/>
  <c r="T9" i="69"/>
  <c r="T31" i="69" s="1"/>
  <c r="T15" i="69"/>
  <c r="AA46" i="69"/>
  <c r="AA68" i="69" s="1"/>
  <c r="AA52" i="69"/>
  <c r="L130" i="69"/>
  <c r="R25" i="69"/>
  <c r="P9" i="69"/>
  <c r="P31" i="69" s="1"/>
  <c r="P15" i="69"/>
  <c r="J128" i="69"/>
  <c r="P20" i="69"/>
  <c r="J129" i="69"/>
  <c r="N62" i="69"/>
  <c r="N60" i="69"/>
  <c r="U46" i="69"/>
  <c r="U68" i="69" s="1"/>
  <c r="U52" i="69"/>
  <c r="N55" i="69"/>
  <c r="N57" i="69"/>
  <c r="H129" i="69"/>
  <c r="H138" i="69" s="1"/>
  <c r="N20" i="69"/>
  <c r="Q20" i="69"/>
  <c r="K129" i="69"/>
  <c r="Z15" i="69"/>
  <c r="S9" i="69"/>
  <c r="S31" i="69" s="1"/>
  <c r="S15" i="69"/>
  <c r="N15" i="69"/>
  <c r="N9" i="69"/>
  <c r="H128" i="69"/>
  <c r="O52" i="69"/>
  <c r="O46" i="69"/>
  <c r="O68" i="69" s="1"/>
  <c r="J130" i="69"/>
  <c r="P25" i="69"/>
  <c r="X46" i="69"/>
  <c r="X68" i="69" s="1"/>
  <c r="Y17" i="69"/>
  <c r="Y20" i="69" s="1"/>
  <c r="Y22" i="69"/>
  <c r="Y25" i="69" s="1"/>
  <c r="H136" i="69" l="1"/>
  <c r="H137" i="69" s="1"/>
  <c r="I152" i="69" s="1"/>
  <c r="I149" i="69" s="1"/>
  <c r="L127" i="69"/>
  <c r="J126" i="69"/>
  <c r="P23" i="69"/>
  <c r="P26" i="69" s="1"/>
  <c r="L126" i="69"/>
  <c r="Z9" i="69"/>
  <c r="Z31" i="69" s="1"/>
  <c r="N68" i="69"/>
  <c r="AA9" i="69"/>
  <c r="AA31" i="69" s="1"/>
  <c r="M93" i="69"/>
  <c r="P13" i="69"/>
  <c r="I135" i="69"/>
  <c r="O16" i="69"/>
  <c r="O55" i="69"/>
  <c r="N58" i="69"/>
  <c r="N90" i="69" s="1"/>
  <c r="H143" i="69"/>
  <c r="I126" i="69"/>
  <c r="I127" i="69"/>
  <c r="I134" i="69"/>
  <c r="H134" i="69"/>
  <c r="H127" i="69"/>
  <c r="N31" i="69"/>
  <c r="N10" i="69"/>
  <c r="O10" i="69" s="1"/>
  <c r="P10" i="69" s="1"/>
  <c r="Q10" i="69" s="1"/>
  <c r="R10" i="69" s="1"/>
  <c r="S10" i="69" s="1"/>
  <c r="T10" i="69" s="1"/>
  <c r="U10" i="69" s="1"/>
  <c r="V10" i="69" s="1"/>
  <c r="W10" i="69" s="1"/>
  <c r="P50" i="69"/>
  <c r="O53" i="69"/>
  <c r="N63" i="69"/>
  <c r="H144" i="69" s="1"/>
  <c r="O60" i="69"/>
  <c r="K127" i="69"/>
  <c r="J127" i="69"/>
  <c r="X15" i="69"/>
  <c r="X9" i="69"/>
  <c r="X31" i="69" s="1"/>
  <c r="O21" i="69"/>
  <c r="P18" i="69"/>
  <c r="O47" i="69"/>
  <c r="P47" i="69" s="1"/>
  <c r="Q47" i="69" s="1"/>
  <c r="R47" i="69" s="1"/>
  <c r="S47" i="69" s="1"/>
  <c r="T47" i="69" s="1"/>
  <c r="U47" i="69" s="1"/>
  <c r="V47" i="69" s="1"/>
  <c r="W47" i="69" s="1"/>
  <c r="X47" i="69" s="1"/>
  <c r="Y47" i="69" s="1"/>
  <c r="Z47" i="69" s="1"/>
  <c r="AA47" i="69" s="1"/>
  <c r="Y9" i="69"/>
  <c r="Y31" i="69" s="1"/>
  <c r="H139" i="69"/>
  <c r="H140" i="69" l="1"/>
  <c r="H141" i="69" s="1"/>
  <c r="J152" i="69" s="1"/>
  <c r="J149" i="69" s="1"/>
  <c r="H126" i="69"/>
  <c r="N92" i="69"/>
  <c r="N97" i="69" s="1"/>
  <c r="J6" i="71" s="1"/>
  <c r="J18" i="71" s="1"/>
  <c r="N91" i="69"/>
  <c r="N93" i="69" s="1"/>
  <c r="H145" i="69"/>
  <c r="K152" i="69" s="1"/>
  <c r="K151" i="69" s="1"/>
  <c r="Q23" i="69"/>
  <c r="Q26" i="69" s="1"/>
  <c r="H27" i="57"/>
  <c r="H19" i="24"/>
  <c r="N21" i="25" s="1"/>
  <c r="I136" i="69"/>
  <c r="I137" i="69" s="1"/>
  <c r="L152" i="69" s="1"/>
  <c r="P60" i="69"/>
  <c r="O63" i="69"/>
  <c r="I144" i="69" s="1"/>
  <c r="P55" i="69"/>
  <c r="O58" i="69"/>
  <c r="I140" i="69" s="1"/>
  <c r="I141" i="69" s="1"/>
  <c r="M152" i="69" s="1"/>
  <c r="I143" i="69"/>
  <c r="I150" i="69"/>
  <c r="I151" i="69"/>
  <c r="P53" i="69"/>
  <c r="Q50" i="69"/>
  <c r="I139" i="69"/>
  <c r="Q18" i="69"/>
  <c r="P21" i="69"/>
  <c r="J151" i="69"/>
  <c r="J150" i="69"/>
  <c r="R23" i="69"/>
  <c r="X10" i="69"/>
  <c r="Y10" i="69" s="1"/>
  <c r="Z10" i="69" s="1"/>
  <c r="AA10" i="69" s="1"/>
  <c r="Q13" i="69"/>
  <c r="P16" i="69"/>
  <c r="N23" i="25" l="1"/>
  <c r="J7" i="71"/>
  <c r="O91" i="69"/>
  <c r="K150" i="69"/>
  <c r="O92" i="69"/>
  <c r="O97" i="69" s="1"/>
  <c r="K6" i="71" s="1"/>
  <c r="K18" i="71" s="1"/>
  <c r="O90" i="69"/>
  <c r="O93" i="69" s="1"/>
  <c r="K149" i="69"/>
  <c r="F156" i="69" s="1"/>
  <c r="F162" i="69" s="1"/>
  <c r="I145" i="69"/>
  <c r="N152" i="69" s="1"/>
  <c r="N150" i="69" s="1"/>
  <c r="P63" i="69"/>
  <c r="Q60" i="69"/>
  <c r="G28" i="57"/>
  <c r="H28" i="57" s="1"/>
  <c r="J19" i="71"/>
  <c r="G20" i="24"/>
  <c r="H20" i="24" s="1"/>
  <c r="R50" i="69"/>
  <c r="Q53" i="69"/>
  <c r="F158" i="69"/>
  <c r="F164" i="69" s="1"/>
  <c r="Q21" i="69"/>
  <c r="R18" i="69"/>
  <c r="R13" i="69"/>
  <c r="Q16" i="69"/>
  <c r="F157" i="69"/>
  <c r="F163" i="69" s="1"/>
  <c r="L150" i="69"/>
  <c r="L149" i="69"/>
  <c r="L151" i="69"/>
  <c r="M150" i="69"/>
  <c r="M151" i="69"/>
  <c r="M149" i="69"/>
  <c r="S23" i="69"/>
  <c r="R26" i="69"/>
  <c r="Q55" i="69"/>
  <c r="P58" i="69"/>
  <c r="K7" i="71" l="1"/>
  <c r="N151" i="69"/>
  <c r="N149" i="69"/>
  <c r="N21" i="74"/>
  <c r="N4" i="25"/>
  <c r="N5" i="25"/>
  <c r="G158" i="69"/>
  <c r="G164" i="69" s="1"/>
  <c r="G156" i="69"/>
  <c r="G162" i="69" s="1"/>
  <c r="G21" i="24"/>
  <c r="H21" i="24" s="1"/>
  <c r="K19" i="71"/>
  <c r="G29" i="57"/>
  <c r="H29" i="57" s="1"/>
  <c r="F6" i="71"/>
  <c r="F18" i="71" s="1"/>
  <c r="E6" i="71"/>
  <c r="E18" i="71" s="1"/>
  <c r="Q58" i="69"/>
  <c r="R55" i="69"/>
  <c r="S50" i="69"/>
  <c r="R53" i="69"/>
  <c r="G157" i="69"/>
  <c r="R21" i="69"/>
  <c r="S18" i="69"/>
  <c r="F159" i="69"/>
  <c r="O21" i="25"/>
  <c r="K20" i="73"/>
  <c r="E5" i="71"/>
  <c r="E17" i="71" s="1"/>
  <c r="Q63" i="69"/>
  <c r="R60" i="69"/>
  <c r="T23" i="69"/>
  <c r="S26" i="69"/>
  <c r="S13" i="69"/>
  <c r="R16" i="69"/>
  <c r="N23" i="74" l="1"/>
  <c r="O23" i="25"/>
  <c r="K22" i="73"/>
  <c r="G159" i="69"/>
  <c r="G163" i="69"/>
  <c r="O21" i="74"/>
  <c r="O23" i="74" s="1"/>
  <c r="S16" i="69"/>
  <c r="T13" i="69"/>
  <c r="S60" i="69"/>
  <c r="R63" i="69"/>
  <c r="F5" i="71"/>
  <c r="F17" i="71" s="1"/>
  <c r="S55" i="69"/>
  <c r="R58" i="69"/>
  <c r="T26" i="69"/>
  <c r="U23" i="69"/>
  <c r="U59" i="17"/>
  <c r="U16" i="17"/>
  <c r="V16" i="17" s="1"/>
  <c r="N4" i="74" s="1"/>
  <c r="S53" i="69"/>
  <c r="T50" i="69"/>
  <c r="AF59" i="17"/>
  <c r="AG59" i="17" s="1"/>
  <c r="AF16" i="17"/>
  <c r="AG16" i="17" s="1"/>
  <c r="H20" i="73" s="1"/>
  <c r="F4" i="71"/>
  <c r="G14" i="74"/>
  <c r="AF60" i="17"/>
  <c r="AG60" i="17" s="1"/>
  <c r="G14" i="25"/>
  <c r="AF17" i="17"/>
  <c r="AG17" i="17" s="1"/>
  <c r="F165" i="69"/>
  <c r="E4" i="71"/>
  <c r="S21" i="69"/>
  <c r="T18" i="69"/>
  <c r="P21" i="25"/>
  <c r="P20" i="73"/>
  <c r="P23" i="25" l="1"/>
  <c r="P22" i="73"/>
  <c r="V59" i="17"/>
  <c r="O5" i="25"/>
  <c r="P5" i="25"/>
  <c r="C27" i="74"/>
  <c r="N3" i="25"/>
  <c r="M8" i="74"/>
  <c r="M20" i="73"/>
  <c r="O5" i="74"/>
  <c r="E7" i="71"/>
  <c r="E16" i="71"/>
  <c r="S58" i="69"/>
  <c r="T55" i="69"/>
  <c r="G165" i="69"/>
  <c r="F16" i="71"/>
  <c r="F7" i="71"/>
  <c r="C27" i="25"/>
  <c r="V23" i="69"/>
  <c r="U26" i="69"/>
  <c r="N5" i="74"/>
  <c r="U18" i="69"/>
  <c r="T21" i="69"/>
  <c r="T16" i="69"/>
  <c r="U13" i="69"/>
  <c r="U17" i="17"/>
  <c r="V17" i="17" s="1"/>
  <c r="O4" i="74" s="1"/>
  <c r="U60" i="17"/>
  <c r="G13" i="74"/>
  <c r="G13" i="25"/>
  <c r="T60" i="69"/>
  <c r="S63" i="69"/>
  <c r="T53" i="69"/>
  <c r="U50" i="69"/>
  <c r="N8" i="25" l="1"/>
  <c r="C29" i="74"/>
  <c r="C14" i="25"/>
  <c r="W6" i="25"/>
  <c r="O4" i="25"/>
  <c r="V60" i="17"/>
  <c r="X6" i="25"/>
  <c r="C13" i="74"/>
  <c r="C14" i="74"/>
  <c r="C29" i="25"/>
  <c r="T58" i="69"/>
  <c r="U55" i="69"/>
  <c r="V50" i="69"/>
  <c r="U53" i="69"/>
  <c r="U16" i="69"/>
  <c r="V13" i="69"/>
  <c r="V18" i="69"/>
  <c r="U21" i="69"/>
  <c r="G12" i="74"/>
  <c r="G17" i="74" s="1"/>
  <c r="J60" i="17"/>
  <c r="G12" i="25"/>
  <c r="G17" i="25" s="1"/>
  <c r="J17" i="17"/>
  <c r="K17" i="17" s="1"/>
  <c r="O3" i="74" s="1"/>
  <c r="F19" i="71"/>
  <c r="J20" i="73"/>
  <c r="H22" i="73"/>
  <c r="J59" i="17"/>
  <c r="J16" i="17"/>
  <c r="K16" i="17" s="1"/>
  <c r="N3" i="74" s="1"/>
  <c r="E19" i="71"/>
  <c r="U60" i="69"/>
  <c r="T63" i="69"/>
  <c r="W23" i="69"/>
  <c r="V26" i="69"/>
  <c r="O20" i="73"/>
  <c r="M22" i="73"/>
  <c r="E14" i="74" l="1"/>
  <c r="E14" i="25"/>
  <c r="E13" i="74"/>
  <c r="P4" i="25"/>
  <c r="W5" i="25"/>
  <c r="K59" i="17"/>
  <c r="O3" i="25" s="1"/>
  <c r="K60" i="17"/>
  <c r="P3" i="25" s="1"/>
  <c r="N8" i="74"/>
  <c r="W18" i="69"/>
  <c r="V21" i="69"/>
  <c r="L20" i="73"/>
  <c r="J22" i="73"/>
  <c r="O8" i="74"/>
  <c r="C12" i="74"/>
  <c r="W26" i="69"/>
  <c r="X23" i="69"/>
  <c r="W13" i="69"/>
  <c r="V16" i="69"/>
  <c r="V53" i="69"/>
  <c r="W50" i="69"/>
  <c r="Q20" i="73"/>
  <c r="O22" i="73"/>
  <c r="U58" i="69"/>
  <c r="V55" i="69"/>
  <c r="U63" i="69"/>
  <c r="V60" i="69"/>
  <c r="H14" i="74" l="1"/>
  <c r="W4" i="25"/>
  <c r="W9" i="25" s="1"/>
  <c r="C13" i="25"/>
  <c r="X5" i="25"/>
  <c r="P8" i="25"/>
  <c r="O8" i="25"/>
  <c r="C43" i="74"/>
  <c r="H13" i="74"/>
  <c r="C44" i="25"/>
  <c r="H14" i="25"/>
  <c r="J14" i="25"/>
  <c r="K14" i="25"/>
  <c r="C44" i="74"/>
  <c r="C12" i="25"/>
  <c r="X4" i="25"/>
  <c r="Y23" i="69"/>
  <c r="X26" i="69"/>
  <c r="V63" i="69"/>
  <c r="W60" i="69"/>
  <c r="V58" i="69"/>
  <c r="W55" i="69"/>
  <c r="S20" i="73"/>
  <c r="L22" i="73"/>
  <c r="W16" i="69"/>
  <c r="X13" i="69"/>
  <c r="C17" i="74"/>
  <c r="E12" i="74"/>
  <c r="W21" i="69"/>
  <c r="X18" i="69"/>
  <c r="Q22" i="73"/>
  <c r="T20" i="73"/>
  <c r="W53" i="69"/>
  <c r="X50" i="69"/>
  <c r="E13" i="25" l="1"/>
  <c r="X9" i="25"/>
  <c r="E12" i="25"/>
  <c r="C17" i="25"/>
  <c r="W11" i="25"/>
  <c r="C42" i="74"/>
  <c r="C47" i="74" s="1"/>
  <c r="E17" i="74"/>
  <c r="H12" i="74"/>
  <c r="H17" i="74" s="1"/>
  <c r="D27" i="74"/>
  <c r="D27" i="25"/>
  <c r="X11" i="25"/>
  <c r="Y18" i="69"/>
  <c r="X21" i="69"/>
  <c r="Y13" i="69"/>
  <c r="X16" i="69"/>
  <c r="X55" i="69"/>
  <c r="W58" i="69"/>
  <c r="Y50" i="69"/>
  <c r="X53" i="69"/>
  <c r="X60" i="69"/>
  <c r="W63" i="69"/>
  <c r="Y26" i="69"/>
  <c r="Z23" i="69"/>
  <c r="K12" i="25" l="1"/>
  <c r="J12" i="25"/>
  <c r="C42" i="25"/>
  <c r="H12" i="25"/>
  <c r="J13" i="25"/>
  <c r="K13" i="25"/>
  <c r="H13" i="25"/>
  <c r="C43" i="25"/>
  <c r="E17" i="25"/>
  <c r="J17" i="25" s="1"/>
  <c r="W13" i="25"/>
  <c r="X13" i="25"/>
  <c r="Y55" i="69"/>
  <c r="X58" i="69"/>
  <c r="Y21" i="69"/>
  <c r="Z18" i="69"/>
  <c r="D29" i="74"/>
  <c r="E27" i="74"/>
  <c r="Z13" i="69"/>
  <c r="Y16" i="69"/>
  <c r="Z26" i="69"/>
  <c r="AA23" i="69"/>
  <c r="AA26" i="69" s="1"/>
  <c r="D29" i="25"/>
  <c r="E27" i="25"/>
  <c r="Y60" i="69"/>
  <c r="X63" i="69"/>
  <c r="Z50" i="69"/>
  <c r="Y53" i="69"/>
  <c r="C47" i="25" l="1"/>
  <c r="H17" i="25"/>
  <c r="K17" i="25"/>
  <c r="D44" i="25"/>
  <c r="D47" i="25" s="1"/>
  <c r="E29" i="25"/>
  <c r="AA13" i="69"/>
  <c r="AA16" i="69" s="1"/>
  <c r="Z16" i="69"/>
  <c r="D44" i="74"/>
  <c r="D47" i="74" s="1"/>
  <c r="E29" i="74"/>
  <c r="Y63" i="69"/>
  <c r="Z60" i="69"/>
  <c r="Z21" i="69"/>
  <c r="AA18" i="69"/>
  <c r="AA21" i="69" s="1"/>
  <c r="Z53" i="69"/>
  <c r="AA50" i="69"/>
  <c r="AA53" i="69" s="1"/>
  <c r="Y58" i="69"/>
  <c r="Z55" i="69"/>
  <c r="Z63" i="69" l="1"/>
  <c r="AA60" i="69"/>
  <c r="AA63" i="69" s="1"/>
  <c r="AA55" i="69"/>
  <c r="AA58" i="69" s="1"/>
  <c r="Z58" i="69"/>
</calcChain>
</file>

<file path=xl/sharedStrings.xml><?xml version="1.0" encoding="utf-8"?>
<sst xmlns="http://schemas.openxmlformats.org/spreadsheetml/2006/main" count="1880" uniqueCount="545">
  <si>
    <t>Year</t>
  </si>
  <si>
    <t>Residential_kWh</t>
  </si>
  <si>
    <t>GS_lt_50_kWh</t>
  </si>
  <si>
    <t>GS_lt_50_CDM</t>
  </si>
  <si>
    <t>GS_gt_50_kWh</t>
  </si>
  <si>
    <t>GS_gt_50_kW</t>
  </si>
  <si>
    <t>Streetlights_kWh</t>
  </si>
  <si>
    <t>Streetlights_kW</t>
  </si>
  <si>
    <t>USL_kWh</t>
  </si>
  <si>
    <t>Residential_Customers</t>
  </si>
  <si>
    <t>GS_gt_50_Customers</t>
  </si>
  <si>
    <t>USL_Customers</t>
  </si>
  <si>
    <t>Streetlights_Connections</t>
  </si>
  <si>
    <t>USL Connections</t>
  </si>
  <si>
    <t>CDM</t>
  </si>
  <si>
    <t>Date</t>
  </si>
  <si>
    <t>GDP</t>
  </si>
  <si>
    <t>Ont_FTEAdj</t>
  </si>
  <si>
    <t>Tor_FTEAdj</t>
  </si>
  <si>
    <t>Ham_FTEAdj</t>
  </si>
  <si>
    <t>Ont_FTE</t>
  </si>
  <si>
    <t>Tor_FTE</t>
  </si>
  <si>
    <t>Ham_FTE</t>
  </si>
  <si>
    <t>FTE</t>
  </si>
  <si>
    <t>BMO</t>
  </si>
  <si>
    <t>TD</t>
  </si>
  <si>
    <t>Scotia</t>
  </si>
  <si>
    <t>RBC</t>
  </si>
  <si>
    <t>Month</t>
  </si>
  <si>
    <t>Residential</t>
  </si>
  <si>
    <t>MeanTemp</t>
  </si>
  <si>
    <t>HDD18</t>
  </si>
  <si>
    <t>CDD18</t>
  </si>
  <si>
    <t>HDD16</t>
  </si>
  <si>
    <t>CDD16</t>
  </si>
  <si>
    <t>HDD14</t>
  </si>
  <si>
    <t>CDD14</t>
  </si>
  <si>
    <t>HDD12</t>
  </si>
  <si>
    <t>CDD12</t>
  </si>
  <si>
    <t>GS&lt;50</t>
  </si>
  <si>
    <t>GS&gt;50</t>
  </si>
  <si>
    <t>USL</t>
  </si>
  <si>
    <t>Streetlight</t>
  </si>
  <si>
    <t>Res_CDM</t>
  </si>
  <si>
    <t>GS_lt_50_NoCDM</t>
  </si>
  <si>
    <t>Res_NoCDM</t>
  </si>
  <si>
    <t>GS_gt_50_CDM</t>
  </si>
  <si>
    <t>GS_gt_50_NoCDM</t>
  </si>
  <si>
    <t>Implementation Year</t>
  </si>
  <si>
    <t>Savings Year</t>
  </si>
  <si>
    <t>Jan</t>
  </si>
  <si>
    <t>Feb</t>
  </si>
  <si>
    <t>Mar</t>
  </si>
  <si>
    <t>Apr</t>
  </si>
  <si>
    <t>May</t>
  </si>
  <si>
    <t>Jun</t>
  </si>
  <si>
    <t>Jul</t>
  </si>
  <si>
    <t>Aug</t>
  </si>
  <si>
    <t>Sept</t>
  </si>
  <si>
    <t>Oct</t>
  </si>
  <si>
    <t>Nov</t>
  </si>
  <si>
    <t>Dec</t>
  </si>
  <si>
    <t>Spring</t>
  </si>
  <si>
    <t>Fall</t>
  </si>
  <si>
    <t>Shoulder</t>
  </si>
  <si>
    <t>Trend</t>
  </si>
  <si>
    <t>Month Days</t>
  </si>
  <si>
    <t>Peak Days</t>
  </si>
  <si>
    <t>coefficient</t>
  </si>
  <si>
    <t>std. error</t>
  </si>
  <si>
    <t>t-ratio</t>
  </si>
  <si>
    <t>p-value</t>
  </si>
  <si>
    <t>const</t>
  </si>
  <si>
    <t>Mean dependent var</t>
  </si>
  <si>
    <t>S.D. dependent var</t>
  </si>
  <si>
    <t>Sum squared resid</t>
  </si>
  <si>
    <t>S.E. of regression</t>
  </si>
  <si>
    <t>R-squared</t>
  </si>
  <si>
    <t>Adjusted R-squared</t>
  </si>
  <si>
    <t>P-value(F)</t>
  </si>
  <si>
    <t>rho</t>
  </si>
  <si>
    <t>Durbin-Watson</t>
  </si>
  <si>
    <t>Predicted</t>
  </si>
  <si>
    <t>Difference</t>
  </si>
  <si>
    <t>Res kWh</t>
  </si>
  <si>
    <t>Absolute</t>
  </si>
  <si>
    <t>GS &lt; 50 kWh</t>
  </si>
  <si>
    <t>GS &gt; 50 kWh</t>
  </si>
  <si>
    <t>CDM Added Back</t>
  </si>
  <si>
    <t>Error (%)</t>
  </si>
  <si>
    <t>Mean Absolute Percentage Error (Annual)</t>
  </si>
  <si>
    <t>Mean Absolute Percentage Error (Monthly)</t>
  </si>
  <si>
    <t>June</t>
  </si>
  <si>
    <t>July</t>
  </si>
  <si>
    <t>August</t>
  </si>
  <si>
    <t>10 Year Average</t>
  </si>
  <si>
    <t>January</t>
  </si>
  <si>
    <t>February</t>
  </si>
  <si>
    <t>March</t>
  </si>
  <si>
    <t>April</t>
  </si>
  <si>
    <t>September</t>
  </si>
  <si>
    <t>October</t>
  </si>
  <si>
    <t>November</t>
  </si>
  <si>
    <t>December</t>
  </si>
  <si>
    <t>Burlington Pier</t>
  </si>
  <si>
    <t>Residential kWh</t>
  </si>
  <si>
    <t>Actual</t>
  </si>
  <si>
    <t>Cumulative Persisting CDM</t>
  </si>
  <si>
    <t>Actual No CDM</t>
  </si>
  <si>
    <t>Normalized</t>
  </si>
  <si>
    <t>A</t>
  </si>
  <si>
    <t>B</t>
  </si>
  <si>
    <t>C = A + B</t>
  </si>
  <si>
    <t>D</t>
  </si>
  <si>
    <t>E = B</t>
  </si>
  <si>
    <t>F = D - E</t>
  </si>
  <si>
    <t>GS&lt;50 kWh</t>
  </si>
  <si>
    <t>GS&gt;50 kWh</t>
  </si>
  <si>
    <t>Percent of Prior Year</t>
  </si>
  <si>
    <t>GS &lt; 50</t>
  </si>
  <si>
    <t>GS &gt; 50</t>
  </si>
  <si>
    <t>St. Lights</t>
  </si>
  <si>
    <t>Customers</t>
  </si>
  <si>
    <t>Street Lights</t>
  </si>
  <si>
    <t>kWh</t>
  </si>
  <si>
    <t>kW</t>
  </si>
  <si>
    <t>kWh Normalized</t>
  </si>
  <si>
    <t>kW Normalized</t>
  </si>
  <si>
    <t>E</t>
  </si>
  <si>
    <t>Normal Predicted 
No CDM</t>
  </si>
  <si>
    <t>Street Light</t>
  </si>
  <si>
    <t>Lamps / Devices</t>
  </si>
  <si>
    <t>Average per Device</t>
  </si>
  <si>
    <t>Normal Forecast</t>
  </si>
  <si>
    <t>2015 Actual</t>
  </si>
  <si>
    <t>2016 Actual</t>
  </si>
  <si>
    <t>2017 Actual</t>
  </si>
  <si>
    <t>2018 Actual</t>
  </si>
  <si>
    <t>Total</t>
  </si>
  <si>
    <t>CDM Adjusted</t>
  </si>
  <si>
    <t>CDM Adjustment</t>
  </si>
  <si>
    <t>Rate Class</t>
  </si>
  <si>
    <t>CDM Adj Weight</t>
  </si>
  <si>
    <t>Amount</t>
  </si>
  <si>
    <t>F</t>
  </si>
  <si>
    <t>TOTAL</t>
  </si>
  <si>
    <t>Weather-Normal Forecast</t>
  </si>
  <si>
    <t>% Savings</t>
  </si>
  <si>
    <t>C = B / A</t>
  </si>
  <si>
    <t>Ratio</t>
  </si>
  <si>
    <t>3-Yr MA</t>
  </si>
  <si>
    <t>HDD20</t>
  </si>
  <si>
    <t>CDD20</t>
  </si>
  <si>
    <t>HDD10</t>
  </si>
  <si>
    <t>CDD10</t>
  </si>
  <si>
    <t>HDD8</t>
  </si>
  <si>
    <t>CDD8</t>
  </si>
  <si>
    <t>Average Used</t>
  </si>
  <si>
    <t>G</t>
  </si>
  <si>
    <t>E = D * F</t>
  </si>
  <si>
    <t>Divergence</t>
  </si>
  <si>
    <t>5-year change</t>
  </si>
  <si>
    <t>10-year change</t>
  </si>
  <si>
    <t>2019 Actual</t>
  </si>
  <si>
    <t>2017 Ratio Excluded in Avg. Calculation</t>
  </si>
  <si>
    <t>Statistics based on the rho-differenced data</t>
  </si>
  <si>
    <t>AvgRes</t>
  </si>
  <si>
    <t>AvgResD</t>
  </si>
  <si>
    <t>AvgGSlt50</t>
  </si>
  <si>
    <t>AvgGSlt50D</t>
  </si>
  <si>
    <t>AvgGSgt50</t>
  </si>
  <si>
    <t>AvgGSgt50MD</t>
  </si>
  <si>
    <t>AvgGSgt50PD</t>
  </si>
  <si>
    <t>ResD</t>
  </si>
  <si>
    <t>GSlt50D</t>
  </si>
  <si>
    <t>GSgt50MD</t>
  </si>
  <si>
    <t>GSgt50PD</t>
  </si>
  <si>
    <t>Sep</t>
  </si>
  <si>
    <t>*Both forecast lines and 3-Yr MA ignore 2017</t>
  </si>
  <si>
    <t>E = D * G</t>
  </si>
  <si>
    <t>Trend Ratio (3-Yr. MA)</t>
  </si>
  <si>
    <t>SL recount in 2017, growth excluded</t>
  </si>
  <si>
    <t>Q1</t>
  </si>
  <si>
    <t>Q2</t>
  </si>
  <si>
    <t>Q3</t>
  </si>
  <si>
    <t>Q4</t>
  </si>
  <si>
    <t>2015 Normal</t>
  </si>
  <si>
    <t>2016 Normal</t>
  </si>
  <si>
    <t>2017 Normal</t>
  </si>
  <si>
    <t>2018 Normal</t>
  </si>
  <si>
    <t>2019 Normal</t>
  </si>
  <si>
    <t>Normal 
No CDM</t>
  </si>
  <si>
    <t>Ratio Trend</t>
  </si>
  <si>
    <t>Customers / Devices</t>
  </si>
  <si>
    <t>Devices</t>
  </si>
  <si>
    <t>Dependent variable: Res_NoCDM</t>
  </si>
  <si>
    <t>MonthDays</t>
  </si>
  <si>
    <t>Dependent variable: GS_lt_50_NoCDM</t>
  </si>
  <si>
    <t>Dependent variable: GS_gt_50_NoCDM</t>
  </si>
  <si>
    <t>GS_lt_50_Customers</t>
  </si>
  <si>
    <t>ON GDP</t>
  </si>
  <si>
    <t>ON Services GDP</t>
  </si>
  <si>
    <t>ON Prof Services GDP</t>
  </si>
  <si>
    <t>StatsCan 14-10-0380-01</t>
  </si>
  <si>
    <t>StatsCan 36-10-0402-01</t>
  </si>
  <si>
    <t>Ontario Economic Accounts Table 15</t>
  </si>
  <si>
    <t>OEA_GDP</t>
  </si>
  <si>
    <t>OEA_Services</t>
  </si>
  <si>
    <t>OEA_Transport&amp;WH</t>
  </si>
  <si>
    <t>COVID</t>
  </si>
  <si>
    <t>COVID_AM</t>
  </si>
  <si>
    <t>COVID_WFH</t>
  </si>
  <si>
    <t>COVID2020</t>
  </si>
  <si>
    <t>(Check)</t>
  </si>
  <si>
    <t>Statscan New zero-emission vehicle registrations, quarterly 20-10-0025-01</t>
  </si>
  <si>
    <t>Quarterly Increase</t>
  </si>
  <si>
    <t>Cumulative</t>
  </si>
  <si>
    <t>Table: 20-10-0024-01</t>
  </si>
  <si>
    <t>Geography</t>
  </si>
  <si>
    <t>Ontario</t>
  </si>
  <si>
    <t>Fuel type</t>
  </si>
  <si>
    <t>All fuel types</t>
  </si>
  <si>
    <t>Battery electric</t>
  </si>
  <si>
    <t>Hybrid electric</t>
  </si>
  <si>
    <t>Plug-in hybrid electric</t>
  </si>
  <si>
    <t>Q1 2017</t>
  </si>
  <si>
    <t>Vehicle type</t>
  </si>
  <si>
    <t>Total, vehicle type 1</t>
  </si>
  <si>
    <t>Passenger cars</t>
  </si>
  <si>
    <t>Pickup trucks 2</t>
  </si>
  <si>
    <t>Multi-purpose vehicles 3</t>
  </si>
  <si>
    <t>Vans 4</t>
  </si>
  <si>
    <t>Q2 2017</t>
  </si>
  <si>
    <t>Reference period</t>
  </si>
  <si>
    <t>Q3 2017</t>
  </si>
  <si>
    <t>Units</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</si>
  <si>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</si>
  <si>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</si>
  <si>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</si>
  <si>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</si>
  <si>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</si>
  <si>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</si>
  <si>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</si>
  <si>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</si>
  <si>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</si>
  <si>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</si>
  <si>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</si>
  <si>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</si>
  <si>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</si>
  <si>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</si>
  <si>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</si>
  <si>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</si>
  <si>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</si>
  <si>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</si>
  <si>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</si>
  <si>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</si>
  <si>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</si>
  <si>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</si>
  <si>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</si>
  <si>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</si>
  <si>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</si>
  <si>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Avg. Distance</t>
  </si>
  <si>
    <t>Avg. Efficiency</t>
  </si>
  <si>
    <t>km</t>
  </si>
  <si>
    <t>kWh/ 100 km</t>
  </si>
  <si>
    <t>Passenger</t>
  </si>
  <si>
    <t>2-21-050-EV-Charging-Performance-Requirements-in-GTHA.pdf (cleanairpartnership.org)</t>
  </si>
  <si>
    <t>Multi-purpose vehicles (SUV)</t>
  </si>
  <si>
    <t>Van</t>
  </si>
  <si>
    <t>Pick-Up Truck</t>
  </si>
  <si>
    <t>Total EVs</t>
  </si>
  <si>
    <t>New</t>
  </si>
  <si>
    <t>Passenger + SUV EVs</t>
  </si>
  <si>
    <t>kWh/EV</t>
  </si>
  <si>
    <t>New kWh</t>
  </si>
  <si>
    <t>Cumulative kWh</t>
  </si>
  <si>
    <t>Van EVs</t>
  </si>
  <si>
    <t>Pickup Trucks</t>
  </si>
  <si>
    <t>EVs</t>
  </si>
  <si>
    <t>Passenger EV</t>
  </si>
  <si>
    <t>Multi-purpose vehicles (SUV) EV</t>
  </si>
  <si>
    <t>Van EV</t>
  </si>
  <si>
    <t>Pick-Up Truck EV</t>
  </si>
  <si>
    <t>All Vehicles</t>
  </si>
  <si>
    <t>All Passenger</t>
  </si>
  <si>
    <t>All Multi-purpose vehicles (SUV)</t>
  </si>
  <si>
    <t>All Van</t>
  </si>
  <si>
    <t>All Pick-Up Truck</t>
  </si>
  <si>
    <t>Passenger EV as % of EV</t>
  </si>
  <si>
    <t>Multi-Purpose EV as % of EV</t>
  </si>
  <si>
    <t>Van EV as % of EV</t>
  </si>
  <si>
    <t>Pickup Truck EV as % of EV</t>
  </si>
  <si>
    <t>New Incremental kWh</t>
  </si>
  <si>
    <t>Passenger/SUV</t>
  </si>
  <si>
    <t>Pick-up Truck</t>
  </si>
  <si>
    <t>EV kWh by Class</t>
  </si>
  <si>
    <t>New Incremental kW</t>
  </si>
  <si>
    <t>Load Factor</t>
  </si>
  <si>
    <t>ON EVs</t>
  </si>
  <si>
    <t>C = A / B</t>
  </si>
  <si>
    <t>ON Passenger EVs</t>
  </si>
  <si>
    <t>ON Multi-Purpose Vehicles EVs</t>
  </si>
  <si>
    <t>ON Vans EVs</t>
  </si>
  <si>
    <t>ON Pickup Truck EVs</t>
  </si>
  <si>
    <t xml:space="preserve">G </t>
  </si>
  <si>
    <t>H = D / B</t>
  </si>
  <si>
    <t>I = E / B</t>
  </si>
  <si>
    <t>J = F / B</t>
  </si>
  <si>
    <t>K = G / B</t>
  </si>
  <si>
    <t>L = A</t>
  </si>
  <si>
    <t>Passenger &amp; Multi-Purpose EVs</t>
  </si>
  <si>
    <t>M = L * (H + I)</t>
  </si>
  <si>
    <t>N = L * J</t>
  </si>
  <si>
    <t>Pickup Truck Evs</t>
  </si>
  <si>
    <t>O = L * K</t>
  </si>
  <si>
    <t xml:space="preserve">Basis of Forecast </t>
  </si>
  <si>
    <t>All Vehicles in Ontario</t>
  </si>
  <si>
    <t>P</t>
  </si>
  <si>
    <t>New EV Target</t>
  </si>
  <si>
    <t>Q</t>
  </si>
  <si>
    <t>Trajectory to 2026 Target</t>
  </si>
  <si>
    <t>R</t>
  </si>
  <si>
    <t>S = P * Q * R</t>
  </si>
  <si>
    <t>T = S * (H + I)</t>
  </si>
  <si>
    <t>U = S * J</t>
  </si>
  <si>
    <t>Pickup Truck EVs</t>
  </si>
  <si>
    <t>V = S * K</t>
  </si>
  <si>
    <t xml:space="preserve">   Cumulative EVs</t>
  </si>
  <si>
    <t xml:space="preserve">   Cumulative kWh</t>
  </si>
  <si>
    <t>C = ( Bt-1 + A/2 ) * 4,000</t>
  </si>
  <si>
    <t xml:space="preserve">   Incremental kWh</t>
  </si>
  <si>
    <t>D = C - Ct-1</t>
  </si>
  <si>
    <t>G = (Ft-1 + E/2) * 5,000</t>
  </si>
  <si>
    <t>H = G - Gt-1</t>
  </si>
  <si>
    <t>I</t>
  </si>
  <si>
    <t>J</t>
  </si>
  <si>
    <t>K = ( Jt-1 + I) * 6,000</t>
  </si>
  <si>
    <t>L = K - Kt-1</t>
  </si>
  <si>
    <t>2025 Incremental</t>
  </si>
  <si>
    <t>2026 Incremental</t>
  </si>
  <si>
    <t>2027 Incremental</t>
  </si>
  <si>
    <t>Small Business</t>
  </si>
  <si>
    <t>Consumption per Year</t>
  </si>
  <si>
    <t>m3/year</t>
  </si>
  <si>
    <t>Typical Enbridge Residential Customer</t>
  </si>
  <si>
    <t>Heating Profile</t>
  </si>
  <si>
    <t>/Month</t>
  </si>
  <si>
    <t>Less summer</t>
  </si>
  <si>
    <t>Convert m3 to GJ</t>
  </si>
  <si>
    <t xml:space="preserve">GJ/m3 </t>
  </si>
  <si>
    <t>https://apps.cer-rec.gc.ca/Conversion/conversion-tables.aspx</t>
  </si>
  <si>
    <t>Convert GJ to kWh</t>
  </si>
  <si>
    <t>kWh/GJ</t>
  </si>
  <si>
    <t>Convert m3 to kWh</t>
  </si>
  <si>
    <t>kWh/m3</t>
  </si>
  <si>
    <t>kWh per Customer</t>
  </si>
  <si>
    <t>kWh/Customer</t>
  </si>
  <si>
    <t>Heat Pump Efficiency</t>
  </si>
  <si>
    <t>Delivered heat kWh-equivalent/kWh</t>
  </si>
  <si>
    <t>https://oee.nrcan.gc.ca/pml-lmp/index.cfm?language_langue=en&amp;action=app.search-recherche&amp;appliance=ASHP1_GH&amp;_gl=1*22c7uc*_ga*MTkyNTkxMzczNi4xNjg5MDg1ODA2*_ga_C2N57Y7DX5*MTcxNTM1MDU3Ni40My4xLjE3MTUzNTA1ODAuMC4wLjA.</t>
  </si>
  <si>
    <t>Adj. Consumption</t>
  </si>
  <si>
    <t>Customer Count</t>
  </si>
  <si>
    <t>Increase in customers/year</t>
  </si>
  <si>
    <t>Existing Conversions %</t>
  </si>
  <si>
    <t>New Connection %</t>
  </si>
  <si>
    <t>Existing Connections #</t>
  </si>
  <si>
    <t>New Connections #</t>
  </si>
  <si>
    <t>Total Connections</t>
  </si>
  <si>
    <t>Total kWh</t>
  </si>
  <si>
    <t xml:space="preserve">  Winter</t>
  </si>
  <si>
    <t xml:space="preserve">  Summer</t>
  </si>
  <si>
    <t>Seasonally Adjusted kWh</t>
  </si>
  <si>
    <t>Heating</t>
  </si>
  <si>
    <t>Loads are incremental to loads forecasted based on 10-year consumption</t>
  </si>
  <si>
    <t>Figures are added in 'Normalized Annual Summary' and 'kW Forecast'</t>
  </si>
  <si>
    <t>Customer</t>
  </si>
  <si>
    <t>Expansions</t>
  </si>
  <si>
    <t>Burlington</t>
  </si>
  <si>
    <t>Total New Bur. EVs</t>
  </si>
  <si>
    <t>Trajectory to BHI share of population in 2026</t>
  </si>
  <si>
    <t>Total vehicles times share of EVs times BHI share of EVs</t>
  </si>
  <si>
    <t>In year energy savings (GWh)</t>
  </si>
  <si>
    <t>In year energy savings (kWh)</t>
  </si>
  <si>
    <t>Retrofit</t>
  </si>
  <si>
    <t>% of provincial kWh</t>
  </si>
  <si>
    <t xml:space="preserve">Energy Performance </t>
  </si>
  <si>
    <t>Energy Management</t>
  </si>
  <si>
    <t>Total by Year</t>
  </si>
  <si>
    <t>Industrial Energy Efficiency</t>
  </si>
  <si>
    <t>Targeted Greenhouse</t>
  </si>
  <si>
    <t>Local Initiatives</t>
  </si>
  <si>
    <t>Residential Demand Response</t>
  </si>
  <si>
    <t>Energy Affordability Program</t>
  </si>
  <si>
    <t>% of prov. LIM</t>
  </si>
  <si>
    <t>First Nations Program</t>
  </si>
  <si>
    <t xml:space="preserve">Source: </t>
  </si>
  <si>
    <t>2021-2024 Conservation and Demand Management Framework Program Plan 2022-12-15</t>
  </si>
  <si>
    <t>March 2024 APO, page 26</t>
  </si>
  <si>
    <t>"This Forecast assumes the delivery of CDM programs will continue after the current Framework. It is
assumed that the annual savings of new programs will be consistent with levels forecasted for the
enhanced 2021-2024 CDM Framework, on a proportion of gross demand basis."</t>
  </si>
  <si>
    <t>5-Year Avg.</t>
  </si>
  <si>
    <t>Province</t>
  </si>
  <si>
    <t>Cummulative</t>
  </si>
  <si>
    <t>w/ 1/2 Year Adj.</t>
  </si>
  <si>
    <t>OEB Open Data (RRR): Section 2.1.5.4 Demand and Revenue</t>
  </si>
  <si>
    <t>2021 Used</t>
  </si>
  <si>
    <t>Statistics Canada - Population and dwelling counts: Canada and census subdivisions Table 98-10-0002-01</t>
  </si>
  <si>
    <t>GS&lt; 50</t>
  </si>
  <si>
    <t>Total CDM</t>
  </si>
  <si>
    <t>2024 Forecast</t>
  </si>
  <si>
    <t>2025 Forecast</t>
  </si>
  <si>
    <t>2026 Forecast</t>
  </si>
  <si>
    <t>Burlington % Share</t>
  </si>
  <si>
    <t>[Census Family Low Income Measure (CFLIM-AT) Table 11-10-0020-01 data not available for BHI service area)</t>
  </si>
  <si>
    <t>Burlington %</t>
  </si>
  <si>
    <t>2025 Cumulative</t>
  </si>
  <si>
    <t>2026 Cumulative</t>
  </si>
  <si>
    <t>10-year average used</t>
  </si>
  <si>
    <t>F = D * E</t>
  </si>
  <si>
    <t>H</t>
  </si>
  <si>
    <t>I = G * H</t>
  </si>
  <si>
    <t>K</t>
  </si>
  <si>
    <t>L = J * K</t>
  </si>
  <si>
    <t>Incremental CDM (accounting for lost persistence)</t>
  </si>
  <si>
    <t>*Allocations based on LRAMVA allocations in 2015-2019 period</t>
  </si>
  <si>
    <t>Additional Loads</t>
  </si>
  <si>
    <t>H = F + G</t>
  </si>
  <si>
    <t>Normalized with Additional Loads</t>
  </si>
  <si>
    <t>2020 Actual</t>
  </si>
  <si>
    <t>2021 Actual</t>
  </si>
  <si>
    <t>2022 Actual</t>
  </si>
  <si>
    <t>2023 Actual</t>
  </si>
  <si>
    <t>2023 Normal</t>
  </si>
  <si>
    <t>2026 Weather Normal Forecast</t>
  </si>
  <si>
    <t>2026 CDM Adjusted Forecast</t>
  </si>
  <si>
    <t>CovHDD20</t>
  </si>
  <si>
    <t>CovCDD20</t>
  </si>
  <si>
    <t>CovHDD18</t>
  </si>
  <si>
    <t>CovCDD18</t>
  </si>
  <si>
    <t>CovHDD16</t>
  </si>
  <si>
    <t>CovCDD16</t>
  </si>
  <si>
    <t>CovHDD14</t>
  </si>
  <si>
    <t>CovCDD14</t>
  </si>
  <si>
    <t>CovHDD12</t>
  </si>
  <si>
    <t>CovCDD12</t>
  </si>
  <si>
    <t>CovHDD10</t>
  </si>
  <si>
    <t>CovCDD10</t>
  </si>
  <si>
    <t>CovHDD8</t>
  </si>
  <si>
    <t>CovCDD8</t>
  </si>
  <si>
    <t>CWFHHDD20</t>
  </si>
  <si>
    <t>CWFHCDD20</t>
  </si>
  <si>
    <t>CWFHHDD18</t>
  </si>
  <si>
    <t>CWFHCDD18</t>
  </si>
  <si>
    <t>CWFHHDD16</t>
  </si>
  <si>
    <t>CWFHCDD16</t>
  </si>
  <si>
    <t>CWFHHDD14</t>
  </si>
  <si>
    <t>CWFHCDD14</t>
  </si>
  <si>
    <t>CWFHHDD12</t>
  </si>
  <si>
    <t>CWFHCDD12</t>
  </si>
  <si>
    <t>CWFHHDD10</t>
  </si>
  <si>
    <t>CWFHCDD10</t>
  </si>
  <si>
    <t>CWFHHDD8</t>
  </si>
  <si>
    <t>CWFHCDD8</t>
  </si>
  <si>
    <t>Statistics based on the original data</t>
  </si>
  <si>
    <t>Change</t>
  </si>
  <si>
    <t>Ont_FTEAdjChange</t>
  </si>
  <si>
    <t>Ont_FTEChange</t>
  </si>
  <si>
    <t>Tor_FTEAdjChange</t>
  </si>
  <si>
    <t>Tor_FTEChange</t>
  </si>
  <si>
    <t>ON GDPChange</t>
  </si>
  <si>
    <t>OEA_GDPChange</t>
  </si>
  <si>
    <t>Additional EV &amp; Heating Loads</t>
  </si>
  <si>
    <t>2026 Forecast Excluding Additional Loads</t>
  </si>
  <si>
    <t>Total Forecast</t>
  </si>
  <si>
    <t>I = E + H</t>
  </si>
  <si>
    <t>Summary</t>
  </si>
  <si>
    <t>Customers / Connections</t>
  </si>
  <si>
    <t>D = B * C</t>
  </si>
  <si>
    <t>2020 Normal</t>
  </si>
  <si>
    <t>2021 Normal</t>
  </si>
  <si>
    <t>2022 Normal</t>
  </si>
  <si>
    <t>ON EVs as % of All New Vehicles</t>
  </si>
  <si>
    <t>Burlington % of ON New EVs</t>
  </si>
  <si>
    <t>BHI Share</t>
  </si>
  <si>
    <t>WN Predicted</t>
  </si>
  <si>
    <t>Additional</t>
  </si>
  <si>
    <t>Lost</t>
  </si>
  <si>
    <t>Lost Customer</t>
  </si>
  <si>
    <t>Actual/Forcast</t>
  </si>
  <si>
    <t>Forecast</t>
  </si>
  <si>
    <t>Estimated</t>
  </si>
  <si>
    <t>Load of Customer</t>
  </si>
  <si>
    <t>Lost Load</t>
  </si>
  <si>
    <t>Additional / Lost Loads</t>
  </si>
  <si>
    <t>BHI EVs</t>
  </si>
  <si>
    <t>BHI % of ON EVs</t>
  </si>
  <si>
    <t>New Vehicles in BHI</t>
  </si>
  <si>
    <t>Customers/Devices</t>
  </si>
  <si>
    <t>https://economics.td.com/provincial-economic-forecast</t>
  </si>
  <si>
    <t>Q1 2024</t>
  </si>
  <si>
    <t>Q2 2024</t>
  </si>
  <si>
    <t>Actual/Forecast % EVs</t>
  </si>
  <si>
    <t>Federal EV Target</t>
  </si>
  <si>
    <t>Battery EVs</t>
  </si>
  <si>
    <t>Plug-in hybrid EVs</t>
  </si>
  <si>
    <t>All zero-emission vehicles</t>
  </si>
  <si>
    <t>H = G / F</t>
  </si>
  <si>
    <t>J = H * I</t>
  </si>
  <si>
    <t>L</t>
  </si>
  <si>
    <t>M = L / K</t>
  </si>
  <si>
    <t>N</t>
  </si>
  <si>
    <t>O = M * N</t>
  </si>
  <si>
    <t>Avg.</t>
  </si>
  <si>
    <t xml:space="preserve">Trend Ratio </t>
  </si>
  <si>
    <t>https://thoughtleadership.rbc.com/wp-content/uploads/Provincial-Forecast-Tables-Q4-2024.pdf</t>
  </si>
  <si>
    <t>Q3 2024</t>
  </si>
  <si>
    <t>Q4 2024</t>
  </si>
  <si>
    <t>5-year average used</t>
  </si>
  <si>
    <t>2024-2026 Forecasted kWh Savings by Rate Class</t>
  </si>
  <si>
    <t>2024 Actual</t>
  </si>
  <si>
    <t>2024 Normal</t>
  </si>
  <si>
    <t>2025-2026 kW Forcasted Savings by Rate Class</t>
  </si>
  <si>
    <t>Change from 2024 Actual to 2026</t>
  </si>
  <si>
    <t>Change from 2024 Normalized to 2026</t>
  </si>
  <si>
    <t>Model 1: Prais-Winsten, using observations 2015:01-2024:12 (T = 120)</t>
  </si>
  <si>
    <t>rho = 0.504744</t>
  </si>
  <si>
    <t>F(5, 114)</t>
  </si>
  <si>
    <t>Model 2: Prais-Winsten, using observations 2015:01-2024:12 (T = 120)</t>
  </si>
  <si>
    <t>rho = 0.812494</t>
  </si>
  <si>
    <t>F(6, 113)</t>
  </si>
  <si>
    <t>Model 3: Prais-Winsten, using observations 2015:01-2024:12 (T = 120)</t>
  </si>
  <si>
    <t>rho = 0.67884</t>
  </si>
  <si>
    <t>Model 4: Prais-Winsten, using observations 2015:01-2024:12 (T = 120)</t>
  </si>
  <si>
    <t>rho = 0.372005</t>
  </si>
  <si>
    <t>F(2, 117)</t>
  </si>
  <si>
    <t>Model 5: Prais-Winsten, using observations 2015:01-2024:12 (T = 120)</t>
  </si>
  <si>
    <t>rho = 0.628893</t>
  </si>
  <si>
    <t>Model 6: Prais-Winsten, using observations 2015:01-2024:12 (T = 120)</t>
  </si>
  <si>
    <t>rho = 0.602551</t>
  </si>
  <si>
    <t>Latest Figures as of Mar. 24, 2025</t>
  </si>
  <si>
    <t>https://www.scotiabank.com/ca/en/about/economics/economics-publications/post.other-publications.global-outlook-and-forecast-tables.scotiabank%27s-forecast-tables.2025.march-18--2025.html</t>
  </si>
  <si>
    <t>https://economics.bmo.com/media/filer_public/87/50/87502ab6-c105-468a-a0f9-c13afa358db1/outlookprovincial.pdf</t>
  </si>
  <si>
    <t>Source:</t>
  </si>
  <si>
    <t>*Excluded from average (out of date)</t>
  </si>
  <si>
    <t>Average 2017-2024</t>
  </si>
  <si>
    <t>Total BHI EVs times 2024 share of vehicle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</si>
</sst>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d\-mmm\-yyyy"/>
    <numFmt numFmtId="168" formatCode="0.0%"/>
    <numFmt numFmtId="169" formatCode="0.0"/>
    <numFmt numFmtId="170" formatCode="_(* #,##0_);_(* \(#,##0\);_(* &quot;-&quot;??_);_(@_)"/>
    <numFmt numFmtId="171" formatCode="0.000000"/>
    <numFmt numFmtId="172" formatCode="_(* #,##0.0_);_(* \(#,##0.0\);_(* &quot;-&quot;??_);_(@_)"/>
    <numFmt numFmtId="173" formatCode="_-* #,##0_-;\-* #,##0_-;_-* &quot;-&quot;??_-;_-@_-"/>
    <numFmt numFmtId="174" formatCode="_-* #,##0.000000_-;\-* #,##0.000000_-;_-* &quot;-&quot;??_-;_-@_-"/>
    <numFmt numFmtId="175" formatCode="0_);\(0\)"/>
    <numFmt numFmtId="176" formatCode="#,##0.0"/>
    <numFmt numFmtId="177" formatCode="0\-0"/>
    <numFmt numFmtId="178" formatCode="##\-#"/>
    <numFmt numFmtId="179" formatCode="&quot;£ &quot;#,##0.00;[Red]\-&quot;£ &quot;#,##0.00"/>
    <numFmt numFmtId="180" formatCode="0.0000000%"/>
    <numFmt numFmtId="181" formatCode="0.000%"/>
    <numFmt numFmtId="182" formatCode="#,##0.000"/>
    <numFmt numFmtId="183" formatCode="_(* #,##0_);_(* \(#,##0\);_(* &quot;-&quot;?_);_(@_)"/>
    <numFmt numFmtId="184" formatCode="_(* #,##0.0_);_(* \(#,##0.0\);_(* &quot;-&quot;?_);_(@_)"/>
    <numFmt numFmtId="185" formatCode="_(* #,##0.000_);_(* \(#,##0.000\);_(* &quot;-&quot;??_);_(@_)"/>
    <numFmt numFmtId="186" formatCode="0.000"/>
    <numFmt numFmtId="187" formatCode="_(* #,##0.0000_);_(* \(#,##0.0000\);_(* &quot;-&quot;??_);_(@_)"/>
  </numFmts>
  <fonts count="70" x14ac:knownFonts="1">
    <font>
      <sz val="1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10"/>
      <name val="Arial"/>
      <family val="2"/>
    </font>
    <font>
      <sz val="11"/>
      <color rgb="FFFF0000"/>
      <name val="Calibri"/>
      <family val="2"/>
      <scheme val="minor"/>
    </font>
    <font>
      <b/>
      <sz val="11"/>
      <color theme="1"/>
      <name val="Calibri"/>
      <family val="2"/>
      <scheme val="minor"/>
    </font>
    <font>
      <i/>
      <sz val="10"/>
      <color rgb="FFC00000"/>
      <name val="Times New Roman"/>
      <family val="1"/>
    </font>
    <font>
      <b/>
      <sz val="11"/>
      <name val="Arial"/>
      <family val="2"/>
    </font>
    <font>
      <sz val="11"/>
      <name val="Times New Roman"/>
      <family val="1"/>
    </font>
    <font>
      <sz val="11"/>
      <color theme="1"/>
      <name val="Times New Roman"/>
      <family val="1"/>
    </font>
    <font>
      <b/>
      <sz val="10"/>
      <name val="Arial"/>
      <family val="2"/>
    </font>
    <font>
      <sz val="10"/>
      <color rgb="FFFF0000"/>
      <name val="Arial"/>
      <family val="2"/>
    </font>
    <font>
      <b/>
      <sz val="12"/>
      <name val="Arial"/>
      <family val="2"/>
    </font>
    <font>
      <b/>
      <sz val="10"/>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2"/>
      <color rgb="FF000000"/>
      <name val="Arial"/>
      <family val="2"/>
    </font>
    <font>
      <b/>
      <sz val="18"/>
      <color theme="3"/>
      <name val="Calibri Light"/>
      <family val="2"/>
      <scheme val="major"/>
    </font>
    <font>
      <sz val="11"/>
      <color rgb="FF9C6500"/>
      <name val="Calibri"/>
      <family val="2"/>
      <scheme val="minor"/>
    </font>
    <font>
      <sz val="11"/>
      <name val="Calibri"/>
      <family val="2"/>
    </font>
    <font>
      <sz val="12"/>
      <name val="Arial"/>
      <family val="2"/>
    </font>
    <font>
      <sz val="11"/>
      <color theme="1"/>
      <name val="Arial"/>
      <family val="2"/>
    </font>
    <font>
      <sz val="8"/>
      <name val="Arial"/>
      <family val="2"/>
    </font>
    <font>
      <u/>
      <sz val="8"/>
      <color rgb="FF0000FF"/>
      <name val="Calibri"/>
      <family val="2"/>
      <scheme val="minor"/>
    </font>
    <font>
      <sz val="8"/>
      <name val="Times New Roman"/>
      <family val="1"/>
    </font>
    <font>
      <b/>
      <sz val="10"/>
      <color rgb="FFFF0000"/>
      <name val="Arial"/>
      <family val="2"/>
    </font>
    <font>
      <sz val="10"/>
      <color rgb="FFFF0000"/>
      <name val="Times New Roman"/>
      <family val="1"/>
    </font>
    <font>
      <sz val="10"/>
      <color rgb="FFC00000"/>
      <name val="Times New Roman"/>
      <family val="1"/>
    </font>
    <font>
      <sz val="15"/>
      <color rgb="FF000000"/>
      <name val="Arial"/>
      <family val="2"/>
    </font>
    <font>
      <u/>
      <sz val="11"/>
      <color theme="10"/>
      <name val="Calibri"/>
      <family val="2"/>
      <scheme val="minor"/>
    </font>
    <font>
      <sz val="10"/>
      <name val="Calibri"/>
      <family val="2"/>
      <scheme val="minor"/>
    </font>
    <font>
      <sz val="11"/>
      <name val="Calibri"/>
      <family val="2"/>
      <scheme val="minor"/>
    </font>
    <font>
      <i/>
      <sz val="10"/>
      <color rgb="FFFF0000"/>
      <name val="Arial"/>
      <family val="2"/>
    </font>
    <font>
      <i/>
      <sz val="11"/>
      <color theme="1"/>
      <name val="Calibri"/>
      <family val="2"/>
      <scheme val="minor"/>
    </font>
    <font>
      <b/>
      <i/>
      <sz val="11"/>
      <color theme="1"/>
      <name val="Calibri"/>
      <family val="2"/>
      <scheme val="minor"/>
    </font>
    <font>
      <sz val="11"/>
      <color indexed="8"/>
      <name val="Calibri"/>
      <family val="2"/>
    </font>
    <font>
      <b/>
      <sz val="14"/>
      <color theme="1"/>
      <name val="Calibri"/>
      <family val="2"/>
      <scheme val="minor"/>
    </font>
    <font>
      <b/>
      <sz val="10"/>
      <color theme="0"/>
      <name val="Arial"/>
      <family val="2"/>
    </font>
    <font>
      <b/>
      <sz val="11"/>
      <color theme="1"/>
      <name val="Arial"/>
      <family val="2"/>
    </font>
    <font>
      <b/>
      <sz val="12"/>
      <color theme="1"/>
      <name val="Arial"/>
      <family val="2"/>
    </font>
    <font>
      <b/>
      <sz val="10"/>
      <color theme="1"/>
      <name val="Arial"/>
      <family val="2"/>
    </font>
    <font>
      <sz val="10"/>
      <color theme="1"/>
      <name val="Arial"/>
      <family val="2"/>
    </font>
    <font>
      <sz val="10"/>
      <color rgb="FF000000"/>
      <name val="Arial"/>
      <family val="2"/>
    </font>
    <font>
      <b/>
      <sz val="10"/>
      <color rgb="FF000000"/>
      <name val="Arial"/>
      <family val="2"/>
    </font>
    <font>
      <i/>
      <sz val="10"/>
      <name val="Arial"/>
      <family val="2"/>
    </font>
    <font>
      <b/>
      <i/>
      <sz val="10"/>
      <color theme="0"/>
      <name val="Arial"/>
      <family val="2"/>
    </font>
    <font>
      <sz val="11"/>
      <color theme="0"/>
      <name val="Arial"/>
      <family val="2"/>
    </font>
    <font>
      <b/>
      <sz val="11"/>
      <color theme="0"/>
      <name val="Arial"/>
      <family val="2"/>
    </font>
    <font>
      <sz val="10"/>
      <color theme="0"/>
      <name val="Arial"/>
      <family val="2"/>
    </font>
    <font>
      <b/>
      <sz val="10"/>
      <color theme="0"/>
      <name val="Times New Roman"/>
      <family val="1"/>
    </font>
    <font>
      <sz val="11"/>
      <name val="Arial"/>
      <family val="2"/>
    </font>
    <font>
      <i/>
      <sz val="10"/>
      <name val="Times New Roman"/>
      <family val="1"/>
    </font>
    <font>
      <sz val="10"/>
      <color rgb="FF000000"/>
      <name val="Times New Roman"/>
      <family val="1"/>
    </font>
    <font>
      <sz val="11"/>
      <color rgb="FF000000"/>
      <name val="Calibri"/>
      <family val="2"/>
      <scheme val="minor"/>
    </font>
  </fonts>
  <fills count="4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theme="2"/>
        <bgColor indexed="64"/>
      </patternFill>
    </fill>
    <fill>
      <patternFill patternType="solid">
        <fgColor theme="7"/>
        <bgColor indexed="64"/>
      </patternFill>
    </fill>
    <fill>
      <patternFill patternType="solid">
        <fgColor theme="9" tint="0.39997558519241921"/>
        <bgColor indexed="64"/>
      </patternFill>
    </fill>
    <fill>
      <patternFill patternType="solid">
        <fgColor rgb="FF0070C0"/>
        <bgColor indexed="64"/>
      </patternFill>
    </fill>
    <fill>
      <patternFill patternType="solid">
        <fgColor theme="0" tint="-4.9989318521683403E-2"/>
        <bgColor indexed="64"/>
      </patternFill>
    </fill>
    <fill>
      <patternFill patternType="solid">
        <fgColor rgb="FFFFFFCC"/>
        <bgColor indexed="64"/>
      </patternFill>
    </fill>
  </fills>
  <borders count="6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297">
    <xf numFmtId="0" fontId="0" fillId="0" borderId="0"/>
    <xf numFmtId="166" fontId="8" fillId="0" borderId="0" applyFont="0" applyFill="0" applyBorder="0" applyAlignment="0" applyProtection="0"/>
    <xf numFmtId="0" fontId="7" fillId="0" borderId="0"/>
    <xf numFmtId="9" fontId="8" fillId="0" borderId="0" applyFont="0" applyFill="0" applyBorder="0" applyAlignment="0" applyProtection="0"/>
    <xf numFmtId="0" fontId="9" fillId="0" borderId="0"/>
    <xf numFmtId="0" fontId="6" fillId="0" borderId="0"/>
    <xf numFmtId="0" fontId="8" fillId="0" borderId="0"/>
    <xf numFmtId="9"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166" fontId="35" fillId="0" borderId="0" applyFont="0" applyFill="0" applyBorder="0" applyAlignment="0" applyProtection="0"/>
    <xf numFmtId="172" fontId="9" fillId="0" borderId="0"/>
    <xf numFmtId="176" fontId="9" fillId="0" borderId="0"/>
    <xf numFmtId="172" fontId="9" fillId="0" borderId="0"/>
    <xf numFmtId="172" fontId="9" fillId="0" borderId="0"/>
    <xf numFmtId="172" fontId="9" fillId="0" borderId="0"/>
    <xf numFmtId="172" fontId="9" fillId="0" borderId="0"/>
    <xf numFmtId="172" fontId="9" fillId="0" borderId="0"/>
    <xf numFmtId="172" fontId="9" fillId="0" borderId="0"/>
    <xf numFmtId="172" fontId="9" fillId="0" borderId="0"/>
    <xf numFmtId="172" fontId="9" fillId="0" borderId="0"/>
    <xf numFmtId="172" fontId="9" fillId="0" borderId="0"/>
    <xf numFmtId="172" fontId="9" fillId="0" borderId="0"/>
    <xf numFmtId="172" fontId="9" fillId="0" borderId="0"/>
    <xf numFmtId="172" fontId="9" fillId="0" borderId="0"/>
    <xf numFmtId="172" fontId="9" fillId="0" borderId="0"/>
    <xf numFmtId="14" fontId="9" fillId="0" borderId="0"/>
    <xf numFmtId="177" fontId="9" fillId="0" borderId="0"/>
    <xf numFmtId="14" fontId="9" fillId="0" borderId="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1" fillId="16" borderId="0" applyNumberFormat="0" applyBorder="0" applyAlignment="0" applyProtection="0"/>
    <xf numFmtId="0" fontId="31" fillId="20"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36"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24" fillId="7" borderId="0" applyNumberFormat="0" applyBorder="0" applyAlignment="0" applyProtection="0"/>
    <xf numFmtId="0" fontId="27" fillId="10" borderId="29" applyNumberFormat="0" applyAlignment="0" applyProtection="0"/>
    <xf numFmtId="0" fontId="29" fillId="11" borderId="32" applyNumberFormat="0" applyAlignment="0" applyProtection="0"/>
    <xf numFmtId="166"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9"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36"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165" fontId="37" fillId="0" borderId="0" applyFont="0" applyFill="0" applyBorder="0" applyAlignment="0" applyProtection="0"/>
    <xf numFmtId="165" fontId="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9" fillId="0" borderId="0" applyFont="0" applyFill="0" applyBorder="0" applyAlignment="0" applyProtection="0"/>
    <xf numFmtId="14" fontId="9" fillId="0" borderId="0" applyFont="0" applyFill="0" applyBorder="0" applyAlignment="0" applyProtection="0"/>
    <xf numFmtId="0" fontId="30" fillId="0" borderId="0" applyNumberFormat="0" applyFill="0" applyBorder="0" applyAlignment="0" applyProtection="0"/>
    <xf numFmtId="2" fontId="9" fillId="0" borderId="0" applyFont="0" applyFill="0" applyBorder="0" applyAlignment="0" applyProtection="0"/>
    <xf numFmtId="0" fontId="23" fillId="6" borderId="0" applyNumberFormat="0" applyBorder="0" applyAlignment="0" applyProtection="0"/>
    <xf numFmtId="38" fontId="38" fillId="37" borderId="0" applyNumberFormat="0" applyBorder="0" applyAlignment="0" applyProtection="0"/>
    <xf numFmtId="0" fontId="20" fillId="0" borderId="26" applyNumberFormat="0" applyFill="0" applyAlignment="0" applyProtection="0"/>
    <xf numFmtId="0" fontId="21" fillId="0" borderId="27" applyNumberFormat="0" applyFill="0" applyAlignment="0" applyProtection="0"/>
    <xf numFmtId="0" fontId="22" fillId="0" borderId="28" applyNumberFormat="0" applyFill="0" applyAlignment="0" applyProtection="0"/>
    <xf numFmtId="0" fontId="22" fillId="0" borderId="0" applyNumberFormat="0" applyFill="0" applyBorder="0" applyAlignment="0" applyProtection="0"/>
    <xf numFmtId="0" fontId="39" fillId="0" borderId="0" applyNumberFormat="0" applyFill="0" applyBorder="0" applyAlignment="0" applyProtection="0"/>
    <xf numFmtId="10" fontId="38" fillId="38" borderId="2" applyNumberFormat="0" applyBorder="0" applyAlignment="0" applyProtection="0"/>
    <xf numFmtId="0" fontId="25" fillId="9" borderId="29" applyNumberFormat="0" applyAlignment="0" applyProtection="0"/>
    <xf numFmtId="0" fontId="28" fillId="0" borderId="31" applyNumberFormat="0" applyFill="0" applyAlignment="0" applyProtection="0"/>
    <xf numFmtId="178" fontId="9" fillId="0" borderId="0"/>
    <xf numFmtId="170" fontId="9" fillId="0" borderId="0"/>
    <xf numFmtId="178" fontId="9" fillId="0" borderId="0"/>
    <xf numFmtId="178" fontId="9" fillId="0" borderId="0"/>
    <xf numFmtId="178" fontId="9" fillId="0" borderId="0"/>
    <xf numFmtId="178" fontId="9" fillId="0" borderId="0"/>
    <xf numFmtId="178" fontId="9" fillId="0" borderId="0"/>
    <xf numFmtId="178" fontId="9" fillId="0" borderId="0"/>
    <xf numFmtId="178" fontId="9" fillId="0" borderId="0"/>
    <xf numFmtId="178" fontId="9" fillId="0" borderId="0"/>
    <xf numFmtId="178" fontId="9" fillId="0" borderId="0"/>
    <xf numFmtId="178" fontId="9" fillId="0" borderId="0"/>
    <xf numFmtId="178" fontId="9" fillId="0" borderId="0"/>
    <xf numFmtId="178" fontId="9" fillId="0" borderId="0"/>
    <xf numFmtId="178" fontId="9" fillId="0" borderId="0"/>
    <xf numFmtId="0" fontId="34" fillId="8" borderId="0" applyNumberFormat="0" applyBorder="0" applyAlignment="0" applyProtection="0"/>
    <xf numFmtId="179" fontId="9" fillId="0" borderId="0"/>
    <xf numFmtId="0" fontId="5" fillId="0" borderId="0"/>
    <xf numFmtId="0" fontId="9"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9" fillId="0" borderId="0"/>
    <xf numFmtId="0" fontId="5" fillId="0" borderId="0"/>
    <xf numFmtId="0" fontId="5" fillId="0" borderId="0"/>
    <xf numFmtId="0" fontId="5" fillId="0" borderId="0"/>
    <xf numFmtId="0" fontId="9" fillId="0" borderId="0"/>
    <xf numFmtId="0" fontId="9" fillId="0" borderId="0"/>
    <xf numFmtId="0" fontId="5" fillId="0" borderId="0"/>
    <xf numFmtId="0" fontId="5" fillId="0" borderId="0"/>
    <xf numFmtId="0" fontId="5" fillId="0" borderId="0"/>
    <xf numFmtId="0" fontId="9"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9" fillId="0" borderId="0"/>
    <xf numFmtId="0" fontId="9" fillId="0" borderId="0"/>
    <xf numFmtId="0" fontId="5" fillId="0" borderId="0"/>
    <xf numFmtId="0" fontId="5" fillId="0" borderId="0"/>
    <xf numFmtId="0" fontId="5" fillId="0" borderId="0"/>
    <xf numFmtId="0" fontId="37" fillId="0" borderId="0"/>
    <xf numFmtId="0" fontId="5" fillId="0" borderId="0"/>
    <xf numFmtId="0" fontId="5" fillId="0" borderId="0"/>
    <xf numFmtId="0" fontId="9" fillId="0" borderId="0"/>
    <xf numFmtId="0" fontId="9" fillId="0" borderId="0"/>
    <xf numFmtId="0" fontId="5" fillId="0" borderId="0"/>
    <xf numFmtId="0" fontId="5" fillId="0" borderId="0"/>
    <xf numFmtId="0" fontId="5" fillId="0" borderId="0"/>
    <xf numFmtId="0" fontId="5" fillId="12" borderId="33" applyNumberFormat="0" applyFont="0" applyAlignment="0" applyProtection="0"/>
    <xf numFmtId="0" fontId="5" fillId="12" borderId="33" applyNumberFormat="0" applyFont="0" applyAlignment="0" applyProtection="0"/>
    <xf numFmtId="0" fontId="5" fillId="12" borderId="33" applyNumberFormat="0" applyFont="0" applyAlignment="0" applyProtection="0"/>
    <xf numFmtId="0" fontId="26" fillId="10" borderId="30" applyNumberFormat="0" applyAlignment="0" applyProtection="0"/>
    <xf numFmtId="10" fontId="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3" fillId="0" borderId="0" applyNumberFormat="0" applyFill="0" applyBorder="0" applyAlignment="0" applyProtection="0"/>
    <xf numFmtId="0" fontId="11" fillId="0" borderId="34" applyNumberFormat="0" applyFill="0" applyAlignment="0" applyProtection="0"/>
    <xf numFmtId="0" fontId="10" fillId="0" borderId="0" applyNumberFormat="0" applyFill="0" applyBorder="0" applyAlignment="0" applyProtection="0"/>
    <xf numFmtId="0" fontId="4" fillId="0" borderId="0"/>
    <xf numFmtId="0" fontId="45" fillId="0" borderId="0" applyNumberForma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166" fontId="51"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581">
    <xf numFmtId="0" fontId="0" fillId="0" borderId="0" xfId="0"/>
    <xf numFmtId="0" fontId="9" fillId="0" borderId="0" xfId="0" applyFont="1"/>
    <xf numFmtId="166" fontId="9" fillId="0" borderId="0" xfId="1" applyFont="1"/>
    <xf numFmtId="14" fontId="9" fillId="0" borderId="0" xfId="0" applyNumberFormat="1" applyFont="1"/>
    <xf numFmtId="0" fontId="9" fillId="0" borderId="0" xfId="1" applyNumberFormat="1" applyFont="1"/>
    <xf numFmtId="3" fontId="9" fillId="0" borderId="0" xfId="0" applyNumberFormat="1" applyFont="1"/>
    <xf numFmtId="3" fontId="9" fillId="0" borderId="0" xfId="0" quotePrefix="1" applyNumberFormat="1" applyFont="1"/>
    <xf numFmtId="3" fontId="9" fillId="0" borderId="0" xfId="1" applyNumberFormat="1" applyFont="1"/>
    <xf numFmtId="3" fontId="0" fillId="0" borderId="0" xfId="0" applyNumberFormat="1"/>
    <xf numFmtId="14" fontId="0" fillId="0" borderId="0" xfId="0" applyNumberFormat="1"/>
    <xf numFmtId="0" fontId="9" fillId="0" borderId="0" xfId="4"/>
    <xf numFmtId="167" fontId="9" fillId="0" borderId="0" xfId="4" applyNumberFormat="1"/>
    <xf numFmtId="10" fontId="9" fillId="0" borderId="0" xfId="4" applyNumberFormat="1"/>
    <xf numFmtId="2" fontId="0" fillId="0" borderId="0" xfId="0" applyNumberFormat="1"/>
    <xf numFmtId="169" fontId="0" fillId="0" borderId="0" xfId="0" applyNumberFormat="1"/>
    <xf numFmtId="14" fontId="12" fillId="0" borderId="0" xfId="0" applyNumberFormat="1" applyFont="1"/>
    <xf numFmtId="0" fontId="12" fillId="0" borderId="0" xfId="0" applyFont="1"/>
    <xf numFmtId="2" fontId="12" fillId="0" borderId="0" xfId="0" applyNumberFormat="1" applyFont="1"/>
    <xf numFmtId="170" fontId="0" fillId="0" borderId="0" xfId="1" applyNumberFormat="1" applyFont="1"/>
    <xf numFmtId="171" fontId="0" fillId="0" borderId="0" xfId="0" applyNumberFormat="1"/>
    <xf numFmtId="172" fontId="0" fillId="0" borderId="0" xfId="1" applyNumberFormat="1" applyFont="1"/>
    <xf numFmtId="0" fontId="14" fillId="0" borderId="0" xfId="0" applyFont="1"/>
    <xf numFmtId="0" fontId="14" fillId="0" borderId="0" xfId="0" applyFont="1" applyAlignment="1">
      <alignment horizontal="left"/>
    </xf>
    <xf numFmtId="170" fontId="14" fillId="0" borderId="0" xfId="1" applyNumberFormat="1" applyFont="1"/>
    <xf numFmtId="0" fontId="14"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9" fillId="4" borderId="0" xfId="0" applyFont="1" applyFill="1"/>
    <xf numFmtId="0" fontId="9" fillId="5" borderId="0" xfId="0" applyFont="1" applyFill="1"/>
    <xf numFmtId="1" fontId="9" fillId="5" borderId="0" xfId="0" applyNumberFormat="1" applyFont="1" applyFill="1"/>
    <xf numFmtId="170" fontId="0" fillId="0" borderId="0" xfId="1" applyNumberFormat="1" applyFont="1" applyAlignment="1">
      <alignment horizontal="right"/>
    </xf>
    <xf numFmtId="166" fontId="0" fillId="0" borderId="0" xfId="0" applyNumberFormat="1"/>
    <xf numFmtId="170" fontId="0" fillId="0" borderId="0" xfId="0" applyNumberFormat="1"/>
    <xf numFmtId="11" fontId="0" fillId="0" borderId="0" xfId="0" applyNumberFormat="1"/>
    <xf numFmtId="1" fontId="0" fillId="0" borderId="0" xfId="0" applyNumberFormat="1"/>
    <xf numFmtId="9" fontId="0" fillId="0" borderId="0" xfId="3" applyFont="1"/>
    <xf numFmtId="168" fontId="0" fillId="0" borderId="0" xfId="3" applyNumberFormat="1" applyFont="1"/>
    <xf numFmtId="168" fontId="0" fillId="0" borderId="0" xfId="0" applyNumberFormat="1"/>
    <xf numFmtId="0" fontId="10" fillId="0" borderId="0" xfId="0" applyFont="1"/>
    <xf numFmtId="0" fontId="13" fillId="0" borderId="0" xfId="0" applyFont="1"/>
    <xf numFmtId="0" fontId="0" fillId="0" borderId="0" xfId="0" applyAlignment="1">
      <alignment horizontal="center"/>
    </xf>
    <xf numFmtId="169" fontId="10" fillId="0" borderId="0" xfId="0" applyNumberFormat="1" applyFont="1"/>
    <xf numFmtId="0" fontId="9" fillId="3" borderId="0" xfId="4" applyFill="1"/>
    <xf numFmtId="3" fontId="9" fillId="3" borderId="0" xfId="4" applyNumberFormat="1" applyFill="1"/>
    <xf numFmtId="3" fontId="17" fillId="3" borderId="0" xfId="4" applyNumberFormat="1" applyFont="1" applyFill="1"/>
    <xf numFmtId="0" fontId="17" fillId="3" borderId="0" xfId="4" applyFont="1" applyFill="1"/>
    <xf numFmtId="3" fontId="9" fillId="0" borderId="0" xfId="4" applyNumberFormat="1"/>
    <xf numFmtId="10" fontId="9" fillId="0" borderId="0" xfId="7" applyNumberFormat="1"/>
    <xf numFmtId="0" fontId="17" fillId="0" borderId="0" xfId="4" applyFont="1"/>
    <xf numFmtId="3" fontId="17" fillId="0" borderId="0" xfId="4" applyNumberFormat="1" applyFont="1"/>
    <xf numFmtId="10" fontId="17" fillId="0" borderId="0" xfId="7" applyNumberFormat="1" applyFont="1"/>
    <xf numFmtId="0" fontId="9" fillId="0" borderId="0" xfId="4" applyAlignment="1">
      <alignment horizontal="center"/>
    </xf>
    <xf numFmtId="10" fontId="9" fillId="2" borderId="0" xfId="7" applyNumberFormat="1" applyFill="1"/>
    <xf numFmtId="0" fontId="16" fillId="0" borderId="0" xfId="4" applyFont="1" applyAlignment="1">
      <alignment horizontal="center"/>
    </xf>
    <xf numFmtId="171" fontId="9" fillId="0" borderId="0" xfId="4" applyNumberFormat="1"/>
    <xf numFmtId="173" fontId="0" fillId="0" borderId="0" xfId="8" applyNumberFormat="1" applyFont="1"/>
    <xf numFmtId="171" fontId="16" fillId="0" borderId="0" xfId="4" applyNumberFormat="1" applyFont="1" applyAlignment="1">
      <alignment horizontal="center"/>
    </xf>
    <xf numFmtId="173" fontId="16" fillId="0" borderId="0" xfId="8" applyNumberFormat="1" applyFont="1" applyAlignment="1">
      <alignment horizontal="center"/>
    </xf>
    <xf numFmtId="170" fontId="17" fillId="0" borderId="0" xfId="1" applyNumberFormat="1" applyFont="1"/>
    <xf numFmtId="174" fontId="17" fillId="0" borderId="0" xfId="8" applyNumberFormat="1" applyFont="1"/>
    <xf numFmtId="170" fontId="9" fillId="0" borderId="0" xfId="1" applyNumberFormat="1" applyFont="1"/>
    <xf numFmtId="0" fontId="18" fillId="3" borderId="0" xfId="4" applyFont="1" applyFill="1"/>
    <xf numFmtId="0" fontId="16" fillId="3" borderId="6" xfId="4" applyFont="1" applyFill="1" applyBorder="1" applyAlignment="1">
      <alignment horizontal="center"/>
    </xf>
    <xf numFmtId="3" fontId="9" fillId="3" borderId="7" xfId="4" applyNumberFormat="1" applyFill="1" applyBorder="1"/>
    <xf numFmtId="0" fontId="16" fillId="3" borderId="8" xfId="4" applyFont="1" applyFill="1" applyBorder="1" applyAlignment="1">
      <alignment horizontal="center"/>
    </xf>
    <xf numFmtId="10" fontId="0" fillId="0" borderId="0" xfId="0" applyNumberFormat="1"/>
    <xf numFmtId="4" fontId="32" fillId="0" borderId="0" xfId="0" applyNumberFormat="1" applyFont="1" applyAlignment="1">
      <alignment horizontal="right" vertical="center"/>
    </xf>
    <xf numFmtId="3" fontId="9" fillId="0" borderId="0" xfId="4" applyNumberFormat="1" applyAlignment="1">
      <alignment horizontal="center"/>
    </xf>
    <xf numFmtId="170" fontId="9" fillId="0" borderId="0" xfId="1" applyNumberFormat="1" applyFont="1" applyAlignment="1">
      <alignment horizontal="center"/>
    </xf>
    <xf numFmtId="9" fontId="9" fillId="0" borderId="0" xfId="235" applyFont="1"/>
    <xf numFmtId="9" fontId="9" fillId="0" borderId="0" xfId="4" applyNumberFormat="1"/>
    <xf numFmtId="171" fontId="9" fillId="2" borderId="0" xfId="4" applyNumberFormat="1" applyFill="1"/>
    <xf numFmtId="170" fontId="14" fillId="2" borderId="0" xfId="1" applyNumberFormat="1" applyFont="1" applyFill="1"/>
    <xf numFmtId="170" fontId="14" fillId="0" borderId="0" xfId="1" applyNumberFormat="1" applyFont="1" applyFill="1"/>
    <xf numFmtId="170" fontId="9" fillId="0" borderId="0" xfId="0" applyNumberFormat="1" applyFont="1"/>
    <xf numFmtId="172" fontId="9" fillId="0" borderId="0" xfId="0" applyNumberFormat="1" applyFont="1"/>
    <xf numFmtId="10" fontId="0" fillId="0" borderId="0" xfId="3" applyNumberFormat="1" applyFont="1"/>
    <xf numFmtId="174" fontId="41" fillId="0" borderId="0" xfId="8" applyNumberFormat="1" applyFont="1"/>
    <xf numFmtId="9" fontId="0" fillId="0" borderId="0" xfId="0" applyNumberFormat="1"/>
    <xf numFmtId="0" fontId="42" fillId="0" borderId="0" xfId="0" applyFont="1"/>
    <xf numFmtId="170" fontId="14" fillId="0" borderId="0" xfId="0" applyNumberFormat="1" applyFont="1"/>
    <xf numFmtId="166" fontId="14" fillId="0" borderId="0" xfId="0" applyNumberFormat="1" applyFont="1"/>
    <xf numFmtId="172" fontId="14" fillId="0" borderId="0" xfId="1" applyNumberFormat="1" applyFont="1"/>
    <xf numFmtId="170" fontId="12" fillId="0" borderId="0" xfId="1" applyNumberFormat="1" applyFont="1"/>
    <xf numFmtId="2" fontId="42" fillId="0" borderId="0" xfId="0" applyNumberFormat="1" applyFont="1"/>
    <xf numFmtId="180" fontId="0" fillId="0" borderId="0" xfId="3" applyNumberFormat="1" applyFont="1"/>
    <xf numFmtId="172" fontId="43" fillId="0" borderId="0" xfId="1" applyNumberFormat="1" applyFont="1"/>
    <xf numFmtId="10" fontId="43" fillId="0" borderId="0" xfId="3" applyNumberFormat="1" applyFont="1"/>
    <xf numFmtId="0" fontId="43" fillId="0" borderId="0" xfId="0" applyFont="1"/>
    <xf numFmtId="17" fontId="44" fillId="0" borderId="0" xfId="0" applyNumberFormat="1" applyFont="1" applyAlignment="1">
      <alignment horizontal="left" vertical="center" wrapText="1"/>
    </xf>
    <xf numFmtId="4" fontId="44" fillId="0" borderId="0" xfId="0" applyNumberFormat="1" applyFont="1" applyAlignment="1">
      <alignment horizontal="right" vertical="center"/>
    </xf>
    <xf numFmtId="0" fontId="44" fillId="0" borderId="0" xfId="0" applyFont="1" applyAlignment="1">
      <alignment horizontal="right" vertical="center"/>
    </xf>
    <xf numFmtId="182" fontId="0" fillId="0" borderId="0" xfId="0" applyNumberFormat="1"/>
    <xf numFmtId="170" fontId="14" fillId="0" borderId="0" xfId="1" applyNumberFormat="1" applyFont="1" applyFill="1" applyBorder="1"/>
    <xf numFmtId="174" fontId="41" fillId="0" borderId="0" xfId="8" applyNumberFormat="1" applyFont="1" applyFill="1"/>
    <xf numFmtId="2" fontId="14" fillId="0" borderId="0" xfId="0" applyNumberFormat="1" applyFont="1"/>
    <xf numFmtId="168" fontId="0" fillId="0" borderId="0" xfId="3" applyNumberFormat="1" applyFont="1" applyBorder="1"/>
    <xf numFmtId="17" fontId="9" fillId="0" borderId="0" xfId="0" applyNumberFormat="1" applyFont="1"/>
    <xf numFmtId="0" fontId="45" fillId="0" borderId="0" xfId="287"/>
    <xf numFmtId="0" fontId="0" fillId="0" borderId="35" xfId="0" applyBorder="1"/>
    <xf numFmtId="0" fontId="46" fillId="0" borderId="36" xfId="0" applyFont="1" applyBorder="1" applyAlignment="1">
      <alignment horizontal="center"/>
    </xf>
    <xf numFmtId="0" fontId="0" fillId="0" borderId="36" xfId="0" applyBorder="1"/>
    <xf numFmtId="0" fontId="0" fillId="0" borderId="37" xfId="0" applyBorder="1" applyAlignment="1">
      <alignment horizontal="center"/>
    </xf>
    <xf numFmtId="0" fontId="0" fillId="0" borderId="38" xfId="0" applyBorder="1"/>
    <xf numFmtId="0" fontId="0" fillId="0" borderId="39" xfId="0" applyBorder="1"/>
    <xf numFmtId="10" fontId="0" fillId="0" borderId="39" xfId="0" applyNumberFormat="1" applyBorder="1"/>
    <xf numFmtId="0" fontId="47" fillId="0" borderId="0" xfId="0" applyFont="1" applyAlignment="1">
      <alignment horizontal="center"/>
    </xf>
    <xf numFmtId="0" fontId="47" fillId="0" borderId="38" xfId="4" applyFont="1" applyBorder="1"/>
    <xf numFmtId="0" fontId="0" fillId="0" borderId="40" xfId="0" applyBorder="1"/>
    <xf numFmtId="10" fontId="0" fillId="0" borderId="1" xfId="0" applyNumberFormat="1" applyBorder="1"/>
    <xf numFmtId="10" fontId="0" fillId="0" borderId="41" xfId="0" applyNumberFormat="1" applyBorder="1"/>
    <xf numFmtId="168" fontId="0" fillId="0" borderId="1" xfId="0" applyNumberFormat="1" applyBorder="1"/>
    <xf numFmtId="166" fontId="0" fillId="0" borderId="0" xfId="1" applyFont="1" applyAlignment="1">
      <alignment horizontal="center"/>
    </xf>
    <xf numFmtId="172" fontId="12" fillId="0" borderId="0" xfId="1" applyNumberFormat="1" applyFont="1"/>
    <xf numFmtId="14" fontId="43" fillId="0" borderId="0" xfId="0" applyNumberFormat="1" applyFont="1"/>
    <xf numFmtId="170" fontId="9" fillId="4" borderId="0" xfId="1" applyNumberFormat="1" applyFont="1" applyFill="1"/>
    <xf numFmtId="170" fontId="0" fillId="39" borderId="0" xfId="1" applyNumberFormat="1" applyFont="1" applyFill="1" applyAlignment="1">
      <alignment horizontal="right"/>
    </xf>
    <xf numFmtId="0" fontId="19" fillId="0" borderId="0" xfId="0" applyFont="1" applyAlignment="1">
      <alignment horizontal="right"/>
    </xf>
    <xf numFmtId="0" fontId="0" fillId="0" borderId="0" xfId="0" applyAlignment="1">
      <alignment horizontal="right"/>
    </xf>
    <xf numFmtId="0" fontId="10" fillId="0" borderId="42" xfId="0" applyFont="1" applyBorder="1"/>
    <xf numFmtId="182" fontId="48" fillId="0" borderId="0" xfId="4" applyNumberFormat="1" applyFont="1" applyAlignment="1">
      <alignment horizontal="center"/>
    </xf>
    <xf numFmtId="170" fontId="0" fillId="40" borderId="0" xfId="0" applyNumberFormat="1" applyFill="1"/>
    <xf numFmtId="170" fontId="0" fillId="41" borderId="0" xfId="0" applyNumberFormat="1" applyFill="1"/>
    <xf numFmtId="173" fontId="0" fillId="0" borderId="0" xfId="1" applyNumberFormat="1" applyFont="1"/>
    <xf numFmtId="0" fontId="3" fillId="0" borderId="35" xfId="288" applyBorder="1"/>
    <xf numFmtId="0" fontId="3" fillId="0" borderId="36" xfId="288" applyBorder="1"/>
    <xf numFmtId="0" fontId="3" fillId="0" borderId="0" xfId="288"/>
    <xf numFmtId="0" fontId="3" fillId="0" borderId="0" xfId="288" applyAlignment="1">
      <alignment horizontal="center"/>
    </xf>
    <xf numFmtId="0" fontId="3" fillId="0" borderId="38" xfId="288" applyBorder="1"/>
    <xf numFmtId="0" fontId="3" fillId="0" borderId="39" xfId="288" applyBorder="1"/>
    <xf numFmtId="170" fontId="0" fillId="0" borderId="0" xfId="289" applyNumberFormat="1" applyFont="1" applyBorder="1"/>
    <xf numFmtId="170" fontId="0" fillId="0" borderId="39" xfId="289" applyNumberFormat="1" applyFont="1" applyBorder="1"/>
    <xf numFmtId="3" fontId="3" fillId="0" borderId="0" xfId="288" applyNumberFormat="1"/>
    <xf numFmtId="0" fontId="3" fillId="0" borderId="40" xfId="288" applyBorder="1"/>
    <xf numFmtId="0" fontId="3" fillId="0" borderId="1" xfId="288" applyBorder="1"/>
    <xf numFmtId="0" fontId="3" fillId="0" borderId="41" xfId="288" applyBorder="1"/>
    <xf numFmtId="170" fontId="0" fillId="0" borderId="1" xfId="289" applyNumberFormat="1" applyFont="1" applyBorder="1"/>
    <xf numFmtId="170" fontId="0" fillId="0" borderId="0" xfId="289" applyNumberFormat="1" applyFont="1"/>
    <xf numFmtId="170" fontId="3" fillId="0" borderId="0" xfId="288" applyNumberFormat="1" applyAlignment="1">
      <alignment horizontal="left"/>
    </xf>
    <xf numFmtId="9" fontId="3" fillId="0" borderId="0" xfId="288" applyNumberFormat="1"/>
    <xf numFmtId="10" fontId="3" fillId="0" borderId="0" xfId="288" applyNumberFormat="1"/>
    <xf numFmtId="0" fontId="3" fillId="0" borderId="2" xfId="288" applyBorder="1"/>
    <xf numFmtId="10" fontId="3" fillId="0" borderId="0" xfId="288" applyNumberFormat="1" applyAlignment="1">
      <alignment horizontal="left"/>
    </xf>
    <xf numFmtId="43" fontId="3" fillId="0" borderId="0" xfId="288" applyNumberFormat="1"/>
    <xf numFmtId="0" fontId="11" fillId="0" borderId="36" xfId="288" applyFont="1" applyBorder="1" applyAlignment="1">
      <alignment vertical="center"/>
    </xf>
    <xf numFmtId="170" fontId="0" fillId="0" borderId="36" xfId="289" applyNumberFormat="1" applyFont="1" applyBorder="1"/>
    <xf numFmtId="170" fontId="3" fillId="4" borderId="36" xfId="288" applyNumberFormat="1" applyFill="1" applyBorder="1"/>
    <xf numFmtId="170" fontId="3" fillId="4" borderId="37" xfId="288" applyNumberFormat="1" applyFill="1" applyBorder="1"/>
    <xf numFmtId="170" fontId="0" fillId="0" borderId="0" xfId="289" applyNumberFormat="1" applyFont="1" applyFill="1" applyBorder="1"/>
    <xf numFmtId="170" fontId="0" fillId="0" borderId="39" xfId="289" applyNumberFormat="1" applyFont="1" applyFill="1" applyBorder="1"/>
    <xf numFmtId="0" fontId="11" fillId="0" borderId="1" xfId="288" applyFont="1" applyBorder="1" applyAlignment="1">
      <alignment vertical="center"/>
    </xf>
    <xf numFmtId="172" fontId="3" fillId="0" borderId="0" xfId="288" applyNumberFormat="1"/>
    <xf numFmtId="172" fontId="3" fillId="0" borderId="39" xfId="288" applyNumberFormat="1" applyBorder="1"/>
    <xf numFmtId="166" fontId="3" fillId="0" borderId="36" xfId="288" applyNumberFormat="1" applyBorder="1"/>
    <xf numFmtId="172" fontId="3" fillId="0" borderId="36" xfId="288" applyNumberFormat="1" applyBorder="1"/>
    <xf numFmtId="170" fontId="3" fillId="0" borderId="0" xfId="288" applyNumberFormat="1"/>
    <xf numFmtId="0" fontId="11" fillId="0" borderId="0" xfId="288" applyFont="1"/>
    <xf numFmtId="168" fontId="0" fillId="0" borderId="0" xfId="290" applyNumberFormat="1" applyFont="1"/>
    <xf numFmtId="168" fontId="0" fillId="0" borderId="0" xfId="290" applyNumberFormat="1" applyFont="1" applyBorder="1"/>
    <xf numFmtId="168" fontId="3" fillId="0" borderId="0" xfId="288" applyNumberFormat="1"/>
    <xf numFmtId="181" fontId="0" fillId="0" borderId="0" xfId="290" applyNumberFormat="1" applyFont="1" applyAlignment="1">
      <alignment horizontal="center"/>
    </xf>
    <xf numFmtId="170" fontId="11" fillId="0" borderId="0" xfId="288" applyNumberFormat="1" applyFont="1"/>
    <xf numFmtId="9" fontId="0" fillId="0" borderId="0" xfId="290" applyFont="1"/>
    <xf numFmtId="166" fontId="3" fillId="0" borderId="0" xfId="288" applyNumberFormat="1"/>
    <xf numFmtId="0" fontId="3" fillId="0" borderId="18" xfId="288" applyBorder="1"/>
    <xf numFmtId="43" fontId="3" fillId="0" borderId="37" xfId="288" applyNumberFormat="1" applyBorder="1"/>
    <xf numFmtId="170" fontId="3" fillId="0" borderId="38" xfId="288" applyNumberFormat="1" applyBorder="1"/>
    <xf numFmtId="170" fontId="3" fillId="0" borderId="39" xfId="288" applyNumberFormat="1" applyBorder="1"/>
    <xf numFmtId="10" fontId="3" fillId="0" borderId="2" xfId="288" applyNumberFormat="1" applyBorder="1"/>
    <xf numFmtId="170" fontId="3" fillId="0" borderId="40" xfId="288" applyNumberFormat="1" applyBorder="1"/>
    <xf numFmtId="168" fontId="0" fillId="0" borderId="1" xfId="290" applyNumberFormat="1" applyFont="1" applyBorder="1"/>
    <xf numFmtId="170" fontId="3" fillId="0" borderId="2" xfId="288" applyNumberFormat="1" applyBorder="1"/>
    <xf numFmtId="0" fontId="11" fillId="0" borderId="40" xfId="288" applyFont="1" applyBorder="1"/>
    <xf numFmtId="170" fontId="11" fillId="0" borderId="2" xfId="288" applyNumberFormat="1" applyFont="1" applyBorder="1"/>
    <xf numFmtId="166" fontId="3" fillId="0" borderId="2" xfId="288" applyNumberFormat="1" applyBorder="1"/>
    <xf numFmtId="0" fontId="49" fillId="0" borderId="2" xfId="288" applyFont="1" applyBorder="1"/>
    <xf numFmtId="170" fontId="49" fillId="0" borderId="2" xfId="288" applyNumberFormat="1" applyFont="1" applyBorder="1"/>
    <xf numFmtId="168" fontId="49" fillId="0" borderId="2" xfId="288" applyNumberFormat="1" applyFont="1" applyBorder="1"/>
    <xf numFmtId="10" fontId="49" fillId="0" borderId="2" xfId="288" applyNumberFormat="1" applyFont="1" applyBorder="1"/>
    <xf numFmtId="170" fontId="50" fillId="0" borderId="2" xfId="288" applyNumberFormat="1" applyFont="1" applyBorder="1"/>
    <xf numFmtId="173" fontId="3" fillId="0" borderId="0" xfId="288" applyNumberFormat="1"/>
    <xf numFmtId="9" fontId="0" fillId="0" borderId="0" xfId="290" applyFont="1" applyAlignment="1">
      <alignment horizontal="center"/>
    </xf>
    <xf numFmtId="173" fontId="11" fillId="0" borderId="0" xfId="288" applyNumberFormat="1" applyFont="1"/>
    <xf numFmtId="170" fontId="0" fillId="0" borderId="0" xfId="291" applyNumberFormat="1" applyFont="1"/>
    <xf numFmtId="0" fontId="3" fillId="0" borderId="0" xfId="288" quotePrefix="1"/>
    <xf numFmtId="169" fontId="3" fillId="0" borderId="0" xfId="288" applyNumberFormat="1"/>
    <xf numFmtId="183" fontId="3" fillId="0" borderId="0" xfId="288" applyNumberFormat="1"/>
    <xf numFmtId="170" fontId="3" fillId="0" borderId="0" xfId="291" applyNumberFormat="1" applyFont="1"/>
    <xf numFmtId="172" fontId="11" fillId="0" borderId="0" xfId="291" applyNumberFormat="1" applyFont="1"/>
    <xf numFmtId="168" fontId="11" fillId="0" borderId="0" xfId="288" applyNumberFormat="1" applyFont="1"/>
    <xf numFmtId="10" fontId="0" fillId="0" borderId="0" xfId="290" applyNumberFormat="1" applyFont="1" applyAlignment="1">
      <alignment vertical="center"/>
    </xf>
    <xf numFmtId="10" fontId="3" fillId="2" borderId="0" xfId="288" applyNumberFormat="1" applyFill="1"/>
    <xf numFmtId="9" fontId="0" fillId="2" borderId="0" xfId="290" applyFont="1" applyFill="1"/>
    <xf numFmtId="170" fontId="11" fillId="0" borderId="0" xfId="291" applyNumberFormat="1" applyFont="1"/>
    <xf numFmtId="184" fontId="49" fillId="0" borderId="0" xfId="288" applyNumberFormat="1" applyFont="1"/>
    <xf numFmtId="184" fontId="11" fillId="0" borderId="0" xfId="288" applyNumberFormat="1" applyFont="1"/>
    <xf numFmtId="0" fontId="3" fillId="0" borderId="0" xfId="288" applyAlignment="1">
      <alignment vertical="center"/>
    </xf>
    <xf numFmtId="0" fontId="3" fillId="0" borderId="0" xfId="288" applyAlignment="1">
      <alignment horizontal="center" wrapText="1"/>
    </xf>
    <xf numFmtId="0" fontId="37" fillId="3" borderId="0" xfId="288" applyFont="1" applyFill="1"/>
    <xf numFmtId="0" fontId="37" fillId="3" borderId="35" xfId="288" applyFont="1" applyFill="1" applyBorder="1"/>
    <xf numFmtId="0" fontId="37" fillId="3" borderId="36" xfId="288" applyFont="1" applyFill="1" applyBorder="1"/>
    <xf numFmtId="170" fontId="37" fillId="3" borderId="35" xfId="291" applyNumberFormat="1" applyFont="1" applyFill="1" applyBorder="1"/>
    <xf numFmtId="170" fontId="37" fillId="3" borderId="37" xfId="291" applyNumberFormat="1" applyFont="1" applyFill="1" applyBorder="1"/>
    <xf numFmtId="170" fontId="37" fillId="3" borderId="0" xfId="291" applyNumberFormat="1" applyFont="1" applyFill="1" applyBorder="1"/>
    <xf numFmtId="0" fontId="37" fillId="3" borderId="38" xfId="288" applyFont="1" applyFill="1" applyBorder="1"/>
    <xf numFmtId="170" fontId="37" fillId="3" borderId="38" xfId="291" applyNumberFormat="1" applyFont="1" applyFill="1" applyBorder="1"/>
    <xf numFmtId="170" fontId="37" fillId="3" borderId="39" xfId="291" applyNumberFormat="1" applyFont="1" applyFill="1" applyBorder="1"/>
    <xf numFmtId="0" fontId="37" fillId="3" borderId="40" xfId="288" applyFont="1" applyFill="1" applyBorder="1"/>
    <xf numFmtId="0" fontId="54" fillId="3" borderId="1" xfId="288" applyFont="1" applyFill="1" applyBorder="1"/>
    <xf numFmtId="170" fontId="54" fillId="3" borderId="40" xfId="288" applyNumberFormat="1" applyFont="1" applyFill="1" applyBorder="1"/>
    <xf numFmtId="170" fontId="54" fillId="3" borderId="41" xfId="288" applyNumberFormat="1" applyFont="1" applyFill="1" applyBorder="1"/>
    <xf numFmtId="170" fontId="54" fillId="3" borderId="0" xfId="288" applyNumberFormat="1" applyFont="1" applyFill="1"/>
    <xf numFmtId="170" fontId="37" fillId="3" borderId="0" xfId="288" applyNumberFormat="1" applyFont="1" applyFill="1"/>
    <xf numFmtId="0" fontId="54" fillId="3" borderId="38" xfId="288" applyFont="1" applyFill="1" applyBorder="1"/>
    <xf numFmtId="0" fontId="53" fillId="42" borderId="40" xfId="4" applyFont="1" applyFill="1" applyBorder="1" applyAlignment="1">
      <alignment horizontal="center" vertical="center"/>
    </xf>
    <xf numFmtId="0" fontId="53" fillId="42" borderId="41" xfId="4" applyFont="1" applyFill="1" applyBorder="1" applyAlignment="1">
      <alignment horizontal="center" vertical="center"/>
    </xf>
    <xf numFmtId="0" fontId="52" fillId="0" borderId="0" xfId="288" applyFont="1"/>
    <xf numFmtId="0" fontId="37" fillId="0" borderId="0" xfId="288" applyFont="1"/>
    <xf numFmtId="0" fontId="55" fillId="0" borderId="0" xfId="288" applyFont="1"/>
    <xf numFmtId="0" fontId="54" fillId="0" borderId="0" xfId="288" applyFont="1"/>
    <xf numFmtId="0" fontId="9" fillId="0" borderId="0" xfId="288" applyFont="1"/>
    <xf numFmtId="0" fontId="56" fillId="0" borderId="0" xfId="288" applyFont="1"/>
    <xf numFmtId="0" fontId="56" fillId="0" borderId="0" xfId="288" applyFont="1" applyAlignment="1">
      <alignment horizontal="center"/>
    </xf>
    <xf numFmtId="0" fontId="56" fillId="2" borderId="0" xfId="288" applyFont="1" applyFill="1" applyAlignment="1">
      <alignment horizontal="center"/>
    </xf>
    <xf numFmtId="1" fontId="9" fillId="0" borderId="0" xfId="288" applyNumberFormat="1" applyFont="1"/>
    <xf numFmtId="1" fontId="37" fillId="0" borderId="0" xfId="291" applyNumberFormat="1" applyFont="1"/>
    <xf numFmtId="1" fontId="37" fillId="0" borderId="0" xfId="288" applyNumberFormat="1" applyFont="1"/>
    <xf numFmtId="10" fontId="9" fillId="0" borderId="0" xfId="288" applyNumberFormat="1" applyFont="1" applyAlignment="1">
      <alignment horizontal="center"/>
    </xf>
    <xf numFmtId="10" fontId="37" fillId="0" borderId="0" xfId="288" applyNumberFormat="1" applyFont="1"/>
    <xf numFmtId="10" fontId="9" fillId="0" borderId="0" xfId="288" applyNumberFormat="1" applyFont="1"/>
    <xf numFmtId="170" fontId="37" fillId="0" borderId="0" xfId="292" applyNumberFormat="1" applyFont="1"/>
    <xf numFmtId="0" fontId="9" fillId="43" borderId="0" xfId="288" applyFont="1" applyFill="1"/>
    <xf numFmtId="1" fontId="9" fillId="43" borderId="0" xfId="288" applyNumberFormat="1" applyFont="1" applyFill="1"/>
    <xf numFmtId="0" fontId="16" fillId="0" borderId="0" xfId="288" applyFont="1"/>
    <xf numFmtId="172" fontId="16" fillId="0" borderId="0" xfId="291" applyNumberFormat="1" applyFont="1"/>
    <xf numFmtId="170" fontId="16" fillId="0" borderId="0" xfId="288" applyNumberFormat="1" applyFont="1"/>
    <xf numFmtId="185" fontId="16" fillId="0" borderId="0" xfId="291" applyNumberFormat="1" applyFont="1"/>
    <xf numFmtId="0" fontId="9" fillId="0" borderId="35" xfId="288" applyFont="1" applyBorder="1"/>
    <xf numFmtId="0" fontId="9" fillId="0" borderId="36" xfId="288" applyFont="1" applyBorder="1"/>
    <xf numFmtId="0" fontId="9" fillId="0" borderId="37" xfId="288" applyFont="1" applyBorder="1"/>
    <xf numFmtId="0" fontId="37" fillId="0" borderId="35" xfId="288" applyFont="1" applyBorder="1"/>
    <xf numFmtId="0" fontId="37" fillId="0" borderId="36" xfId="288" applyFont="1" applyBorder="1"/>
    <xf numFmtId="170" fontId="37" fillId="0" borderId="36" xfId="292" applyNumberFormat="1" applyFont="1" applyBorder="1"/>
    <xf numFmtId="170" fontId="37" fillId="0" borderId="37" xfId="292" applyNumberFormat="1" applyFont="1" applyBorder="1"/>
    <xf numFmtId="0" fontId="37" fillId="0" borderId="38" xfId="288" applyFont="1" applyBorder="1"/>
    <xf numFmtId="170" fontId="37" fillId="0" borderId="0" xfId="292" applyNumberFormat="1" applyFont="1" applyBorder="1"/>
    <xf numFmtId="170" fontId="37" fillId="0" borderId="39" xfId="292" applyNumberFormat="1" applyFont="1" applyBorder="1"/>
    <xf numFmtId="0" fontId="16" fillId="0" borderId="38" xfId="288" applyFont="1" applyBorder="1"/>
    <xf numFmtId="0" fontId="16" fillId="0" borderId="0" xfId="292" applyNumberFormat="1" applyFont="1" applyBorder="1"/>
    <xf numFmtId="0" fontId="16" fillId="0" borderId="39" xfId="288" applyFont="1" applyBorder="1" applyAlignment="1">
      <alignment horizontal="center"/>
    </xf>
    <xf numFmtId="0" fontId="9" fillId="0" borderId="0" xfId="288" applyFont="1" applyAlignment="1">
      <alignment horizontal="center"/>
    </xf>
    <xf numFmtId="0" fontId="9" fillId="0" borderId="38" xfId="288" applyFont="1" applyBorder="1"/>
    <xf numFmtId="170" fontId="9" fillId="0" borderId="0" xfId="292" applyNumberFormat="1" applyFont="1" applyBorder="1" applyAlignment="1">
      <alignment vertical="top" wrapText="1"/>
    </xf>
    <xf numFmtId="170" fontId="16" fillId="0" borderId="39" xfId="288" applyNumberFormat="1" applyFont="1" applyBorder="1"/>
    <xf numFmtId="0" fontId="9" fillId="0" borderId="38" xfId="288" applyFont="1" applyBorder="1" applyAlignment="1">
      <alignment horizontal="right"/>
    </xf>
    <xf numFmtId="170" fontId="57" fillId="0" borderId="0" xfId="292" applyNumberFormat="1" applyFont="1" applyBorder="1"/>
    <xf numFmtId="0" fontId="37" fillId="0" borderId="38" xfId="288" applyFont="1" applyBorder="1" applyAlignment="1">
      <alignment horizontal="right"/>
    </xf>
    <xf numFmtId="10" fontId="9" fillId="0" borderId="0" xfId="293" applyNumberFormat="1" applyFont="1" applyBorder="1"/>
    <xf numFmtId="10" fontId="16" fillId="0" borderId="39" xfId="293" applyNumberFormat="1" applyFont="1" applyBorder="1"/>
    <xf numFmtId="10" fontId="16" fillId="0" borderId="0" xfId="293" applyNumberFormat="1" applyFont="1"/>
    <xf numFmtId="0" fontId="16" fillId="0" borderId="39" xfId="288" applyFont="1" applyBorder="1"/>
    <xf numFmtId="0" fontId="9" fillId="0" borderId="39" xfId="288" applyFont="1" applyBorder="1"/>
    <xf numFmtId="0" fontId="9" fillId="0" borderId="38" xfId="288" applyFont="1" applyBorder="1" applyAlignment="1">
      <alignment horizontal="center"/>
    </xf>
    <xf numFmtId="0" fontId="37" fillId="0" borderId="39" xfId="288" applyFont="1" applyBorder="1"/>
    <xf numFmtId="173" fontId="37" fillId="0" borderId="0" xfId="289" applyNumberFormat="1" applyFont="1" applyBorder="1"/>
    <xf numFmtId="173" fontId="37" fillId="0" borderId="39" xfId="288" applyNumberFormat="1" applyFont="1" applyBorder="1"/>
    <xf numFmtId="168" fontId="37" fillId="0" borderId="0" xfId="290" applyNumberFormat="1" applyFont="1"/>
    <xf numFmtId="10" fontId="37" fillId="0" borderId="0" xfId="290" applyNumberFormat="1" applyFont="1"/>
    <xf numFmtId="10" fontId="9" fillId="0" borderId="0" xfId="290" applyNumberFormat="1" applyFont="1"/>
    <xf numFmtId="170" fontId="16" fillId="0" borderId="38" xfId="288" applyNumberFormat="1" applyFont="1" applyBorder="1"/>
    <xf numFmtId="10" fontId="16" fillId="0" borderId="38" xfId="293" applyNumberFormat="1" applyFont="1" applyBorder="1"/>
    <xf numFmtId="170" fontId="37" fillId="0" borderId="0" xfId="288" applyNumberFormat="1" applyFont="1"/>
    <xf numFmtId="170" fontId="37" fillId="0" borderId="39" xfId="288" applyNumberFormat="1" applyFont="1" applyBorder="1"/>
    <xf numFmtId="3" fontId="58" fillId="0" borderId="0" xfId="288" applyNumberFormat="1" applyFont="1" applyAlignment="1">
      <alignment horizontal="right" vertical="center"/>
    </xf>
    <xf numFmtId="170" fontId="9" fillId="0" borderId="0" xfId="291" applyNumberFormat="1" applyFont="1" applyBorder="1"/>
    <xf numFmtId="3" fontId="54" fillId="0" borderId="0" xfId="288" applyNumberFormat="1" applyFont="1"/>
    <xf numFmtId="10" fontId="16" fillId="0" borderId="0" xfId="293" applyNumberFormat="1" applyFont="1" applyFill="1" applyBorder="1"/>
    <xf numFmtId="3" fontId="59" fillId="0" borderId="0" xfId="288" applyNumberFormat="1" applyFont="1" applyAlignment="1">
      <alignment horizontal="right" vertical="center"/>
    </xf>
    <xf numFmtId="0" fontId="37" fillId="0" borderId="40" xfId="288" applyFont="1" applyBorder="1"/>
    <xf numFmtId="0" fontId="16" fillId="0" borderId="1" xfId="288" applyFont="1" applyBorder="1"/>
    <xf numFmtId="170" fontId="16" fillId="0" borderId="1" xfId="288" applyNumberFormat="1" applyFont="1" applyBorder="1"/>
    <xf numFmtId="170" fontId="16" fillId="0" borderId="41" xfId="288" applyNumberFormat="1" applyFont="1" applyBorder="1"/>
    <xf numFmtId="0" fontId="9" fillId="0" borderId="40" xfId="288" applyFont="1" applyBorder="1"/>
    <xf numFmtId="0" fontId="9" fillId="0" borderId="1" xfId="288" applyFont="1" applyBorder="1"/>
    <xf numFmtId="0" fontId="9" fillId="0" borderId="41" xfId="288" applyFont="1" applyBorder="1"/>
    <xf numFmtId="0" fontId="37" fillId="0" borderId="37" xfId="288" applyFont="1" applyBorder="1"/>
    <xf numFmtId="0" fontId="56" fillId="0" borderId="36" xfId="288" applyFont="1" applyBorder="1"/>
    <xf numFmtId="168" fontId="37" fillId="0" borderId="0" xfId="290" applyNumberFormat="1" applyFont="1" applyFill="1" applyBorder="1"/>
    <xf numFmtId="9" fontId="37" fillId="0" borderId="39" xfId="293" applyFont="1" applyBorder="1"/>
    <xf numFmtId="169" fontId="57" fillId="0" borderId="0" xfId="288" applyNumberFormat="1" applyFont="1" applyAlignment="1">
      <alignment horizontal="center"/>
    </xf>
    <xf numFmtId="170" fontId="9" fillId="0" borderId="0" xfId="292" applyNumberFormat="1" applyFont="1" applyBorder="1"/>
    <xf numFmtId="0" fontId="9" fillId="43" borderId="38" xfId="288" applyFont="1" applyFill="1" applyBorder="1"/>
    <xf numFmtId="170" fontId="9" fillId="43" borderId="0" xfId="292" applyNumberFormat="1" applyFont="1" applyFill="1" applyBorder="1"/>
    <xf numFmtId="9" fontId="37" fillId="0" borderId="0" xfId="288" applyNumberFormat="1" applyFont="1"/>
    <xf numFmtId="0" fontId="37" fillId="0" borderId="1" xfId="288" applyFont="1" applyBorder="1"/>
    <xf numFmtId="0" fontId="37" fillId="0" borderId="41" xfId="288" applyFont="1" applyBorder="1"/>
    <xf numFmtId="170" fontId="37" fillId="0" borderId="1" xfId="288" applyNumberFormat="1" applyFont="1" applyBorder="1"/>
    <xf numFmtId="3" fontId="37" fillId="0" borderId="0" xfId="288" applyNumberFormat="1" applyFont="1"/>
    <xf numFmtId="170" fontId="37" fillId="0" borderId="0" xfId="291" applyNumberFormat="1" applyFont="1"/>
    <xf numFmtId="173" fontId="37" fillId="0" borderId="0" xfId="289" applyNumberFormat="1" applyFont="1"/>
    <xf numFmtId="10" fontId="54" fillId="0" borderId="0" xfId="290" applyNumberFormat="1" applyFont="1"/>
    <xf numFmtId="0" fontId="37" fillId="0" borderId="17" xfId="288" applyFont="1" applyBorder="1" applyAlignment="1">
      <alignment vertical="center" wrapText="1"/>
    </xf>
    <xf numFmtId="170" fontId="37" fillId="0" borderId="2" xfId="291" applyNumberFormat="1" applyFont="1" applyFill="1" applyBorder="1" applyAlignment="1">
      <alignment horizontal="right" vertical="center"/>
    </xf>
    <xf numFmtId="170" fontId="37" fillId="0" borderId="2" xfId="291" applyNumberFormat="1" applyFont="1" applyBorder="1" applyAlignment="1">
      <alignment horizontal="right" vertical="center"/>
    </xf>
    <xf numFmtId="172" fontId="9" fillId="0" borderId="2" xfId="291" applyNumberFormat="1" applyFont="1" applyBorder="1" applyAlignment="1">
      <alignment vertical="center"/>
    </xf>
    <xf numFmtId="170" fontId="37" fillId="0" borderId="2" xfId="291" applyNumberFormat="1" applyFont="1" applyBorder="1" applyAlignment="1">
      <alignment vertical="center"/>
    </xf>
    <xf numFmtId="0" fontId="37" fillId="0" borderId="6" xfId="288" applyFont="1" applyBorder="1" applyAlignment="1">
      <alignment vertical="center" wrapText="1"/>
    </xf>
    <xf numFmtId="170" fontId="45" fillId="0" borderId="0" xfId="287" applyNumberFormat="1"/>
    <xf numFmtId="10" fontId="16" fillId="0" borderId="39" xfId="290" applyNumberFormat="1" applyFont="1" applyBorder="1" applyAlignment="1">
      <alignment horizontal="right" vertical="center"/>
    </xf>
    <xf numFmtId="170" fontId="37" fillId="0" borderId="21" xfId="291" applyNumberFormat="1" applyFont="1" applyBorder="1" applyAlignment="1">
      <alignment vertical="center"/>
    </xf>
    <xf numFmtId="3" fontId="60" fillId="3" borderId="0" xfId="4" applyNumberFormat="1" applyFont="1" applyFill="1"/>
    <xf numFmtId="170" fontId="9" fillId="3" borderId="0" xfId="1" applyNumberFormat="1" applyFont="1" applyFill="1"/>
    <xf numFmtId="3" fontId="9" fillId="3" borderId="42" xfId="4" applyNumberFormat="1" applyFill="1" applyBorder="1"/>
    <xf numFmtId="170" fontId="41" fillId="0" borderId="0" xfId="1" applyNumberFormat="1" applyFont="1" applyFill="1"/>
    <xf numFmtId="170" fontId="17" fillId="0" borderId="0" xfId="1" applyNumberFormat="1" applyFont="1" applyFill="1"/>
    <xf numFmtId="9" fontId="0" fillId="2" borderId="0" xfId="3" applyFont="1" applyFill="1"/>
    <xf numFmtId="0" fontId="19" fillId="0" borderId="0" xfId="0" applyFont="1" applyAlignment="1">
      <alignment horizontal="center"/>
    </xf>
    <xf numFmtId="174" fontId="17" fillId="0" borderId="0" xfId="8" applyNumberFormat="1" applyFont="1" applyFill="1"/>
    <xf numFmtId="168" fontId="9" fillId="3" borderId="0" xfId="3" applyNumberFormat="1" applyFont="1" applyFill="1"/>
    <xf numFmtId="168" fontId="9" fillId="3" borderId="42" xfId="3" applyNumberFormat="1" applyFont="1" applyFill="1" applyBorder="1"/>
    <xf numFmtId="168" fontId="9" fillId="3" borderId="7" xfId="3" applyNumberFormat="1" applyFont="1" applyFill="1" applyBorder="1"/>
    <xf numFmtId="0" fontId="16" fillId="3" borderId="0" xfId="4" applyFont="1" applyFill="1"/>
    <xf numFmtId="186" fontId="18" fillId="3" borderId="0" xfId="4" applyNumberFormat="1" applyFont="1" applyFill="1"/>
    <xf numFmtId="0" fontId="53" fillId="42" borderId="3" xfId="4" applyFont="1" applyFill="1" applyBorder="1" applyAlignment="1">
      <alignment horizontal="center" vertical="center"/>
    </xf>
    <xf numFmtId="0" fontId="53" fillId="42" borderId="4" xfId="4" applyFont="1" applyFill="1" applyBorder="1" applyAlignment="1">
      <alignment horizontal="center" vertical="center" wrapText="1"/>
    </xf>
    <xf numFmtId="0" fontId="53" fillId="42" borderId="5" xfId="4" applyFont="1" applyFill="1" applyBorder="1" applyAlignment="1">
      <alignment horizontal="center" vertical="center" wrapText="1"/>
    </xf>
    <xf numFmtId="0" fontId="53" fillId="42" borderId="9" xfId="4" applyFont="1" applyFill="1" applyBorder="1" applyAlignment="1">
      <alignment horizontal="center"/>
    </xf>
    <xf numFmtId="3" fontId="53" fillId="42" borderId="10" xfId="4" applyNumberFormat="1" applyFont="1" applyFill="1" applyBorder="1"/>
    <xf numFmtId="3" fontId="53" fillId="42" borderId="11" xfId="4" applyNumberFormat="1" applyFont="1" applyFill="1" applyBorder="1"/>
    <xf numFmtId="0" fontId="53" fillId="42" borderId="3" xfId="4" applyFont="1" applyFill="1" applyBorder="1" applyAlignment="1">
      <alignment horizontal="center"/>
    </xf>
    <xf numFmtId="0" fontId="53" fillId="42" borderId="4" xfId="4" applyFont="1" applyFill="1" applyBorder="1" applyAlignment="1">
      <alignment vertical="center"/>
    </xf>
    <xf numFmtId="0" fontId="61" fillId="42" borderId="4" xfId="4" applyFont="1" applyFill="1" applyBorder="1" applyAlignment="1">
      <alignment vertical="center"/>
    </xf>
    <xf numFmtId="3" fontId="61" fillId="42" borderId="10" xfId="4" applyNumberFormat="1" applyFont="1" applyFill="1" applyBorder="1"/>
    <xf numFmtId="0" fontId="53" fillId="42" borderId="5" xfId="4" applyFont="1" applyFill="1" applyBorder="1" applyAlignment="1">
      <alignment vertical="center"/>
    </xf>
    <xf numFmtId="0" fontId="53" fillId="42" borderId="3" xfId="4" applyFont="1" applyFill="1" applyBorder="1" applyAlignment="1">
      <alignment horizontal="center" vertical="center" wrapText="1"/>
    </xf>
    <xf numFmtId="3" fontId="53" fillId="42" borderId="43" xfId="4" applyNumberFormat="1" applyFont="1" applyFill="1" applyBorder="1"/>
    <xf numFmtId="168" fontId="53" fillId="42" borderId="43" xfId="3" applyNumberFormat="1" applyFont="1" applyFill="1" applyBorder="1"/>
    <xf numFmtId="168" fontId="53" fillId="42" borderId="11" xfId="3" applyNumberFormat="1" applyFont="1" applyFill="1" applyBorder="1"/>
    <xf numFmtId="0" fontId="62" fillId="42" borderId="17" xfId="288" applyFont="1" applyFill="1" applyBorder="1" applyAlignment="1">
      <alignment horizontal="center" vertical="center"/>
    </xf>
    <xf numFmtId="0" fontId="63" fillId="42" borderId="2" xfId="288" applyFont="1" applyFill="1" applyBorder="1" applyAlignment="1">
      <alignment horizontal="center" vertical="center"/>
    </xf>
    <xf numFmtId="0" fontId="63" fillId="42" borderId="2" xfId="288" applyFont="1" applyFill="1" applyBorder="1" applyAlignment="1">
      <alignment horizontal="center" vertical="center" wrapText="1"/>
    </xf>
    <xf numFmtId="0" fontId="63" fillId="42" borderId="21" xfId="288" applyFont="1" applyFill="1" applyBorder="1" applyAlignment="1">
      <alignment horizontal="center" vertical="center"/>
    </xf>
    <xf numFmtId="0" fontId="63" fillId="42" borderId="2" xfId="288" applyFont="1" applyFill="1" applyBorder="1" applyAlignment="1">
      <alignment horizontal="center"/>
    </xf>
    <xf numFmtId="0" fontId="63" fillId="42" borderId="21" xfId="288" applyFont="1" applyFill="1" applyBorder="1" applyAlignment="1">
      <alignment horizontal="center"/>
    </xf>
    <xf numFmtId="0" fontId="53" fillId="42" borderId="22" xfId="288" applyFont="1" applyFill="1" applyBorder="1" applyAlignment="1">
      <alignment wrapText="1"/>
    </xf>
    <xf numFmtId="170" fontId="53" fillId="42" borderId="23" xfId="291" applyNumberFormat="1" applyFont="1" applyFill="1" applyBorder="1"/>
    <xf numFmtId="172" fontId="53" fillId="42" borderId="23" xfId="291" applyNumberFormat="1" applyFont="1" applyFill="1" applyBorder="1"/>
    <xf numFmtId="170" fontId="53" fillId="42" borderId="23" xfId="291" applyNumberFormat="1" applyFont="1" applyFill="1" applyBorder="1" applyAlignment="1">
      <alignment vertical="top"/>
    </xf>
    <xf numFmtId="170" fontId="53" fillId="42" borderId="24" xfId="291" applyNumberFormat="1" applyFont="1" applyFill="1" applyBorder="1" applyAlignment="1">
      <alignment vertical="top"/>
    </xf>
    <xf numFmtId="0" fontId="64" fillId="42" borderId="0" xfId="4" applyFont="1" applyFill="1" applyAlignment="1">
      <alignment horizontal="right"/>
    </xf>
    <xf numFmtId="0" fontId="53" fillId="42" borderId="0" xfId="4" applyFont="1" applyFill="1" applyAlignment="1">
      <alignment horizontal="center"/>
    </xf>
    <xf numFmtId="0" fontId="53" fillId="42" borderId="0" xfId="4" applyFont="1" applyFill="1" applyAlignment="1">
      <alignment horizontal="right"/>
    </xf>
    <xf numFmtId="0" fontId="65" fillId="42" borderId="0" xfId="0" applyFont="1" applyFill="1"/>
    <xf numFmtId="3" fontId="60" fillId="3" borderId="7" xfId="4" applyNumberFormat="1" applyFont="1" applyFill="1" applyBorder="1"/>
    <xf numFmtId="0" fontId="64" fillId="42" borderId="0" xfId="4" applyFont="1" applyFill="1" applyAlignment="1">
      <alignment horizontal="center" vertical="center" wrapText="1"/>
    </xf>
    <xf numFmtId="0" fontId="0" fillId="0" borderId="0" xfId="0" applyAlignment="1">
      <alignment horizontal="center" vertical="center"/>
    </xf>
    <xf numFmtId="0" fontId="53" fillId="42" borderId="0" xfId="4" applyFont="1" applyFill="1" applyAlignment="1">
      <alignment horizontal="center" vertical="center"/>
    </xf>
    <xf numFmtId="0" fontId="53" fillId="42" borderId="0" xfId="4" applyFont="1" applyFill="1" applyAlignment="1">
      <alignment horizontal="center" vertical="center" wrapText="1"/>
    </xf>
    <xf numFmtId="3" fontId="42" fillId="0" borderId="0" xfId="0" applyNumberFormat="1" applyFont="1"/>
    <xf numFmtId="1" fontId="42" fillId="0" borderId="0" xfId="0" applyNumberFormat="1" applyFont="1"/>
    <xf numFmtId="166" fontId="42" fillId="0" borderId="0" xfId="0" applyNumberFormat="1" applyFont="1"/>
    <xf numFmtId="0" fontId="37" fillId="0" borderId="35" xfId="288" applyFont="1" applyBorder="1" applyAlignment="1">
      <alignment wrapText="1"/>
    </xf>
    <xf numFmtId="0" fontId="37" fillId="0" borderId="0" xfId="288" applyFont="1" applyAlignment="1">
      <alignment wrapText="1"/>
    </xf>
    <xf numFmtId="0" fontId="37" fillId="0" borderId="38" xfId="288" applyFont="1" applyBorder="1" applyAlignment="1">
      <alignment wrapText="1"/>
    </xf>
    <xf numFmtId="0" fontId="37" fillId="0" borderId="39" xfId="288" applyFont="1" applyBorder="1" applyAlignment="1">
      <alignment wrapText="1"/>
    </xf>
    <xf numFmtId="173" fontId="66" fillId="0" borderId="0" xfId="289" applyNumberFormat="1" applyFont="1" applyBorder="1"/>
    <xf numFmtId="17" fontId="37" fillId="0" borderId="38" xfId="288" applyNumberFormat="1" applyFont="1" applyBorder="1"/>
    <xf numFmtId="17" fontId="37" fillId="0" borderId="39" xfId="288" applyNumberFormat="1" applyFont="1" applyBorder="1"/>
    <xf numFmtId="173" fontId="66" fillId="0" borderId="38" xfId="289" applyNumberFormat="1" applyFont="1" applyBorder="1"/>
    <xf numFmtId="173" fontId="66" fillId="0" borderId="1" xfId="289" applyNumberFormat="1" applyFont="1" applyBorder="1"/>
    <xf numFmtId="17" fontId="37" fillId="0" borderId="40" xfId="288" applyNumberFormat="1" applyFont="1" applyBorder="1"/>
    <xf numFmtId="1" fontId="37" fillId="0" borderId="1" xfId="288" applyNumberFormat="1" applyFont="1" applyBorder="1"/>
    <xf numFmtId="17" fontId="37" fillId="0" borderId="41" xfId="288" applyNumberFormat="1" applyFont="1" applyBorder="1"/>
    <xf numFmtId="173" fontId="66" fillId="0" borderId="40" xfId="289" applyNumberFormat="1" applyFont="1" applyBorder="1"/>
    <xf numFmtId="14" fontId="65" fillId="42" borderId="0" xfId="0" applyNumberFormat="1" applyFont="1" applyFill="1"/>
    <xf numFmtId="166" fontId="65" fillId="42" borderId="0" xfId="0" applyNumberFormat="1" applyFont="1" applyFill="1"/>
    <xf numFmtId="1" fontId="65" fillId="42" borderId="0" xfId="0" applyNumberFormat="1" applyFont="1" applyFill="1"/>
    <xf numFmtId="170" fontId="65" fillId="42" borderId="0" xfId="1" applyNumberFormat="1" applyFont="1" applyFill="1"/>
    <xf numFmtId="0" fontId="37" fillId="0" borderId="0" xfId="5" applyFont="1"/>
    <xf numFmtId="0" fontId="37" fillId="0" borderId="0" xfId="5" applyFont="1" applyAlignment="1">
      <alignment horizontal="right"/>
    </xf>
    <xf numFmtId="0" fontId="62" fillId="42" borderId="0" xfId="5" applyFont="1" applyFill="1"/>
    <xf numFmtId="0" fontId="62" fillId="42" borderId="0" xfId="5" applyFont="1" applyFill="1" applyAlignment="1">
      <alignment horizontal="right"/>
    </xf>
    <xf numFmtId="3" fontId="37" fillId="0" borderId="0" xfId="5" applyNumberFormat="1" applyFont="1"/>
    <xf numFmtId="168" fontId="9" fillId="0" borderId="0" xfId="6" applyNumberFormat="1" applyFont="1"/>
    <xf numFmtId="168" fontId="37" fillId="0" borderId="0" xfId="5" applyNumberFormat="1" applyFont="1"/>
    <xf numFmtId="186" fontId="0" fillId="0" borderId="0" xfId="0" applyNumberFormat="1"/>
    <xf numFmtId="170" fontId="67" fillId="0" borderId="0" xfId="1" applyNumberFormat="1" applyFont="1"/>
    <xf numFmtId="170" fontId="37" fillId="3" borderId="0" xfId="1" applyNumberFormat="1" applyFont="1" applyFill="1" applyBorder="1"/>
    <xf numFmtId="170" fontId="37" fillId="3" borderId="1" xfId="288" applyNumberFormat="1" applyFont="1" applyFill="1" applyBorder="1"/>
    <xf numFmtId="0" fontId="37" fillId="3" borderId="39" xfId="288" applyFont="1" applyFill="1" applyBorder="1"/>
    <xf numFmtId="170" fontId="37" fillId="3" borderId="41" xfId="288" applyNumberFormat="1" applyFont="1" applyFill="1" applyBorder="1"/>
    <xf numFmtId="170" fontId="37" fillId="3" borderId="39" xfId="1" applyNumberFormat="1" applyFont="1" applyFill="1" applyBorder="1"/>
    <xf numFmtId="0" fontId="37" fillId="3" borderId="35" xfId="288" applyFont="1" applyFill="1" applyBorder="1" applyAlignment="1">
      <alignment horizontal="center"/>
    </xf>
    <xf numFmtId="0" fontId="37" fillId="3" borderId="36" xfId="288" applyFont="1" applyFill="1" applyBorder="1" applyAlignment="1">
      <alignment horizontal="center"/>
    </xf>
    <xf numFmtId="0" fontId="37" fillId="3" borderId="37" xfId="288" applyFont="1" applyFill="1" applyBorder="1" applyAlignment="1">
      <alignment horizontal="center"/>
    </xf>
    <xf numFmtId="0" fontId="37" fillId="3" borderId="0" xfId="288" applyFont="1" applyFill="1" applyAlignment="1">
      <alignment horizontal="center"/>
    </xf>
    <xf numFmtId="0" fontId="37" fillId="3" borderId="40" xfId="288" applyFont="1" applyFill="1" applyBorder="1" applyAlignment="1">
      <alignment horizontal="center"/>
    </xf>
    <xf numFmtId="0" fontId="37" fillId="3" borderId="1" xfId="288" applyFont="1" applyFill="1" applyBorder="1" applyAlignment="1">
      <alignment horizontal="center"/>
    </xf>
    <xf numFmtId="0" fontId="37" fillId="3" borderId="41" xfId="288" applyFont="1" applyFill="1" applyBorder="1" applyAlignment="1">
      <alignment horizontal="center"/>
    </xf>
    <xf numFmtId="170" fontId="37" fillId="3" borderId="38" xfId="288" applyNumberFormat="1" applyFont="1" applyFill="1" applyBorder="1"/>
    <xf numFmtId="170" fontId="37" fillId="3" borderId="38" xfId="1" applyNumberFormat="1" applyFont="1" applyFill="1" applyBorder="1"/>
    <xf numFmtId="0" fontId="37" fillId="44" borderId="0" xfId="288" applyFont="1" applyFill="1"/>
    <xf numFmtId="17" fontId="37" fillId="44" borderId="0" xfId="288" applyNumberFormat="1" applyFont="1" applyFill="1"/>
    <xf numFmtId="170" fontId="37" fillId="44" borderId="0" xfId="1" applyNumberFormat="1" applyFont="1" applyFill="1"/>
    <xf numFmtId="43" fontId="0" fillId="0" borderId="0" xfId="0" applyNumberFormat="1"/>
    <xf numFmtId="170" fontId="42" fillId="0" borderId="0" xfId="1" applyNumberFormat="1" applyFont="1"/>
    <xf numFmtId="181" fontId="0" fillId="0" borderId="0" xfId="3" applyNumberFormat="1" applyFont="1"/>
    <xf numFmtId="15" fontId="11" fillId="0" borderId="0" xfId="0" applyNumberFormat="1" applyFont="1" applyAlignment="1">
      <alignment horizontal="right" vertical="center"/>
    </xf>
    <xf numFmtId="4" fontId="68" fillId="0" borderId="0" xfId="0" applyNumberFormat="1" applyFont="1" applyAlignment="1">
      <alignment horizontal="left" vertical="center"/>
    </xf>
    <xf numFmtId="168" fontId="0" fillId="0" borderId="0" xfId="3" applyNumberFormat="1" applyFont="1" applyFill="1" applyBorder="1"/>
    <xf numFmtId="3" fontId="9" fillId="3" borderId="2" xfId="4" applyNumberFormat="1" applyFill="1" applyBorder="1"/>
    <xf numFmtId="0" fontId="9" fillId="3" borderId="47" xfId="4" applyFill="1" applyBorder="1"/>
    <xf numFmtId="0" fontId="9" fillId="3" borderId="17" xfId="4" applyFill="1" applyBorder="1"/>
    <xf numFmtId="3" fontId="9" fillId="3" borderId="21" xfId="4" applyNumberFormat="1" applyFill="1" applyBorder="1"/>
    <xf numFmtId="0" fontId="53" fillId="42" borderId="12" xfId="4" applyFont="1" applyFill="1" applyBorder="1" applyAlignment="1">
      <alignment vertical="center"/>
    </xf>
    <xf numFmtId="0" fontId="53" fillId="42" borderId="50" xfId="4" applyFont="1" applyFill="1" applyBorder="1" applyAlignment="1">
      <alignment horizontal="center" vertical="center"/>
    </xf>
    <xf numFmtId="0" fontId="53" fillId="42" borderId="51" xfId="4" applyFont="1" applyFill="1" applyBorder="1" applyAlignment="1">
      <alignment horizontal="center" vertical="center"/>
    </xf>
    <xf numFmtId="0" fontId="16" fillId="3" borderId="22" xfId="4" applyFont="1" applyFill="1" applyBorder="1"/>
    <xf numFmtId="3" fontId="16" fillId="3" borderId="23" xfId="4" applyNumberFormat="1" applyFont="1" applyFill="1" applyBorder="1"/>
    <xf numFmtId="3" fontId="16" fillId="3" borderId="24" xfId="4" applyNumberFormat="1" applyFont="1" applyFill="1" applyBorder="1"/>
    <xf numFmtId="3" fontId="9" fillId="3" borderId="48" xfId="4" applyNumberFormat="1" applyFill="1" applyBorder="1"/>
    <xf numFmtId="3" fontId="9" fillId="3" borderId="49" xfId="4" applyNumberFormat="1" applyFill="1" applyBorder="1"/>
    <xf numFmtId="0" fontId="9" fillId="3" borderId="52" xfId="4" applyFill="1" applyBorder="1"/>
    <xf numFmtId="3" fontId="9" fillId="3" borderId="53" xfId="4" applyNumberFormat="1" applyFill="1" applyBorder="1"/>
    <xf numFmtId="3" fontId="9" fillId="3" borderId="54" xfId="4" applyNumberFormat="1" applyFill="1" applyBorder="1"/>
    <xf numFmtId="10" fontId="37" fillId="3" borderId="0" xfId="3" applyNumberFormat="1" applyFont="1" applyFill="1"/>
    <xf numFmtId="0" fontId="37" fillId="0" borderId="0" xfId="288" applyFont="1" applyAlignment="1">
      <alignment horizontal="center"/>
    </xf>
    <xf numFmtId="0" fontId="3" fillId="0" borderId="38" xfId="288" applyBorder="1" applyAlignment="1">
      <alignment horizontal="center" vertical="center" wrapText="1"/>
    </xf>
    <xf numFmtId="4" fontId="45" fillId="0" borderId="0" xfId="287" applyNumberFormat="1" applyAlignment="1">
      <alignment horizontal="left" vertical="center"/>
    </xf>
    <xf numFmtId="0" fontId="37" fillId="0" borderId="36" xfId="288" applyFont="1" applyBorder="1" applyAlignment="1">
      <alignment horizontal="center" wrapText="1"/>
    </xf>
    <xf numFmtId="0" fontId="11" fillId="0" borderId="0" xfId="288" applyFont="1" applyAlignment="1">
      <alignment vertical="center"/>
    </xf>
    <xf numFmtId="10" fontId="1" fillId="0" borderId="35" xfId="294" applyNumberFormat="1" applyBorder="1" applyAlignment="1">
      <alignment horizontal="center" vertical="center"/>
    </xf>
    <xf numFmtId="10" fontId="1" fillId="0" borderId="38" xfId="294" applyNumberFormat="1" applyBorder="1" applyAlignment="1">
      <alignment horizontal="center" vertical="center"/>
    </xf>
    <xf numFmtId="168" fontId="0" fillId="0" borderId="0" xfId="295" applyNumberFormat="1" applyFont="1" applyBorder="1"/>
    <xf numFmtId="168" fontId="0" fillId="0" borderId="36" xfId="295" applyNumberFormat="1" applyFont="1" applyBorder="1"/>
    <xf numFmtId="168" fontId="1" fillId="0" borderId="37" xfId="294" applyNumberFormat="1" applyBorder="1"/>
    <xf numFmtId="168" fontId="1" fillId="0" borderId="36" xfId="294" applyNumberFormat="1" applyBorder="1"/>
    <xf numFmtId="0" fontId="1" fillId="0" borderId="36" xfId="294" applyBorder="1"/>
    <xf numFmtId="0" fontId="3" fillId="0" borderId="36" xfId="288" applyBorder="1" applyAlignment="1">
      <alignment horizontal="left"/>
    </xf>
    <xf numFmtId="170" fontId="0" fillId="2" borderId="0" xfId="289" applyNumberFormat="1" applyFont="1" applyFill="1" applyBorder="1"/>
    <xf numFmtId="170" fontId="0" fillId="2" borderId="39" xfId="289" applyNumberFormat="1" applyFont="1" applyFill="1" applyBorder="1"/>
    <xf numFmtId="170" fontId="0" fillId="0" borderId="41" xfId="289" applyNumberFormat="1" applyFont="1" applyBorder="1"/>
    <xf numFmtId="0" fontId="2" fillId="0" borderId="0" xfId="288" applyFont="1"/>
    <xf numFmtId="10" fontId="0" fillId="0" borderId="0" xfId="290" applyNumberFormat="1" applyFont="1" applyBorder="1"/>
    <xf numFmtId="10" fontId="0" fillId="0" borderId="39" xfId="290" applyNumberFormat="1" applyFont="1" applyBorder="1"/>
    <xf numFmtId="168" fontId="0" fillId="2" borderId="0" xfId="290" applyNumberFormat="1" applyFont="1" applyFill="1" applyBorder="1"/>
    <xf numFmtId="168" fontId="0" fillId="2" borderId="39" xfId="290" applyNumberFormat="1" applyFont="1" applyFill="1" applyBorder="1"/>
    <xf numFmtId="168" fontId="3" fillId="0" borderId="39" xfId="288" applyNumberFormat="1" applyBorder="1"/>
    <xf numFmtId="0" fontId="37" fillId="0" borderId="19" xfId="288" applyFont="1" applyBorder="1" applyAlignment="1">
      <alignment horizontal="center"/>
    </xf>
    <xf numFmtId="173" fontId="66" fillId="0" borderId="39" xfId="289" applyNumberFormat="1" applyFont="1" applyBorder="1"/>
    <xf numFmtId="173" fontId="66" fillId="0" borderId="41" xfId="289" applyNumberFormat="1" applyFont="1" applyBorder="1"/>
    <xf numFmtId="0" fontId="9" fillId="0" borderId="38" xfId="0" applyFont="1" applyBorder="1" applyAlignment="1">
      <alignment horizontal="center" vertical="center" wrapText="1"/>
    </xf>
    <xf numFmtId="0" fontId="9" fillId="0" borderId="0" xfId="0" applyFont="1" applyAlignment="1">
      <alignment horizontal="center" vertical="center" wrapText="1"/>
    </xf>
    <xf numFmtId="0" fontId="9" fillId="0" borderId="39" xfId="0" applyFont="1" applyBorder="1" applyAlignment="1">
      <alignment horizontal="center" vertical="center" wrapText="1"/>
    </xf>
    <xf numFmtId="0" fontId="37" fillId="0" borderId="18" xfId="288" applyFont="1" applyBorder="1"/>
    <xf numFmtId="0" fontId="37" fillId="0" borderId="19" xfId="288" applyFont="1" applyBorder="1"/>
    <xf numFmtId="0" fontId="37" fillId="0" borderId="20" xfId="288" applyFont="1" applyBorder="1"/>
    <xf numFmtId="173" fontId="37" fillId="0" borderId="0" xfId="288" applyNumberFormat="1" applyFont="1"/>
    <xf numFmtId="10" fontId="0" fillId="0" borderId="0" xfId="3" applyNumberFormat="1" applyFont="1" applyBorder="1"/>
    <xf numFmtId="0" fontId="1" fillId="0" borderId="0" xfId="294"/>
    <xf numFmtId="0" fontId="11" fillId="0" borderId="1" xfId="288" applyFont="1" applyBorder="1"/>
    <xf numFmtId="168" fontId="3" fillId="0" borderId="38" xfId="3" applyNumberFormat="1" applyFont="1" applyBorder="1"/>
    <xf numFmtId="168" fontId="3" fillId="0" borderId="40" xfId="3" applyNumberFormat="1" applyFont="1" applyBorder="1"/>
    <xf numFmtId="10" fontId="3" fillId="0" borderId="0" xfId="3" applyNumberFormat="1" applyFont="1" applyBorder="1"/>
    <xf numFmtId="172" fontId="42" fillId="0" borderId="0" xfId="0" applyNumberFormat="1" applyFont="1"/>
    <xf numFmtId="166" fontId="0" fillId="0" borderId="0" xfId="1" applyFont="1"/>
    <xf numFmtId="187" fontId="0" fillId="0" borderId="0" xfId="1" applyNumberFormat="1" applyFont="1"/>
    <xf numFmtId="0" fontId="64" fillId="42" borderId="0" xfId="4" applyFont="1" applyFill="1" applyAlignment="1">
      <alignment horizontal="center"/>
    </xf>
    <xf numFmtId="11" fontId="0" fillId="0" borderId="0" xfId="1" applyNumberFormat="1" applyFont="1"/>
    <xf numFmtId="170" fontId="9" fillId="0" borderId="0" xfId="0" quotePrefix="1" applyNumberFormat="1" applyFont="1"/>
    <xf numFmtId="186" fontId="9" fillId="0" borderId="2" xfId="4" applyNumberFormat="1" applyBorder="1" applyAlignment="1">
      <alignment horizontal="right" vertical="center"/>
    </xf>
    <xf numFmtId="173" fontId="9" fillId="0" borderId="0" xfId="289" applyNumberFormat="1" applyFont="1"/>
    <xf numFmtId="0" fontId="63" fillId="42" borderId="17" xfId="288" applyFont="1" applyFill="1" applyBorder="1" applyAlignment="1">
      <alignment horizontal="center" vertical="center" wrapText="1"/>
    </xf>
    <xf numFmtId="0" fontId="63" fillId="42" borderId="21" xfId="288" applyFont="1" applyFill="1" applyBorder="1" applyAlignment="1">
      <alignment horizontal="center" vertical="center" wrapText="1"/>
    </xf>
    <xf numFmtId="0" fontId="63" fillId="42" borderId="20" xfId="288" applyFont="1" applyFill="1" applyBorder="1" applyAlignment="1">
      <alignment horizontal="center" vertical="center" wrapText="1"/>
    </xf>
    <xf numFmtId="170" fontId="37" fillId="0" borderId="17" xfId="288" applyNumberFormat="1" applyFont="1" applyBorder="1" applyAlignment="1">
      <alignment vertical="top"/>
    </xf>
    <xf numFmtId="170" fontId="9" fillId="0" borderId="2" xfId="4" applyNumberFormat="1" applyBorder="1"/>
    <xf numFmtId="168" fontId="9" fillId="0" borderId="2" xfId="290" applyNumberFormat="1" applyFont="1" applyBorder="1" applyAlignment="1">
      <alignment vertical="top"/>
    </xf>
    <xf numFmtId="170" fontId="37" fillId="0" borderId="2" xfId="288" applyNumberFormat="1" applyFont="1" applyBorder="1" applyAlignment="1">
      <alignment vertical="top"/>
    </xf>
    <xf numFmtId="170" fontId="37" fillId="0" borderId="21" xfId="288" applyNumberFormat="1" applyFont="1" applyBorder="1" applyAlignment="1">
      <alignment vertical="top"/>
    </xf>
    <xf numFmtId="170" fontId="37" fillId="0" borderId="20" xfId="288" applyNumberFormat="1" applyFont="1" applyBorder="1" applyAlignment="1">
      <alignment vertical="top"/>
    </xf>
    <xf numFmtId="170" fontId="37" fillId="0" borderId="6" xfId="288" applyNumberFormat="1" applyFont="1" applyBorder="1" applyAlignment="1">
      <alignment vertical="top"/>
    </xf>
    <xf numFmtId="170" fontId="37" fillId="0" borderId="44" xfId="288" applyNumberFormat="1" applyFont="1" applyBorder="1" applyAlignment="1">
      <alignment vertical="top"/>
    </xf>
    <xf numFmtId="170" fontId="37" fillId="0" borderId="45" xfId="288" applyNumberFormat="1" applyFont="1" applyBorder="1" applyAlignment="1">
      <alignment vertical="top"/>
    </xf>
    <xf numFmtId="0" fontId="37" fillId="0" borderId="0" xfId="288" applyFont="1" applyAlignment="1">
      <alignment horizontal="center" wrapText="1"/>
    </xf>
    <xf numFmtId="0" fontId="37" fillId="0" borderId="1" xfId="288" applyFont="1" applyBorder="1" applyAlignment="1">
      <alignment horizontal="center"/>
    </xf>
    <xf numFmtId="170" fontId="37" fillId="0" borderId="0" xfId="1" applyNumberFormat="1" applyFont="1"/>
    <xf numFmtId="0" fontId="37" fillId="0" borderId="36" xfId="288" applyFont="1" applyBorder="1" applyAlignment="1">
      <alignment wrapText="1"/>
    </xf>
    <xf numFmtId="173" fontId="66" fillId="0" borderId="1" xfId="289" applyNumberFormat="1" applyFont="1" applyBorder="1" applyAlignment="1">
      <alignment horizontal="center"/>
    </xf>
    <xf numFmtId="0" fontId="63" fillId="42" borderId="15" xfId="288" applyFont="1" applyFill="1" applyBorder="1"/>
    <xf numFmtId="0" fontId="63" fillId="42" borderId="1" xfId="288" applyFont="1" applyFill="1" applyBorder="1"/>
    <xf numFmtId="0" fontId="63" fillId="42" borderId="16" xfId="288" applyFont="1" applyFill="1" applyBorder="1"/>
    <xf numFmtId="0" fontId="62" fillId="42" borderId="40" xfId="288" applyFont="1" applyFill="1" applyBorder="1" applyAlignment="1">
      <alignment vertical="center"/>
    </xf>
    <xf numFmtId="0" fontId="63" fillId="42" borderId="41" xfId="288" applyFont="1" applyFill="1" applyBorder="1"/>
    <xf numFmtId="0" fontId="62" fillId="42" borderId="18" xfId="288" applyFont="1" applyFill="1" applyBorder="1" applyAlignment="1">
      <alignment vertical="center" wrapText="1"/>
    </xf>
    <xf numFmtId="0" fontId="37" fillId="0" borderId="18" xfId="288" applyFont="1" applyBorder="1" applyAlignment="1">
      <alignment vertical="center" wrapText="1"/>
    </xf>
    <xf numFmtId="0" fontId="37" fillId="0" borderId="35" xfId="288" applyFont="1" applyBorder="1" applyAlignment="1">
      <alignment vertical="center" wrapText="1"/>
    </xf>
    <xf numFmtId="0" fontId="63" fillId="42" borderId="18" xfId="288" applyFont="1" applyFill="1" applyBorder="1" applyAlignment="1">
      <alignment wrapText="1"/>
    </xf>
    <xf numFmtId="170" fontId="63" fillId="42" borderId="17" xfId="288" applyNumberFormat="1" applyFont="1" applyFill="1" applyBorder="1"/>
    <xf numFmtId="170" fontId="63" fillId="42" borderId="2" xfId="288" applyNumberFormat="1" applyFont="1" applyFill="1" applyBorder="1"/>
    <xf numFmtId="168" fontId="63" fillId="42" borderId="2" xfId="290" applyNumberFormat="1" applyFont="1" applyFill="1" applyBorder="1"/>
    <xf numFmtId="170" fontId="63" fillId="42" borderId="2" xfId="291" applyNumberFormat="1" applyFont="1" applyFill="1" applyBorder="1"/>
    <xf numFmtId="170" fontId="63" fillId="42" borderId="20" xfId="288" applyNumberFormat="1" applyFont="1" applyFill="1" applyBorder="1"/>
    <xf numFmtId="170" fontId="3" fillId="0" borderId="55" xfId="288" applyNumberFormat="1" applyBorder="1"/>
    <xf numFmtId="170" fontId="3" fillId="0" borderId="53" xfId="288" applyNumberFormat="1" applyBorder="1"/>
    <xf numFmtId="168" fontId="3" fillId="0" borderId="55" xfId="3" applyNumberFormat="1" applyFont="1" applyBorder="1"/>
    <xf numFmtId="168" fontId="3" fillId="0" borderId="53" xfId="3" applyNumberFormat="1" applyFont="1" applyBorder="1"/>
    <xf numFmtId="10" fontId="9" fillId="0" borderId="0" xfId="3" applyNumberFormat="1" applyFont="1"/>
    <xf numFmtId="173" fontId="3" fillId="0" borderId="2" xfId="288" applyNumberFormat="1" applyBorder="1"/>
    <xf numFmtId="17" fontId="69" fillId="0" borderId="0" xfId="0" applyNumberFormat="1" applyFont="1" applyAlignment="1">
      <alignment horizontal="right" vertical="center" wrapText="1"/>
    </xf>
    <xf numFmtId="0" fontId="53" fillId="42" borderId="0" xfId="4" applyFont="1" applyFill="1" applyAlignment="1">
      <alignment horizontal="center" wrapText="1"/>
    </xf>
    <xf numFmtId="0" fontId="62" fillId="42" borderId="19" xfId="288" applyFont="1" applyFill="1" applyBorder="1" applyAlignment="1">
      <alignment horizontal="center" vertical="center"/>
    </xf>
    <xf numFmtId="0" fontId="62" fillId="42" borderId="20" xfId="288" applyFont="1" applyFill="1" applyBorder="1" applyAlignment="1">
      <alignment horizontal="center" vertical="center"/>
    </xf>
    <xf numFmtId="0" fontId="37" fillId="0" borderId="20" xfId="288" applyFont="1" applyBorder="1" applyAlignment="1">
      <alignment vertical="center" wrapText="1"/>
    </xf>
    <xf numFmtId="0" fontId="37" fillId="0" borderId="37" xfId="288" applyFont="1" applyBorder="1" applyAlignment="1">
      <alignment vertical="center" wrapText="1"/>
    </xf>
    <xf numFmtId="0" fontId="53" fillId="42" borderId="46" xfId="288" applyFont="1" applyFill="1" applyBorder="1" applyAlignment="1">
      <alignment wrapText="1"/>
    </xf>
    <xf numFmtId="0" fontId="62" fillId="42" borderId="1" xfId="288" applyFont="1" applyFill="1" applyBorder="1" applyAlignment="1">
      <alignment vertical="center"/>
    </xf>
    <xf numFmtId="0" fontId="62" fillId="42" borderId="19" xfId="288" applyFont="1" applyFill="1" applyBorder="1" applyAlignment="1">
      <alignment vertical="center" wrapText="1"/>
    </xf>
    <xf numFmtId="0" fontId="37" fillId="0" borderId="19" xfId="288" applyFont="1" applyBorder="1" applyAlignment="1">
      <alignment vertical="center" wrapText="1"/>
    </xf>
    <xf numFmtId="0" fontId="37" fillId="0" borderId="36" xfId="288" applyFont="1" applyBorder="1" applyAlignment="1">
      <alignment vertical="center" wrapText="1"/>
    </xf>
    <xf numFmtId="0" fontId="63" fillId="42" borderId="19" xfId="288" applyFont="1" applyFill="1" applyBorder="1" applyAlignment="1">
      <alignment wrapText="1"/>
    </xf>
    <xf numFmtId="0" fontId="53" fillId="42" borderId="4" xfId="4" applyFont="1" applyFill="1" applyBorder="1" applyAlignment="1">
      <alignment horizontal="center"/>
    </xf>
    <xf numFmtId="0" fontId="16" fillId="3" borderId="0" xfId="4" applyFont="1" applyFill="1" applyAlignment="1">
      <alignment horizontal="center"/>
    </xf>
    <xf numFmtId="0" fontId="53" fillId="42" borderId="10" xfId="4" applyFont="1" applyFill="1" applyBorder="1" applyAlignment="1">
      <alignment horizontal="center"/>
    </xf>
    <xf numFmtId="0" fontId="0" fillId="0" borderId="0" xfId="0" applyAlignment="1">
      <alignment horizontal="center"/>
    </xf>
    <xf numFmtId="166" fontId="8" fillId="0" borderId="0" xfId="1" applyFont="1" applyAlignment="1">
      <alignment horizontal="center"/>
    </xf>
    <xf numFmtId="0" fontId="37" fillId="0" borderId="0" xfId="288" applyFont="1" applyAlignment="1">
      <alignment horizontal="center"/>
    </xf>
    <xf numFmtId="0" fontId="37" fillId="0" borderId="18" xfId="288" applyFont="1" applyBorder="1" applyAlignment="1">
      <alignment horizontal="center"/>
    </xf>
    <xf numFmtId="0" fontId="37" fillId="0" borderId="19" xfId="288" applyFont="1" applyBorder="1" applyAlignment="1">
      <alignment horizontal="center"/>
    </xf>
    <xf numFmtId="0" fontId="37" fillId="0" borderId="20" xfId="288" applyFont="1" applyBorder="1" applyAlignment="1">
      <alignment horizontal="center"/>
    </xf>
    <xf numFmtId="0" fontId="37" fillId="0" borderId="35" xfId="288" applyFont="1" applyBorder="1" applyAlignment="1">
      <alignment horizontal="center" vertical="center" wrapText="1"/>
    </xf>
    <xf numFmtId="0" fontId="37" fillId="0" borderId="36" xfId="288" applyFont="1" applyBorder="1" applyAlignment="1">
      <alignment horizontal="center" vertical="center" wrapText="1"/>
    </xf>
    <xf numFmtId="0" fontId="37" fillId="0" borderId="37" xfId="288" applyFont="1" applyBorder="1" applyAlignment="1">
      <alignment horizontal="center" vertical="center" wrapText="1"/>
    </xf>
    <xf numFmtId="0" fontId="3" fillId="0" borderId="35" xfId="288" applyBorder="1" applyAlignment="1">
      <alignment horizontal="center" vertical="center" wrapText="1"/>
    </xf>
    <xf numFmtId="0" fontId="3" fillId="0" borderId="38" xfId="288" applyBorder="1" applyAlignment="1">
      <alignment horizontal="center" vertical="center" wrapText="1"/>
    </xf>
    <xf numFmtId="0" fontId="3" fillId="0" borderId="40" xfId="288" applyBorder="1" applyAlignment="1">
      <alignment horizontal="center" vertical="center" wrapText="1"/>
    </xf>
    <xf numFmtId="10" fontId="1" fillId="0" borderId="35" xfId="294" applyNumberFormat="1" applyBorder="1" applyAlignment="1">
      <alignment horizontal="center" vertical="center"/>
    </xf>
    <xf numFmtId="10" fontId="1" fillId="0" borderId="38" xfId="294" applyNumberFormat="1" applyBorder="1" applyAlignment="1">
      <alignment horizontal="center" vertical="center"/>
    </xf>
    <xf numFmtId="10" fontId="1" fillId="0" borderId="40" xfId="294" applyNumberFormat="1" applyBorder="1" applyAlignment="1">
      <alignment horizontal="center" vertical="center"/>
    </xf>
    <xf numFmtId="0" fontId="3" fillId="0" borderId="2" xfId="288" applyBorder="1" applyAlignment="1">
      <alignment horizontal="center"/>
    </xf>
    <xf numFmtId="0" fontId="3" fillId="0" borderId="0" xfId="288" applyAlignment="1">
      <alignment horizontal="center" vertical="center" wrapText="1"/>
    </xf>
    <xf numFmtId="170" fontId="11" fillId="0" borderId="38" xfId="288" applyNumberFormat="1" applyFont="1" applyBorder="1" applyAlignment="1">
      <alignment horizontal="center"/>
    </xf>
    <xf numFmtId="170" fontId="11" fillId="0" borderId="0" xfId="288" applyNumberFormat="1" applyFont="1" applyAlignment="1">
      <alignment horizontal="center"/>
    </xf>
    <xf numFmtId="0" fontId="3" fillId="0" borderId="38" xfId="288" applyBorder="1" applyAlignment="1">
      <alignment horizontal="center"/>
    </xf>
    <xf numFmtId="0" fontId="3" fillId="0" borderId="0" xfId="288" applyAlignment="1">
      <alignment horizontal="center"/>
    </xf>
    <xf numFmtId="10" fontId="0" fillId="0" borderId="0" xfId="290" applyNumberFormat="1" applyFont="1" applyAlignment="1">
      <alignment horizontal="center" vertical="center"/>
    </xf>
    <xf numFmtId="0" fontId="53" fillId="42" borderId="35" xfId="4" applyFont="1" applyFill="1" applyBorder="1" applyAlignment="1">
      <alignment horizontal="center" vertical="center"/>
    </xf>
    <xf numFmtId="0" fontId="53" fillId="42" borderId="37" xfId="4" applyFont="1" applyFill="1" applyBorder="1" applyAlignment="1">
      <alignment horizontal="center" vertical="center"/>
    </xf>
    <xf numFmtId="0" fontId="62" fillId="42" borderId="0" xfId="5" applyFont="1" applyFill="1" applyAlignment="1">
      <alignment horizontal="center"/>
    </xf>
    <xf numFmtId="0" fontId="37" fillId="0" borderId="0" xfId="5" applyFont="1"/>
    <xf numFmtId="0" fontId="53" fillId="42" borderId="0" xfId="4" applyFont="1" applyFill="1" applyAlignment="1">
      <alignment horizontal="center"/>
    </xf>
    <xf numFmtId="0" fontId="53" fillId="42" borderId="0" xfId="4" applyFont="1" applyFill="1" applyAlignment="1">
      <alignment horizontal="center" wrapText="1"/>
    </xf>
    <xf numFmtId="0" fontId="9" fillId="0" borderId="0" xfId="4" applyAlignment="1">
      <alignment horizontal="center"/>
    </xf>
    <xf numFmtId="0" fontId="63" fillId="42" borderId="62" xfId="288" applyFont="1" applyFill="1" applyBorder="1" applyAlignment="1">
      <alignment horizontal="center"/>
    </xf>
    <xf numFmtId="0" fontId="63" fillId="42" borderId="63" xfId="288" applyFont="1" applyFill="1" applyBorder="1" applyAlignment="1">
      <alignment horizontal="center"/>
    </xf>
    <xf numFmtId="0" fontId="63" fillId="42" borderId="46" xfId="288" applyFont="1" applyFill="1" applyBorder="1" applyAlignment="1">
      <alignment horizontal="center"/>
    </xf>
    <xf numFmtId="0" fontId="63" fillId="42" borderId="15" xfId="288" applyFont="1" applyFill="1" applyBorder="1" applyAlignment="1">
      <alignment horizontal="center"/>
    </xf>
    <xf numFmtId="0" fontId="63" fillId="42" borderId="1" xfId="288" applyFont="1" applyFill="1" applyBorder="1" applyAlignment="1">
      <alignment horizontal="center"/>
    </xf>
    <xf numFmtId="0" fontId="63" fillId="42" borderId="16" xfId="288" applyFont="1" applyFill="1" applyBorder="1" applyAlignment="1">
      <alignment horizontal="center"/>
    </xf>
    <xf numFmtId="0" fontId="62" fillId="42" borderId="12" xfId="288" applyFont="1" applyFill="1" applyBorder="1" applyAlignment="1">
      <alignment horizontal="center"/>
    </xf>
    <xf numFmtId="0" fontId="62" fillId="42" borderId="13" xfId="288" applyFont="1" applyFill="1" applyBorder="1" applyAlignment="1">
      <alignment horizontal="center"/>
    </xf>
    <xf numFmtId="0" fontId="62" fillId="42" borderId="14" xfId="288" applyFont="1" applyFill="1" applyBorder="1" applyAlignment="1">
      <alignment horizontal="center"/>
    </xf>
    <xf numFmtId="0" fontId="62" fillId="42" borderId="17" xfId="288" applyFont="1" applyFill="1" applyBorder="1" applyAlignment="1">
      <alignment horizontal="center" vertical="center"/>
    </xf>
    <xf numFmtId="0" fontId="63" fillId="42" borderId="18" xfId="288" applyFont="1" applyFill="1" applyBorder="1" applyAlignment="1">
      <alignment horizontal="center" vertical="center"/>
    </xf>
    <xf numFmtId="0" fontId="63" fillId="42" borderId="19" xfId="288" applyFont="1" applyFill="1" applyBorder="1" applyAlignment="1">
      <alignment horizontal="center" vertical="center"/>
    </xf>
    <xf numFmtId="0" fontId="63" fillId="42" borderId="20" xfId="288" applyFont="1" applyFill="1" applyBorder="1" applyAlignment="1">
      <alignment horizontal="center" vertical="center"/>
    </xf>
    <xf numFmtId="175" fontId="63" fillId="42" borderId="18" xfId="288" applyNumberFormat="1" applyFont="1" applyFill="1" applyBorder="1" applyAlignment="1">
      <alignment horizontal="center" vertical="center" wrapText="1"/>
    </xf>
    <xf numFmtId="175" fontId="63" fillId="42" borderId="19" xfId="288" applyNumberFormat="1" applyFont="1" applyFill="1" applyBorder="1" applyAlignment="1">
      <alignment horizontal="center" vertical="center" wrapText="1"/>
    </xf>
    <xf numFmtId="175" fontId="63" fillId="42" borderId="20" xfId="288" applyNumberFormat="1" applyFont="1" applyFill="1" applyBorder="1" applyAlignment="1">
      <alignment horizontal="center" vertical="center" wrapText="1"/>
    </xf>
    <xf numFmtId="175" fontId="63" fillId="42" borderId="25" xfId="288" applyNumberFormat="1" applyFont="1" applyFill="1" applyBorder="1" applyAlignment="1">
      <alignment horizontal="center" vertical="center" wrapText="1"/>
    </xf>
    <xf numFmtId="0" fontId="53" fillId="42" borderId="47" xfId="4" applyFont="1" applyFill="1" applyBorder="1" applyAlignment="1">
      <alignment horizontal="center"/>
    </xf>
    <xf numFmtId="0" fontId="53" fillId="42" borderId="60" xfId="4" applyFont="1" applyFill="1" applyBorder="1" applyAlignment="1">
      <alignment horizontal="center"/>
    </xf>
    <xf numFmtId="0" fontId="53" fillId="42" borderId="48" xfId="4" applyFont="1" applyFill="1" applyBorder="1" applyAlignment="1">
      <alignment horizontal="center"/>
    </xf>
    <xf numFmtId="0" fontId="53" fillId="42" borderId="49" xfId="4" applyFont="1" applyFill="1" applyBorder="1" applyAlignment="1">
      <alignment horizontal="center"/>
    </xf>
    <xf numFmtId="0" fontId="53" fillId="42" borderId="8" xfId="4" applyFont="1" applyFill="1" applyBorder="1" applyAlignment="1">
      <alignment horizontal="center"/>
    </xf>
    <xf numFmtId="0" fontId="53" fillId="42" borderId="39" xfId="4" applyFont="1" applyFill="1" applyBorder="1" applyAlignment="1">
      <alignment horizontal="center"/>
    </xf>
    <xf numFmtId="0" fontId="53" fillId="42" borderId="55" xfId="4" applyFont="1" applyFill="1" applyBorder="1" applyAlignment="1">
      <alignment horizontal="center"/>
    </xf>
    <xf numFmtId="0" fontId="53" fillId="42" borderId="56" xfId="4" applyFont="1" applyFill="1" applyBorder="1" applyAlignment="1">
      <alignment horizontal="center"/>
    </xf>
    <xf numFmtId="0" fontId="53" fillId="42" borderId="57" xfId="4" applyFont="1" applyFill="1" applyBorder="1" applyAlignment="1">
      <alignment horizontal="center"/>
    </xf>
    <xf numFmtId="0" fontId="53" fillId="42" borderId="61" xfId="4" applyFont="1" applyFill="1" applyBorder="1" applyAlignment="1">
      <alignment horizontal="center"/>
    </xf>
    <xf numFmtId="0" fontId="53" fillId="42" borderId="58" xfId="4" applyFont="1" applyFill="1" applyBorder="1" applyAlignment="1">
      <alignment horizontal="center"/>
    </xf>
    <xf numFmtId="0" fontId="53" fillId="42" borderId="59" xfId="4" applyFont="1" applyFill="1" applyBorder="1" applyAlignment="1">
      <alignment horizontal="center"/>
    </xf>
  </cellXfs>
  <cellStyles count="297">
    <cellStyle name="$" xfId="13" xr:uid="{00000000-0005-0000-0000-000000000000}"/>
    <cellStyle name="$.00" xfId="14" xr:uid="{00000000-0005-0000-0000-000001000000}"/>
    <cellStyle name="$_9. Rev2Cost_GDPIPI" xfId="15" xr:uid="{00000000-0005-0000-0000-000002000000}"/>
    <cellStyle name="$_9. Rev2Cost_GDPIPI 2" xfId="16" xr:uid="{00000000-0005-0000-0000-000003000000}"/>
    <cellStyle name="$_9. Rev2Cost_GDPIPI_6.2 CBR B" xfId="17" xr:uid="{00000000-0005-0000-0000-000004000000}"/>
    <cellStyle name="$_9. Rev2Cost_GDPIPI_9. Shared Tax - Rate Rider" xfId="18" xr:uid="{00000000-0005-0000-0000-000005000000}"/>
    <cellStyle name="$_lists" xfId="19" xr:uid="{00000000-0005-0000-0000-000006000000}"/>
    <cellStyle name="$_lists 2" xfId="20" xr:uid="{00000000-0005-0000-0000-000007000000}"/>
    <cellStyle name="$_lists_4. Current Monthly Fixed Charge" xfId="21" xr:uid="{00000000-0005-0000-0000-000008000000}"/>
    <cellStyle name="$_lists_6.2 CBR B" xfId="22" xr:uid="{00000000-0005-0000-0000-000009000000}"/>
    <cellStyle name="$_lists_9. Shared Tax - Rate Rider" xfId="23" xr:uid="{00000000-0005-0000-0000-00000A000000}"/>
    <cellStyle name="$_Sheet4" xfId="24" xr:uid="{00000000-0005-0000-0000-00000B000000}"/>
    <cellStyle name="$_Sheet4 2" xfId="25" xr:uid="{00000000-0005-0000-0000-00000C000000}"/>
    <cellStyle name="$_Sheet4_6.2 CBR B" xfId="26" xr:uid="{00000000-0005-0000-0000-00000D000000}"/>
    <cellStyle name="$_Sheet4_9. Shared Tax - Rate Rider" xfId="27" xr:uid="{00000000-0005-0000-0000-00000E000000}"/>
    <cellStyle name="$M" xfId="28" xr:uid="{00000000-0005-0000-0000-00000F000000}"/>
    <cellStyle name="$M.00" xfId="29" xr:uid="{00000000-0005-0000-0000-000010000000}"/>
    <cellStyle name="$M_9. Rev2Cost_GDPIPI" xfId="30" xr:uid="{00000000-0005-0000-0000-000011000000}"/>
    <cellStyle name="20% - Accent1 2" xfId="31" xr:uid="{00000000-0005-0000-0000-000012000000}"/>
    <cellStyle name="20% - Accent1 2 2" xfId="32" xr:uid="{00000000-0005-0000-0000-000013000000}"/>
    <cellStyle name="20% - Accent1 2_6.2 CBR B" xfId="33" xr:uid="{00000000-0005-0000-0000-000014000000}"/>
    <cellStyle name="20% - Accent1 3" xfId="34" xr:uid="{00000000-0005-0000-0000-000015000000}"/>
    <cellStyle name="20% - Accent2 2" xfId="35" xr:uid="{00000000-0005-0000-0000-000016000000}"/>
    <cellStyle name="20% - Accent2 2 2" xfId="36" xr:uid="{00000000-0005-0000-0000-000017000000}"/>
    <cellStyle name="20% - Accent2 2_6.2 CBR B" xfId="37" xr:uid="{00000000-0005-0000-0000-000018000000}"/>
    <cellStyle name="20% - Accent2 3" xfId="38" xr:uid="{00000000-0005-0000-0000-000019000000}"/>
    <cellStyle name="20% - Accent3 2" xfId="39" xr:uid="{00000000-0005-0000-0000-00001A000000}"/>
    <cellStyle name="20% - Accent3 2 2" xfId="40" xr:uid="{00000000-0005-0000-0000-00001B000000}"/>
    <cellStyle name="20% - Accent3 2_6.2 CBR B" xfId="41" xr:uid="{00000000-0005-0000-0000-00001C000000}"/>
    <cellStyle name="20% - Accent3 3" xfId="42" xr:uid="{00000000-0005-0000-0000-00001D000000}"/>
    <cellStyle name="20% - Accent4 2" xfId="43" xr:uid="{00000000-0005-0000-0000-00001E000000}"/>
    <cellStyle name="20% - Accent4 2 2" xfId="44" xr:uid="{00000000-0005-0000-0000-00001F000000}"/>
    <cellStyle name="20% - Accent4 2_6.2 CBR B" xfId="45" xr:uid="{00000000-0005-0000-0000-000020000000}"/>
    <cellStyle name="20% - Accent4 3" xfId="46" xr:uid="{00000000-0005-0000-0000-000021000000}"/>
    <cellStyle name="20% - Accent5 2" xfId="47" xr:uid="{00000000-0005-0000-0000-000022000000}"/>
    <cellStyle name="20% - Accent5 2 2" xfId="48" xr:uid="{00000000-0005-0000-0000-000023000000}"/>
    <cellStyle name="20% - Accent5 2_6.2 CBR B" xfId="49" xr:uid="{00000000-0005-0000-0000-000024000000}"/>
    <cellStyle name="20% - Accent5 3" xfId="50" xr:uid="{00000000-0005-0000-0000-000025000000}"/>
    <cellStyle name="20% - Accent6 2" xfId="51" xr:uid="{00000000-0005-0000-0000-000026000000}"/>
    <cellStyle name="20% - Accent6 2 2" xfId="52" xr:uid="{00000000-0005-0000-0000-000027000000}"/>
    <cellStyle name="20% - Accent6 2_6.2 CBR B" xfId="53" xr:uid="{00000000-0005-0000-0000-000028000000}"/>
    <cellStyle name="20% - Accent6 3" xfId="54" xr:uid="{00000000-0005-0000-0000-000029000000}"/>
    <cellStyle name="40% - Accent1 2" xfId="55" xr:uid="{00000000-0005-0000-0000-00002A000000}"/>
    <cellStyle name="40% - Accent1 2 2" xfId="56" xr:uid="{00000000-0005-0000-0000-00002B000000}"/>
    <cellStyle name="40% - Accent1 2_6.2 CBR B" xfId="57" xr:uid="{00000000-0005-0000-0000-00002C000000}"/>
    <cellStyle name="40% - Accent1 3" xfId="58" xr:uid="{00000000-0005-0000-0000-00002D000000}"/>
    <cellStyle name="40% - Accent2 2" xfId="59" xr:uid="{00000000-0005-0000-0000-00002E000000}"/>
    <cellStyle name="40% - Accent2 2 2" xfId="60" xr:uid="{00000000-0005-0000-0000-00002F000000}"/>
    <cellStyle name="40% - Accent2 2_6.2 CBR B" xfId="61" xr:uid="{00000000-0005-0000-0000-000030000000}"/>
    <cellStyle name="40% - Accent2 3" xfId="62" xr:uid="{00000000-0005-0000-0000-000031000000}"/>
    <cellStyle name="40% - Accent3 2" xfId="63" xr:uid="{00000000-0005-0000-0000-000032000000}"/>
    <cellStyle name="40% - Accent3 2 2" xfId="64" xr:uid="{00000000-0005-0000-0000-000033000000}"/>
    <cellStyle name="40% - Accent3 2_6.2 CBR B" xfId="65" xr:uid="{00000000-0005-0000-0000-000034000000}"/>
    <cellStyle name="40% - Accent3 3" xfId="66" xr:uid="{00000000-0005-0000-0000-000035000000}"/>
    <cellStyle name="40% - Accent4 2" xfId="67" xr:uid="{00000000-0005-0000-0000-000036000000}"/>
    <cellStyle name="40% - Accent4 2 2" xfId="68" xr:uid="{00000000-0005-0000-0000-000037000000}"/>
    <cellStyle name="40% - Accent4 2_6.2 CBR B" xfId="69" xr:uid="{00000000-0005-0000-0000-000038000000}"/>
    <cellStyle name="40% - Accent4 3" xfId="70" xr:uid="{00000000-0005-0000-0000-000039000000}"/>
    <cellStyle name="40% - Accent5 2" xfId="71" xr:uid="{00000000-0005-0000-0000-00003A000000}"/>
    <cellStyle name="40% - Accent5 2 2" xfId="72" xr:uid="{00000000-0005-0000-0000-00003B000000}"/>
    <cellStyle name="40% - Accent5 2_6.2 CBR B" xfId="73" xr:uid="{00000000-0005-0000-0000-00003C000000}"/>
    <cellStyle name="40% - Accent5 3" xfId="74" xr:uid="{00000000-0005-0000-0000-00003D000000}"/>
    <cellStyle name="40% - Accent6 2" xfId="75" xr:uid="{00000000-0005-0000-0000-00003E000000}"/>
    <cellStyle name="40% - Accent6 2 2" xfId="76" xr:uid="{00000000-0005-0000-0000-00003F000000}"/>
    <cellStyle name="40% - Accent6 2_6.2 CBR B" xfId="77" xr:uid="{00000000-0005-0000-0000-000040000000}"/>
    <cellStyle name="40% - Accent6 3" xfId="78" xr:uid="{00000000-0005-0000-0000-000041000000}"/>
    <cellStyle name="60% - Accent1 2" xfId="79" xr:uid="{00000000-0005-0000-0000-000042000000}"/>
    <cellStyle name="60% - Accent2 2" xfId="80" xr:uid="{00000000-0005-0000-0000-000043000000}"/>
    <cellStyle name="60% - Accent3 2" xfId="81" xr:uid="{00000000-0005-0000-0000-000044000000}"/>
    <cellStyle name="60% - Accent4 2" xfId="82" xr:uid="{00000000-0005-0000-0000-000045000000}"/>
    <cellStyle name="60% - Accent5 2" xfId="83" xr:uid="{00000000-0005-0000-0000-000046000000}"/>
    <cellStyle name="60% - Accent6 2" xfId="84" xr:uid="{00000000-0005-0000-0000-000047000000}"/>
    <cellStyle name="Accent1 2" xfId="85" xr:uid="{00000000-0005-0000-0000-000048000000}"/>
    <cellStyle name="Accent2 2" xfId="86" xr:uid="{00000000-0005-0000-0000-000049000000}"/>
    <cellStyle name="Accent3 2" xfId="87" xr:uid="{00000000-0005-0000-0000-00004A000000}"/>
    <cellStyle name="Accent4 2" xfId="88" xr:uid="{00000000-0005-0000-0000-00004B000000}"/>
    <cellStyle name="Accent5 2" xfId="89" xr:uid="{00000000-0005-0000-0000-00004C000000}"/>
    <cellStyle name="Accent6 2" xfId="90" xr:uid="{00000000-0005-0000-0000-00004D000000}"/>
    <cellStyle name="Bad 2" xfId="91" xr:uid="{00000000-0005-0000-0000-00004E000000}"/>
    <cellStyle name="Calculation 2" xfId="92" xr:uid="{00000000-0005-0000-0000-00004F000000}"/>
    <cellStyle name="Check Cell 2" xfId="93" xr:uid="{00000000-0005-0000-0000-000050000000}"/>
    <cellStyle name="Comma" xfId="1" builtinId="3"/>
    <cellStyle name="Comma 2" xfId="12" xr:uid="{00000000-0005-0000-0000-000052000000}"/>
    <cellStyle name="Comma 2 2" xfId="94" xr:uid="{00000000-0005-0000-0000-000053000000}"/>
    <cellStyle name="Comma 2 2 2" xfId="95" xr:uid="{00000000-0005-0000-0000-000054000000}"/>
    <cellStyle name="Comma 2 2 2 2" xfId="96" xr:uid="{00000000-0005-0000-0000-000055000000}"/>
    <cellStyle name="Comma 2 2 3" xfId="97" xr:uid="{00000000-0005-0000-0000-000056000000}"/>
    <cellStyle name="Comma 2 2 3 2" xfId="98" xr:uid="{00000000-0005-0000-0000-000057000000}"/>
    <cellStyle name="Comma 2 2 4" xfId="99" xr:uid="{00000000-0005-0000-0000-000058000000}"/>
    <cellStyle name="Comma 2 2 5" xfId="100" xr:uid="{00000000-0005-0000-0000-000059000000}"/>
    <cellStyle name="Comma 2 2 6" xfId="101" xr:uid="{00000000-0005-0000-0000-00005A000000}"/>
    <cellStyle name="Comma 2 2_Database" xfId="102" xr:uid="{00000000-0005-0000-0000-00005B000000}"/>
    <cellStyle name="Comma 2 3" xfId="291" xr:uid="{77A7F8B8-0C66-4690-B7D6-5885061729DA}"/>
    <cellStyle name="Comma 3" xfId="11" xr:uid="{00000000-0005-0000-0000-00005C000000}"/>
    <cellStyle name="Comma 3 2" xfId="103" xr:uid="{00000000-0005-0000-0000-00005D000000}"/>
    <cellStyle name="Comma 3 2 2" xfId="104" xr:uid="{00000000-0005-0000-0000-00005E000000}"/>
    <cellStyle name="Comma 3 3" xfId="105" xr:uid="{00000000-0005-0000-0000-00005F000000}"/>
    <cellStyle name="Comma 3 4" xfId="106" xr:uid="{00000000-0005-0000-0000-000060000000}"/>
    <cellStyle name="Comma 4" xfId="107" xr:uid="{00000000-0005-0000-0000-000061000000}"/>
    <cellStyle name="Comma 4 2" xfId="108" xr:uid="{00000000-0005-0000-0000-000062000000}"/>
    <cellStyle name="Comma 4 3" xfId="109" xr:uid="{00000000-0005-0000-0000-000063000000}"/>
    <cellStyle name="Comma 4 6" xfId="110" xr:uid="{00000000-0005-0000-0000-000064000000}"/>
    <cellStyle name="Comma 4 6 2" xfId="111" xr:uid="{00000000-0005-0000-0000-000065000000}"/>
    <cellStyle name="Comma 4 6 3" xfId="112" xr:uid="{00000000-0005-0000-0000-000066000000}"/>
    <cellStyle name="Comma 4 6 4" xfId="113" xr:uid="{00000000-0005-0000-0000-000067000000}"/>
    <cellStyle name="Comma 4 6 5" xfId="114" xr:uid="{00000000-0005-0000-0000-000068000000}"/>
    <cellStyle name="Comma 4 6 6" xfId="115" xr:uid="{00000000-0005-0000-0000-000069000000}"/>
    <cellStyle name="Comma 44" xfId="292" xr:uid="{1D32C292-B117-44A2-ABF0-33E04226B18E}"/>
    <cellStyle name="Comma 5" xfId="116" xr:uid="{00000000-0005-0000-0000-00006A000000}"/>
    <cellStyle name="Comma 5 14" xfId="8" xr:uid="{00000000-0005-0000-0000-00006B000000}"/>
    <cellStyle name="Comma 5 2" xfId="117" xr:uid="{00000000-0005-0000-0000-00006C000000}"/>
    <cellStyle name="Comma 6" xfId="118" xr:uid="{00000000-0005-0000-0000-00006D000000}"/>
    <cellStyle name="Comma 7" xfId="119" xr:uid="{00000000-0005-0000-0000-00006E000000}"/>
    <cellStyle name="Comma 8" xfId="289" xr:uid="{873523B7-D68D-4898-AB0D-FE55FBFE6AA1}"/>
    <cellStyle name="Comma 8 8" xfId="296" xr:uid="{B083BF34-41B3-475B-AAB9-CE0D5F44F3E0}"/>
    <cellStyle name="Comma0" xfId="120" xr:uid="{00000000-0005-0000-0000-00006F000000}"/>
    <cellStyle name="Currency 11" xfId="121" xr:uid="{00000000-0005-0000-0000-000070000000}"/>
    <cellStyle name="Currency 2" xfId="122" xr:uid="{00000000-0005-0000-0000-000071000000}"/>
    <cellStyle name="Currency 2 2" xfId="123" xr:uid="{00000000-0005-0000-0000-000072000000}"/>
    <cellStyle name="Currency 2 3" xfId="124" xr:uid="{00000000-0005-0000-0000-000073000000}"/>
    <cellStyle name="Currency 3" xfId="125" xr:uid="{00000000-0005-0000-0000-000074000000}"/>
    <cellStyle name="Currency 3 2" xfId="126" xr:uid="{00000000-0005-0000-0000-000075000000}"/>
    <cellStyle name="Currency 3 3" xfId="127" xr:uid="{00000000-0005-0000-0000-000076000000}"/>
    <cellStyle name="Currency 3 4" xfId="128" xr:uid="{00000000-0005-0000-0000-000077000000}"/>
    <cellStyle name="Currency 3 5" xfId="129" xr:uid="{00000000-0005-0000-0000-000078000000}"/>
    <cellStyle name="Currency 4" xfId="130" xr:uid="{00000000-0005-0000-0000-000079000000}"/>
    <cellStyle name="Currency 4 2" xfId="131" xr:uid="{00000000-0005-0000-0000-00007A000000}"/>
    <cellStyle name="Currency 4 2 2" xfId="132" xr:uid="{00000000-0005-0000-0000-00007B000000}"/>
    <cellStyle name="Currency 4 3" xfId="133" xr:uid="{00000000-0005-0000-0000-00007C000000}"/>
    <cellStyle name="Currency 4 3 2" xfId="134" xr:uid="{00000000-0005-0000-0000-00007D000000}"/>
    <cellStyle name="Currency 4 4" xfId="135" xr:uid="{00000000-0005-0000-0000-00007E000000}"/>
    <cellStyle name="Currency 4 5" xfId="136" xr:uid="{00000000-0005-0000-0000-00007F000000}"/>
    <cellStyle name="Currency 4 6" xfId="137" xr:uid="{00000000-0005-0000-0000-000080000000}"/>
    <cellStyle name="Currency 5" xfId="138" xr:uid="{00000000-0005-0000-0000-000081000000}"/>
    <cellStyle name="Currency 5 2" xfId="139" xr:uid="{00000000-0005-0000-0000-000082000000}"/>
    <cellStyle name="Currency 6" xfId="140" xr:uid="{00000000-0005-0000-0000-000083000000}"/>
    <cellStyle name="Currency 6 2" xfId="141" xr:uid="{00000000-0005-0000-0000-000084000000}"/>
    <cellStyle name="Currency 7" xfId="142" xr:uid="{00000000-0005-0000-0000-000085000000}"/>
    <cellStyle name="Currency 8" xfId="143" xr:uid="{00000000-0005-0000-0000-000086000000}"/>
    <cellStyle name="Currency 9" xfId="144" xr:uid="{00000000-0005-0000-0000-000087000000}"/>
    <cellStyle name="Currency0" xfId="145" xr:uid="{00000000-0005-0000-0000-000088000000}"/>
    <cellStyle name="Date" xfId="146" xr:uid="{00000000-0005-0000-0000-000089000000}"/>
    <cellStyle name="Explanatory Text 2" xfId="147" xr:uid="{00000000-0005-0000-0000-00008A000000}"/>
    <cellStyle name="Fixed" xfId="148" xr:uid="{00000000-0005-0000-0000-00008B000000}"/>
    <cellStyle name="Good 2" xfId="149" xr:uid="{00000000-0005-0000-0000-00008C000000}"/>
    <cellStyle name="Grey" xfId="150" xr:uid="{00000000-0005-0000-0000-00008D000000}"/>
    <cellStyle name="Heading 1 2" xfId="151" xr:uid="{00000000-0005-0000-0000-00008E000000}"/>
    <cellStyle name="Heading 2 2" xfId="152" xr:uid="{00000000-0005-0000-0000-00008F000000}"/>
    <cellStyle name="Heading 3 2" xfId="153" xr:uid="{00000000-0005-0000-0000-000090000000}"/>
    <cellStyle name="Heading 4 2" xfId="154" xr:uid="{00000000-0005-0000-0000-000091000000}"/>
    <cellStyle name="Hyperlink" xfId="287" builtinId="8"/>
    <cellStyle name="Hyperlink 2" xfId="155" xr:uid="{00000000-0005-0000-0000-000092000000}"/>
    <cellStyle name="Input [yellow]" xfId="156" xr:uid="{00000000-0005-0000-0000-000093000000}"/>
    <cellStyle name="Input 2" xfId="157" xr:uid="{00000000-0005-0000-0000-000094000000}"/>
    <cellStyle name="Linked Cell 2" xfId="158" xr:uid="{00000000-0005-0000-0000-000095000000}"/>
    <cellStyle name="M" xfId="159" xr:uid="{00000000-0005-0000-0000-000096000000}"/>
    <cellStyle name="M.00" xfId="160" xr:uid="{00000000-0005-0000-0000-000097000000}"/>
    <cellStyle name="M_9. Rev2Cost_GDPIPI" xfId="161" xr:uid="{00000000-0005-0000-0000-000098000000}"/>
    <cellStyle name="M_9. Rev2Cost_GDPIPI 2" xfId="162" xr:uid="{00000000-0005-0000-0000-000099000000}"/>
    <cellStyle name="M_9. Rev2Cost_GDPIPI_6.2 CBR B" xfId="163" xr:uid="{00000000-0005-0000-0000-00009A000000}"/>
    <cellStyle name="M_9. Rev2Cost_GDPIPI_9. Shared Tax - Rate Rider" xfId="164" xr:uid="{00000000-0005-0000-0000-00009B000000}"/>
    <cellStyle name="M_lists" xfId="165" xr:uid="{00000000-0005-0000-0000-00009C000000}"/>
    <cellStyle name="M_lists 2" xfId="166" xr:uid="{00000000-0005-0000-0000-00009D000000}"/>
    <cellStyle name="M_lists_4. Current Monthly Fixed Charge" xfId="167" xr:uid="{00000000-0005-0000-0000-00009E000000}"/>
    <cellStyle name="M_lists_6.2 CBR B" xfId="168" xr:uid="{00000000-0005-0000-0000-00009F000000}"/>
    <cellStyle name="M_lists_9. Shared Tax - Rate Rider" xfId="169" xr:uid="{00000000-0005-0000-0000-0000A0000000}"/>
    <cellStyle name="M_Sheet4" xfId="170" xr:uid="{00000000-0005-0000-0000-0000A1000000}"/>
    <cellStyle name="M_Sheet4 2" xfId="171" xr:uid="{00000000-0005-0000-0000-0000A2000000}"/>
    <cellStyle name="M_Sheet4_6.2 CBR B" xfId="172" xr:uid="{00000000-0005-0000-0000-0000A3000000}"/>
    <cellStyle name="M_Sheet4_9. Shared Tax - Rate Rider" xfId="173" xr:uid="{00000000-0005-0000-0000-0000A4000000}"/>
    <cellStyle name="Neutral 2" xfId="174" xr:uid="{00000000-0005-0000-0000-0000A5000000}"/>
    <cellStyle name="Normal" xfId="0" builtinId="0"/>
    <cellStyle name="Normal - Style1" xfId="175" xr:uid="{00000000-0005-0000-0000-0000A7000000}"/>
    <cellStyle name="Normal 10" xfId="176" xr:uid="{00000000-0005-0000-0000-0000A8000000}"/>
    <cellStyle name="Normal 10 12" xfId="177" xr:uid="{00000000-0005-0000-0000-0000A9000000}"/>
    <cellStyle name="Normal 11" xfId="178" xr:uid="{00000000-0005-0000-0000-0000AA000000}"/>
    <cellStyle name="Normal 12" xfId="179" xr:uid="{00000000-0005-0000-0000-0000AB000000}"/>
    <cellStyle name="Normal 13" xfId="10" xr:uid="{00000000-0005-0000-0000-0000AC000000}"/>
    <cellStyle name="Normal 13 6" xfId="180" xr:uid="{00000000-0005-0000-0000-0000AD000000}"/>
    <cellStyle name="Normal 14" xfId="288" xr:uid="{50BAB62D-044A-4AFC-ABCD-E8EF18B09627}"/>
    <cellStyle name="Normal 14 2" xfId="294" xr:uid="{929D0C60-974A-42FE-8F70-7C2B04608D06}"/>
    <cellStyle name="Normal 15" xfId="181" xr:uid="{00000000-0005-0000-0000-0000AE000000}"/>
    <cellStyle name="Normal 167" xfId="182" xr:uid="{00000000-0005-0000-0000-0000AF000000}"/>
    <cellStyle name="Normal 167 2" xfId="183" xr:uid="{00000000-0005-0000-0000-0000B0000000}"/>
    <cellStyle name="Normal 167_6.2 CBR B" xfId="184" xr:uid="{00000000-0005-0000-0000-0000B1000000}"/>
    <cellStyle name="Normal 168" xfId="185" xr:uid="{00000000-0005-0000-0000-0000B2000000}"/>
    <cellStyle name="Normal 168 2" xfId="186" xr:uid="{00000000-0005-0000-0000-0000B3000000}"/>
    <cellStyle name="Normal 168_6.2 CBR B" xfId="187" xr:uid="{00000000-0005-0000-0000-0000B4000000}"/>
    <cellStyle name="Normal 169" xfId="188" xr:uid="{00000000-0005-0000-0000-0000B5000000}"/>
    <cellStyle name="Normal 169 2" xfId="189" xr:uid="{00000000-0005-0000-0000-0000B6000000}"/>
    <cellStyle name="Normal 169_6.2 CBR B" xfId="190" xr:uid="{00000000-0005-0000-0000-0000B7000000}"/>
    <cellStyle name="Normal 170" xfId="191" xr:uid="{00000000-0005-0000-0000-0000B8000000}"/>
    <cellStyle name="Normal 170 2" xfId="192" xr:uid="{00000000-0005-0000-0000-0000B9000000}"/>
    <cellStyle name="Normal 170_6.2 CBR B" xfId="193" xr:uid="{00000000-0005-0000-0000-0000BA000000}"/>
    <cellStyle name="Normal 171" xfId="194" xr:uid="{00000000-0005-0000-0000-0000BB000000}"/>
    <cellStyle name="Normal 171 2" xfId="195" xr:uid="{00000000-0005-0000-0000-0000BC000000}"/>
    <cellStyle name="Normal 171_6.2 CBR B" xfId="196" xr:uid="{00000000-0005-0000-0000-0000BD000000}"/>
    <cellStyle name="Normal 19" xfId="197" xr:uid="{00000000-0005-0000-0000-0000BE000000}"/>
    <cellStyle name="Normal 2" xfId="198" xr:uid="{00000000-0005-0000-0000-0000BF000000}"/>
    <cellStyle name="Normal 2 2 2 2 2" xfId="4" xr:uid="{00000000-0005-0000-0000-0000C0000000}"/>
    <cellStyle name="Normal 25" xfId="199" xr:uid="{00000000-0005-0000-0000-0000C1000000}"/>
    <cellStyle name="Normal 3" xfId="5" xr:uid="{00000000-0005-0000-0000-0000C2000000}"/>
    <cellStyle name="Normal 3 2" xfId="201" xr:uid="{00000000-0005-0000-0000-0000C3000000}"/>
    <cellStyle name="Normal 3 3" xfId="200" xr:uid="{00000000-0005-0000-0000-0000C4000000}"/>
    <cellStyle name="Normal 3_6.2 CBR B" xfId="202" xr:uid="{00000000-0005-0000-0000-0000C5000000}"/>
    <cellStyle name="Normal 30" xfId="203" xr:uid="{00000000-0005-0000-0000-0000C6000000}"/>
    <cellStyle name="Normal 31" xfId="204" xr:uid="{00000000-0005-0000-0000-0000C7000000}"/>
    <cellStyle name="Normal 4" xfId="205" xr:uid="{00000000-0005-0000-0000-0000C8000000}"/>
    <cellStyle name="Normal 4 2" xfId="206" xr:uid="{00000000-0005-0000-0000-0000C9000000}"/>
    <cellStyle name="Normal 4_6.2 CBR B" xfId="207" xr:uid="{00000000-0005-0000-0000-0000CA000000}"/>
    <cellStyle name="Normal 41" xfId="208" xr:uid="{00000000-0005-0000-0000-0000CB000000}"/>
    <cellStyle name="Normal 42" xfId="209" xr:uid="{00000000-0005-0000-0000-0000CC000000}"/>
    <cellStyle name="Normal 5" xfId="210" xr:uid="{00000000-0005-0000-0000-0000CD000000}"/>
    <cellStyle name="Normal 5 2" xfId="211" xr:uid="{00000000-0005-0000-0000-0000CE000000}"/>
    <cellStyle name="Normal 5 2 2" xfId="212" xr:uid="{00000000-0005-0000-0000-0000CF000000}"/>
    <cellStyle name="Normal 5 2_6.2 CBR B" xfId="213" xr:uid="{00000000-0005-0000-0000-0000D0000000}"/>
    <cellStyle name="Normal 5 3" xfId="214" xr:uid="{00000000-0005-0000-0000-0000D1000000}"/>
    <cellStyle name="Normal 5_6.2 CBR B" xfId="215" xr:uid="{00000000-0005-0000-0000-0000D2000000}"/>
    <cellStyle name="Normal 50" xfId="216" xr:uid="{00000000-0005-0000-0000-0000D3000000}"/>
    <cellStyle name="Normal 51" xfId="217" xr:uid="{00000000-0005-0000-0000-0000D4000000}"/>
    <cellStyle name="Normal 52" xfId="218" xr:uid="{00000000-0005-0000-0000-0000D5000000}"/>
    <cellStyle name="Normal 6" xfId="219" xr:uid="{00000000-0005-0000-0000-0000D6000000}"/>
    <cellStyle name="Normal 6 2" xfId="220" xr:uid="{00000000-0005-0000-0000-0000D7000000}"/>
    <cellStyle name="Normal 6 3" xfId="221" xr:uid="{00000000-0005-0000-0000-0000D8000000}"/>
    <cellStyle name="Normal 6 4" xfId="222" xr:uid="{00000000-0005-0000-0000-0000D9000000}"/>
    <cellStyle name="Normal 6 5" xfId="223" xr:uid="{00000000-0005-0000-0000-0000DA000000}"/>
    <cellStyle name="Normal 6_6.2 CBR B" xfId="224" xr:uid="{00000000-0005-0000-0000-0000DB000000}"/>
    <cellStyle name="Normal 60" xfId="225" xr:uid="{00000000-0005-0000-0000-0000DC000000}"/>
    <cellStyle name="Normal 61" xfId="226" xr:uid="{00000000-0005-0000-0000-0000DD000000}"/>
    <cellStyle name="Normal 67" xfId="2" xr:uid="{00000000-0005-0000-0000-0000DE000000}"/>
    <cellStyle name="Normal 67 2" xfId="9" xr:uid="{00000000-0005-0000-0000-0000DF000000}"/>
    <cellStyle name="Normal 67 3" xfId="286" xr:uid="{00000000-0005-0000-0000-0000E0000000}"/>
    <cellStyle name="Normal 7" xfId="227" xr:uid="{00000000-0005-0000-0000-0000E1000000}"/>
    <cellStyle name="Normal 8" xfId="228" xr:uid="{00000000-0005-0000-0000-0000E2000000}"/>
    <cellStyle name="Normal 9" xfId="229" xr:uid="{00000000-0005-0000-0000-0000E3000000}"/>
    <cellStyle name="Note 2" xfId="230" xr:uid="{00000000-0005-0000-0000-0000E4000000}"/>
    <cellStyle name="Note 2 2" xfId="231" xr:uid="{00000000-0005-0000-0000-0000E5000000}"/>
    <cellStyle name="Note 3" xfId="232" xr:uid="{00000000-0005-0000-0000-0000E6000000}"/>
    <cellStyle name="Output 2" xfId="233" xr:uid="{00000000-0005-0000-0000-0000E7000000}"/>
    <cellStyle name="Percent" xfId="3" builtinId="5"/>
    <cellStyle name="Percent [2]" xfId="234" xr:uid="{00000000-0005-0000-0000-0000E9000000}"/>
    <cellStyle name="Percent 10" xfId="235" xr:uid="{00000000-0005-0000-0000-0000EA000000}"/>
    <cellStyle name="Percent 10 2" xfId="293" xr:uid="{C662090B-13B3-42B0-B4EF-0B771FEFAA10}"/>
    <cellStyle name="Percent 11" xfId="236" xr:uid="{00000000-0005-0000-0000-0000EB000000}"/>
    <cellStyle name="Percent 12" xfId="237" xr:uid="{00000000-0005-0000-0000-0000EC000000}"/>
    <cellStyle name="Percent 13" xfId="238" xr:uid="{00000000-0005-0000-0000-0000ED000000}"/>
    <cellStyle name="Percent 13 6" xfId="239" xr:uid="{00000000-0005-0000-0000-0000EE000000}"/>
    <cellStyle name="Percent 14" xfId="240" xr:uid="{00000000-0005-0000-0000-0000EF000000}"/>
    <cellStyle name="Percent 15" xfId="241" xr:uid="{00000000-0005-0000-0000-0000F0000000}"/>
    <cellStyle name="Percent 16" xfId="242" xr:uid="{00000000-0005-0000-0000-0000F1000000}"/>
    <cellStyle name="Percent 17" xfId="243" xr:uid="{00000000-0005-0000-0000-0000F2000000}"/>
    <cellStyle name="Percent 18" xfId="244" xr:uid="{00000000-0005-0000-0000-0000F3000000}"/>
    <cellStyle name="Percent 19" xfId="245" xr:uid="{00000000-0005-0000-0000-0000F4000000}"/>
    <cellStyle name="Percent 2" xfId="246" xr:uid="{00000000-0005-0000-0000-0000F5000000}"/>
    <cellStyle name="Percent 20" xfId="247" xr:uid="{00000000-0005-0000-0000-0000F6000000}"/>
    <cellStyle name="Percent 21" xfId="248" xr:uid="{00000000-0005-0000-0000-0000F7000000}"/>
    <cellStyle name="Percent 22" xfId="249" xr:uid="{00000000-0005-0000-0000-0000F8000000}"/>
    <cellStyle name="Percent 23" xfId="250" xr:uid="{00000000-0005-0000-0000-0000F9000000}"/>
    <cellStyle name="Percent 24" xfId="251" xr:uid="{00000000-0005-0000-0000-0000FA000000}"/>
    <cellStyle name="Percent 25" xfId="252" xr:uid="{00000000-0005-0000-0000-0000FB000000}"/>
    <cellStyle name="Percent 26" xfId="253" xr:uid="{00000000-0005-0000-0000-0000FC000000}"/>
    <cellStyle name="Percent 27" xfId="254" xr:uid="{00000000-0005-0000-0000-0000FD000000}"/>
    <cellStyle name="Percent 28" xfId="255" xr:uid="{00000000-0005-0000-0000-0000FE000000}"/>
    <cellStyle name="Percent 29" xfId="256" xr:uid="{00000000-0005-0000-0000-0000FF000000}"/>
    <cellStyle name="Percent 3" xfId="6" xr:uid="{00000000-0005-0000-0000-000000010000}"/>
    <cellStyle name="Percent 3 2" xfId="258" xr:uid="{00000000-0005-0000-0000-000001010000}"/>
    <cellStyle name="Percent 3 2 2" xfId="259" xr:uid="{00000000-0005-0000-0000-000002010000}"/>
    <cellStyle name="Percent 3 3" xfId="260" xr:uid="{00000000-0005-0000-0000-000003010000}"/>
    <cellStyle name="Percent 3 4" xfId="257" xr:uid="{00000000-0005-0000-0000-000004010000}"/>
    <cellStyle name="Percent 30" xfId="261" xr:uid="{00000000-0005-0000-0000-000005010000}"/>
    <cellStyle name="Percent 31" xfId="262" xr:uid="{00000000-0005-0000-0000-000006010000}"/>
    <cellStyle name="Percent 32" xfId="263" xr:uid="{00000000-0005-0000-0000-000007010000}"/>
    <cellStyle name="Percent 33" xfId="264" xr:uid="{00000000-0005-0000-0000-000008010000}"/>
    <cellStyle name="Percent 34" xfId="265" xr:uid="{00000000-0005-0000-0000-000009010000}"/>
    <cellStyle name="Percent 35" xfId="266" xr:uid="{00000000-0005-0000-0000-00000A010000}"/>
    <cellStyle name="Percent 36" xfId="267" xr:uid="{00000000-0005-0000-0000-00000B010000}"/>
    <cellStyle name="Percent 37" xfId="268" xr:uid="{00000000-0005-0000-0000-00000C010000}"/>
    <cellStyle name="Percent 38" xfId="269" xr:uid="{00000000-0005-0000-0000-00000D010000}"/>
    <cellStyle name="Percent 39" xfId="270" xr:uid="{00000000-0005-0000-0000-00000E010000}"/>
    <cellStyle name="Percent 4" xfId="271" xr:uid="{00000000-0005-0000-0000-00000F010000}"/>
    <cellStyle name="Percent 4 2" xfId="272" xr:uid="{00000000-0005-0000-0000-000010010000}"/>
    <cellStyle name="Percent 4 3" xfId="273" xr:uid="{00000000-0005-0000-0000-000011010000}"/>
    <cellStyle name="Percent 40" xfId="274" xr:uid="{00000000-0005-0000-0000-000012010000}"/>
    <cellStyle name="Percent 41" xfId="275" xr:uid="{00000000-0005-0000-0000-000013010000}"/>
    <cellStyle name="Percent 42" xfId="276" xr:uid="{00000000-0005-0000-0000-000014010000}"/>
    <cellStyle name="Percent 43" xfId="290" xr:uid="{8E4F17D3-A1E6-4A32-A7C6-17988F23C969}"/>
    <cellStyle name="Percent 43 2" xfId="295" xr:uid="{AC600A2A-9639-40B3-870C-940994E45C5C}"/>
    <cellStyle name="Percent 5" xfId="277" xr:uid="{00000000-0005-0000-0000-000015010000}"/>
    <cellStyle name="Percent 5 3" xfId="7" xr:uid="{00000000-0005-0000-0000-000016010000}"/>
    <cellStyle name="Percent 54" xfId="278" xr:uid="{00000000-0005-0000-0000-000017010000}"/>
    <cellStyle name="Percent 6" xfId="279" xr:uid="{00000000-0005-0000-0000-000018010000}"/>
    <cellStyle name="Percent 7" xfId="280" xr:uid="{00000000-0005-0000-0000-000019010000}"/>
    <cellStyle name="Percent 8" xfId="281" xr:uid="{00000000-0005-0000-0000-00001A010000}"/>
    <cellStyle name="Percent 9" xfId="282" xr:uid="{00000000-0005-0000-0000-00001B010000}"/>
    <cellStyle name="Title 2" xfId="283" xr:uid="{00000000-0005-0000-0000-00001C010000}"/>
    <cellStyle name="Total 2" xfId="284" xr:uid="{00000000-0005-0000-0000-00001D010000}"/>
    <cellStyle name="Warning Text 2" xfId="285" xr:uid="{00000000-0005-0000-0000-00001E010000}"/>
  </cellStyles>
  <dxfs count="0"/>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3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Weather!$D$194:$D$313</c:f>
              <c:numCache>
                <c:formatCode>0.0</c:formatCode>
                <c:ptCount val="120"/>
                <c:pt idx="0">
                  <c:v>-5.8580645161290343</c:v>
                </c:pt>
                <c:pt idx="1">
                  <c:v>-11.139285714285718</c:v>
                </c:pt>
                <c:pt idx="2">
                  <c:v>-1.1612903225806448</c:v>
                </c:pt>
                <c:pt idx="3">
                  <c:v>7.2700000000000022</c:v>
                </c:pt>
                <c:pt idx="4">
                  <c:v>14.535483870967743</c:v>
                </c:pt>
                <c:pt idx="5">
                  <c:v>16.886666666666663</c:v>
                </c:pt>
                <c:pt idx="6">
                  <c:v>21.899999999999995</c:v>
                </c:pt>
                <c:pt idx="7">
                  <c:v>20.796774193548384</c:v>
                </c:pt>
                <c:pt idx="8">
                  <c:v>20.030000000000005</c:v>
                </c:pt>
                <c:pt idx="9">
                  <c:v>11.587096774193544</c:v>
                </c:pt>
                <c:pt idx="10">
                  <c:v>7.9633333333333329</c:v>
                </c:pt>
                <c:pt idx="11">
                  <c:v>5.2741935483870979</c:v>
                </c:pt>
                <c:pt idx="12">
                  <c:v>-2.1612903225806446</c:v>
                </c:pt>
                <c:pt idx="13">
                  <c:v>-0.76896551724137929</c:v>
                </c:pt>
                <c:pt idx="14">
                  <c:v>3.4451612903225803</c:v>
                </c:pt>
                <c:pt idx="15">
                  <c:v>4.9666666666666659</c:v>
                </c:pt>
                <c:pt idx="16">
                  <c:v>13.870967741935482</c:v>
                </c:pt>
                <c:pt idx="17">
                  <c:v>19.386666666666663</c:v>
                </c:pt>
                <c:pt idx="18">
                  <c:v>22.919354838709673</c:v>
                </c:pt>
                <c:pt idx="19">
                  <c:v>23.735483870967741</c:v>
                </c:pt>
                <c:pt idx="20">
                  <c:v>20.029999999999998</c:v>
                </c:pt>
                <c:pt idx="21">
                  <c:v>13.20967741935484</c:v>
                </c:pt>
                <c:pt idx="22">
                  <c:v>8.2366666666666628</c:v>
                </c:pt>
                <c:pt idx="23">
                  <c:v>-3.2258064516129135E-2</c:v>
                </c:pt>
                <c:pt idx="24">
                  <c:v>-0.34193548387096795</c:v>
                </c:pt>
                <c:pt idx="25">
                  <c:v>1.1714285714285715</c:v>
                </c:pt>
                <c:pt idx="26">
                  <c:v>0.54193548387096779</c:v>
                </c:pt>
                <c:pt idx="27">
                  <c:v>8.9300000000000015</c:v>
                </c:pt>
                <c:pt idx="28">
                  <c:v>11.783870967741937</c:v>
                </c:pt>
                <c:pt idx="29">
                  <c:v>19.303333333333331</c:v>
                </c:pt>
                <c:pt idx="30">
                  <c:v>21.661290322580644</c:v>
                </c:pt>
                <c:pt idx="31">
                  <c:v>20.522580645161295</c:v>
                </c:pt>
                <c:pt idx="32">
                  <c:v>18.610000000000003</c:v>
                </c:pt>
                <c:pt idx="33">
                  <c:v>14.658064516129036</c:v>
                </c:pt>
                <c:pt idx="34">
                  <c:v>5.0699999999999994</c:v>
                </c:pt>
                <c:pt idx="35">
                  <c:v>-2.9419354838709673</c:v>
                </c:pt>
                <c:pt idx="36">
                  <c:v>-3.9451612903225803</c:v>
                </c:pt>
                <c:pt idx="37">
                  <c:v>-0.28928571428571387</c:v>
                </c:pt>
                <c:pt idx="38">
                  <c:v>0.77741935483870972</c:v>
                </c:pt>
                <c:pt idx="39">
                  <c:v>4.0233333333333334</c:v>
                </c:pt>
                <c:pt idx="40">
                  <c:v>14.790322580645164</c:v>
                </c:pt>
                <c:pt idx="41">
                  <c:v>19.029999999999998</c:v>
                </c:pt>
                <c:pt idx="42">
                  <c:v>23.296774193548391</c:v>
                </c:pt>
                <c:pt idx="43">
                  <c:v>23.283870967741933</c:v>
                </c:pt>
                <c:pt idx="44">
                  <c:v>19.446666666666669</c:v>
                </c:pt>
                <c:pt idx="45">
                  <c:v>10.645161290322582</c:v>
                </c:pt>
                <c:pt idx="46">
                  <c:v>2.9200000000000004</c:v>
                </c:pt>
                <c:pt idx="47">
                  <c:v>1.3548387096774193</c:v>
                </c:pt>
                <c:pt idx="48">
                  <c:v>-4.580645161290323</c:v>
                </c:pt>
                <c:pt idx="49">
                  <c:v>-2.4178571428571423</c:v>
                </c:pt>
                <c:pt idx="50">
                  <c:v>4.8387096774193415E-2</c:v>
                </c:pt>
                <c:pt idx="51">
                  <c:v>6.2700000000000005</c:v>
                </c:pt>
                <c:pt idx="52">
                  <c:v>11.058064516129033</c:v>
                </c:pt>
                <c:pt idx="53">
                  <c:v>17.306666666666668</c:v>
                </c:pt>
                <c:pt idx="54">
                  <c:v>22.92258064516129</c:v>
                </c:pt>
                <c:pt idx="55">
                  <c:v>21.267741935483876</c:v>
                </c:pt>
                <c:pt idx="56">
                  <c:v>18.453333333333333</c:v>
                </c:pt>
                <c:pt idx="57">
                  <c:v>12.125806451612904</c:v>
                </c:pt>
                <c:pt idx="58">
                  <c:v>2.5333333333333332</c:v>
                </c:pt>
                <c:pt idx="59">
                  <c:v>1.2129032258064516</c:v>
                </c:pt>
                <c:pt idx="60">
                  <c:v>0.20000000000000021</c:v>
                </c:pt>
                <c:pt idx="61">
                  <c:v>-1.3517241379310343</c:v>
                </c:pt>
                <c:pt idx="62">
                  <c:v>3.8064516129032264</c:v>
                </c:pt>
                <c:pt idx="63">
                  <c:v>5.9666666666666659</c:v>
                </c:pt>
                <c:pt idx="64">
                  <c:v>11.177419354838708</c:v>
                </c:pt>
                <c:pt idx="65">
                  <c:v>19.97666666666667</c:v>
                </c:pt>
                <c:pt idx="66">
                  <c:v>24.532258064516125</c:v>
                </c:pt>
                <c:pt idx="67">
                  <c:v>21.920967741935485</c:v>
                </c:pt>
                <c:pt idx="68">
                  <c:v>17.376666666666665</c:v>
                </c:pt>
                <c:pt idx="69">
                  <c:v>10.483870967741934</c:v>
                </c:pt>
                <c:pt idx="70">
                  <c:v>8.1366666666666667</c:v>
                </c:pt>
                <c:pt idx="71">
                  <c:v>1.4806451612903222</c:v>
                </c:pt>
                <c:pt idx="72">
                  <c:v>-0.8999999999999998</c:v>
                </c:pt>
                <c:pt idx="73">
                  <c:v>-3.7500000000000004</c:v>
                </c:pt>
                <c:pt idx="74">
                  <c:v>3.5161290322580645</c:v>
                </c:pt>
                <c:pt idx="75">
                  <c:v>6.7766666666666673</c:v>
                </c:pt>
                <c:pt idx="76">
                  <c:v>13.167741935483869</c:v>
                </c:pt>
                <c:pt idx="77">
                  <c:v>20.980000000000004</c:v>
                </c:pt>
                <c:pt idx="78">
                  <c:v>21.56451612903226</c:v>
                </c:pt>
                <c:pt idx="79">
                  <c:v>23.651612903225807</c:v>
                </c:pt>
                <c:pt idx="80">
                  <c:v>18.350000000000001</c:v>
                </c:pt>
                <c:pt idx="81">
                  <c:v>14.590322580645163</c:v>
                </c:pt>
                <c:pt idx="82">
                  <c:v>5.8999999999999995</c:v>
                </c:pt>
                <c:pt idx="83">
                  <c:v>3.0161290322580654</c:v>
                </c:pt>
                <c:pt idx="84">
                  <c:v>-6.1354838709677422</c:v>
                </c:pt>
                <c:pt idx="85">
                  <c:v>-2.596428571428572</c:v>
                </c:pt>
                <c:pt idx="86">
                  <c:v>2.0096774193548388</c:v>
                </c:pt>
                <c:pt idx="87">
                  <c:v>6.2133333333333338</c:v>
                </c:pt>
                <c:pt idx="88">
                  <c:v>13.738709677419356</c:v>
                </c:pt>
                <c:pt idx="89">
                  <c:v>19.150000000000002</c:v>
                </c:pt>
                <c:pt idx="90">
                  <c:v>22.409677419354836</c:v>
                </c:pt>
                <c:pt idx="91">
                  <c:v>22.274193548387096</c:v>
                </c:pt>
                <c:pt idx="92">
                  <c:v>18.266666666666666</c:v>
                </c:pt>
                <c:pt idx="93">
                  <c:v>10.525806451612901</c:v>
                </c:pt>
                <c:pt idx="94">
                  <c:v>6.7566666666666659</c:v>
                </c:pt>
                <c:pt idx="95">
                  <c:v>1.1451612903225807</c:v>
                </c:pt>
                <c:pt idx="96">
                  <c:v>0.59354838709677415</c:v>
                </c:pt>
                <c:pt idx="97">
                  <c:v>0.43214285714285683</c:v>
                </c:pt>
                <c:pt idx="98">
                  <c:v>1.9870967741935488</c:v>
                </c:pt>
                <c:pt idx="99">
                  <c:v>8.5733333333333324</c:v>
                </c:pt>
                <c:pt idx="100">
                  <c:v>13.1</c:v>
                </c:pt>
                <c:pt idx="101">
                  <c:v>19.133333333333336</c:v>
                </c:pt>
                <c:pt idx="102">
                  <c:v>22.693548387096783</c:v>
                </c:pt>
                <c:pt idx="103">
                  <c:v>20.251612903225805</c:v>
                </c:pt>
                <c:pt idx="104">
                  <c:v>18.68666666666666</c:v>
                </c:pt>
                <c:pt idx="105">
                  <c:v>13.283870967741938</c:v>
                </c:pt>
                <c:pt idx="106">
                  <c:v>5.5299999999999994</c:v>
                </c:pt>
                <c:pt idx="107">
                  <c:v>3.7032258064516133</c:v>
                </c:pt>
                <c:pt idx="108">
                  <c:v>-0.91612903225806464</c:v>
                </c:pt>
                <c:pt idx="109">
                  <c:v>1.1344827586206896</c:v>
                </c:pt>
                <c:pt idx="110">
                  <c:v>4.1451612903225818</c:v>
                </c:pt>
                <c:pt idx="111">
                  <c:v>8.1766666666666676</c:v>
                </c:pt>
                <c:pt idx="112">
                  <c:v>14.935483870967746</c:v>
                </c:pt>
                <c:pt idx="113">
                  <c:v>19.479999999999997</c:v>
                </c:pt>
                <c:pt idx="114">
                  <c:v>22.445161290322577</c:v>
                </c:pt>
                <c:pt idx="115">
                  <c:v>21.751612903225805</c:v>
                </c:pt>
                <c:pt idx="116">
                  <c:v>18.926666666666669</c:v>
                </c:pt>
                <c:pt idx="117">
                  <c:v>13.748387096774191</c:v>
                </c:pt>
                <c:pt idx="118">
                  <c:v>7.8566666666666674</c:v>
                </c:pt>
                <c:pt idx="119">
                  <c:v>1.0709677419354837</c:v>
                </c:pt>
              </c:numCache>
            </c:numRef>
          </c:xVal>
          <c:yVal>
            <c:numRef>
              <c:f>Weather!$S$194:$S$313</c:f>
              <c:numCache>
                <c:formatCode>_(* #,##0.00_);_(* \(#,##0.00\);_(* "-"??_);_(@_)</c:formatCode>
                <c:ptCount val="120"/>
                <c:pt idx="0">
                  <c:v>26.404053849066642</c:v>
                </c:pt>
                <c:pt idx="1">
                  <c:v>25.128246962328443</c:v>
                </c:pt>
                <c:pt idx="2">
                  <c:v>22.929218931615431</c:v>
                </c:pt>
                <c:pt idx="3">
                  <c:v>21.03110038394745</c:v>
                </c:pt>
                <c:pt idx="4">
                  <c:v>21.510217287094857</c:v>
                </c:pt>
                <c:pt idx="5">
                  <c:v>25.19531100071098</c:v>
                </c:pt>
                <c:pt idx="6">
                  <c:v>28.846087370189366</c:v>
                </c:pt>
                <c:pt idx="7">
                  <c:v>29.216984503634833</c:v>
                </c:pt>
                <c:pt idx="8">
                  <c:v>26.115880349646353</c:v>
                </c:pt>
                <c:pt idx="9">
                  <c:v>22.078010194980259</c:v>
                </c:pt>
                <c:pt idx="10">
                  <c:v>20.86535723708819</c:v>
                </c:pt>
                <c:pt idx="11">
                  <c:v>22.043477832757503</c:v>
                </c:pt>
                <c:pt idx="12">
                  <c:v>24.204632347360732</c:v>
                </c:pt>
                <c:pt idx="13">
                  <c:v>22.750465967634963</c:v>
                </c:pt>
                <c:pt idx="14">
                  <c:v>21.333089786921459</c:v>
                </c:pt>
                <c:pt idx="15">
                  <c:v>20.703387539960779</c:v>
                </c:pt>
                <c:pt idx="16">
                  <c:v>22.44852898286576</c:v>
                </c:pt>
                <c:pt idx="17">
                  <c:v>28.294535555614392</c:v>
                </c:pt>
                <c:pt idx="18">
                  <c:v>33.344972089160983</c:v>
                </c:pt>
                <c:pt idx="19">
                  <c:v>32.58262188405881</c:v>
                </c:pt>
                <c:pt idx="20">
                  <c:v>27.871762149408269</c:v>
                </c:pt>
                <c:pt idx="21">
                  <c:v>22.396063610514759</c:v>
                </c:pt>
                <c:pt idx="22">
                  <c:v>20.975497723380652</c:v>
                </c:pt>
                <c:pt idx="23">
                  <c:v>23.328873227296949</c:v>
                </c:pt>
                <c:pt idx="24">
                  <c:v>23.744852769893125</c:v>
                </c:pt>
                <c:pt idx="25">
                  <c:v>22.459257495156141</c:v>
                </c:pt>
                <c:pt idx="26">
                  <c:v>21.205430583578739</c:v>
                </c:pt>
                <c:pt idx="27">
                  <c:v>19.596655728859925</c:v>
                </c:pt>
                <c:pt idx="28">
                  <c:v>20.532773287554342</c:v>
                </c:pt>
                <c:pt idx="29">
                  <c:v>25.884280418272628</c:v>
                </c:pt>
                <c:pt idx="30">
                  <c:v>29.454650402412913</c:v>
                </c:pt>
                <c:pt idx="31">
                  <c:v>27.724785645811597</c:v>
                </c:pt>
                <c:pt idx="32">
                  <c:v>25.057632525719708</c:v>
                </c:pt>
                <c:pt idx="33">
                  <c:v>21.829810985752111</c:v>
                </c:pt>
                <c:pt idx="34">
                  <c:v>21.467796439543225</c:v>
                </c:pt>
                <c:pt idx="35">
                  <c:v>25.078765762059248</c:v>
                </c:pt>
                <c:pt idx="36">
                  <c:v>25.321563572725889</c:v>
                </c:pt>
                <c:pt idx="37">
                  <c:v>23.313697279863284</c:v>
                </c:pt>
                <c:pt idx="38">
                  <c:v>21.793082175531865</c:v>
                </c:pt>
                <c:pt idx="39">
                  <c:v>20.928728740638793</c:v>
                </c:pt>
                <c:pt idx="40">
                  <c:v>21.874831232919345</c:v>
                </c:pt>
                <c:pt idx="41">
                  <c:v>28.531882664361493</c:v>
                </c:pt>
                <c:pt idx="42">
                  <c:v>34.387415402012053</c:v>
                </c:pt>
                <c:pt idx="43">
                  <c:v>33.471453246846039</c:v>
                </c:pt>
                <c:pt idx="44">
                  <c:v>27.801933862215819</c:v>
                </c:pt>
                <c:pt idx="45">
                  <c:v>21.49945239571683</c:v>
                </c:pt>
                <c:pt idx="46">
                  <c:v>22.293504847692819</c:v>
                </c:pt>
                <c:pt idx="47">
                  <c:v>24.173927515579773</c:v>
                </c:pt>
                <c:pt idx="48">
                  <c:v>24.909954046062026</c:v>
                </c:pt>
                <c:pt idx="49">
                  <c:v>24.59975098792912</c:v>
                </c:pt>
                <c:pt idx="50">
                  <c:v>22.394814872084822</c:v>
                </c:pt>
                <c:pt idx="51">
                  <c:v>20.354503077954796</c:v>
                </c:pt>
                <c:pt idx="52">
                  <c:v>19.994645479644998</c:v>
                </c:pt>
                <c:pt idx="53">
                  <c:v>24.527601947817029</c:v>
                </c:pt>
                <c:pt idx="54">
                  <c:v>33.135504721188411</c:v>
                </c:pt>
                <c:pt idx="55">
                  <c:v>30.56503626304395</c:v>
                </c:pt>
                <c:pt idx="56">
                  <c:v>24.027276876704242</c:v>
                </c:pt>
                <c:pt idx="57">
                  <c:v>20.678342356129672</c:v>
                </c:pt>
                <c:pt idx="58">
                  <c:v>21.931180903598047</c:v>
                </c:pt>
                <c:pt idx="59">
                  <c:v>23.893756805087179</c:v>
                </c:pt>
                <c:pt idx="60">
                  <c:v>23.553261055606438</c:v>
                </c:pt>
                <c:pt idx="61">
                  <c:v>22.928998151482066</c:v>
                </c:pt>
                <c:pt idx="62">
                  <c:v>22.096959022119041</c:v>
                </c:pt>
                <c:pt idx="63">
                  <c:v>21.954779438600234</c:v>
                </c:pt>
                <c:pt idx="64">
                  <c:v>23.911020814946532</c:v>
                </c:pt>
                <c:pt idx="65">
                  <c:v>32.206460520276707</c:v>
                </c:pt>
                <c:pt idx="66">
                  <c:v>37.828114268611145</c:v>
                </c:pt>
                <c:pt idx="67">
                  <c:v>33.40453188712484</c:v>
                </c:pt>
                <c:pt idx="68">
                  <c:v>25.372065081740704</c:v>
                </c:pt>
                <c:pt idx="69">
                  <c:v>21.330939825406187</c:v>
                </c:pt>
                <c:pt idx="70">
                  <c:v>22.202597080305267</c:v>
                </c:pt>
                <c:pt idx="71">
                  <c:v>25.017677426358006</c:v>
                </c:pt>
                <c:pt idx="72">
                  <c:v>25.587191647500187</c:v>
                </c:pt>
                <c:pt idx="73">
                  <c:v>25.554115558729148</c:v>
                </c:pt>
                <c:pt idx="74">
                  <c:v>22.543679986392924</c:v>
                </c:pt>
                <c:pt idx="75">
                  <c:v>21.109998692327927</c:v>
                </c:pt>
                <c:pt idx="76">
                  <c:v>24.57087771185844</c:v>
                </c:pt>
                <c:pt idx="77">
                  <c:v>29.397984188250792</c:v>
                </c:pt>
                <c:pt idx="78">
                  <c:v>32.218022269944676</c:v>
                </c:pt>
                <c:pt idx="79">
                  <c:v>33.591251488044236</c:v>
                </c:pt>
                <c:pt idx="80">
                  <c:v>26.879183508072952</c:v>
                </c:pt>
                <c:pt idx="81">
                  <c:v>21.451496850294458</c:v>
                </c:pt>
                <c:pt idx="82">
                  <c:v>21.982235663046033</c:v>
                </c:pt>
                <c:pt idx="83">
                  <c:v>24.455306495018387</c:v>
                </c:pt>
                <c:pt idx="84">
                  <c:v>26.154740600704379</c:v>
                </c:pt>
                <c:pt idx="85">
                  <c:v>25.269818839687836</c:v>
                </c:pt>
                <c:pt idx="86">
                  <c:v>22.8187597214169</c:v>
                </c:pt>
                <c:pt idx="87">
                  <c:v>21.174366350518731</c:v>
                </c:pt>
                <c:pt idx="88">
                  <c:v>22.527777368322784</c:v>
                </c:pt>
                <c:pt idx="89">
                  <c:v>28.433978488195898</c:v>
                </c:pt>
                <c:pt idx="90">
                  <c:v>33.263833458463708</c:v>
                </c:pt>
                <c:pt idx="91">
                  <c:v>32.507967438019655</c:v>
                </c:pt>
                <c:pt idx="92">
                  <c:v>25.9303696875604</c:v>
                </c:pt>
                <c:pt idx="93">
                  <c:v>20.482803042017526</c:v>
                </c:pt>
                <c:pt idx="94">
                  <c:v>21.706917458613344</c:v>
                </c:pt>
                <c:pt idx="95">
                  <c:v>24.2939762817226</c:v>
                </c:pt>
                <c:pt idx="96">
                  <c:v>24.199323274247636</c:v>
                </c:pt>
                <c:pt idx="97">
                  <c:v>23.502563203615864</c:v>
                </c:pt>
                <c:pt idx="98">
                  <c:v>22.152006410068996</c:v>
                </c:pt>
                <c:pt idx="99">
                  <c:v>20.782985153417219</c:v>
                </c:pt>
                <c:pt idx="100">
                  <c:v>21.733990382433706</c:v>
                </c:pt>
                <c:pt idx="101">
                  <c:v>26.753827085985037</c:v>
                </c:pt>
                <c:pt idx="102">
                  <c:v>31.46126834185263</c:v>
                </c:pt>
                <c:pt idx="103">
                  <c:v>29.279779464813529</c:v>
                </c:pt>
                <c:pt idx="104">
                  <c:v>25.043417682526002</c:v>
                </c:pt>
                <c:pt idx="105">
                  <c:v>21.142184103973541</c:v>
                </c:pt>
                <c:pt idx="106">
                  <c:v>21.800034645531188</c:v>
                </c:pt>
                <c:pt idx="107">
                  <c:v>23.937698197399946</c:v>
                </c:pt>
                <c:pt idx="108">
                  <c:v>24.577272145551703</c:v>
                </c:pt>
                <c:pt idx="109">
                  <c:v>23.22060515894087</c:v>
                </c:pt>
                <c:pt idx="110">
                  <c:v>21.764237178062928</c:v>
                </c:pt>
                <c:pt idx="111">
                  <c:v>20.691865534054294</c:v>
                </c:pt>
                <c:pt idx="112">
                  <c:v>22.528606695263527</c:v>
                </c:pt>
                <c:pt idx="113">
                  <c:v>28.966085580902476</c:v>
                </c:pt>
                <c:pt idx="114">
                  <c:v>33.258191626954392</c:v>
                </c:pt>
                <c:pt idx="115">
                  <c:v>31.149275263621654</c:v>
                </c:pt>
                <c:pt idx="116">
                  <c:v>25.789546843525418</c:v>
                </c:pt>
                <c:pt idx="117">
                  <c:v>21.283805294765319</c:v>
                </c:pt>
                <c:pt idx="118">
                  <c:v>21.706158764482623</c:v>
                </c:pt>
                <c:pt idx="119">
                  <c:v>25.054737278221388</c:v>
                </c:pt>
              </c:numCache>
            </c:numRef>
          </c:yVal>
          <c:smooth val="0"/>
          <c:extLst>
            <c:ext xmlns:c16="http://schemas.microsoft.com/office/drawing/2014/chart" uri="{C3380CC4-5D6E-409C-BE32-E72D297353CC}">
              <c16:uniqueId val="{00000000-E530-4760-B813-A6923811D0C1}"/>
            </c:ext>
          </c:extLst>
        </c:ser>
        <c:dLbls>
          <c:showLegendKey val="0"/>
          <c:showVal val="0"/>
          <c:showCatName val="0"/>
          <c:showSerName val="0"/>
          <c:showPercent val="0"/>
          <c:showBubbleSize val="0"/>
        </c:dLbls>
        <c:axId val="174515712"/>
        <c:axId val="152584192"/>
      </c:scatterChart>
      <c:valAx>
        <c:axId val="174515712"/>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defRPr/>
                </a:pPr>
                <a:r>
                  <a:rPr lang="en-US"/>
                  <a:t>Average</a:t>
                </a:r>
                <a:r>
                  <a:rPr lang="en-US" baseline="0"/>
                  <a:t> Tempurature (°C)</a:t>
                </a:r>
                <a:endParaRPr lang="en-US"/>
              </a:p>
            </c:rich>
          </c:tx>
          <c:overlay val="0"/>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584192"/>
        <c:crosses val="autoZero"/>
        <c:crossBetween val="midCat"/>
      </c:valAx>
      <c:valAx>
        <c:axId val="152584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t>Avg. Monthly Consumption</a:t>
                </a:r>
              </a:p>
            </c:rich>
          </c:tx>
          <c:overlay val="0"/>
        </c:title>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5157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 kW Predicted Monthly</a:t>
            </a:r>
          </a:p>
        </c:rich>
      </c:tx>
      <c:overlay val="0"/>
      <c:spPr>
        <a:noFill/>
        <a:ln>
          <a:noFill/>
        </a:ln>
        <a:effectLst/>
      </c:spPr>
    </c:title>
    <c:autoTitleDeleted val="0"/>
    <c:plotArea>
      <c:layout/>
      <c:lineChart>
        <c:grouping val="standard"/>
        <c:varyColors val="0"/>
        <c:ser>
          <c:idx val="0"/>
          <c:order val="0"/>
          <c:tx>
            <c:strRef>
              <c:f>'GS&gt;50 Predicted Monthly'!$D$1</c:f>
              <c:strCache>
                <c:ptCount val="1"/>
                <c:pt idx="0">
                  <c:v> GS_gt_50_NoCDM </c:v>
                </c:pt>
              </c:strCache>
            </c:strRef>
          </c:tx>
          <c:spPr>
            <a:ln w="28575" cap="rnd">
              <a:solidFill>
                <a:schemeClr val="accent1"/>
              </a:solidFill>
              <a:round/>
            </a:ln>
            <a:effectLst/>
          </c:spPr>
          <c:marker>
            <c:symbol val="none"/>
          </c:marker>
          <c:cat>
            <c:numRef>
              <c:f>'GS&gt;50 Predicted Monthly'!$A$2:$A$109</c:f>
              <c:numCache>
                <c:formatCode>m/d/yyyy</c:formatCode>
                <c:ptCount val="108"/>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numCache>
            </c:numRef>
          </c:cat>
          <c:val>
            <c:numRef>
              <c:f>'GS&gt;50 Predicted Monthly'!$D$2:$D$141</c:f>
              <c:numCache>
                <c:formatCode>_(* #,##0_);_(* \(#,##0\);_(* "-"??_);_(@_)</c:formatCode>
                <c:ptCount val="140"/>
                <c:pt idx="0">
                  <c:v>79694681.694532961</c:v>
                </c:pt>
                <c:pt idx="1">
                  <c:v>74376312.853804022</c:v>
                </c:pt>
                <c:pt idx="2">
                  <c:v>77468239.013075083</c:v>
                </c:pt>
                <c:pt idx="3">
                  <c:v>70027916.172346145</c:v>
                </c:pt>
                <c:pt idx="4">
                  <c:v>73743857.331617206</c:v>
                </c:pt>
                <c:pt idx="5">
                  <c:v>75664536.490888268</c:v>
                </c:pt>
                <c:pt idx="6">
                  <c:v>82284876.650159329</c:v>
                </c:pt>
                <c:pt idx="7">
                  <c:v>81168529.809430391</c:v>
                </c:pt>
                <c:pt idx="8">
                  <c:v>78691834.968701452</c:v>
                </c:pt>
                <c:pt idx="9">
                  <c:v>73009956.127972499</c:v>
                </c:pt>
                <c:pt idx="10">
                  <c:v>71846695.28724356</c:v>
                </c:pt>
                <c:pt idx="11">
                  <c:v>72643978.446514621</c:v>
                </c:pt>
                <c:pt idx="12">
                  <c:v>78763477.389551774</c:v>
                </c:pt>
                <c:pt idx="13">
                  <c:v>74636760.565422177</c:v>
                </c:pt>
                <c:pt idx="14">
                  <c:v>77047328.741292581</c:v>
                </c:pt>
                <c:pt idx="15">
                  <c:v>73374646.91716297</c:v>
                </c:pt>
                <c:pt idx="16">
                  <c:v>75400761.093033373</c:v>
                </c:pt>
                <c:pt idx="17">
                  <c:v>78871885.268903777</c:v>
                </c:pt>
                <c:pt idx="18">
                  <c:v>85038422.444774166</c:v>
                </c:pt>
                <c:pt idx="19">
                  <c:v>88248238.620644569</c:v>
                </c:pt>
                <c:pt idx="20">
                  <c:v>78975239.796514973</c:v>
                </c:pt>
                <c:pt idx="21">
                  <c:v>74338761.972385362</c:v>
                </c:pt>
                <c:pt idx="22">
                  <c:v>72857624.148255765</c:v>
                </c:pt>
                <c:pt idx="23">
                  <c:v>75276873.324126154</c:v>
                </c:pt>
                <c:pt idx="24">
                  <c:v>77812185.537604213</c:v>
                </c:pt>
                <c:pt idx="25">
                  <c:v>69707884.42837292</c:v>
                </c:pt>
                <c:pt idx="26">
                  <c:v>76997412.319141626</c:v>
                </c:pt>
                <c:pt idx="27">
                  <c:v>69695820.209910318</c:v>
                </c:pt>
                <c:pt idx="28">
                  <c:v>73710670.100679025</c:v>
                </c:pt>
                <c:pt idx="29">
                  <c:v>76943218.991447717</c:v>
                </c:pt>
                <c:pt idx="30">
                  <c:v>80788009.882216424</c:v>
                </c:pt>
                <c:pt idx="31">
                  <c:v>80742066.772985116</c:v>
                </c:pt>
                <c:pt idx="32">
                  <c:v>76743976.663753822</c:v>
                </c:pt>
                <c:pt idx="33">
                  <c:v>74943627.554522514</c:v>
                </c:pt>
                <c:pt idx="34">
                  <c:v>73430363.445291221</c:v>
                </c:pt>
                <c:pt idx="35">
                  <c:v>74717172.336059913</c:v>
                </c:pt>
                <c:pt idx="36">
                  <c:v>79618055.13230744</c:v>
                </c:pt>
                <c:pt idx="37">
                  <c:v>70553686.891704157</c:v>
                </c:pt>
                <c:pt idx="38">
                  <c:v>76019363.651100874</c:v>
                </c:pt>
                <c:pt idx="39">
                  <c:v>72504561.410497591</c:v>
                </c:pt>
                <c:pt idx="40">
                  <c:v>75108611.169894308</c:v>
                </c:pt>
                <c:pt idx="41">
                  <c:v>76769190.929291025</c:v>
                </c:pt>
                <c:pt idx="42">
                  <c:v>82170576.688687727</c:v>
                </c:pt>
                <c:pt idx="43">
                  <c:v>82374458.448084444</c:v>
                </c:pt>
                <c:pt idx="44">
                  <c:v>74890624.207481161</c:v>
                </c:pt>
                <c:pt idx="45">
                  <c:v>71126370.966877878</c:v>
                </c:pt>
                <c:pt idx="46">
                  <c:v>70890027.726274595</c:v>
                </c:pt>
                <c:pt idx="47">
                  <c:v>70258464.485671312</c:v>
                </c:pt>
                <c:pt idx="48">
                  <c:v>77017720.98365432</c:v>
                </c:pt>
                <c:pt idx="49">
                  <c:v>69584021.673609644</c:v>
                </c:pt>
                <c:pt idx="50">
                  <c:v>74426627.363564968</c:v>
                </c:pt>
                <c:pt idx="51">
                  <c:v>68208973.053520292</c:v>
                </c:pt>
                <c:pt idx="52">
                  <c:v>69285910.743475616</c:v>
                </c:pt>
                <c:pt idx="53">
                  <c:v>70340791.43343094</c:v>
                </c:pt>
                <c:pt idx="54">
                  <c:v>81692876.123386264</c:v>
                </c:pt>
                <c:pt idx="55">
                  <c:v>78330561.813341588</c:v>
                </c:pt>
                <c:pt idx="56">
                  <c:v>71728053.503296927</c:v>
                </c:pt>
                <c:pt idx="57">
                  <c:v>69595229.193252251</c:v>
                </c:pt>
                <c:pt idx="58">
                  <c:v>70061546.883207574</c:v>
                </c:pt>
                <c:pt idx="59">
                  <c:v>70940575.573162898</c:v>
                </c:pt>
                <c:pt idx="60">
                  <c:v>76432025.257973492</c:v>
                </c:pt>
                <c:pt idx="61">
                  <c:v>71230216.188582152</c:v>
                </c:pt>
                <c:pt idx="62">
                  <c:v>71001661.119190797</c:v>
                </c:pt>
                <c:pt idx="63">
                  <c:v>60883665.04979945</c:v>
                </c:pt>
                <c:pt idx="64">
                  <c:v>63891673.980408102</c:v>
                </c:pt>
                <c:pt idx="65">
                  <c:v>70683945.911016747</c:v>
                </c:pt>
                <c:pt idx="66">
                  <c:v>75739065.841625407</c:v>
                </c:pt>
                <c:pt idx="67">
                  <c:v>75530851.772234052</c:v>
                </c:pt>
                <c:pt idx="68">
                  <c:v>65350821.702842705</c:v>
                </c:pt>
                <c:pt idx="69">
                  <c:v>63677703.633451357</c:v>
                </c:pt>
                <c:pt idx="70">
                  <c:v>63426058.56406001</c:v>
                </c:pt>
                <c:pt idx="71">
                  <c:v>66367198.494668663</c:v>
                </c:pt>
                <c:pt idx="72">
                  <c:v>66761890.620358296</c:v>
                </c:pt>
                <c:pt idx="73">
                  <c:v>63358967.919563264</c:v>
                </c:pt>
                <c:pt idx="74">
                  <c:v>67520952.218768224</c:v>
                </c:pt>
                <c:pt idx="75">
                  <c:v>60994721.517973185</c:v>
                </c:pt>
                <c:pt idx="76">
                  <c:v>64228014.817178145</c:v>
                </c:pt>
                <c:pt idx="77">
                  <c:v>73762071.116383106</c:v>
                </c:pt>
                <c:pt idx="78">
                  <c:v>76779118.415588066</c:v>
                </c:pt>
                <c:pt idx="79">
                  <c:v>82287571.714793041</c:v>
                </c:pt>
                <c:pt idx="80">
                  <c:v>71607496.013998002</c:v>
                </c:pt>
                <c:pt idx="81">
                  <c:v>69158586.313202962</c:v>
                </c:pt>
                <c:pt idx="82">
                  <c:v>69469437.612407923</c:v>
                </c:pt>
                <c:pt idx="83">
                  <c:v>71198021.911612883</c:v>
                </c:pt>
                <c:pt idx="84">
                  <c:v>74478066.188207835</c:v>
                </c:pt>
                <c:pt idx="85">
                  <c:v>67971284.977837473</c:v>
                </c:pt>
                <c:pt idx="86">
                  <c:v>72988414.767467111</c:v>
                </c:pt>
                <c:pt idx="87">
                  <c:v>66254711.557096742</c:v>
                </c:pt>
                <c:pt idx="88">
                  <c:v>70028259.346726373</c:v>
                </c:pt>
                <c:pt idx="89">
                  <c:v>73412523.136356011</c:v>
                </c:pt>
                <c:pt idx="90">
                  <c:v>77789632.925985634</c:v>
                </c:pt>
                <c:pt idx="91">
                  <c:v>79678316.715615273</c:v>
                </c:pt>
                <c:pt idx="92">
                  <c:v>70692856.505244911</c:v>
                </c:pt>
                <c:pt idx="93">
                  <c:v>66086004.294874541</c:v>
                </c:pt>
                <c:pt idx="94">
                  <c:v>67580147.084504172</c:v>
                </c:pt>
                <c:pt idx="95">
                  <c:v>69037463.87413381</c:v>
                </c:pt>
                <c:pt idx="96">
                  <c:v>71676689.947135583</c:v>
                </c:pt>
                <c:pt idx="97">
                  <c:v>65932492.269264214</c:v>
                </c:pt>
                <c:pt idx="98">
                  <c:v>71645382.591392845</c:v>
                </c:pt>
                <c:pt idx="99">
                  <c:v>64673302.913521484</c:v>
                </c:pt>
                <c:pt idx="100">
                  <c:v>67530760.235650122</c:v>
                </c:pt>
                <c:pt idx="101">
                  <c:v>70478423.557778746</c:v>
                </c:pt>
                <c:pt idx="102">
                  <c:v>76112982.879907385</c:v>
                </c:pt>
                <c:pt idx="103">
                  <c:v>74128294.202036023</c:v>
                </c:pt>
                <c:pt idx="104">
                  <c:v>70137255.524164647</c:v>
                </c:pt>
                <c:pt idx="105">
                  <c:v>68045049.846293285</c:v>
                </c:pt>
                <c:pt idx="106">
                  <c:v>67535164.168421924</c:v>
                </c:pt>
                <c:pt idx="107">
                  <c:v>67172872.490550563</c:v>
                </c:pt>
                <c:pt idx="108">
                  <c:v>73612400.277207389</c:v>
                </c:pt>
                <c:pt idx="109">
                  <c:v>67426409.722989291</c:v>
                </c:pt>
                <c:pt idx="110">
                  <c:v>69526387.418771222</c:v>
                </c:pt>
                <c:pt idx="111">
                  <c:v>66433277.094553113</c:v>
                </c:pt>
                <c:pt idx="112">
                  <c:v>69679780.220335022</c:v>
                </c:pt>
                <c:pt idx="113">
                  <c:v>72525274.106116936</c:v>
                </c:pt>
                <c:pt idx="114">
                  <c:v>79765425.231898844</c:v>
                </c:pt>
                <c:pt idx="115">
                  <c:v>77761792.017680764</c:v>
                </c:pt>
                <c:pt idx="116">
                  <c:v>71569012.573462665</c:v>
                </c:pt>
                <c:pt idx="117">
                  <c:v>68521516.309244588</c:v>
                </c:pt>
                <c:pt idx="118">
                  <c:v>66855346.295026518</c:v>
                </c:pt>
                <c:pt idx="119">
                  <c:v>69388792.820808396</c:v>
                </c:pt>
              </c:numCache>
            </c:numRef>
          </c:val>
          <c:smooth val="0"/>
          <c:extLst>
            <c:ext xmlns:c16="http://schemas.microsoft.com/office/drawing/2014/chart" uri="{C3380CC4-5D6E-409C-BE32-E72D297353CC}">
              <c16:uniqueId val="{00000000-750E-40F3-A504-D9A134A283C8}"/>
            </c:ext>
          </c:extLst>
        </c:ser>
        <c:ser>
          <c:idx val="1"/>
          <c:order val="1"/>
          <c:tx>
            <c:strRef>
              <c:f>'GS&gt;50 Predicted Monthly'!$S$1</c:f>
              <c:strCache>
                <c:ptCount val="1"/>
                <c:pt idx="0">
                  <c:v>Predicted</c:v>
                </c:pt>
              </c:strCache>
            </c:strRef>
          </c:tx>
          <c:spPr>
            <a:ln w="28575" cap="rnd">
              <a:solidFill>
                <a:schemeClr val="accent2"/>
              </a:solidFill>
              <a:round/>
            </a:ln>
            <a:effectLst/>
          </c:spPr>
          <c:marker>
            <c:symbol val="none"/>
          </c:marker>
          <c:cat>
            <c:numRef>
              <c:f>'GS&gt;50 Predicted Monthly'!$A$2:$A$109</c:f>
              <c:numCache>
                <c:formatCode>m/d/yyyy</c:formatCode>
                <c:ptCount val="108"/>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numCache>
            </c:numRef>
          </c:cat>
          <c:val>
            <c:numRef>
              <c:f>'GS&gt;50 Predicted Monthly'!$S$2:$S$141</c:f>
              <c:numCache>
                <c:formatCode>_(* #,##0_);_(* \(#,##0\);_(* "-"??_);_(@_)</c:formatCode>
                <c:ptCount val="140"/>
                <c:pt idx="0">
                  <c:v>80383924.994446427</c:v>
                </c:pt>
                <c:pt idx="1">
                  <c:v>76482463.74574931</c:v>
                </c:pt>
                <c:pt idx="2">
                  <c:v>77780034.683826715</c:v>
                </c:pt>
                <c:pt idx="3">
                  <c:v>71472786.184062093</c:v>
                </c:pt>
                <c:pt idx="4">
                  <c:v>74486554.266788319</c:v>
                </c:pt>
                <c:pt idx="5">
                  <c:v>74342517.958717763</c:v>
                </c:pt>
                <c:pt idx="6">
                  <c:v>83390263.73833935</c:v>
                </c:pt>
                <c:pt idx="7">
                  <c:v>81916247.157811791</c:v>
                </c:pt>
                <c:pt idx="8">
                  <c:v>78638516.404817238</c:v>
                </c:pt>
                <c:pt idx="9">
                  <c:v>73089472.917999625</c:v>
                </c:pt>
                <c:pt idx="10">
                  <c:v>71677374.653670609</c:v>
                </c:pt>
                <c:pt idx="11">
                  <c:v>71929184.605525941</c:v>
                </c:pt>
                <c:pt idx="12">
                  <c:v>78532842.764152601</c:v>
                </c:pt>
                <c:pt idx="13">
                  <c:v>73405520.677669749</c:v>
                </c:pt>
                <c:pt idx="14">
                  <c:v>75048905.335175261</c:v>
                </c:pt>
                <c:pt idx="15">
                  <c:v>72280537.765615597</c:v>
                </c:pt>
                <c:pt idx="16">
                  <c:v>74599625.016546413</c:v>
                </c:pt>
                <c:pt idx="17">
                  <c:v>76701539.466038719</c:v>
                </c:pt>
                <c:pt idx="18">
                  <c:v>83656099.365494624</c:v>
                </c:pt>
                <c:pt idx="19">
                  <c:v>84612487.093023494</c:v>
                </c:pt>
                <c:pt idx="20">
                  <c:v>76829162.788921565</c:v>
                </c:pt>
                <c:pt idx="21">
                  <c:v>73105705.323757276</c:v>
                </c:pt>
                <c:pt idx="22">
                  <c:v>69701844.267758518</c:v>
                </c:pt>
                <c:pt idx="23">
                  <c:v>73254113.56251733</c:v>
                </c:pt>
                <c:pt idx="24">
                  <c:v>75875768.837121651</c:v>
                </c:pt>
                <c:pt idx="25">
                  <c:v>68864925.100305453</c:v>
                </c:pt>
                <c:pt idx="26">
                  <c:v>75539595.452407777</c:v>
                </c:pt>
                <c:pt idx="27">
                  <c:v>69747599.411010146</c:v>
                </c:pt>
                <c:pt idx="28">
                  <c:v>72106179.898958132</c:v>
                </c:pt>
                <c:pt idx="29">
                  <c:v>75682354.044843122</c:v>
                </c:pt>
                <c:pt idx="30">
                  <c:v>81216747.890762433</c:v>
                </c:pt>
                <c:pt idx="31">
                  <c:v>79509652.212691754</c:v>
                </c:pt>
                <c:pt idx="32">
                  <c:v>74892745.808887497</c:v>
                </c:pt>
                <c:pt idx="33">
                  <c:v>73634870.674675897</c:v>
                </c:pt>
                <c:pt idx="34">
                  <c:v>71139122.561787188</c:v>
                </c:pt>
                <c:pt idx="35">
                  <c:v>75193064.481467873</c:v>
                </c:pt>
                <c:pt idx="36">
                  <c:v>78116544.205971956</c:v>
                </c:pt>
                <c:pt idx="37">
                  <c:v>69633969.43671003</c:v>
                </c:pt>
                <c:pt idx="38">
                  <c:v>75085921.817875251</c:v>
                </c:pt>
                <c:pt idx="39">
                  <c:v>71069787.757524431</c:v>
                </c:pt>
                <c:pt idx="40">
                  <c:v>73125642.814400733</c:v>
                </c:pt>
                <c:pt idx="41">
                  <c:v>74599020.782586515</c:v>
                </c:pt>
                <c:pt idx="42">
                  <c:v>82937041.462574124</c:v>
                </c:pt>
                <c:pt idx="43">
                  <c:v>82866468.28428933</c:v>
                </c:pt>
                <c:pt idx="44">
                  <c:v>75008085.037855655</c:v>
                </c:pt>
                <c:pt idx="45">
                  <c:v>71207421.445237279</c:v>
                </c:pt>
                <c:pt idx="46">
                  <c:v>70850528.738710433</c:v>
                </c:pt>
                <c:pt idx="47">
                  <c:v>71186635.390516892</c:v>
                </c:pt>
                <c:pt idx="48">
                  <c:v>76898215.930923566</c:v>
                </c:pt>
                <c:pt idx="49">
                  <c:v>69308463.85638383</c:v>
                </c:pt>
                <c:pt idx="50">
                  <c:v>74397783.896917254</c:v>
                </c:pt>
                <c:pt idx="51">
                  <c:v>69113815.106484026</c:v>
                </c:pt>
                <c:pt idx="52">
                  <c:v>70214106.706575051</c:v>
                </c:pt>
                <c:pt idx="53">
                  <c:v>71845153.87541762</c:v>
                </c:pt>
                <c:pt idx="54">
                  <c:v>81796387.291949004</c:v>
                </c:pt>
                <c:pt idx="55">
                  <c:v>79370933.462513641</c:v>
                </c:pt>
                <c:pt idx="56">
                  <c:v>73290531.302934185</c:v>
                </c:pt>
                <c:pt idx="57">
                  <c:v>69769347.501093939</c:v>
                </c:pt>
                <c:pt idx="58">
                  <c:v>70897034.405262858</c:v>
                </c:pt>
                <c:pt idx="59">
                  <c:v>71088000.981191084</c:v>
                </c:pt>
                <c:pt idx="60">
                  <c:v>74199685.113107443</c:v>
                </c:pt>
                <c:pt idx="61">
                  <c:v>70708252.60568057</c:v>
                </c:pt>
                <c:pt idx="62">
                  <c:v>71336933.170301244</c:v>
                </c:pt>
                <c:pt idx="63">
                  <c:v>66482645.343869768</c:v>
                </c:pt>
                <c:pt idx="64">
                  <c:v>67074658.325028203</c:v>
                </c:pt>
                <c:pt idx="65">
                  <c:v>70606720.469775528</c:v>
                </c:pt>
                <c:pt idx="66">
                  <c:v>79552541.652969033</c:v>
                </c:pt>
                <c:pt idx="67">
                  <c:v>76567858.750792727</c:v>
                </c:pt>
                <c:pt idx="68">
                  <c:v>68759485.859288901</c:v>
                </c:pt>
                <c:pt idx="69">
                  <c:v>67355061.626686886</c:v>
                </c:pt>
                <c:pt idx="70">
                  <c:v>66798121.023935355</c:v>
                </c:pt>
                <c:pt idx="71">
                  <c:v>68783256.933606729</c:v>
                </c:pt>
                <c:pt idx="72">
                  <c:v>72005293.304465085</c:v>
                </c:pt>
                <c:pt idx="73">
                  <c:v>66766534.487735137</c:v>
                </c:pt>
                <c:pt idx="74">
                  <c:v>69749920.859156236</c:v>
                </c:pt>
                <c:pt idx="75">
                  <c:v>67274680.322835118</c:v>
                </c:pt>
                <c:pt idx="76">
                  <c:v>71591924.85591872</c:v>
                </c:pt>
                <c:pt idx="77">
                  <c:v>77063077.278233573</c:v>
                </c:pt>
                <c:pt idx="78">
                  <c:v>79925403.550587773</c:v>
                </c:pt>
                <c:pt idx="79">
                  <c:v>82503798.149541825</c:v>
                </c:pt>
                <c:pt idx="80">
                  <c:v>72352786.164965987</c:v>
                </c:pt>
                <c:pt idx="81">
                  <c:v>70935614.94834885</c:v>
                </c:pt>
                <c:pt idx="82">
                  <c:v>67989256.666030407</c:v>
                </c:pt>
                <c:pt idx="83">
                  <c:v>69205294.546815336</c:v>
                </c:pt>
                <c:pt idx="84">
                  <c:v>76959590.974481001</c:v>
                </c:pt>
                <c:pt idx="85">
                  <c:v>68729197.718181998</c:v>
                </c:pt>
                <c:pt idx="86">
                  <c:v>72348988.117836043</c:v>
                </c:pt>
                <c:pt idx="87">
                  <c:v>68094566.434822828</c:v>
                </c:pt>
                <c:pt idx="88">
                  <c:v>70913630.136195466</c:v>
                </c:pt>
                <c:pt idx="89">
                  <c:v>73105678.396865726</c:v>
                </c:pt>
                <c:pt idx="90">
                  <c:v>79659745.356825352</c:v>
                </c:pt>
                <c:pt idx="91">
                  <c:v>78880492.562933683</c:v>
                </c:pt>
                <c:pt idx="92">
                  <c:v>70745059.792079255</c:v>
                </c:pt>
                <c:pt idx="93">
                  <c:v>66995533.228540555</c:v>
                </c:pt>
                <c:pt idx="94">
                  <c:v>66330051.145438738</c:v>
                </c:pt>
                <c:pt idx="95">
                  <c:v>67772822.46363245</c:v>
                </c:pt>
                <c:pt idx="96">
                  <c:v>70682718.31121175</c:v>
                </c:pt>
                <c:pt idx="97">
                  <c:v>64696596.684386134</c:v>
                </c:pt>
                <c:pt idx="98">
                  <c:v>70316126.669755116</c:v>
                </c:pt>
                <c:pt idx="99">
                  <c:v>66045354.176307291</c:v>
                </c:pt>
                <c:pt idx="100">
                  <c:v>68246491.190043733</c:v>
                </c:pt>
                <c:pt idx="101">
                  <c:v>71029032.282371163</c:v>
                </c:pt>
                <c:pt idx="102">
                  <c:v>78331882.546609908</c:v>
                </c:pt>
                <c:pt idx="103">
                  <c:v>74655276.513206765</c:v>
                </c:pt>
                <c:pt idx="104">
                  <c:v>70233076.755211368</c:v>
                </c:pt>
                <c:pt idx="105">
                  <c:v>68430468.11015889</c:v>
                </c:pt>
                <c:pt idx="106">
                  <c:v>66117731.08773683</c:v>
                </c:pt>
                <c:pt idx="107">
                  <c:v>66404431.161550552</c:v>
                </c:pt>
                <c:pt idx="108">
                  <c:v>71265490.198250338</c:v>
                </c:pt>
                <c:pt idx="109">
                  <c:v>65715494.837743931</c:v>
                </c:pt>
                <c:pt idx="110">
                  <c:v>67983341.053610042</c:v>
                </c:pt>
                <c:pt idx="111">
                  <c:v>63942830.270088479</c:v>
                </c:pt>
                <c:pt idx="112">
                  <c:v>67305333.836484909</c:v>
                </c:pt>
                <c:pt idx="113">
                  <c:v>70243581.857801244</c:v>
                </c:pt>
                <c:pt idx="114">
                  <c:v>76667899.284259781</c:v>
                </c:pt>
                <c:pt idx="115">
                  <c:v>75640418.255752981</c:v>
                </c:pt>
                <c:pt idx="116">
                  <c:v>69440293.510596186</c:v>
                </c:pt>
                <c:pt idx="117">
                  <c:v>66787273.679216981</c:v>
                </c:pt>
                <c:pt idx="118">
                  <c:v>64549696.415427826</c:v>
                </c:pt>
                <c:pt idx="119">
                  <c:v>66998201.737776928</c:v>
                </c:pt>
              </c:numCache>
            </c:numRef>
          </c:val>
          <c:smooth val="0"/>
          <c:extLst>
            <c:ext xmlns:c16="http://schemas.microsoft.com/office/drawing/2014/chart" uri="{C3380CC4-5D6E-409C-BE32-E72D297353CC}">
              <c16:uniqueId val="{00000001-750E-40F3-A504-D9A134A283C8}"/>
            </c:ext>
          </c:extLst>
        </c:ser>
        <c:dLbls>
          <c:showLegendKey val="0"/>
          <c:showVal val="0"/>
          <c:showCatName val="0"/>
          <c:showSerName val="0"/>
          <c:showPercent val="0"/>
          <c:showBubbleSize val="0"/>
        </c:dLbls>
        <c:smooth val="0"/>
        <c:axId val="175950464"/>
        <c:axId val="176296704"/>
      </c:lineChart>
      <c:dateAx>
        <c:axId val="175950464"/>
        <c:scaling>
          <c:orientation val="minMax"/>
        </c:scaling>
        <c:delete val="0"/>
        <c:axPos val="b"/>
        <c:title>
          <c:tx>
            <c:rich>
              <a:bodyPr/>
              <a:lstStyle/>
              <a:p>
                <a:pPr>
                  <a:defRPr/>
                </a:pPr>
                <a:r>
                  <a:rPr lang="en-US"/>
                  <a:t>Month</a:t>
                </a:r>
              </a:p>
            </c:rich>
          </c:tx>
          <c:overlay val="0"/>
        </c:title>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296704"/>
        <c:crosses val="autoZero"/>
        <c:auto val="1"/>
        <c:lblOffset val="100"/>
        <c:baseTimeUnit val="months"/>
      </c:dateAx>
      <c:valAx>
        <c:axId val="176296704"/>
        <c:scaling>
          <c:orientation val="minMax"/>
          <c:min val="4000000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t>Mnthly Consumption</a:t>
                </a:r>
                <a:r>
                  <a:rPr lang="en-US" baseline="0"/>
                  <a:t> (kWh)</a:t>
                </a:r>
                <a:endParaRPr lang="en-US"/>
              </a:p>
            </c:rich>
          </c:tx>
          <c:overlay val="0"/>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950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Res kWh</a:t>
            </a:r>
          </a:p>
        </c:rich>
      </c:tx>
      <c:overlay val="0"/>
      <c:spPr>
        <a:noFill/>
        <a:ln>
          <a:noFill/>
        </a:ln>
        <a:effectLst/>
      </c:spPr>
    </c:title>
    <c:autoTitleDeleted val="0"/>
    <c:plotArea>
      <c:layout>
        <c:manualLayout>
          <c:layoutTarget val="inner"/>
          <c:xMode val="edge"/>
          <c:yMode val="edge"/>
          <c:x val="0.15396154813859148"/>
          <c:y val="0.15081562385346992"/>
          <c:w val="0.77396832572741314"/>
          <c:h val="0.60527163943216777"/>
        </c:manualLayout>
      </c:layout>
      <c:lineChart>
        <c:grouping val="standard"/>
        <c:varyColors val="0"/>
        <c:ser>
          <c:idx val="2"/>
          <c:order val="0"/>
          <c:tx>
            <c:strRef>
              <c:f>'Model Summary'!$C$3</c:f>
              <c:strCache>
                <c:ptCount val="1"/>
                <c:pt idx="0">
                  <c:v>CDM Added Back</c:v>
                </c:pt>
              </c:strCache>
            </c:strRef>
          </c:tx>
          <c:spPr>
            <a:ln w="19050" cap="rnd" cmpd="sng" algn="ctr">
              <a:solidFill>
                <a:schemeClr val="accent3"/>
              </a:solidFill>
              <a:prstDash val="solid"/>
              <a:round/>
            </a:ln>
            <a:effectLst/>
          </c:spPr>
          <c:marker>
            <c:symbol val="none"/>
          </c:marker>
          <c:cat>
            <c:numRef>
              <c:f>'Model Summary'!$B$5:$B$14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'Model Summary'!$C$5:$C$14</c:f>
              <c:numCache>
                <c:formatCode>#,##0</c:formatCode>
                <c:ptCount val="10"/>
                <c:pt idx="0">
                  <c:v>532890860.25720596</c:v>
                </c:pt>
                <c:pt idx="1">
                  <c:v>552745360.65753627</c:v>
                </c:pt>
                <c:pt idx="2">
                  <c:v>523095111.88667029</c:v>
                </c:pt>
                <c:pt idx="3">
                  <c:v>566454235.37672377</c:v>
                </c:pt>
                <c:pt idx="4">
                  <c:v>544053943.83784747</c:v>
                </c:pt>
                <c:pt idx="5">
                  <c:v>586747287.62514925</c:v>
                </c:pt>
                <c:pt idx="6">
                  <c:v>582379376.22512603</c:v>
                </c:pt>
                <c:pt idx="7">
                  <c:v>574681696.74652433</c:v>
                </c:pt>
                <c:pt idx="8">
                  <c:v>552462521.05124557</c:v>
                </c:pt>
                <c:pt idx="9">
                  <c:v>572872143.88731706</c:v>
                </c:pt>
              </c:numCache>
            </c:numRef>
          </c:val>
          <c:smooth val="0"/>
          <c:extLst>
            <c:ext xmlns:c16="http://schemas.microsoft.com/office/drawing/2014/chart" uri="{C3380CC4-5D6E-409C-BE32-E72D297353CC}">
              <c16:uniqueId val="{00000000-7E8B-4816-B55E-9CA300298653}"/>
            </c:ext>
          </c:extLst>
        </c:ser>
        <c:ser>
          <c:idx val="0"/>
          <c:order val="1"/>
          <c:tx>
            <c:strRef>
              <c:f>'Model Summary'!$D$3</c:f>
              <c:strCache>
                <c:ptCount val="1"/>
                <c:pt idx="0">
                  <c:v>Predicted</c:v>
                </c:pt>
              </c:strCache>
            </c:strRef>
          </c:tx>
          <c:spPr>
            <a:ln w="19050" cap="rnd" cmpd="sng" algn="ctr">
              <a:solidFill>
                <a:schemeClr val="accent1"/>
              </a:solidFill>
              <a:prstDash val="solid"/>
              <a:round/>
            </a:ln>
            <a:effectLst/>
          </c:spPr>
          <c:marker>
            <c:symbol val="none"/>
          </c:marker>
          <c:cat>
            <c:numRef>
              <c:f>'Model Summary'!$B$5:$B$14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'Model Summary'!$D$5:$D$14</c:f>
              <c:numCache>
                <c:formatCode>#,##0</c:formatCode>
                <c:ptCount val="10"/>
                <c:pt idx="0">
                  <c:v>537298080.09407449</c:v>
                </c:pt>
                <c:pt idx="1">
                  <c:v>557965045.19494009</c:v>
                </c:pt>
                <c:pt idx="2">
                  <c:v>543916717.92135894</c:v>
                </c:pt>
                <c:pt idx="3">
                  <c:v>564365733.18507993</c:v>
                </c:pt>
                <c:pt idx="4">
                  <c:v>552624887.64097345</c:v>
                </c:pt>
                <c:pt idx="5">
                  <c:v>564702707.14301348</c:v>
                </c:pt>
                <c:pt idx="6">
                  <c:v>560435678.24577177</c:v>
                </c:pt>
                <c:pt idx="7">
                  <c:v>567130875.3679173</c:v>
                </c:pt>
                <c:pt idx="8">
                  <c:v>567487520.73096967</c:v>
                </c:pt>
                <c:pt idx="9">
                  <c:v>576115074.1281445</c:v>
                </c:pt>
              </c:numCache>
            </c:numRef>
          </c:val>
          <c:smooth val="0"/>
          <c:extLst>
            <c:ext xmlns:c16="http://schemas.microsoft.com/office/drawing/2014/chart" uri="{C3380CC4-5D6E-409C-BE32-E72D297353CC}">
              <c16:uniqueId val="{00000001-7E8B-4816-B55E-9CA300298653}"/>
            </c:ext>
          </c:extLst>
        </c:ser>
        <c:dLbls>
          <c:showLegendKey val="0"/>
          <c:showVal val="0"/>
          <c:showCatName val="0"/>
          <c:showSerName val="0"/>
          <c:showPercent val="0"/>
          <c:showBubbleSize val="0"/>
        </c:dLbls>
        <c:smooth val="0"/>
        <c:axId val="176336256"/>
        <c:axId val="176354432"/>
      </c:lineChart>
      <c:catAx>
        <c:axId val="176336256"/>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54432"/>
        <c:crosses val="autoZero"/>
        <c:auto val="1"/>
        <c:lblAlgn val="ctr"/>
        <c:lblOffset val="100"/>
        <c:noMultiLvlLbl val="0"/>
      </c:catAx>
      <c:valAx>
        <c:axId val="176354432"/>
        <c:scaling>
          <c:orientation val="minMax"/>
          <c:min val="450000000"/>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36256"/>
        <c:crosses val="autoZero"/>
        <c:crossBetween val="between"/>
      </c:valAx>
      <c:spPr>
        <a:solidFill>
          <a:schemeClr val="bg1"/>
        </a:solidFill>
        <a:ln>
          <a:noFill/>
        </a:ln>
        <a:effectLst/>
      </c:spPr>
    </c:plotArea>
    <c:legend>
      <c:legendPos val="r"/>
      <c:layout>
        <c:manualLayout>
          <c:xMode val="edge"/>
          <c:yMode val="edge"/>
          <c:x val="0.21715721957119594"/>
          <c:y val="0.88854677939255144"/>
          <c:w val="0.24757020584833503"/>
          <c:h val="0.1114532076861941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GS&lt;50 kWh</a:t>
            </a:r>
          </a:p>
        </c:rich>
      </c:tx>
      <c:overlay val="0"/>
    </c:title>
    <c:autoTitleDeleted val="0"/>
    <c:plotArea>
      <c:layout>
        <c:manualLayout>
          <c:layoutTarget val="inner"/>
          <c:xMode val="edge"/>
          <c:yMode val="edge"/>
          <c:x val="0.15396154813859148"/>
          <c:y val="0.15081562385346992"/>
          <c:w val="0.77396832572741314"/>
          <c:h val="0.60527163943216777"/>
        </c:manualLayout>
      </c:layout>
      <c:lineChart>
        <c:grouping val="standard"/>
        <c:varyColors val="0"/>
        <c:ser>
          <c:idx val="1"/>
          <c:order val="0"/>
          <c:tx>
            <c:strRef>
              <c:f>'Model Summary'!$I$3</c:f>
              <c:strCache>
                <c:ptCount val="1"/>
                <c:pt idx="0">
                  <c:v>CDM Added Back</c:v>
                </c:pt>
              </c:strCache>
            </c:strRef>
          </c:tx>
          <c:marker>
            <c:symbol val="none"/>
          </c:marker>
          <c:cat>
            <c:numRef>
              <c:f>'Model Summary'!$H$5:$H$14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'Model Summary'!$I$5:$I$14</c:f>
              <c:numCache>
                <c:formatCode>#,##0</c:formatCode>
                <c:ptCount val="10"/>
                <c:pt idx="0">
                  <c:v>172218289.48210973</c:v>
                </c:pt>
                <c:pt idx="1">
                  <c:v>174885321.01763114</c:v>
                </c:pt>
                <c:pt idx="2">
                  <c:v>173841513.45425135</c:v>
                </c:pt>
                <c:pt idx="3">
                  <c:v>183676700.03861499</c:v>
                </c:pt>
                <c:pt idx="4">
                  <c:v>182204005.0134041</c:v>
                </c:pt>
                <c:pt idx="5">
                  <c:v>165404249.78398204</c:v>
                </c:pt>
                <c:pt idx="6">
                  <c:v>169419368.83821398</c:v>
                </c:pt>
                <c:pt idx="7">
                  <c:v>181122176.75763667</c:v>
                </c:pt>
                <c:pt idx="8">
                  <c:v>183814795.50031063</c:v>
                </c:pt>
                <c:pt idx="9">
                  <c:v>184141453.64625633</c:v>
                </c:pt>
              </c:numCache>
            </c:numRef>
          </c:val>
          <c:smooth val="0"/>
          <c:extLst>
            <c:ext xmlns:c16="http://schemas.microsoft.com/office/drawing/2014/chart" uri="{C3380CC4-5D6E-409C-BE32-E72D297353CC}">
              <c16:uniqueId val="{00000000-B449-4DF8-BB13-414F3FA7538F}"/>
            </c:ext>
          </c:extLst>
        </c:ser>
        <c:ser>
          <c:idx val="2"/>
          <c:order val="1"/>
          <c:tx>
            <c:strRef>
              <c:f>'Model Summary'!$J$3</c:f>
              <c:strCache>
                <c:ptCount val="1"/>
                <c:pt idx="0">
                  <c:v>Predicted</c:v>
                </c:pt>
              </c:strCache>
            </c:strRef>
          </c:tx>
          <c:marker>
            <c:symbol val="none"/>
          </c:marker>
          <c:cat>
            <c:numRef>
              <c:f>'Model Summary'!$H$5:$H$14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'Model Summary'!$J$5:$J$14</c:f>
              <c:numCache>
                <c:formatCode>#,##0</c:formatCode>
                <c:ptCount val="10"/>
                <c:pt idx="0">
                  <c:v>171644592.97905749</c:v>
                </c:pt>
                <c:pt idx="1">
                  <c:v>173813660.36021993</c:v>
                </c:pt>
                <c:pt idx="2">
                  <c:v>173094628.68456352</c:v>
                </c:pt>
                <c:pt idx="3">
                  <c:v>178022310.55312464</c:v>
                </c:pt>
                <c:pt idx="4">
                  <c:v>176673577.44080594</c:v>
                </c:pt>
                <c:pt idx="5">
                  <c:v>176925973.57837221</c:v>
                </c:pt>
                <c:pt idx="6">
                  <c:v>180523743.62596887</c:v>
                </c:pt>
                <c:pt idx="7">
                  <c:v>181481031.05923861</c:v>
                </c:pt>
                <c:pt idx="8">
                  <c:v>180065470.77986583</c:v>
                </c:pt>
                <c:pt idx="9">
                  <c:v>180935546.45776901</c:v>
                </c:pt>
              </c:numCache>
            </c:numRef>
          </c:val>
          <c:smooth val="0"/>
          <c:extLst>
            <c:ext xmlns:c16="http://schemas.microsoft.com/office/drawing/2014/chart" uri="{C3380CC4-5D6E-409C-BE32-E72D297353CC}">
              <c16:uniqueId val="{00000001-B449-4DF8-BB13-414F3FA7538F}"/>
            </c:ext>
          </c:extLst>
        </c:ser>
        <c:dLbls>
          <c:showLegendKey val="0"/>
          <c:showVal val="0"/>
          <c:showCatName val="0"/>
          <c:showSerName val="0"/>
          <c:showPercent val="0"/>
          <c:showBubbleSize val="0"/>
        </c:dLbls>
        <c:smooth val="0"/>
        <c:axId val="175999616"/>
        <c:axId val="176009600"/>
      </c:lineChart>
      <c:catAx>
        <c:axId val="175999616"/>
        <c:scaling>
          <c:orientation val="minMax"/>
        </c:scaling>
        <c:delete val="0"/>
        <c:axPos val="b"/>
        <c:numFmt formatCode="General" sourceLinked="1"/>
        <c:majorTickMark val="out"/>
        <c:minorTickMark val="none"/>
        <c:tickLblPos val="nextTo"/>
        <c:crossAx val="176009600"/>
        <c:crosses val="autoZero"/>
        <c:auto val="1"/>
        <c:lblAlgn val="ctr"/>
        <c:lblOffset val="100"/>
        <c:noMultiLvlLbl val="0"/>
      </c:catAx>
      <c:valAx>
        <c:axId val="176009600"/>
        <c:scaling>
          <c:orientation val="minMax"/>
        </c:scaling>
        <c:delete val="0"/>
        <c:axPos val="l"/>
        <c:majorGridlines/>
        <c:numFmt formatCode="#,##0" sourceLinked="1"/>
        <c:majorTickMark val="out"/>
        <c:minorTickMark val="none"/>
        <c:tickLblPos val="nextTo"/>
        <c:crossAx val="175999616"/>
        <c:crosses val="autoZero"/>
        <c:crossBetween val="between"/>
      </c:valAx>
    </c:plotArea>
    <c:legend>
      <c:legendPos val="r"/>
      <c:layout>
        <c:manualLayout>
          <c:xMode val="edge"/>
          <c:yMode val="edge"/>
          <c:x val="0.16492161452791376"/>
          <c:y val="0.89277970013071706"/>
          <c:w val="0.66956326405145306"/>
          <c:h val="8.3031637174385456E-2"/>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GS&gt;50 kWh</a:t>
            </a:r>
          </a:p>
        </c:rich>
      </c:tx>
      <c:overlay val="0"/>
    </c:title>
    <c:autoTitleDeleted val="0"/>
    <c:plotArea>
      <c:layout>
        <c:manualLayout>
          <c:layoutTarget val="inner"/>
          <c:xMode val="edge"/>
          <c:yMode val="edge"/>
          <c:x val="0.15396154813859148"/>
          <c:y val="0.15081562385346992"/>
          <c:w val="0.77396832572741314"/>
          <c:h val="0.60527163943216777"/>
        </c:manualLayout>
      </c:layout>
      <c:lineChart>
        <c:grouping val="standard"/>
        <c:varyColors val="0"/>
        <c:ser>
          <c:idx val="1"/>
          <c:order val="0"/>
          <c:tx>
            <c:strRef>
              <c:f>'Model Summary'!$O$3</c:f>
              <c:strCache>
                <c:ptCount val="1"/>
                <c:pt idx="0">
                  <c:v>CDM Added Back</c:v>
                </c:pt>
              </c:strCache>
            </c:strRef>
          </c:tx>
          <c:marker>
            <c:symbol val="none"/>
          </c:marker>
          <c:cat>
            <c:numRef>
              <c:f>'Model Summary'!$N$5:$N$14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'Model Summary'!$O$5:$O$14</c:f>
              <c:numCache>
                <c:formatCode>#,##0</c:formatCode>
                <c:ptCount val="10"/>
                <c:pt idx="0">
                  <c:v>910621414.84628558</c:v>
                </c:pt>
                <c:pt idx="1">
                  <c:v>932830020.28206766</c:v>
                </c:pt>
                <c:pt idx="2">
                  <c:v>906232408.24198496</c:v>
                </c:pt>
                <c:pt idx="3">
                  <c:v>902283991.70787251</c:v>
                </c:pt>
                <c:pt idx="4">
                  <c:v>871212888.34090328</c:v>
                </c:pt>
                <c:pt idx="5">
                  <c:v>824214887.51585293</c:v>
                </c:pt>
                <c:pt idx="6">
                  <c:v>837126850.19182706</c:v>
                </c:pt>
                <c:pt idx="7">
                  <c:v>855997681.37404978</c:v>
                </c:pt>
                <c:pt idx="8">
                  <c:v>835068670.62611675</c:v>
                </c:pt>
                <c:pt idx="9">
                  <c:v>853065414.08809495</c:v>
                </c:pt>
              </c:numCache>
            </c:numRef>
          </c:val>
          <c:smooth val="0"/>
          <c:extLst>
            <c:ext xmlns:c16="http://schemas.microsoft.com/office/drawing/2014/chart" uri="{C3380CC4-5D6E-409C-BE32-E72D297353CC}">
              <c16:uniqueId val="{00000000-CF01-45C4-9E84-D2732F09EE2B}"/>
            </c:ext>
          </c:extLst>
        </c:ser>
        <c:ser>
          <c:idx val="2"/>
          <c:order val="1"/>
          <c:tx>
            <c:strRef>
              <c:f>'Model Summary'!$P$3</c:f>
              <c:strCache>
                <c:ptCount val="1"/>
                <c:pt idx="0">
                  <c:v>Predicted</c:v>
                </c:pt>
              </c:strCache>
            </c:strRef>
          </c:tx>
          <c:marker>
            <c:symbol val="none"/>
          </c:marker>
          <c:cat>
            <c:numRef>
              <c:f>'Model Summary'!$N$5:$N$14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'Model Summary'!$P$5:$P$14</c:f>
              <c:numCache>
                <c:formatCode>#,##0</c:formatCode>
                <c:ptCount val="10"/>
                <c:pt idx="0">
                  <c:v>915589341.31175518</c:v>
                </c:pt>
                <c:pt idx="1">
                  <c:v>911728383.42667115</c:v>
                </c:pt>
                <c:pt idx="2">
                  <c:v>893402626.37491906</c:v>
                </c:pt>
                <c:pt idx="3">
                  <c:v>895687067.17425251</c:v>
                </c:pt>
                <c:pt idx="4">
                  <c:v>877989774.31764603</c:v>
                </c:pt>
                <c:pt idx="5">
                  <c:v>848225220.87504244</c:v>
                </c:pt>
                <c:pt idx="6">
                  <c:v>867363585.13463402</c:v>
                </c:pt>
                <c:pt idx="7">
                  <c:v>860535356.32783306</c:v>
                </c:pt>
                <c:pt idx="8">
                  <c:v>835189185.48854947</c:v>
                </c:pt>
                <c:pt idx="9">
                  <c:v>826539854.93700957</c:v>
                </c:pt>
              </c:numCache>
            </c:numRef>
          </c:val>
          <c:smooth val="0"/>
          <c:extLst>
            <c:ext xmlns:c16="http://schemas.microsoft.com/office/drawing/2014/chart" uri="{C3380CC4-5D6E-409C-BE32-E72D297353CC}">
              <c16:uniqueId val="{00000001-CF01-45C4-9E84-D2732F09EE2B}"/>
            </c:ext>
          </c:extLst>
        </c:ser>
        <c:dLbls>
          <c:showLegendKey val="0"/>
          <c:showVal val="0"/>
          <c:showCatName val="0"/>
          <c:showSerName val="0"/>
          <c:showPercent val="0"/>
          <c:showBubbleSize val="0"/>
        </c:dLbls>
        <c:smooth val="0"/>
        <c:axId val="176099328"/>
        <c:axId val="176100864"/>
      </c:lineChart>
      <c:catAx>
        <c:axId val="176099328"/>
        <c:scaling>
          <c:orientation val="minMax"/>
        </c:scaling>
        <c:delete val="0"/>
        <c:axPos val="b"/>
        <c:numFmt formatCode="General" sourceLinked="1"/>
        <c:majorTickMark val="out"/>
        <c:minorTickMark val="none"/>
        <c:tickLblPos val="nextTo"/>
        <c:crossAx val="176100864"/>
        <c:crosses val="autoZero"/>
        <c:auto val="1"/>
        <c:lblAlgn val="ctr"/>
        <c:lblOffset val="100"/>
        <c:noMultiLvlLbl val="0"/>
      </c:catAx>
      <c:valAx>
        <c:axId val="176100864"/>
        <c:scaling>
          <c:orientation val="minMax"/>
        </c:scaling>
        <c:delete val="0"/>
        <c:axPos val="l"/>
        <c:majorGridlines/>
        <c:numFmt formatCode="#,##0" sourceLinked="1"/>
        <c:majorTickMark val="out"/>
        <c:minorTickMark val="none"/>
        <c:tickLblPos val="nextTo"/>
        <c:crossAx val="176099328"/>
        <c:crosses val="autoZero"/>
        <c:crossBetween val="between"/>
      </c:valAx>
    </c:plotArea>
    <c:legend>
      <c:legendPos val="r"/>
      <c:layout>
        <c:manualLayout>
          <c:xMode val="edge"/>
          <c:yMode val="edge"/>
          <c:x val="0.16492161452791376"/>
          <c:y val="0.89277970013071706"/>
          <c:w val="0.66956326405145306"/>
          <c:h val="8.3031637174385456E-2"/>
        </c:manualLayout>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overlay val="0"/>
      <c:spPr>
        <a:noFill/>
        <a:ln>
          <a:noFill/>
        </a:ln>
        <a:effectLst/>
      </c:spPr>
    </c:title>
    <c:autoTitleDeleted val="0"/>
    <c:plotArea>
      <c:layout/>
      <c:lineChart>
        <c:grouping val="standard"/>
        <c:varyColors val="0"/>
        <c:ser>
          <c:idx val="0"/>
          <c:order val="0"/>
          <c:tx>
            <c:strRef>
              <c:f>'Res Normalized Monthly'!$D$1</c:f>
              <c:strCache>
                <c:ptCount val="1"/>
                <c:pt idx="0">
                  <c:v> Res_NoCDM </c:v>
                </c:pt>
              </c:strCache>
            </c:strRef>
          </c:tx>
          <c:spPr>
            <a:ln w="28575" cap="rnd">
              <a:solidFill>
                <a:schemeClr val="accent1"/>
              </a:solidFill>
              <a:round/>
            </a:ln>
            <a:effectLst/>
          </c:spPr>
          <c:marker>
            <c:symbol val="none"/>
          </c:marker>
          <c:cat>
            <c:numRef>
              <c:f>'Res Normalized Monthly'!$A$2:$A$145</c:f>
              <c:numCache>
                <c:formatCode>m/d/yyyy</c:formatCode>
                <c:ptCount val="14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pt idx="133">
                  <c:v>46054</c:v>
                </c:pt>
                <c:pt idx="134">
                  <c:v>46082</c:v>
                </c:pt>
                <c:pt idx="135">
                  <c:v>46113</c:v>
                </c:pt>
                <c:pt idx="136">
                  <c:v>46143</c:v>
                </c:pt>
                <c:pt idx="137">
                  <c:v>46174</c:v>
                </c:pt>
                <c:pt idx="138">
                  <c:v>46204</c:v>
                </c:pt>
                <c:pt idx="139">
                  <c:v>46235</c:v>
                </c:pt>
                <c:pt idx="140">
                  <c:v>46266</c:v>
                </c:pt>
                <c:pt idx="141">
                  <c:v>46296</c:v>
                </c:pt>
                <c:pt idx="142">
                  <c:v>46327</c:v>
                </c:pt>
                <c:pt idx="143">
                  <c:v>46357</c:v>
                </c:pt>
              </c:numCache>
            </c:numRef>
          </c:cat>
          <c:val>
            <c:numRef>
              <c:f>'Res Normalized Monthly'!$D$2:$D$145</c:f>
              <c:numCache>
                <c:formatCode>_(* #,##0.00_);_(* \(#,##0.00\);_(* "-"??_);_(@_)</c:formatCode>
                <c:ptCount val="144"/>
                <c:pt idx="0">
                  <c:v>49127092.146981061</c:v>
                </c:pt>
                <c:pt idx="1">
                  <c:v>42235859.033245198</c:v>
                </c:pt>
                <c:pt idx="2">
                  <c:v>42686019.919509344</c:v>
                </c:pt>
                <c:pt idx="3">
                  <c:v>37892574.805773482</c:v>
                </c:pt>
                <c:pt idx="4">
                  <c:v>40054347.692037627</c:v>
                </c:pt>
                <c:pt idx="5">
                  <c:v>45422610.578301765</c:v>
                </c:pt>
                <c:pt idx="6">
                  <c:v>53739568.464565903</c:v>
                </c:pt>
                <c:pt idx="7">
                  <c:v>54462241.350830048</c:v>
                </c:pt>
                <c:pt idx="8">
                  <c:v>47137858.237094186</c:v>
                </c:pt>
                <c:pt idx="9">
                  <c:v>41235519.123358332</c:v>
                </c:pt>
                <c:pt idx="10">
                  <c:v>37717263.00962247</c:v>
                </c:pt>
                <c:pt idx="11">
                  <c:v>41179905.895886615</c:v>
                </c:pt>
                <c:pt idx="12">
                  <c:v>45255473.713757403</c:v>
                </c:pt>
                <c:pt idx="13">
                  <c:v>39790337.472733878</c:v>
                </c:pt>
                <c:pt idx="14">
                  <c:v>39893155.231710352</c:v>
                </c:pt>
                <c:pt idx="15">
                  <c:v>37464228.990686826</c:v>
                </c:pt>
                <c:pt idx="16">
                  <c:v>41966514.749663308</c:v>
                </c:pt>
                <c:pt idx="17">
                  <c:v>51191605.508639783</c:v>
                </c:pt>
                <c:pt idx="18">
                  <c:v>62342093.267616257</c:v>
                </c:pt>
                <c:pt idx="19">
                  <c:v>60905685.026592731</c:v>
                </c:pt>
                <c:pt idx="20">
                  <c:v>50436740.785569206</c:v>
                </c:pt>
                <c:pt idx="21">
                  <c:v>41879541.544545688</c:v>
                </c:pt>
                <c:pt idx="22">
                  <c:v>37972992.303522162</c:v>
                </c:pt>
                <c:pt idx="23">
                  <c:v>43646992.062498637</c:v>
                </c:pt>
                <c:pt idx="24">
                  <c:v>44428210.437605619</c:v>
                </c:pt>
                <c:pt idx="25">
                  <c:v>38008250.644202635</c:v>
                </c:pt>
                <c:pt idx="26">
                  <c:v>39754350.85079965</c:v>
                </c:pt>
                <c:pt idx="27">
                  <c:v>35550881.057396658</c:v>
                </c:pt>
                <c:pt idx="28">
                  <c:v>38527675.263993673</c:v>
                </c:pt>
                <c:pt idx="29">
                  <c:v>46993946.470590688</c:v>
                </c:pt>
                <c:pt idx="30">
                  <c:v>55250414.677187696</c:v>
                </c:pt>
                <c:pt idx="31">
                  <c:v>52000413.883784711</c:v>
                </c:pt>
                <c:pt idx="32">
                  <c:v>45504410.090381727</c:v>
                </c:pt>
                <c:pt idx="33">
                  <c:v>40966849.296978742</c:v>
                </c:pt>
                <c:pt idx="34">
                  <c:v>39001404.503575757</c:v>
                </c:pt>
                <c:pt idx="35">
                  <c:v>47108304.710172765</c:v>
                </c:pt>
                <c:pt idx="36">
                  <c:v>47709598.683987916</c:v>
                </c:pt>
                <c:pt idx="37">
                  <c:v>39687279.898667745</c:v>
                </c:pt>
                <c:pt idx="38">
                  <c:v>41074250.113347575</c:v>
                </c:pt>
                <c:pt idx="39">
                  <c:v>38168978.328027405</c:v>
                </c:pt>
                <c:pt idx="40">
                  <c:v>41244600.542707235</c:v>
                </c:pt>
                <c:pt idx="41">
                  <c:v>52144868.757387064</c:v>
                </c:pt>
                <c:pt idx="42">
                  <c:v>64966905.972066894</c:v>
                </c:pt>
                <c:pt idx="43">
                  <c:v>63232261.186746724</c:v>
                </c:pt>
                <c:pt idx="44">
                  <c:v>50855019.401426554</c:v>
                </c:pt>
                <c:pt idx="45">
                  <c:v>40650132.616106384</c:v>
                </c:pt>
                <c:pt idx="46">
                  <c:v>40817846.830786213</c:v>
                </c:pt>
                <c:pt idx="47">
                  <c:v>45902493.045466043</c:v>
                </c:pt>
                <c:pt idx="48">
                  <c:v>47310902.790742546</c:v>
                </c:pt>
                <c:pt idx="49">
                  <c:v>42211303.114211284</c:v>
                </c:pt>
                <c:pt idx="50">
                  <c:v>42541593.437680028</c:v>
                </c:pt>
                <c:pt idx="51">
                  <c:v>37536349.761148773</c:v>
                </c:pt>
                <c:pt idx="52">
                  <c:v>38099337.08461751</c:v>
                </c:pt>
                <c:pt idx="53">
                  <c:v>45232822.408086255</c:v>
                </c:pt>
                <c:pt idx="54">
                  <c:v>63142023.731554992</c:v>
                </c:pt>
                <c:pt idx="55">
                  <c:v>58238131.055023737</c:v>
                </c:pt>
                <c:pt idx="56">
                  <c:v>44304376.378492482</c:v>
                </c:pt>
                <c:pt idx="57">
                  <c:v>39423259.701961219</c:v>
                </c:pt>
                <c:pt idx="58">
                  <c:v>40460397.025429964</c:v>
                </c:pt>
                <c:pt idx="59">
                  <c:v>45553447.348898709</c:v>
                </c:pt>
                <c:pt idx="60">
                  <c:v>44911593.71344091</c:v>
                </c:pt>
                <c:pt idx="61">
                  <c:v>40905172.199256942</c:v>
                </c:pt>
                <c:pt idx="62">
                  <c:v>42164842.685072981</c:v>
                </c:pt>
                <c:pt idx="63">
                  <c:v>40550697.17088902</c:v>
                </c:pt>
                <c:pt idx="64">
                  <c:v>45655296.656705059</c:v>
                </c:pt>
                <c:pt idx="65">
                  <c:v>59532998.142521091</c:v>
                </c:pt>
                <c:pt idx="66">
                  <c:v>72305754.62833713</c:v>
                </c:pt>
                <c:pt idx="67">
                  <c:v>63879386.114153169</c:v>
                </c:pt>
                <c:pt idx="68">
                  <c:v>46969020.599969208</c:v>
                </c:pt>
                <c:pt idx="69">
                  <c:v>40798366.08578524</c:v>
                </c:pt>
                <c:pt idx="70">
                  <c:v>41142966.571601279</c:v>
                </c:pt>
                <c:pt idx="71">
                  <c:v>47931193.057417318</c:v>
                </c:pt>
                <c:pt idx="72">
                  <c:v>49036599.020043381</c:v>
                </c:pt>
                <c:pt idx="73">
                  <c:v>44239591.50465861</c:v>
                </c:pt>
                <c:pt idx="74">
                  <c:v>43218533.989273846</c:v>
                </c:pt>
                <c:pt idx="75">
                  <c:v>39165169.473889083</c:v>
                </c:pt>
                <c:pt idx="76">
                  <c:v>47117065.958504319</c:v>
                </c:pt>
                <c:pt idx="77">
                  <c:v>54507390.443119556</c:v>
                </c:pt>
                <c:pt idx="78">
                  <c:v>61736270.927734792</c:v>
                </c:pt>
                <c:pt idx="79">
                  <c:v>64473872.412350029</c:v>
                </c:pt>
                <c:pt idx="80">
                  <c:v>49910611.896965258</c:v>
                </c:pt>
                <c:pt idx="81">
                  <c:v>41149312.381580494</c:v>
                </c:pt>
                <c:pt idx="82">
                  <c:v>40886298.866195731</c:v>
                </c:pt>
                <c:pt idx="83">
                  <c:v>46938659.350810967</c:v>
                </c:pt>
                <c:pt idx="84">
                  <c:v>50264546.652802087</c:v>
                </c:pt>
                <c:pt idx="85">
                  <c:v>43857792.181785412</c:v>
                </c:pt>
                <c:pt idx="86">
                  <c:v>43860485.710768737</c:v>
                </c:pt>
                <c:pt idx="87">
                  <c:v>39331597.239752054</c:v>
                </c:pt>
                <c:pt idx="88">
                  <c:v>43290007.768735379</c:v>
                </c:pt>
                <c:pt idx="89">
                  <c:v>52900848.297718704</c:v>
                </c:pt>
                <c:pt idx="90">
                  <c:v>63898027.826702021</c:v>
                </c:pt>
                <c:pt idx="91">
                  <c:v>62500468.355685346</c:v>
                </c:pt>
                <c:pt idx="92">
                  <c:v>48263159.884668671</c:v>
                </c:pt>
                <c:pt idx="93">
                  <c:v>39368582.413651988</c:v>
                </c:pt>
                <c:pt idx="94">
                  <c:v>40432823.942635313</c:v>
                </c:pt>
                <c:pt idx="95">
                  <c:v>46713356.471618637</c:v>
                </c:pt>
                <c:pt idx="96">
                  <c:v>46583116.519168116</c:v>
                </c:pt>
                <c:pt idx="97">
                  <c:v>40876786.046762481</c:v>
                </c:pt>
                <c:pt idx="98">
                  <c:v>42680536.574356854</c:v>
                </c:pt>
                <c:pt idx="99">
                  <c:v>38703114.101951219</c:v>
                </c:pt>
                <c:pt idx="100">
                  <c:v>41884572.629545584</c:v>
                </c:pt>
                <c:pt idx="101">
                  <c:v>49966785.15713995</c:v>
                </c:pt>
                <c:pt idx="102">
                  <c:v>60709456.684734322</c:v>
                </c:pt>
                <c:pt idx="103">
                  <c:v>56519900.212328687</c:v>
                </c:pt>
                <c:pt idx="104">
                  <c:v>46714488.739923052</c:v>
                </c:pt>
                <c:pt idx="105">
                  <c:v>40824035.267517418</c:v>
                </c:pt>
                <c:pt idx="106">
                  <c:v>40771078.79511179</c:v>
                </c:pt>
                <c:pt idx="107">
                  <c:v>46228650.322706155</c:v>
                </c:pt>
                <c:pt idx="108">
                  <c:v>47520942.166132875</c:v>
                </c:pt>
                <c:pt idx="109">
                  <c:v>42009232.734825648</c:v>
                </c:pt>
                <c:pt idx="110">
                  <c:v>42133800.273518406</c:v>
                </c:pt>
                <c:pt idx="111">
                  <c:v>38836355.502211168</c:v>
                </c:pt>
                <c:pt idx="112">
                  <c:v>43725998.02090393</c:v>
                </c:pt>
                <c:pt idx="113">
                  <c:v>54316624.359596707</c:v>
                </c:pt>
                <c:pt idx="114">
                  <c:v>64592396.868289471</c:v>
                </c:pt>
                <c:pt idx="115">
                  <c:v>60459871.106982246</c:v>
                </c:pt>
                <c:pt idx="116">
                  <c:v>48481511.215674996</c:v>
                </c:pt>
                <c:pt idx="117">
                  <c:v>41352177.60436777</c:v>
                </c:pt>
                <c:pt idx="118">
                  <c:v>40782399.333060533</c:v>
                </c:pt>
                <c:pt idx="119">
                  <c:v>48660834.701753296</c:v>
                </c:pt>
              </c:numCache>
            </c:numRef>
          </c:val>
          <c:smooth val="0"/>
          <c:extLst>
            <c:ext xmlns:c16="http://schemas.microsoft.com/office/drawing/2014/chart" uri="{C3380CC4-5D6E-409C-BE32-E72D297353CC}">
              <c16:uniqueId val="{00000000-0E11-42B8-9E06-6EB880D1DA70}"/>
            </c:ext>
          </c:extLst>
        </c:ser>
        <c:ser>
          <c:idx val="1"/>
          <c:order val="1"/>
          <c:tx>
            <c:strRef>
              <c:f>'Res Normalized Monthly'!$Q$1</c:f>
              <c:strCache>
                <c:ptCount val="1"/>
                <c:pt idx="0">
                  <c:v>WN Predicted</c:v>
                </c:pt>
              </c:strCache>
            </c:strRef>
          </c:tx>
          <c:spPr>
            <a:ln w="28575" cap="rnd">
              <a:solidFill>
                <a:schemeClr val="accent2"/>
              </a:solidFill>
              <a:round/>
            </a:ln>
            <a:effectLst/>
          </c:spPr>
          <c:marker>
            <c:symbol val="none"/>
          </c:marker>
          <c:cat>
            <c:numRef>
              <c:f>'Res Normalized Monthly'!$A$2:$A$145</c:f>
              <c:numCache>
                <c:formatCode>m/d/yyyy</c:formatCode>
                <c:ptCount val="14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pt idx="133">
                  <c:v>46054</c:v>
                </c:pt>
                <c:pt idx="134">
                  <c:v>46082</c:v>
                </c:pt>
                <c:pt idx="135">
                  <c:v>46113</c:v>
                </c:pt>
                <c:pt idx="136">
                  <c:v>46143</c:v>
                </c:pt>
                <c:pt idx="137">
                  <c:v>46174</c:v>
                </c:pt>
                <c:pt idx="138">
                  <c:v>46204</c:v>
                </c:pt>
                <c:pt idx="139">
                  <c:v>46235</c:v>
                </c:pt>
                <c:pt idx="140">
                  <c:v>46266</c:v>
                </c:pt>
                <c:pt idx="141">
                  <c:v>46296</c:v>
                </c:pt>
                <c:pt idx="142">
                  <c:v>46327</c:v>
                </c:pt>
                <c:pt idx="143">
                  <c:v>46357</c:v>
                </c:pt>
              </c:numCache>
            </c:numRef>
          </c:cat>
          <c:val>
            <c:numRef>
              <c:f>'Res Normalized Monthly'!$Q$2:$Q$145</c:f>
              <c:numCache>
                <c:formatCode>_(* #,##0.00_);_(* \(#,##0.00\);_(* "-"??_);_(@_)</c:formatCode>
                <c:ptCount val="144"/>
                <c:pt idx="0">
                  <c:v>45472188.748474419</c:v>
                </c:pt>
                <c:pt idx="1">
                  <c:v>39999936.909982413</c:v>
                </c:pt>
                <c:pt idx="2">
                  <c:v>40803417.191825442</c:v>
                </c:pt>
                <c:pt idx="3">
                  <c:v>37482082.229082398</c:v>
                </c:pt>
                <c:pt idx="4">
                  <c:v>40879113.325258702</c:v>
                </c:pt>
                <c:pt idx="5">
                  <c:v>49464178.986592755</c:v>
                </c:pt>
                <c:pt idx="6">
                  <c:v>60244793.428780913</c:v>
                </c:pt>
                <c:pt idx="7">
                  <c:v>58532467.602745861</c:v>
                </c:pt>
                <c:pt idx="8">
                  <c:v>46184351.561833113</c:v>
                </c:pt>
                <c:pt idx="9">
                  <c:v>40119991.644541509</c:v>
                </c:pt>
                <c:pt idx="10">
                  <c:v>38023069.578798234</c:v>
                </c:pt>
                <c:pt idx="11">
                  <c:v>44146377.57176505</c:v>
                </c:pt>
                <c:pt idx="12">
                  <c:v>45845779.239394002</c:v>
                </c:pt>
                <c:pt idx="13">
                  <c:v>41935617.628379941</c:v>
                </c:pt>
                <c:pt idx="14">
                  <c:v>41177007.682745025</c:v>
                </c:pt>
                <c:pt idx="15">
                  <c:v>37821814.288413264</c:v>
                </c:pt>
                <c:pt idx="16">
                  <c:v>41218845.384589568</c:v>
                </c:pt>
                <c:pt idx="17">
                  <c:v>49803911.04592362</c:v>
                </c:pt>
                <c:pt idx="18">
                  <c:v>60573602.796339378</c:v>
                </c:pt>
                <c:pt idx="19">
                  <c:v>58861276.970304325</c:v>
                </c:pt>
                <c:pt idx="20">
                  <c:v>46513160.929391578</c:v>
                </c:pt>
                <c:pt idx="21">
                  <c:v>40518029.070811592</c:v>
                </c:pt>
                <c:pt idx="22">
                  <c:v>38421107.005068317</c:v>
                </c:pt>
                <c:pt idx="23">
                  <c:v>44544414.998035133</c:v>
                </c:pt>
                <c:pt idx="24">
                  <c:v>46318266.957044475</c:v>
                </c:pt>
                <c:pt idx="25">
                  <c:v>40846015.118552476</c:v>
                </c:pt>
                <c:pt idx="26">
                  <c:v>41649495.400395498</c:v>
                </c:pt>
                <c:pt idx="27">
                  <c:v>38145210.132729009</c:v>
                </c:pt>
                <c:pt idx="28">
                  <c:v>41542241.228905305</c:v>
                </c:pt>
                <c:pt idx="29">
                  <c:v>50127306.890239358</c:v>
                </c:pt>
                <c:pt idx="30">
                  <c:v>60884736.914865084</c:v>
                </c:pt>
                <c:pt idx="31">
                  <c:v>59172411.088830031</c:v>
                </c:pt>
                <c:pt idx="32">
                  <c:v>46824295.047917284</c:v>
                </c:pt>
                <c:pt idx="33">
                  <c:v>40663333.390782163</c:v>
                </c:pt>
                <c:pt idx="34">
                  <c:v>38566411.32503888</c:v>
                </c:pt>
                <c:pt idx="35">
                  <c:v>44689719.318005696</c:v>
                </c:pt>
                <c:pt idx="36">
                  <c:v>46574883.261995129</c:v>
                </c:pt>
                <c:pt idx="37">
                  <c:v>41102631.423503123</c:v>
                </c:pt>
                <c:pt idx="38">
                  <c:v>41906111.705346152</c:v>
                </c:pt>
                <c:pt idx="39">
                  <c:v>38604537.058891892</c:v>
                </c:pt>
                <c:pt idx="40">
                  <c:v>42001568.155068189</c:v>
                </c:pt>
                <c:pt idx="41">
                  <c:v>50586633.816402242</c:v>
                </c:pt>
                <c:pt idx="42">
                  <c:v>61237744.540027909</c:v>
                </c:pt>
                <c:pt idx="43">
                  <c:v>59525418.713992856</c:v>
                </c:pt>
                <c:pt idx="44">
                  <c:v>47177302.673080109</c:v>
                </c:pt>
                <c:pt idx="45">
                  <c:v>41162085.304235637</c:v>
                </c:pt>
                <c:pt idx="46">
                  <c:v>39065163.238492355</c:v>
                </c:pt>
                <c:pt idx="47">
                  <c:v>45188471.231459171</c:v>
                </c:pt>
                <c:pt idx="48">
                  <c:v>47010203.221127592</c:v>
                </c:pt>
                <c:pt idx="49">
                  <c:v>41537951.382635586</c:v>
                </c:pt>
                <c:pt idx="50">
                  <c:v>42341431.664478615</c:v>
                </c:pt>
                <c:pt idx="51">
                  <c:v>38991938.729250491</c:v>
                </c:pt>
                <c:pt idx="52">
                  <c:v>42388969.825426787</c:v>
                </c:pt>
                <c:pt idx="53">
                  <c:v>50974035.48676084</c:v>
                </c:pt>
                <c:pt idx="54">
                  <c:v>61794017.529067412</c:v>
                </c:pt>
                <c:pt idx="55">
                  <c:v>60081691.703032359</c:v>
                </c:pt>
                <c:pt idx="56">
                  <c:v>47733575.662119612</c:v>
                </c:pt>
                <c:pt idx="57">
                  <c:v>41701123.012562461</c:v>
                </c:pt>
                <c:pt idx="58">
                  <c:v>39604200.946819186</c:v>
                </c:pt>
                <c:pt idx="59">
                  <c:v>45727508.939786002</c:v>
                </c:pt>
                <c:pt idx="60">
                  <c:v>47416982.626627073</c:v>
                </c:pt>
                <c:pt idx="61">
                  <c:v>43506821.015613012</c:v>
                </c:pt>
                <c:pt idx="62">
                  <c:v>42748211.069978103</c:v>
                </c:pt>
                <c:pt idx="63">
                  <c:v>39407689.662668116</c:v>
                </c:pt>
                <c:pt idx="64">
                  <c:v>42804720.75884442</c:v>
                </c:pt>
                <c:pt idx="65">
                  <c:v>51389786.420178473</c:v>
                </c:pt>
                <c:pt idx="66">
                  <c:v>62104042.162264228</c:v>
                </c:pt>
                <c:pt idx="67">
                  <c:v>60391716.336229175</c:v>
                </c:pt>
                <c:pt idx="68">
                  <c:v>48043600.29531642</c:v>
                </c:pt>
                <c:pt idx="69">
                  <c:v>41926176.372811764</c:v>
                </c:pt>
                <c:pt idx="70">
                  <c:v>39829254.307068489</c:v>
                </c:pt>
                <c:pt idx="71">
                  <c:v>45952562.300035305</c:v>
                </c:pt>
                <c:pt idx="72">
                  <c:v>47405543.450305015</c:v>
                </c:pt>
                <c:pt idx="73">
                  <c:v>41933291.611813009</c:v>
                </c:pt>
                <c:pt idx="74">
                  <c:v>42736771.893656038</c:v>
                </c:pt>
                <c:pt idx="75">
                  <c:v>37493043.178969592</c:v>
                </c:pt>
                <c:pt idx="76">
                  <c:v>40890074.275145896</c:v>
                </c:pt>
                <c:pt idx="77">
                  <c:v>49475139.936479948</c:v>
                </c:pt>
                <c:pt idx="78">
                  <c:v>61470449.523235112</c:v>
                </c:pt>
                <c:pt idx="79">
                  <c:v>59758123.69720006</c:v>
                </c:pt>
                <c:pt idx="80">
                  <c:v>47410007.656287313</c:v>
                </c:pt>
                <c:pt idx="81">
                  <c:v>41629331.660159945</c:v>
                </c:pt>
                <c:pt idx="82">
                  <c:v>39532409.594416663</c:v>
                </c:pt>
                <c:pt idx="83">
                  <c:v>45655717.587383479</c:v>
                </c:pt>
                <c:pt idx="84">
                  <c:v>47567337.017749861</c:v>
                </c:pt>
                <c:pt idx="85">
                  <c:v>42095085.179257855</c:v>
                </c:pt>
                <c:pt idx="86">
                  <c:v>42898565.461100884</c:v>
                </c:pt>
                <c:pt idx="87">
                  <c:v>39329030.978660882</c:v>
                </c:pt>
                <c:pt idx="88">
                  <c:v>42726062.074837178</c:v>
                </c:pt>
                <c:pt idx="89">
                  <c:v>51311127.736171231</c:v>
                </c:pt>
                <c:pt idx="90">
                  <c:v>62280354.684271693</c:v>
                </c:pt>
                <c:pt idx="91">
                  <c:v>60568028.858236641</c:v>
                </c:pt>
                <c:pt idx="92">
                  <c:v>48219912.817323893</c:v>
                </c:pt>
                <c:pt idx="93">
                  <c:v>42442660.922470182</c:v>
                </c:pt>
                <c:pt idx="94">
                  <c:v>40345738.8567269</c:v>
                </c:pt>
                <c:pt idx="95">
                  <c:v>46469046.849693716</c:v>
                </c:pt>
                <c:pt idx="96">
                  <c:v>48268110.906349346</c:v>
                </c:pt>
                <c:pt idx="97">
                  <c:v>42795859.067857347</c:v>
                </c:pt>
                <c:pt idx="98">
                  <c:v>43599339.349700376</c:v>
                </c:pt>
                <c:pt idx="99">
                  <c:v>40268325.083915584</c:v>
                </c:pt>
                <c:pt idx="100">
                  <c:v>43665356.18009188</c:v>
                </c:pt>
                <c:pt idx="101">
                  <c:v>52250421.841425933</c:v>
                </c:pt>
                <c:pt idx="102">
                  <c:v>62919552.13711746</c:v>
                </c:pt>
                <c:pt idx="103">
                  <c:v>61207226.311082408</c:v>
                </c:pt>
                <c:pt idx="104">
                  <c:v>48859110.27016966</c:v>
                </c:pt>
                <c:pt idx="105">
                  <c:v>42703428.232875496</c:v>
                </c:pt>
                <c:pt idx="106">
                  <c:v>40606506.167132214</c:v>
                </c:pt>
                <c:pt idx="107">
                  <c:v>46729814.16009903</c:v>
                </c:pt>
                <c:pt idx="108">
                  <c:v>48563463.55252438</c:v>
                </c:pt>
                <c:pt idx="109">
                  <c:v>44653301.94151032</c:v>
                </c:pt>
                <c:pt idx="110">
                  <c:v>43894691.995875403</c:v>
                </c:pt>
                <c:pt idx="111">
                  <c:v>40533874.658669583</c:v>
                </c:pt>
                <c:pt idx="112">
                  <c:v>43930905.754845887</c:v>
                </c:pt>
                <c:pt idx="113">
                  <c:v>52515971.41617994</c:v>
                </c:pt>
                <c:pt idx="114">
                  <c:v>63201170.120083064</c:v>
                </c:pt>
                <c:pt idx="115">
                  <c:v>61488844.294048011</c:v>
                </c:pt>
                <c:pt idx="116">
                  <c:v>49140728.253135256</c:v>
                </c:pt>
                <c:pt idx="117">
                  <c:v>43039085.802981272</c:v>
                </c:pt>
                <c:pt idx="118">
                  <c:v>40942163.737237997</c:v>
                </c:pt>
                <c:pt idx="119">
                  <c:v>47065471.730204813</c:v>
                </c:pt>
                <c:pt idx="120">
                  <c:v>48960185.20571062</c:v>
                </c:pt>
                <c:pt idx="121">
                  <c:v>43487933.367218621</c:v>
                </c:pt>
                <c:pt idx="122">
                  <c:v>44291413.64906165</c:v>
                </c:pt>
                <c:pt idx="123">
                  <c:v>40890613.980348982</c:v>
                </c:pt>
                <c:pt idx="124">
                  <c:v>44287645.076525278</c:v>
                </c:pt>
                <c:pt idx="125">
                  <c:v>52872710.737859331</c:v>
                </c:pt>
                <c:pt idx="126">
                  <c:v>63529939.699202143</c:v>
                </c:pt>
                <c:pt idx="127">
                  <c:v>61817613.87316709</c:v>
                </c:pt>
                <c:pt idx="128">
                  <c:v>49469497.832254343</c:v>
                </c:pt>
                <c:pt idx="129">
                  <c:v>43412489.633476995</c:v>
                </c:pt>
                <c:pt idx="130">
                  <c:v>41315567.56773372</c:v>
                </c:pt>
                <c:pt idx="131">
                  <c:v>47438875.560700536</c:v>
                </c:pt>
                <c:pt idx="132">
                  <c:v>49095067.589170158</c:v>
                </c:pt>
                <c:pt idx="133">
                  <c:v>43622815.750678159</c:v>
                </c:pt>
                <c:pt idx="134">
                  <c:v>44426296.032521188</c:v>
                </c:pt>
                <c:pt idx="135">
                  <c:v>41025917.947421081</c:v>
                </c:pt>
                <c:pt idx="136">
                  <c:v>44422949.043597385</c:v>
                </c:pt>
                <c:pt idx="137">
                  <c:v>53008014.704931438</c:v>
                </c:pt>
                <c:pt idx="138">
                  <c:v>63665356.273678988</c:v>
                </c:pt>
                <c:pt idx="139">
                  <c:v>61953030.447643936</c:v>
                </c:pt>
                <c:pt idx="140">
                  <c:v>49604914.406731188</c:v>
                </c:pt>
                <c:pt idx="141">
                  <c:v>43548550.217825785</c:v>
                </c:pt>
                <c:pt idx="142">
                  <c:v>41451628.152082503</c:v>
                </c:pt>
                <c:pt idx="143">
                  <c:v>47574936.145049319</c:v>
                </c:pt>
              </c:numCache>
            </c:numRef>
          </c:val>
          <c:smooth val="0"/>
          <c:extLst>
            <c:ext xmlns:c16="http://schemas.microsoft.com/office/drawing/2014/chart" uri="{C3380CC4-5D6E-409C-BE32-E72D297353CC}">
              <c16:uniqueId val="{00000001-0E11-42B8-9E06-6EB880D1DA70}"/>
            </c:ext>
          </c:extLst>
        </c:ser>
        <c:dLbls>
          <c:showLegendKey val="0"/>
          <c:showVal val="0"/>
          <c:showCatName val="0"/>
          <c:showSerName val="0"/>
          <c:showPercent val="0"/>
          <c:showBubbleSize val="0"/>
        </c:dLbls>
        <c:smooth val="0"/>
        <c:axId val="176750976"/>
        <c:axId val="176752512"/>
      </c:lineChart>
      <c:dateAx>
        <c:axId val="17675097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752512"/>
        <c:crosses val="autoZero"/>
        <c:auto val="1"/>
        <c:lblOffset val="100"/>
        <c:baseTimeUnit val="months"/>
      </c:dateAx>
      <c:valAx>
        <c:axId val="17675251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7509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a:t>
            </a:r>
          </a:p>
        </c:rich>
      </c:tx>
      <c:overlay val="0"/>
      <c:spPr>
        <a:noFill/>
        <a:ln>
          <a:noFill/>
        </a:ln>
        <a:effectLst/>
      </c:spPr>
    </c:title>
    <c:autoTitleDeleted val="0"/>
    <c:plotArea>
      <c:layout/>
      <c:lineChart>
        <c:grouping val="standard"/>
        <c:varyColors val="0"/>
        <c:ser>
          <c:idx val="0"/>
          <c:order val="0"/>
          <c:tx>
            <c:strRef>
              <c:f>'GS&lt;50 Normalized Monthly'!$D$1</c:f>
              <c:strCache>
                <c:ptCount val="1"/>
                <c:pt idx="0">
                  <c:v> GS_lt_50_NoCDM </c:v>
                </c:pt>
              </c:strCache>
            </c:strRef>
          </c:tx>
          <c:spPr>
            <a:ln w="28575" cap="rnd">
              <a:solidFill>
                <a:schemeClr val="accent1"/>
              </a:solidFill>
              <a:round/>
            </a:ln>
            <a:effectLst/>
          </c:spPr>
          <c:marker>
            <c:symbol val="none"/>
          </c:marker>
          <c:cat>
            <c:numRef>
              <c:f>'GS&lt;50 Normalized Monthly'!$A$2:$A$145</c:f>
              <c:numCache>
                <c:formatCode>m/d/yyyy</c:formatCode>
                <c:ptCount val="14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pt idx="133">
                  <c:v>46054</c:v>
                </c:pt>
                <c:pt idx="134">
                  <c:v>46082</c:v>
                </c:pt>
                <c:pt idx="135">
                  <c:v>46113</c:v>
                </c:pt>
                <c:pt idx="136">
                  <c:v>46143</c:v>
                </c:pt>
                <c:pt idx="137">
                  <c:v>46174</c:v>
                </c:pt>
                <c:pt idx="138">
                  <c:v>46204</c:v>
                </c:pt>
                <c:pt idx="139">
                  <c:v>46235</c:v>
                </c:pt>
                <c:pt idx="140">
                  <c:v>46266</c:v>
                </c:pt>
                <c:pt idx="141">
                  <c:v>46296</c:v>
                </c:pt>
                <c:pt idx="142">
                  <c:v>46327</c:v>
                </c:pt>
                <c:pt idx="143">
                  <c:v>46357</c:v>
                </c:pt>
              </c:numCache>
            </c:numRef>
          </c:cat>
          <c:val>
            <c:numRef>
              <c:f>'GS&lt;50 Normalized Monthly'!$D$2:$D$145</c:f>
              <c:numCache>
                <c:formatCode>_(* #,##0.00_);_(* \(#,##0.00\);_(* "-"??_);_(@_)</c:formatCode>
                <c:ptCount val="144"/>
                <c:pt idx="0">
                  <c:v>15817525.215486044</c:v>
                </c:pt>
                <c:pt idx="1">
                  <c:v>14777649.244217517</c:v>
                </c:pt>
                <c:pt idx="2">
                  <c:v>15200272.27294899</c:v>
                </c:pt>
                <c:pt idx="3">
                  <c:v>13384863.301680462</c:v>
                </c:pt>
                <c:pt idx="4">
                  <c:v>13530179.330411935</c:v>
                </c:pt>
                <c:pt idx="5">
                  <c:v>13858885.359143406</c:v>
                </c:pt>
                <c:pt idx="6">
                  <c:v>15331961.387874879</c:v>
                </c:pt>
                <c:pt idx="7">
                  <c:v>15575294.416606352</c:v>
                </c:pt>
                <c:pt idx="8">
                  <c:v>14205506.445337825</c:v>
                </c:pt>
                <c:pt idx="9">
                  <c:v>13170519.474069297</c:v>
                </c:pt>
                <c:pt idx="10">
                  <c:v>13225827.50280077</c:v>
                </c:pt>
                <c:pt idx="11">
                  <c:v>14139805.531532243</c:v>
                </c:pt>
                <c:pt idx="12">
                  <c:v>15123271.889639981</c:v>
                </c:pt>
                <c:pt idx="13">
                  <c:v>14350816.425124092</c:v>
                </c:pt>
                <c:pt idx="14">
                  <c:v>14493124.960608203</c:v>
                </c:pt>
                <c:pt idx="15">
                  <c:v>13407795.496092316</c:v>
                </c:pt>
                <c:pt idx="16">
                  <c:v>13731027.031576427</c:v>
                </c:pt>
                <c:pt idx="17">
                  <c:v>14550745.567060538</c:v>
                </c:pt>
                <c:pt idx="18">
                  <c:v>16348284.10254465</c:v>
                </c:pt>
                <c:pt idx="19">
                  <c:v>16739654.638028761</c:v>
                </c:pt>
                <c:pt idx="20">
                  <c:v>14440145.173512874</c:v>
                </c:pt>
                <c:pt idx="21">
                  <c:v>13350527.708996985</c:v>
                </c:pt>
                <c:pt idx="22">
                  <c:v>13437723.244481096</c:v>
                </c:pt>
                <c:pt idx="23">
                  <c:v>14912204.779965209</c:v>
                </c:pt>
                <c:pt idx="24">
                  <c:v>15552205.778870873</c:v>
                </c:pt>
                <c:pt idx="25">
                  <c:v>13871440.371413311</c:v>
                </c:pt>
                <c:pt idx="26">
                  <c:v>14837407.963955749</c:v>
                </c:pt>
                <c:pt idx="27">
                  <c:v>13390657.556498185</c:v>
                </c:pt>
                <c:pt idx="28">
                  <c:v>13605380.149040623</c:v>
                </c:pt>
                <c:pt idx="29">
                  <c:v>14207511.74158306</c:v>
                </c:pt>
                <c:pt idx="30">
                  <c:v>15533752.334125496</c:v>
                </c:pt>
                <c:pt idx="31">
                  <c:v>15160539.926667934</c:v>
                </c:pt>
                <c:pt idx="32">
                  <c:v>14204164.519210372</c:v>
                </c:pt>
                <c:pt idx="33">
                  <c:v>13926867.111752808</c:v>
                </c:pt>
                <c:pt idx="34">
                  <c:v>13988763.704295246</c:v>
                </c:pt>
                <c:pt idx="35">
                  <c:v>15562822.296837684</c:v>
                </c:pt>
                <c:pt idx="36">
                  <c:v>16341548.767871764</c:v>
                </c:pt>
                <c:pt idx="37">
                  <c:v>14352800.598540761</c:v>
                </c:pt>
                <c:pt idx="38">
                  <c:v>15228033.429209759</c:v>
                </c:pt>
                <c:pt idx="39">
                  <c:v>14186658.259878756</c:v>
                </c:pt>
                <c:pt idx="40">
                  <c:v>14557839.090547755</c:v>
                </c:pt>
                <c:pt idx="41">
                  <c:v>15372235.921216752</c:v>
                </c:pt>
                <c:pt idx="42">
                  <c:v>17119387.751885749</c:v>
                </c:pt>
                <c:pt idx="43">
                  <c:v>16940976.582554746</c:v>
                </c:pt>
                <c:pt idx="44">
                  <c:v>15120534.413223745</c:v>
                </c:pt>
                <c:pt idx="45">
                  <c:v>14207629.243892744</c:v>
                </c:pt>
                <c:pt idx="46">
                  <c:v>14691641.074561741</c:v>
                </c:pt>
                <c:pt idx="47">
                  <c:v>15557414.90523074</c:v>
                </c:pt>
                <c:pt idx="48">
                  <c:v>16535161.594954573</c:v>
                </c:pt>
                <c:pt idx="49">
                  <c:v>15287128.896075014</c:v>
                </c:pt>
                <c:pt idx="50">
                  <c:v>16050310.197195457</c:v>
                </c:pt>
                <c:pt idx="51">
                  <c:v>14274222.498315901</c:v>
                </c:pt>
                <c:pt idx="52">
                  <c:v>14029473.799436344</c:v>
                </c:pt>
                <c:pt idx="53">
                  <c:v>14575779.100556785</c:v>
                </c:pt>
                <c:pt idx="54">
                  <c:v>17103909.401677229</c:v>
                </c:pt>
                <c:pt idx="55">
                  <c:v>16383214.702797672</c:v>
                </c:pt>
                <c:pt idx="56">
                  <c:v>14536936.003918113</c:v>
                </c:pt>
                <c:pt idx="57">
                  <c:v>13867496.305038556</c:v>
                </c:pt>
                <c:pt idx="58">
                  <c:v>14353293.606159</c:v>
                </c:pt>
                <c:pt idx="59">
                  <c:v>15207078.907279443</c:v>
                </c:pt>
                <c:pt idx="60">
                  <c:v>15460614.932394793</c:v>
                </c:pt>
                <c:pt idx="61">
                  <c:v>14562080.289898498</c:v>
                </c:pt>
                <c:pt idx="62">
                  <c:v>13828647.647402203</c:v>
                </c:pt>
                <c:pt idx="63">
                  <c:v>11361907.004905907</c:v>
                </c:pt>
                <c:pt idx="64">
                  <c:v>11649396.362409612</c:v>
                </c:pt>
                <c:pt idx="65">
                  <c:v>13516522.719913317</c:v>
                </c:pt>
                <c:pt idx="66">
                  <c:v>15828746.077417022</c:v>
                </c:pt>
                <c:pt idx="67">
                  <c:v>15475786.434920726</c:v>
                </c:pt>
                <c:pt idx="68">
                  <c:v>13348828.792424431</c:v>
                </c:pt>
                <c:pt idx="69">
                  <c:v>12958296.149928138</c:v>
                </c:pt>
                <c:pt idx="70">
                  <c:v>13270098.507431842</c:v>
                </c:pt>
                <c:pt idx="71">
                  <c:v>14143324.864935547</c:v>
                </c:pt>
                <c:pt idx="72">
                  <c:v>14381534.39165709</c:v>
                </c:pt>
                <c:pt idx="73">
                  <c:v>13667119.590722678</c:v>
                </c:pt>
                <c:pt idx="74">
                  <c:v>14309991.789788269</c:v>
                </c:pt>
                <c:pt idx="75">
                  <c:v>12572792.988853857</c:v>
                </c:pt>
                <c:pt idx="76">
                  <c:v>13147250.187919445</c:v>
                </c:pt>
                <c:pt idx="77">
                  <c:v>13511808.386985036</c:v>
                </c:pt>
                <c:pt idx="78">
                  <c:v>15349955.586050624</c:v>
                </c:pt>
                <c:pt idx="79">
                  <c:v>16375542.785116214</c:v>
                </c:pt>
                <c:pt idx="80">
                  <c:v>14161395.984181803</c:v>
                </c:pt>
                <c:pt idx="81">
                  <c:v>13417367.183247393</c:v>
                </c:pt>
                <c:pt idx="82">
                  <c:v>13769731.382312981</c:v>
                </c:pt>
                <c:pt idx="83">
                  <c:v>14754878.581378572</c:v>
                </c:pt>
                <c:pt idx="84">
                  <c:v>15788558.386490077</c:v>
                </c:pt>
                <c:pt idx="85">
                  <c:v>14751049.03981971</c:v>
                </c:pt>
                <c:pt idx="86">
                  <c:v>15389914.693149343</c:v>
                </c:pt>
                <c:pt idx="87">
                  <c:v>13876561.346478976</c:v>
                </c:pt>
                <c:pt idx="88">
                  <c:v>14211702.999808609</c:v>
                </c:pt>
                <c:pt idx="89">
                  <c:v>15055174.653138243</c:v>
                </c:pt>
                <c:pt idx="90">
                  <c:v>16754433.306467874</c:v>
                </c:pt>
                <c:pt idx="91">
                  <c:v>16753992.959797507</c:v>
                </c:pt>
                <c:pt idx="92">
                  <c:v>14523776.61312714</c:v>
                </c:pt>
                <c:pt idx="93">
                  <c:v>13812237.266456774</c:v>
                </c:pt>
                <c:pt idx="94">
                  <c:v>14497454.919786407</c:v>
                </c:pt>
                <c:pt idx="95">
                  <c:v>15707320.57311604</c:v>
                </c:pt>
                <c:pt idx="96">
                  <c:v>16124970.659739304</c:v>
                </c:pt>
                <c:pt idx="97">
                  <c:v>14767925.683730803</c:v>
                </c:pt>
                <c:pt idx="98">
                  <c:v>15713742.707722303</c:v>
                </c:pt>
                <c:pt idx="99">
                  <c:v>14335711.731713802</c:v>
                </c:pt>
                <c:pt idx="100">
                  <c:v>14570433.755705301</c:v>
                </c:pt>
                <c:pt idx="101">
                  <c:v>15207184.779696802</c:v>
                </c:pt>
                <c:pt idx="102">
                  <c:v>17067649.803688299</c:v>
                </c:pt>
                <c:pt idx="103">
                  <c:v>16466173.8276798</c:v>
                </c:pt>
                <c:pt idx="104">
                  <c:v>14997289.851671299</c:v>
                </c:pt>
                <c:pt idx="105">
                  <c:v>14525201.875662798</c:v>
                </c:pt>
                <c:pt idx="106">
                  <c:v>14789580.899654299</c:v>
                </c:pt>
                <c:pt idx="107">
                  <c:v>15248929.923645798</c:v>
                </c:pt>
                <c:pt idx="108">
                  <c:v>15984916.162170708</c:v>
                </c:pt>
                <c:pt idx="109">
                  <c:v>14775433.758234465</c:v>
                </c:pt>
                <c:pt idx="110">
                  <c:v>15102644.794298219</c:v>
                </c:pt>
                <c:pt idx="111">
                  <c:v>14096177.490361972</c:v>
                </c:pt>
                <c:pt idx="112">
                  <c:v>14561726.336425725</c:v>
                </c:pt>
                <c:pt idx="113">
                  <c:v>15556106.23248948</c:v>
                </c:pt>
                <c:pt idx="114">
                  <c:v>17398173.568553235</c:v>
                </c:pt>
                <c:pt idx="115">
                  <c:v>16751789.404616991</c:v>
                </c:pt>
                <c:pt idx="116">
                  <c:v>15120870.800680745</c:v>
                </c:pt>
                <c:pt idx="117">
                  <c:v>14429502.936744498</c:v>
                </c:pt>
                <c:pt idx="118">
                  <c:v>14351434.502808254</c:v>
                </c:pt>
                <c:pt idx="119">
                  <c:v>16012677.658872008</c:v>
                </c:pt>
              </c:numCache>
            </c:numRef>
          </c:val>
          <c:smooth val="0"/>
          <c:extLst>
            <c:ext xmlns:c16="http://schemas.microsoft.com/office/drawing/2014/chart" uri="{C3380CC4-5D6E-409C-BE32-E72D297353CC}">
              <c16:uniqueId val="{00000000-D6D6-4CA9-A1E3-93DA94FB27B9}"/>
            </c:ext>
          </c:extLst>
        </c:ser>
        <c:ser>
          <c:idx val="1"/>
          <c:order val="1"/>
          <c:tx>
            <c:strRef>
              <c:f>'GS&lt;50 Normalized Monthly'!$S$1</c:f>
              <c:strCache>
                <c:ptCount val="1"/>
                <c:pt idx="0">
                  <c:v>WN Predicted</c:v>
                </c:pt>
              </c:strCache>
            </c:strRef>
          </c:tx>
          <c:spPr>
            <a:ln w="28575" cap="rnd">
              <a:solidFill>
                <a:schemeClr val="accent2"/>
              </a:solidFill>
              <a:round/>
            </a:ln>
            <a:effectLst/>
          </c:spPr>
          <c:marker>
            <c:symbol val="none"/>
          </c:marker>
          <c:cat>
            <c:numRef>
              <c:f>'GS&lt;50 Normalized Monthly'!$A$2:$A$145</c:f>
              <c:numCache>
                <c:formatCode>m/d/yyyy</c:formatCode>
                <c:ptCount val="14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pt idx="133">
                  <c:v>46054</c:v>
                </c:pt>
                <c:pt idx="134">
                  <c:v>46082</c:v>
                </c:pt>
                <c:pt idx="135">
                  <c:v>46113</c:v>
                </c:pt>
                <c:pt idx="136">
                  <c:v>46143</c:v>
                </c:pt>
                <c:pt idx="137">
                  <c:v>46174</c:v>
                </c:pt>
                <c:pt idx="138">
                  <c:v>46204</c:v>
                </c:pt>
                <c:pt idx="139">
                  <c:v>46235</c:v>
                </c:pt>
                <c:pt idx="140">
                  <c:v>46266</c:v>
                </c:pt>
                <c:pt idx="141">
                  <c:v>46296</c:v>
                </c:pt>
                <c:pt idx="142">
                  <c:v>46327</c:v>
                </c:pt>
                <c:pt idx="143">
                  <c:v>46357</c:v>
                </c:pt>
              </c:numCache>
            </c:numRef>
          </c:cat>
          <c:val>
            <c:numRef>
              <c:f>'GS&lt;50 Normalized Monthly'!$S$2:$S$145</c:f>
              <c:numCache>
                <c:formatCode>_(* #,##0.0_);_(* \(#,##0.0\);_(* "-"??_);_(@_)</c:formatCode>
                <c:ptCount val="144"/>
                <c:pt idx="0">
                  <c:v>15171096.481632356</c:v>
                </c:pt>
                <c:pt idx="1">
                  <c:v>13807629.156624943</c:v>
                </c:pt>
                <c:pt idx="2">
                  <c:v>14349424.843425153</c:v>
                </c:pt>
                <c:pt idx="3">
                  <c:v>13313498.83507837</c:v>
                </c:pt>
                <c:pt idx="4">
                  <c:v>13569752.547618538</c:v>
                </c:pt>
                <c:pt idx="5">
                  <c:v>14242892.679514583</c:v>
                </c:pt>
                <c:pt idx="6">
                  <c:v>15920610.326223092</c:v>
                </c:pt>
                <c:pt idx="7">
                  <c:v>15681293.101867516</c:v>
                </c:pt>
                <c:pt idx="8">
                  <c:v>13960042.555271622</c:v>
                </c:pt>
                <c:pt idx="9">
                  <c:v>13455653.159800347</c:v>
                </c:pt>
                <c:pt idx="10">
                  <c:v>13426838.908368973</c:v>
                </c:pt>
                <c:pt idx="11">
                  <c:v>14651544.056789406</c:v>
                </c:pt>
                <c:pt idx="12">
                  <c:v>15227535.690025553</c:v>
                </c:pt>
                <c:pt idx="13">
                  <c:v>14262388.107476594</c:v>
                </c:pt>
                <c:pt idx="14">
                  <c:v>14435564.126821097</c:v>
                </c:pt>
                <c:pt idx="15">
                  <c:v>13317495.760805968</c:v>
                </c:pt>
                <c:pt idx="16">
                  <c:v>13597880.784285869</c:v>
                </c:pt>
                <c:pt idx="17">
                  <c:v>14232039.567740807</c:v>
                </c:pt>
                <c:pt idx="18">
                  <c:v>15957044.079273947</c:v>
                </c:pt>
                <c:pt idx="19">
                  <c:v>15706589.326792341</c:v>
                </c:pt>
                <c:pt idx="20">
                  <c:v>14022463.873949882</c:v>
                </c:pt>
                <c:pt idx="21">
                  <c:v>13462919.863150107</c:v>
                </c:pt>
                <c:pt idx="22">
                  <c:v>13486080.74297354</c:v>
                </c:pt>
                <c:pt idx="23">
                  <c:v>14701504.617955612</c:v>
                </c:pt>
                <c:pt idx="24">
                  <c:v>15373320.371970791</c:v>
                </c:pt>
                <c:pt idx="25">
                  <c:v>14072965.706344217</c:v>
                </c:pt>
                <c:pt idx="26">
                  <c:v>14612905.138456754</c:v>
                </c:pt>
                <c:pt idx="27">
                  <c:v>13533231.73880155</c:v>
                </c:pt>
                <c:pt idx="28">
                  <c:v>13757929.121651299</c:v>
                </c:pt>
                <c:pt idx="29">
                  <c:v>14444063.036361044</c:v>
                </c:pt>
                <c:pt idx="30">
                  <c:v>16058078.159424838</c:v>
                </c:pt>
                <c:pt idx="31">
                  <c:v>15824329.699132275</c:v>
                </c:pt>
                <c:pt idx="32">
                  <c:v>14127210.463476116</c:v>
                </c:pt>
                <c:pt idx="33">
                  <c:v>13648914.871089458</c:v>
                </c:pt>
                <c:pt idx="34">
                  <c:v>13640519.421222471</c:v>
                </c:pt>
                <c:pt idx="35">
                  <c:v>14863368.314955231</c:v>
                </c:pt>
                <c:pt idx="36">
                  <c:v>15465626.311033282</c:v>
                </c:pt>
                <c:pt idx="37">
                  <c:v>14098446.476650525</c:v>
                </c:pt>
                <c:pt idx="38">
                  <c:v>14664373.474390468</c:v>
                </c:pt>
                <c:pt idx="39">
                  <c:v>13577278.089758059</c:v>
                </c:pt>
                <c:pt idx="40">
                  <c:v>13796406.708544793</c:v>
                </c:pt>
                <c:pt idx="41">
                  <c:v>14608765.942016218</c:v>
                </c:pt>
                <c:pt idx="42">
                  <c:v>16315491.996392779</c:v>
                </c:pt>
                <c:pt idx="43">
                  <c:v>16111443.611102965</c:v>
                </c:pt>
                <c:pt idx="44">
                  <c:v>14403186.847320776</c:v>
                </c:pt>
                <c:pt idx="45">
                  <c:v>13863619.055801943</c:v>
                </c:pt>
                <c:pt idx="46">
                  <c:v>13899773.718439076</c:v>
                </c:pt>
                <c:pt idx="47">
                  <c:v>15113341.338733479</c:v>
                </c:pt>
                <c:pt idx="48">
                  <c:v>15666863.31681193</c:v>
                </c:pt>
                <c:pt idx="49">
                  <c:v>14310821.010555204</c:v>
                </c:pt>
                <c:pt idx="50">
                  <c:v>14835910.405166365</c:v>
                </c:pt>
                <c:pt idx="51">
                  <c:v>13801394.559348477</c:v>
                </c:pt>
                <c:pt idx="52">
                  <c:v>14018666.92344754</c:v>
                </c:pt>
                <c:pt idx="53">
                  <c:v>14708513.34753263</c:v>
                </c:pt>
                <c:pt idx="54">
                  <c:v>16374045.197436135</c:v>
                </c:pt>
                <c:pt idx="55">
                  <c:v>16121734.190266859</c:v>
                </c:pt>
                <c:pt idx="56">
                  <c:v>14420902.445235353</c:v>
                </c:pt>
                <c:pt idx="57">
                  <c:v>13881363.889777919</c:v>
                </c:pt>
                <c:pt idx="58">
                  <c:v>13795005.743028719</c:v>
                </c:pt>
                <c:pt idx="59">
                  <c:v>15019710.891449153</c:v>
                </c:pt>
                <c:pt idx="60">
                  <c:v>15567075.996138375</c:v>
                </c:pt>
                <c:pt idx="61">
                  <c:v>14559234.555772968</c:v>
                </c:pt>
                <c:pt idx="62">
                  <c:v>14750973.121994186</c:v>
                </c:pt>
                <c:pt idx="63">
                  <c:v>13128987.226627648</c:v>
                </c:pt>
                <c:pt idx="64">
                  <c:v>13357397.118852738</c:v>
                </c:pt>
                <c:pt idx="65">
                  <c:v>14052812.307000844</c:v>
                </c:pt>
                <c:pt idx="66">
                  <c:v>16845278.569350708</c:v>
                </c:pt>
                <c:pt idx="67">
                  <c:v>16600392.580932118</c:v>
                </c:pt>
                <c:pt idx="68">
                  <c:v>14981236.042158168</c:v>
                </c:pt>
                <c:pt idx="69">
                  <c:v>14069133.484075077</c:v>
                </c:pt>
                <c:pt idx="70">
                  <c:v>14062594.28889576</c:v>
                </c:pt>
                <c:pt idx="71">
                  <c:v>15326280.7857573</c:v>
                </c:pt>
                <c:pt idx="72">
                  <c:v>15884010.736172218</c:v>
                </c:pt>
                <c:pt idx="73">
                  <c:v>14535393.448666178</c:v>
                </c:pt>
                <c:pt idx="74">
                  <c:v>15080901.644841734</c:v>
                </c:pt>
                <c:pt idx="75">
                  <c:v>13902912.770100521</c:v>
                </c:pt>
                <c:pt idx="76">
                  <c:v>14162878.992016034</c:v>
                </c:pt>
                <c:pt idx="77">
                  <c:v>14847156.652038109</c:v>
                </c:pt>
                <c:pt idx="78">
                  <c:v>16680944.71575932</c:v>
                </c:pt>
                <c:pt idx="79">
                  <c:v>16441627.491403744</c:v>
                </c:pt>
                <c:pt idx="80">
                  <c:v>14738939.491684567</c:v>
                </c:pt>
                <c:pt idx="81">
                  <c:v>14224432.403438799</c:v>
                </c:pt>
                <c:pt idx="82">
                  <c:v>14219749.462947156</c:v>
                </c:pt>
                <c:pt idx="83">
                  <c:v>15444454.611367591</c:v>
                </c:pt>
                <c:pt idx="84">
                  <c:v>15969811.321925314</c:v>
                </c:pt>
                <c:pt idx="85">
                  <c:v>14595206.468791869</c:v>
                </c:pt>
                <c:pt idx="86">
                  <c:v>15153708.447781125</c:v>
                </c:pt>
                <c:pt idx="87">
                  <c:v>14105522.348374898</c:v>
                </c:pt>
                <c:pt idx="88">
                  <c:v>14356207.29685205</c:v>
                </c:pt>
                <c:pt idx="89">
                  <c:v>15033059.938123439</c:v>
                </c:pt>
                <c:pt idx="90">
                  <c:v>16660407.718806159</c:v>
                </c:pt>
                <c:pt idx="91">
                  <c:v>16456359.333516343</c:v>
                </c:pt>
                <c:pt idx="92">
                  <c:v>14744390.060358809</c:v>
                </c:pt>
                <c:pt idx="93">
                  <c:v>14188755.388879534</c:v>
                </c:pt>
                <c:pt idx="94">
                  <c:v>14191497.467138577</c:v>
                </c:pt>
                <c:pt idx="95">
                  <c:v>15432908.907748055</c:v>
                </c:pt>
                <c:pt idx="96">
                  <c:v>16086183.052361429</c:v>
                </c:pt>
                <c:pt idx="97">
                  <c:v>14715290.70860333</c:v>
                </c:pt>
                <c:pt idx="98">
                  <c:v>15253373.886028197</c:v>
                </c:pt>
                <c:pt idx="99">
                  <c:v>14163499.874125453</c:v>
                </c:pt>
                <c:pt idx="100">
                  <c:v>14393766.021038217</c:v>
                </c:pt>
                <c:pt idx="101">
                  <c:v>15117025.029501397</c:v>
                </c:pt>
                <c:pt idx="102">
                  <c:v>16745997.706359591</c:v>
                </c:pt>
                <c:pt idx="103">
                  <c:v>16506680.482004017</c:v>
                </c:pt>
                <c:pt idx="104">
                  <c:v>14772436.152594421</c:v>
                </c:pt>
                <c:pt idx="105">
                  <c:v>14276845.355958542</c:v>
                </c:pt>
                <c:pt idx="106">
                  <c:v>14264737.396716211</c:v>
                </c:pt>
                <c:pt idx="107">
                  <c:v>15441179.923257178</c:v>
                </c:pt>
                <c:pt idx="108">
                  <c:v>16052630.355223313</c:v>
                </c:pt>
                <c:pt idx="109">
                  <c:v>15048501.424233248</c:v>
                </c:pt>
                <c:pt idx="110">
                  <c:v>15232814.971703781</c:v>
                </c:pt>
                <c:pt idx="111">
                  <c:v>14154558.604858398</c:v>
                </c:pt>
                <c:pt idx="112">
                  <c:v>14407099.808023226</c:v>
                </c:pt>
                <c:pt idx="113">
                  <c:v>15095089.977420641</c:v>
                </c:pt>
                <c:pt idx="114">
                  <c:v>16761899.69957765</c:v>
                </c:pt>
                <c:pt idx="115">
                  <c:v>16509588.692408372</c:v>
                </c:pt>
                <c:pt idx="116">
                  <c:v>14845882.041130301</c:v>
                </c:pt>
                <c:pt idx="117">
                  <c:v>14344621.602057058</c:v>
                </c:pt>
                <c:pt idx="118">
                  <c:v>14300957.31312431</c:v>
                </c:pt>
                <c:pt idx="119">
                  <c:v>15547937.517796801</c:v>
                </c:pt>
                <c:pt idx="120">
                  <c:v>16106477.22602338</c:v>
                </c:pt>
                <c:pt idx="121">
                  <c:v>14744135.998510323</c:v>
                </c:pt>
                <c:pt idx="122">
                  <c:v>15290777.152210746</c:v>
                </c:pt>
                <c:pt idx="123">
                  <c:v>14262519.899511531</c:v>
                </c:pt>
                <c:pt idx="124">
                  <c:v>14501357.759275422</c:v>
                </c:pt>
                <c:pt idx="125">
                  <c:v>15199782.772765525</c:v>
                </c:pt>
                <c:pt idx="126">
                  <c:v>16863930.348890375</c:v>
                </c:pt>
                <c:pt idx="127">
                  <c:v>16625780.464851234</c:v>
                </c:pt>
                <c:pt idx="128">
                  <c:v>14926122.953253236</c:v>
                </c:pt>
                <c:pt idx="129">
                  <c:v>14439226.769766282</c:v>
                </c:pt>
                <c:pt idx="130">
                  <c:v>14433875.610848811</c:v>
                </c:pt>
                <c:pt idx="131">
                  <c:v>15659775.705251232</c:v>
                </c:pt>
                <c:pt idx="132">
                  <c:v>16209509.271306004</c:v>
                </c:pt>
                <c:pt idx="133">
                  <c:v>14847250.728355035</c:v>
                </c:pt>
                <c:pt idx="134">
                  <c:v>15393974.632950243</c:v>
                </c:pt>
                <c:pt idx="135">
                  <c:v>14365986.935651477</c:v>
                </c:pt>
                <c:pt idx="136">
                  <c:v>14604907.679135235</c:v>
                </c:pt>
                <c:pt idx="137">
                  <c:v>15303415.642837677</c:v>
                </c:pt>
                <c:pt idx="138">
                  <c:v>16967535.265623961</c:v>
                </c:pt>
                <c:pt idx="139">
                  <c:v>16729468.464942168</c:v>
                </c:pt>
                <c:pt idx="140">
                  <c:v>15029894.10335415</c:v>
                </c:pt>
                <c:pt idx="141">
                  <c:v>14543271.992000908</c:v>
                </c:pt>
                <c:pt idx="142">
                  <c:v>14538004.116559127</c:v>
                </c:pt>
                <c:pt idx="143">
                  <c:v>15763987.561250409</c:v>
                </c:pt>
              </c:numCache>
            </c:numRef>
          </c:val>
          <c:smooth val="0"/>
          <c:extLst>
            <c:ext xmlns:c16="http://schemas.microsoft.com/office/drawing/2014/chart" uri="{C3380CC4-5D6E-409C-BE32-E72D297353CC}">
              <c16:uniqueId val="{00000001-D6D6-4CA9-A1E3-93DA94FB27B9}"/>
            </c:ext>
          </c:extLst>
        </c:ser>
        <c:dLbls>
          <c:showLegendKey val="0"/>
          <c:showVal val="0"/>
          <c:showCatName val="0"/>
          <c:showSerName val="0"/>
          <c:showPercent val="0"/>
          <c:showBubbleSize val="0"/>
        </c:dLbls>
        <c:smooth val="0"/>
        <c:axId val="177107712"/>
        <c:axId val="177109248"/>
      </c:lineChart>
      <c:dateAx>
        <c:axId val="177107712"/>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109248"/>
        <c:crosses val="autoZero"/>
        <c:auto val="1"/>
        <c:lblOffset val="100"/>
        <c:baseTimeUnit val="months"/>
      </c:dateAx>
      <c:valAx>
        <c:axId val="17710924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1077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a:t>
            </a:r>
          </a:p>
        </c:rich>
      </c:tx>
      <c:overlay val="0"/>
      <c:spPr>
        <a:noFill/>
        <a:ln>
          <a:noFill/>
        </a:ln>
        <a:effectLst/>
      </c:spPr>
    </c:title>
    <c:autoTitleDeleted val="0"/>
    <c:plotArea>
      <c:layout/>
      <c:lineChart>
        <c:grouping val="standard"/>
        <c:varyColors val="0"/>
        <c:ser>
          <c:idx val="0"/>
          <c:order val="0"/>
          <c:tx>
            <c:strRef>
              <c:f>'GS&gt;50 Normalized Monthly'!$D$1</c:f>
              <c:strCache>
                <c:ptCount val="1"/>
                <c:pt idx="0">
                  <c:v> GS_gt_50_NoCDM </c:v>
                </c:pt>
              </c:strCache>
            </c:strRef>
          </c:tx>
          <c:spPr>
            <a:ln w="28575" cap="rnd">
              <a:solidFill>
                <a:schemeClr val="accent1"/>
              </a:solidFill>
              <a:round/>
            </a:ln>
            <a:effectLst/>
          </c:spPr>
          <c:marker>
            <c:symbol val="none"/>
          </c:marker>
          <c:cat>
            <c:numRef>
              <c:f>'GS&gt;50 Normalized Monthly'!$A$2:$A$145</c:f>
              <c:numCache>
                <c:formatCode>m/d/yyyy</c:formatCode>
                <c:ptCount val="14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pt idx="133">
                  <c:v>46054</c:v>
                </c:pt>
                <c:pt idx="134">
                  <c:v>46082</c:v>
                </c:pt>
                <c:pt idx="135">
                  <c:v>46113</c:v>
                </c:pt>
                <c:pt idx="136">
                  <c:v>46143</c:v>
                </c:pt>
                <c:pt idx="137">
                  <c:v>46174</c:v>
                </c:pt>
                <c:pt idx="138">
                  <c:v>46204</c:v>
                </c:pt>
                <c:pt idx="139">
                  <c:v>46235</c:v>
                </c:pt>
                <c:pt idx="140">
                  <c:v>46266</c:v>
                </c:pt>
                <c:pt idx="141">
                  <c:v>46296</c:v>
                </c:pt>
                <c:pt idx="142">
                  <c:v>46327</c:v>
                </c:pt>
                <c:pt idx="143">
                  <c:v>46357</c:v>
                </c:pt>
              </c:numCache>
            </c:numRef>
          </c:cat>
          <c:val>
            <c:numRef>
              <c:f>'GS&gt;50 Normalized Monthly'!$D$2:$D$145</c:f>
              <c:numCache>
                <c:formatCode>_(* #,##0.00_);_(* \(#,##0.00\);_(* "-"??_);_(@_)</c:formatCode>
                <c:ptCount val="144"/>
                <c:pt idx="0">
                  <c:v>79694681.694532961</c:v>
                </c:pt>
                <c:pt idx="1">
                  <c:v>74376312.853804022</c:v>
                </c:pt>
                <c:pt idx="2">
                  <c:v>77468239.013075083</c:v>
                </c:pt>
                <c:pt idx="3">
                  <c:v>70027916.172346145</c:v>
                </c:pt>
                <c:pt idx="4">
                  <c:v>73743857.331617206</c:v>
                </c:pt>
                <c:pt idx="5">
                  <c:v>75664536.490888268</c:v>
                </c:pt>
                <c:pt idx="6">
                  <c:v>82284876.650159329</c:v>
                </c:pt>
                <c:pt idx="7">
                  <c:v>81168529.809430391</c:v>
                </c:pt>
                <c:pt idx="8">
                  <c:v>78691834.968701452</c:v>
                </c:pt>
                <c:pt idx="9">
                  <c:v>73009956.127972499</c:v>
                </c:pt>
                <c:pt idx="10">
                  <c:v>71846695.28724356</c:v>
                </c:pt>
                <c:pt idx="11">
                  <c:v>72643978.446514621</c:v>
                </c:pt>
                <c:pt idx="12">
                  <c:v>78763477.389551774</c:v>
                </c:pt>
                <c:pt idx="13">
                  <c:v>74636760.565422177</c:v>
                </c:pt>
                <c:pt idx="14">
                  <c:v>77047328.741292581</c:v>
                </c:pt>
                <c:pt idx="15">
                  <c:v>73374646.91716297</c:v>
                </c:pt>
                <c:pt idx="16">
                  <c:v>75400761.093033373</c:v>
                </c:pt>
                <c:pt idx="17">
                  <c:v>78871885.268903777</c:v>
                </c:pt>
                <c:pt idx="18">
                  <c:v>85038422.444774166</c:v>
                </c:pt>
                <c:pt idx="19">
                  <c:v>88248238.620644569</c:v>
                </c:pt>
                <c:pt idx="20">
                  <c:v>78975239.796514973</c:v>
                </c:pt>
                <c:pt idx="21">
                  <c:v>74338761.972385362</c:v>
                </c:pt>
                <c:pt idx="22">
                  <c:v>72857624.148255765</c:v>
                </c:pt>
                <c:pt idx="23">
                  <c:v>75276873.324126154</c:v>
                </c:pt>
                <c:pt idx="24">
                  <c:v>77812185.537604213</c:v>
                </c:pt>
                <c:pt idx="25">
                  <c:v>69707884.42837292</c:v>
                </c:pt>
                <c:pt idx="26">
                  <c:v>76997412.319141626</c:v>
                </c:pt>
                <c:pt idx="27">
                  <c:v>69695820.209910318</c:v>
                </c:pt>
                <c:pt idx="28">
                  <c:v>73710670.100679025</c:v>
                </c:pt>
                <c:pt idx="29">
                  <c:v>76943218.991447717</c:v>
                </c:pt>
                <c:pt idx="30">
                  <c:v>80788009.882216424</c:v>
                </c:pt>
                <c:pt idx="31">
                  <c:v>80742066.772985116</c:v>
                </c:pt>
                <c:pt idx="32">
                  <c:v>76743976.663753822</c:v>
                </c:pt>
                <c:pt idx="33">
                  <c:v>74943627.554522514</c:v>
                </c:pt>
                <c:pt idx="34">
                  <c:v>73430363.445291221</c:v>
                </c:pt>
                <c:pt idx="35">
                  <c:v>74717172.336059913</c:v>
                </c:pt>
                <c:pt idx="36">
                  <c:v>79618055.13230744</c:v>
                </c:pt>
                <c:pt idx="37">
                  <c:v>70553686.891704157</c:v>
                </c:pt>
                <c:pt idx="38">
                  <c:v>76019363.651100874</c:v>
                </c:pt>
                <c:pt idx="39">
                  <c:v>72504561.410497591</c:v>
                </c:pt>
                <c:pt idx="40">
                  <c:v>75108611.169894308</c:v>
                </c:pt>
                <c:pt idx="41">
                  <c:v>76769190.929291025</c:v>
                </c:pt>
                <c:pt idx="42">
                  <c:v>82170576.688687727</c:v>
                </c:pt>
                <c:pt idx="43">
                  <c:v>82374458.448084444</c:v>
                </c:pt>
                <c:pt idx="44">
                  <c:v>74890624.207481161</c:v>
                </c:pt>
                <c:pt idx="45">
                  <c:v>71126370.966877878</c:v>
                </c:pt>
                <c:pt idx="46">
                  <c:v>70890027.726274595</c:v>
                </c:pt>
                <c:pt idx="47">
                  <c:v>70258464.485671312</c:v>
                </c:pt>
                <c:pt idx="48">
                  <c:v>77017720.98365432</c:v>
                </c:pt>
                <c:pt idx="49">
                  <c:v>69584021.673609644</c:v>
                </c:pt>
                <c:pt idx="50">
                  <c:v>74426627.363564968</c:v>
                </c:pt>
                <c:pt idx="51">
                  <c:v>68208973.053520292</c:v>
                </c:pt>
                <c:pt idx="52">
                  <c:v>69285910.743475616</c:v>
                </c:pt>
                <c:pt idx="53">
                  <c:v>70340791.43343094</c:v>
                </c:pt>
                <c:pt idx="54">
                  <c:v>81692876.123386264</c:v>
                </c:pt>
                <c:pt idx="55">
                  <c:v>78330561.813341588</c:v>
                </c:pt>
                <c:pt idx="56">
                  <c:v>71728053.503296927</c:v>
                </c:pt>
                <c:pt idx="57">
                  <c:v>69595229.193252251</c:v>
                </c:pt>
                <c:pt idx="58">
                  <c:v>70061546.883207574</c:v>
                </c:pt>
                <c:pt idx="59">
                  <c:v>70940575.573162898</c:v>
                </c:pt>
                <c:pt idx="60">
                  <c:v>76432025.257973492</c:v>
                </c:pt>
                <c:pt idx="61">
                  <c:v>71230216.188582152</c:v>
                </c:pt>
                <c:pt idx="62">
                  <c:v>71001661.119190797</c:v>
                </c:pt>
                <c:pt idx="63">
                  <c:v>60883665.04979945</c:v>
                </c:pt>
                <c:pt idx="64">
                  <c:v>63891673.980408102</c:v>
                </c:pt>
                <c:pt idx="65">
                  <c:v>70683945.911016747</c:v>
                </c:pt>
                <c:pt idx="66">
                  <c:v>75739065.841625407</c:v>
                </c:pt>
                <c:pt idx="67">
                  <c:v>75530851.772234052</c:v>
                </c:pt>
                <c:pt idx="68">
                  <c:v>65350821.702842705</c:v>
                </c:pt>
                <c:pt idx="69">
                  <c:v>63677703.633451357</c:v>
                </c:pt>
                <c:pt idx="70">
                  <c:v>63426058.56406001</c:v>
                </c:pt>
                <c:pt idx="71">
                  <c:v>66367198.494668663</c:v>
                </c:pt>
                <c:pt idx="72">
                  <c:v>66761890.620358296</c:v>
                </c:pt>
                <c:pt idx="73">
                  <c:v>63358967.919563264</c:v>
                </c:pt>
                <c:pt idx="74">
                  <c:v>67520952.218768224</c:v>
                </c:pt>
                <c:pt idx="75">
                  <c:v>60994721.517973185</c:v>
                </c:pt>
                <c:pt idx="76">
                  <c:v>64228014.817178145</c:v>
                </c:pt>
                <c:pt idx="77">
                  <c:v>73762071.116383106</c:v>
                </c:pt>
                <c:pt idx="78">
                  <c:v>76779118.415588066</c:v>
                </c:pt>
                <c:pt idx="79">
                  <c:v>82287571.714793041</c:v>
                </c:pt>
                <c:pt idx="80">
                  <c:v>71607496.013998002</c:v>
                </c:pt>
                <c:pt idx="81">
                  <c:v>69158586.313202962</c:v>
                </c:pt>
                <c:pt idx="82">
                  <c:v>69469437.612407923</c:v>
                </c:pt>
                <c:pt idx="83">
                  <c:v>71198021.911612883</c:v>
                </c:pt>
                <c:pt idx="84">
                  <c:v>74478066.188207835</c:v>
                </c:pt>
                <c:pt idx="85">
                  <c:v>67971284.977837473</c:v>
                </c:pt>
                <c:pt idx="86">
                  <c:v>72988414.767467111</c:v>
                </c:pt>
                <c:pt idx="87">
                  <c:v>66254711.557096742</c:v>
                </c:pt>
                <c:pt idx="88">
                  <c:v>70028259.346726373</c:v>
                </c:pt>
                <c:pt idx="89">
                  <c:v>73412523.136356011</c:v>
                </c:pt>
                <c:pt idx="90">
                  <c:v>77789632.925985634</c:v>
                </c:pt>
                <c:pt idx="91">
                  <c:v>79678316.715615273</c:v>
                </c:pt>
                <c:pt idx="92">
                  <c:v>70692856.505244911</c:v>
                </c:pt>
                <c:pt idx="93">
                  <c:v>66086004.294874541</c:v>
                </c:pt>
                <c:pt idx="94">
                  <c:v>67580147.084504172</c:v>
                </c:pt>
                <c:pt idx="95">
                  <c:v>69037463.87413381</c:v>
                </c:pt>
                <c:pt idx="96">
                  <c:v>71676689.947135583</c:v>
                </c:pt>
                <c:pt idx="97">
                  <c:v>65932492.269264214</c:v>
                </c:pt>
                <c:pt idx="98">
                  <c:v>71645382.591392845</c:v>
                </c:pt>
                <c:pt idx="99">
                  <c:v>64673302.913521484</c:v>
                </c:pt>
                <c:pt idx="100">
                  <c:v>67530760.235650122</c:v>
                </c:pt>
                <c:pt idx="101">
                  <c:v>70478423.557778746</c:v>
                </c:pt>
                <c:pt idx="102">
                  <c:v>76112982.879907385</c:v>
                </c:pt>
                <c:pt idx="103">
                  <c:v>74128294.202036023</c:v>
                </c:pt>
                <c:pt idx="104">
                  <c:v>70137255.524164647</c:v>
                </c:pt>
                <c:pt idx="105">
                  <c:v>68045049.846293285</c:v>
                </c:pt>
                <c:pt idx="106">
                  <c:v>67535164.168421924</c:v>
                </c:pt>
                <c:pt idx="107">
                  <c:v>67172872.490550563</c:v>
                </c:pt>
                <c:pt idx="108">
                  <c:v>73612400.277207389</c:v>
                </c:pt>
                <c:pt idx="109">
                  <c:v>67426409.722989291</c:v>
                </c:pt>
                <c:pt idx="110">
                  <c:v>69526387.418771222</c:v>
                </c:pt>
                <c:pt idx="111">
                  <c:v>66433277.094553113</c:v>
                </c:pt>
                <c:pt idx="112">
                  <c:v>69679780.220335022</c:v>
                </c:pt>
                <c:pt idx="113">
                  <c:v>72525274.106116936</c:v>
                </c:pt>
                <c:pt idx="114">
                  <c:v>79765425.231898844</c:v>
                </c:pt>
                <c:pt idx="115">
                  <c:v>77761792.017680764</c:v>
                </c:pt>
                <c:pt idx="116">
                  <c:v>71569012.573462665</c:v>
                </c:pt>
                <c:pt idx="117">
                  <c:v>68521516.309244588</c:v>
                </c:pt>
                <c:pt idx="118">
                  <c:v>66855346.295026518</c:v>
                </c:pt>
                <c:pt idx="119">
                  <c:v>69388792.820808396</c:v>
                </c:pt>
              </c:numCache>
            </c:numRef>
          </c:val>
          <c:smooth val="0"/>
          <c:extLst>
            <c:ext xmlns:c16="http://schemas.microsoft.com/office/drawing/2014/chart" uri="{C3380CC4-5D6E-409C-BE32-E72D297353CC}">
              <c16:uniqueId val="{00000000-69E3-43DF-B3EE-184CDB99B5F2}"/>
            </c:ext>
          </c:extLst>
        </c:ser>
        <c:ser>
          <c:idx val="1"/>
          <c:order val="1"/>
          <c:tx>
            <c:strRef>
              <c:f>'GS&gt;50 Normalized Monthly'!$S$1</c:f>
              <c:strCache>
                <c:ptCount val="1"/>
                <c:pt idx="0">
                  <c:v>WN Predicted</c:v>
                </c:pt>
              </c:strCache>
            </c:strRef>
          </c:tx>
          <c:spPr>
            <a:ln w="28575" cap="rnd">
              <a:solidFill>
                <a:schemeClr val="accent2"/>
              </a:solidFill>
              <a:round/>
            </a:ln>
            <a:effectLst/>
          </c:spPr>
          <c:marker>
            <c:symbol val="none"/>
          </c:marker>
          <c:cat>
            <c:numRef>
              <c:f>'GS&gt;50 Normalized Monthly'!$A$2:$A$145</c:f>
              <c:numCache>
                <c:formatCode>m/d/yyyy</c:formatCode>
                <c:ptCount val="14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pt idx="133">
                  <c:v>46054</c:v>
                </c:pt>
                <c:pt idx="134">
                  <c:v>46082</c:v>
                </c:pt>
                <c:pt idx="135">
                  <c:v>46113</c:v>
                </c:pt>
                <c:pt idx="136">
                  <c:v>46143</c:v>
                </c:pt>
                <c:pt idx="137">
                  <c:v>46174</c:v>
                </c:pt>
                <c:pt idx="138">
                  <c:v>46204</c:v>
                </c:pt>
                <c:pt idx="139">
                  <c:v>46235</c:v>
                </c:pt>
                <c:pt idx="140">
                  <c:v>46266</c:v>
                </c:pt>
                <c:pt idx="141">
                  <c:v>46296</c:v>
                </c:pt>
                <c:pt idx="142">
                  <c:v>46327</c:v>
                </c:pt>
                <c:pt idx="143">
                  <c:v>46357</c:v>
                </c:pt>
              </c:numCache>
            </c:numRef>
          </c:cat>
          <c:val>
            <c:numRef>
              <c:f>'GS&gt;50 Normalized Monthly'!$S$2:$S$145</c:f>
              <c:numCache>
                <c:formatCode>_(* #,##0_);_(* \(#,##0\);_(* "-"??_);_(@_)</c:formatCode>
                <c:ptCount val="144"/>
                <c:pt idx="0">
                  <c:v>78431971.441782102</c:v>
                </c:pt>
                <c:pt idx="1">
                  <c:v>71852774.209590673</c:v>
                </c:pt>
                <c:pt idx="2">
                  <c:v>76078093.119269907</c:v>
                </c:pt>
                <c:pt idx="3">
                  <c:v>71695621.404897764</c:v>
                </c:pt>
                <c:pt idx="4">
                  <c:v>74268770.288582951</c:v>
                </c:pt>
                <c:pt idx="5">
                  <c:v>76971926.532276332</c:v>
                </c:pt>
                <c:pt idx="6">
                  <c:v>84458446.311397851</c:v>
                </c:pt>
                <c:pt idx="7">
                  <c:v>83587012.302277252</c:v>
                </c:pt>
                <c:pt idx="8">
                  <c:v>77034131.5124764</c:v>
                </c:pt>
                <c:pt idx="9">
                  <c:v>74082752.523341984</c:v>
                </c:pt>
                <c:pt idx="10">
                  <c:v>72452980.992255136</c:v>
                </c:pt>
                <c:pt idx="11">
                  <c:v>74026112.286961585</c:v>
                </c:pt>
                <c:pt idx="12">
                  <c:v>78670704.954531357</c:v>
                </c:pt>
                <c:pt idx="13">
                  <c:v>73870896.748895407</c:v>
                </c:pt>
                <c:pt idx="14">
                  <c:v>75854377.947480783</c:v>
                </c:pt>
                <c:pt idx="15">
                  <c:v>71349287.263723463</c:v>
                </c:pt>
                <c:pt idx="16">
                  <c:v>73690511.125314429</c:v>
                </c:pt>
                <c:pt idx="17">
                  <c:v>76253531.403996184</c:v>
                </c:pt>
                <c:pt idx="18">
                  <c:v>83241867.827501357</c:v>
                </c:pt>
                <c:pt idx="19">
                  <c:v>82009583.708475813</c:v>
                </c:pt>
                <c:pt idx="20">
                  <c:v>75224777.896580726</c:v>
                </c:pt>
                <c:pt idx="21">
                  <c:v>72307732.218874156</c:v>
                </c:pt>
                <c:pt idx="22">
                  <c:v>70834912.968600333</c:v>
                </c:pt>
                <c:pt idx="23">
                  <c:v>72378615.710654333</c:v>
                </c:pt>
                <c:pt idx="24">
                  <c:v>77042126.733500674</c:v>
                </c:pt>
                <c:pt idx="25">
                  <c:v>70511977.089063317</c:v>
                </c:pt>
                <c:pt idx="26">
                  <c:v>74796853.783872485</c:v>
                </c:pt>
                <c:pt idx="27">
                  <c:v>70494259.569556981</c:v>
                </c:pt>
                <c:pt idx="28">
                  <c:v>72953197.641757697</c:v>
                </c:pt>
                <c:pt idx="29">
                  <c:v>75445449.258108571</c:v>
                </c:pt>
                <c:pt idx="30">
                  <c:v>82632078.072105199</c:v>
                </c:pt>
                <c:pt idx="31">
                  <c:v>81579167.988294557</c:v>
                </c:pt>
                <c:pt idx="32">
                  <c:v>75099157.900299758</c:v>
                </c:pt>
                <c:pt idx="33">
                  <c:v>72384608.692034975</c:v>
                </c:pt>
                <c:pt idx="34">
                  <c:v>70979054.704966724</c:v>
                </c:pt>
                <c:pt idx="35">
                  <c:v>72672702.929583177</c:v>
                </c:pt>
                <c:pt idx="36">
                  <c:v>77242322.855871737</c:v>
                </c:pt>
                <c:pt idx="37">
                  <c:v>70537003.255169839</c:v>
                </c:pt>
                <c:pt idx="38">
                  <c:v>74479948.195350632</c:v>
                </c:pt>
                <c:pt idx="39">
                  <c:v>69939823.520340413</c:v>
                </c:pt>
                <c:pt idx="40">
                  <c:v>72199768.52222462</c:v>
                </c:pt>
                <c:pt idx="41">
                  <c:v>74718645.971927717</c:v>
                </c:pt>
                <c:pt idx="42">
                  <c:v>81973941.408780053</c:v>
                </c:pt>
                <c:pt idx="43">
                  <c:v>80920330.645144328</c:v>
                </c:pt>
                <c:pt idx="44">
                  <c:v>74135524.833249241</c:v>
                </c:pt>
                <c:pt idx="45">
                  <c:v>71104969.023883253</c:v>
                </c:pt>
                <c:pt idx="46">
                  <c:v>69554374.313027978</c:v>
                </c:pt>
                <c:pt idx="47">
                  <c:v>71095274.335781753</c:v>
                </c:pt>
                <c:pt idx="48">
                  <c:v>75668397.661195591</c:v>
                </c:pt>
                <c:pt idx="49">
                  <c:v>69131941.898332715</c:v>
                </c:pt>
                <c:pt idx="50">
                  <c:v>73379682.562413797</c:v>
                </c:pt>
                <c:pt idx="51">
                  <c:v>69152761.769204557</c:v>
                </c:pt>
                <c:pt idx="52">
                  <c:v>71643931.113357961</c:v>
                </c:pt>
                <c:pt idx="53">
                  <c:v>74211856.150815114</c:v>
                </c:pt>
                <c:pt idx="54">
                  <c:v>81377464.57006</c:v>
                </c:pt>
                <c:pt idx="55">
                  <c:v>80356785.758202016</c:v>
                </c:pt>
                <c:pt idx="56">
                  <c:v>73895694.025483802</c:v>
                </c:pt>
                <c:pt idx="57">
                  <c:v>70988457.865328029</c:v>
                </c:pt>
                <c:pt idx="58">
                  <c:v>69420346.158846304</c:v>
                </c:pt>
                <c:pt idx="59">
                  <c:v>70916402.672796369</c:v>
                </c:pt>
                <c:pt idx="60">
                  <c:v>75672403.432550371</c:v>
                </c:pt>
                <c:pt idx="61">
                  <c:v>70869091.827789128</c:v>
                </c:pt>
                <c:pt idx="62">
                  <c:v>72383117.543585554</c:v>
                </c:pt>
                <c:pt idx="63">
                  <c:v>66439531.17898389</c:v>
                </c:pt>
                <c:pt idx="64">
                  <c:v>67263783.219323978</c:v>
                </c:pt>
                <c:pt idx="65">
                  <c:v>69276769.835335106</c:v>
                </c:pt>
                <c:pt idx="66">
                  <c:v>76792718.167109057</c:v>
                </c:pt>
                <c:pt idx="67">
                  <c:v>76603746.307595089</c:v>
                </c:pt>
                <c:pt idx="68">
                  <c:v>70574974.026937738</c:v>
                </c:pt>
                <c:pt idx="69">
                  <c:v>68432880.235745445</c:v>
                </c:pt>
                <c:pt idx="70">
                  <c:v>67252945.152345911</c:v>
                </c:pt>
                <c:pt idx="71">
                  <c:v>68763015.262797147</c:v>
                </c:pt>
                <c:pt idx="72">
                  <c:v>72856172.908046156</c:v>
                </c:pt>
                <c:pt idx="73">
                  <c:v>65909819.447524279</c:v>
                </c:pt>
                <c:pt idx="74">
                  <c:v>70568158.489089414</c:v>
                </c:pt>
                <c:pt idx="75">
                  <c:v>67610869.538885519</c:v>
                </c:pt>
                <c:pt idx="76">
                  <c:v>71443840.748025239</c:v>
                </c:pt>
                <c:pt idx="77">
                  <c:v>74466506.991945133</c:v>
                </c:pt>
                <c:pt idx="78">
                  <c:v>81481469.248802543</c:v>
                </c:pt>
                <c:pt idx="79">
                  <c:v>80022865.5462832</c:v>
                </c:pt>
                <c:pt idx="80">
                  <c:v>73084610.852700397</c:v>
                </c:pt>
                <c:pt idx="81">
                  <c:v>69835442.937916249</c:v>
                </c:pt>
                <c:pt idx="82">
                  <c:v>68190256.450678125</c:v>
                </c:pt>
                <c:pt idx="83">
                  <c:v>70027544.039431512</c:v>
                </c:pt>
                <c:pt idx="84">
                  <c:v>74850810.062391087</c:v>
                </c:pt>
                <c:pt idx="85">
                  <c:v>68461497.062790439</c:v>
                </c:pt>
                <c:pt idx="86">
                  <c:v>72435972.595098838</c:v>
                </c:pt>
                <c:pt idx="87">
                  <c:v>68138983.819383785</c:v>
                </c:pt>
                <c:pt idx="88">
                  <c:v>70555180.422255948</c:v>
                </c:pt>
                <c:pt idx="89">
                  <c:v>73084568.069334924</c:v>
                </c:pt>
                <c:pt idx="90">
                  <c:v>79986720.874357969</c:v>
                </c:pt>
                <c:pt idx="91">
                  <c:v>78402695.483153224</c:v>
                </c:pt>
                <c:pt idx="92">
                  <c:v>71242325.285026997</c:v>
                </c:pt>
                <c:pt idx="93">
                  <c:v>67946912.501789019</c:v>
                </c:pt>
                <c:pt idx="94">
                  <c:v>66115345.181085415</c:v>
                </c:pt>
                <c:pt idx="95">
                  <c:v>67548340.51078026</c:v>
                </c:pt>
                <c:pt idx="96">
                  <c:v>72377912.652165368</c:v>
                </c:pt>
                <c:pt idx="97">
                  <c:v>65975286.7358886</c:v>
                </c:pt>
                <c:pt idx="98">
                  <c:v>70393993.277283847</c:v>
                </c:pt>
                <c:pt idx="99">
                  <c:v>65934446.782155327</c:v>
                </c:pt>
                <c:pt idx="100">
                  <c:v>68422112.727183416</c:v>
                </c:pt>
                <c:pt idx="101">
                  <c:v>71031377.874319032</c:v>
                </c:pt>
                <c:pt idx="102">
                  <c:v>78246033.881317988</c:v>
                </c:pt>
                <c:pt idx="103">
                  <c:v>77118851.736051172</c:v>
                </c:pt>
                <c:pt idx="104">
                  <c:v>70523930.156746835</c:v>
                </c:pt>
                <c:pt idx="105">
                  <c:v>67660836.825569719</c:v>
                </c:pt>
                <c:pt idx="106">
                  <c:v>66211140.009522818</c:v>
                </c:pt>
                <c:pt idx="107">
                  <c:v>67640631.940092355</c:v>
                </c:pt>
                <c:pt idx="108">
                  <c:v>72107251.93209736</c:v>
                </c:pt>
                <c:pt idx="109">
                  <c:v>67191130.875501767</c:v>
                </c:pt>
                <c:pt idx="110">
                  <c:v>69217353.543415681</c:v>
                </c:pt>
                <c:pt idx="111">
                  <c:v>64769017.925488077</c:v>
                </c:pt>
                <c:pt idx="112">
                  <c:v>67223051.238913387</c:v>
                </c:pt>
                <c:pt idx="113">
                  <c:v>69758044.324592829</c:v>
                </c:pt>
                <c:pt idx="114">
                  <c:v>76943271.778939337</c:v>
                </c:pt>
                <c:pt idx="115">
                  <c:v>75922592.967081353</c:v>
                </c:pt>
                <c:pt idx="116">
                  <c:v>69374616.936055914</c:v>
                </c:pt>
                <c:pt idx="117">
                  <c:v>66566176.631233349</c:v>
                </c:pt>
                <c:pt idx="118">
                  <c:v>65039405.034430042</c:v>
                </c:pt>
                <c:pt idx="119">
                  <c:v>66746366.175722606</c:v>
                </c:pt>
                <c:pt idx="120">
                  <c:v>71117950.627455562</c:v>
                </c:pt>
                <c:pt idx="121">
                  <c:v>64486202.40838477</c:v>
                </c:pt>
                <c:pt idx="122">
                  <c:v>68580821.174696475</c:v>
                </c:pt>
                <c:pt idx="123">
                  <c:v>64170065.35138616</c:v>
                </c:pt>
                <c:pt idx="124">
                  <c:v>66562800.858115971</c:v>
                </c:pt>
                <c:pt idx="125">
                  <c:v>69100643.375083983</c:v>
                </c:pt>
                <c:pt idx="126">
                  <c:v>76271028.095136344</c:v>
                </c:pt>
                <c:pt idx="127">
                  <c:v>75202995.005101517</c:v>
                </c:pt>
                <c:pt idx="128">
                  <c:v>68563521.866920561</c:v>
                </c:pt>
                <c:pt idx="129">
                  <c:v>65676173.335799366</c:v>
                </c:pt>
                <c:pt idx="130">
                  <c:v>64153267.156030968</c:v>
                </c:pt>
                <c:pt idx="131">
                  <c:v>65725464.210970677</c:v>
                </c:pt>
                <c:pt idx="132">
                  <c:v>70178512.99236007</c:v>
                </c:pt>
                <c:pt idx="133">
                  <c:v>63546764.773289278</c:v>
                </c:pt>
                <c:pt idx="134">
                  <c:v>67641045.438229412</c:v>
                </c:pt>
                <c:pt idx="135">
                  <c:v>63229682.569274649</c:v>
                </c:pt>
                <c:pt idx="136">
                  <c:v>65621607.401124872</c:v>
                </c:pt>
                <c:pt idx="137">
                  <c:v>68158973.502523825</c:v>
                </c:pt>
                <c:pt idx="138">
                  <c:v>75328939.437922746</c:v>
                </c:pt>
                <c:pt idx="139">
                  <c:v>74260810.296361893</c:v>
                </c:pt>
                <c:pt idx="140">
                  <c:v>67621010.582992494</c:v>
                </c:pt>
                <c:pt idx="141">
                  <c:v>64733343.160804912</c:v>
                </c:pt>
                <c:pt idx="142">
                  <c:v>63210317.877144247</c:v>
                </c:pt>
                <c:pt idx="143">
                  <c:v>64782130.725979894</c:v>
                </c:pt>
              </c:numCache>
            </c:numRef>
          </c:val>
          <c:smooth val="0"/>
          <c:extLst>
            <c:ext xmlns:c16="http://schemas.microsoft.com/office/drawing/2014/chart" uri="{C3380CC4-5D6E-409C-BE32-E72D297353CC}">
              <c16:uniqueId val="{00000001-69E3-43DF-B3EE-184CDB99B5F2}"/>
            </c:ext>
          </c:extLst>
        </c:ser>
        <c:dLbls>
          <c:showLegendKey val="0"/>
          <c:showVal val="0"/>
          <c:showCatName val="0"/>
          <c:showSerName val="0"/>
          <c:showPercent val="0"/>
          <c:showBubbleSize val="0"/>
        </c:dLbls>
        <c:smooth val="0"/>
        <c:axId val="177120384"/>
        <c:axId val="177121920"/>
      </c:lineChart>
      <c:dateAx>
        <c:axId val="1771203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121920"/>
        <c:crosses val="autoZero"/>
        <c:auto val="1"/>
        <c:lblOffset val="100"/>
        <c:baseTimeUnit val="months"/>
      </c:dateAx>
      <c:valAx>
        <c:axId val="177121920"/>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1203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overlay val="0"/>
      <c:spPr>
        <a:noFill/>
        <a:ln>
          <a:noFill/>
        </a:ln>
        <a:effectLst/>
      </c:spPr>
    </c:title>
    <c:autoTitleDeleted val="0"/>
    <c:plotArea>
      <c:layout/>
      <c:lineChart>
        <c:grouping val="standard"/>
        <c:varyColors val="0"/>
        <c:ser>
          <c:idx val="0"/>
          <c:order val="0"/>
          <c:tx>
            <c:strRef>
              <c:f>'Res Normalized Monthly WN'!$D$1</c:f>
              <c:strCache>
                <c:ptCount val="1"/>
                <c:pt idx="0">
                  <c:v> Res_NoCDM </c:v>
                </c:pt>
              </c:strCache>
            </c:strRef>
          </c:tx>
          <c:spPr>
            <a:ln w="28575" cap="rnd">
              <a:solidFill>
                <a:schemeClr val="accent1"/>
              </a:solidFill>
              <a:round/>
            </a:ln>
            <a:effectLst/>
          </c:spPr>
          <c:marker>
            <c:symbol val="none"/>
          </c:marker>
          <c:cat>
            <c:numRef>
              <c:f>'Res Normalized Monthly WN'!$A$2:$A$145</c:f>
              <c:numCache>
                <c:formatCode>m/d/yyyy</c:formatCode>
                <c:ptCount val="14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pt idx="133">
                  <c:v>46054</c:v>
                </c:pt>
                <c:pt idx="134">
                  <c:v>46082</c:v>
                </c:pt>
                <c:pt idx="135">
                  <c:v>46113</c:v>
                </c:pt>
                <c:pt idx="136">
                  <c:v>46143</c:v>
                </c:pt>
                <c:pt idx="137">
                  <c:v>46174</c:v>
                </c:pt>
                <c:pt idx="138">
                  <c:v>46204</c:v>
                </c:pt>
                <c:pt idx="139">
                  <c:v>46235</c:v>
                </c:pt>
                <c:pt idx="140">
                  <c:v>46266</c:v>
                </c:pt>
                <c:pt idx="141">
                  <c:v>46296</c:v>
                </c:pt>
                <c:pt idx="142">
                  <c:v>46327</c:v>
                </c:pt>
                <c:pt idx="143">
                  <c:v>46357</c:v>
                </c:pt>
              </c:numCache>
            </c:numRef>
          </c:cat>
          <c:val>
            <c:numRef>
              <c:f>'Res Normalized Monthly WN'!$D$2:$D$145</c:f>
              <c:numCache>
                <c:formatCode>_(* #,##0.00_);_(* \(#,##0.00\);_(* "-"??_);_(@_)</c:formatCode>
                <c:ptCount val="144"/>
                <c:pt idx="0">
                  <c:v>49127092.146981061</c:v>
                </c:pt>
                <c:pt idx="1">
                  <c:v>42235859.033245198</c:v>
                </c:pt>
                <c:pt idx="2">
                  <c:v>42686019.919509344</c:v>
                </c:pt>
                <c:pt idx="3">
                  <c:v>37892574.805773482</c:v>
                </c:pt>
                <c:pt idx="4">
                  <c:v>40054347.692037627</c:v>
                </c:pt>
                <c:pt idx="5">
                  <c:v>45422610.578301765</c:v>
                </c:pt>
                <c:pt idx="6">
                  <c:v>53739568.464565903</c:v>
                </c:pt>
                <c:pt idx="7">
                  <c:v>54462241.350830048</c:v>
                </c:pt>
                <c:pt idx="8">
                  <c:v>47137858.237094186</c:v>
                </c:pt>
                <c:pt idx="9">
                  <c:v>41235519.123358332</c:v>
                </c:pt>
                <c:pt idx="10">
                  <c:v>37717263.00962247</c:v>
                </c:pt>
                <c:pt idx="11">
                  <c:v>41179905.895886615</c:v>
                </c:pt>
                <c:pt idx="12">
                  <c:v>45255473.713757403</c:v>
                </c:pt>
                <c:pt idx="13">
                  <c:v>39790337.472733878</c:v>
                </c:pt>
                <c:pt idx="14">
                  <c:v>39893155.231710352</c:v>
                </c:pt>
                <c:pt idx="15">
                  <c:v>37464228.990686826</c:v>
                </c:pt>
                <c:pt idx="16">
                  <c:v>41966514.749663308</c:v>
                </c:pt>
                <c:pt idx="17">
                  <c:v>51191605.508639783</c:v>
                </c:pt>
                <c:pt idx="18">
                  <c:v>62342093.267616257</c:v>
                </c:pt>
                <c:pt idx="19">
                  <c:v>60905685.026592731</c:v>
                </c:pt>
                <c:pt idx="20">
                  <c:v>50436740.785569206</c:v>
                </c:pt>
                <c:pt idx="21">
                  <c:v>41879541.544545688</c:v>
                </c:pt>
                <c:pt idx="22">
                  <c:v>37972992.303522162</c:v>
                </c:pt>
                <c:pt idx="23">
                  <c:v>43646992.062498637</c:v>
                </c:pt>
                <c:pt idx="24">
                  <c:v>44428210.437605619</c:v>
                </c:pt>
                <c:pt idx="25">
                  <c:v>38008250.644202635</c:v>
                </c:pt>
                <c:pt idx="26">
                  <c:v>39754350.85079965</c:v>
                </c:pt>
                <c:pt idx="27">
                  <c:v>35550881.057396658</c:v>
                </c:pt>
                <c:pt idx="28">
                  <c:v>38527675.263993673</c:v>
                </c:pt>
                <c:pt idx="29">
                  <c:v>46993946.470590688</c:v>
                </c:pt>
                <c:pt idx="30">
                  <c:v>55250414.677187696</c:v>
                </c:pt>
                <c:pt idx="31">
                  <c:v>52000413.883784711</c:v>
                </c:pt>
                <c:pt idx="32">
                  <c:v>45504410.090381727</c:v>
                </c:pt>
                <c:pt idx="33">
                  <c:v>40966849.296978742</c:v>
                </c:pt>
                <c:pt idx="34">
                  <c:v>39001404.503575757</c:v>
                </c:pt>
                <c:pt idx="35">
                  <c:v>47108304.710172765</c:v>
                </c:pt>
                <c:pt idx="36">
                  <c:v>47709598.683987916</c:v>
                </c:pt>
                <c:pt idx="37">
                  <c:v>39687279.898667745</c:v>
                </c:pt>
                <c:pt idx="38">
                  <c:v>41074250.113347575</c:v>
                </c:pt>
                <c:pt idx="39">
                  <c:v>38168978.328027405</c:v>
                </c:pt>
                <c:pt idx="40">
                  <c:v>41244600.542707235</c:v>
                </c:pt>
                <c:pt idx="41">
                  <c:v>52144868.757387064</c:v>
                </c:pt>
                <c:pt idx="42">
                  <c:v>64966905.972066894</c:v>
                </c:pt>
                <c:pt idx="43">
                  <c:v>63232261.186746724</c:v>
                </c:pt>
                <c:pt idx="44">
                  <c:v>50855019.401426554</c:v>
                </c:pt>
                <c:pt idx="45">
                  <c:v>40650132.616106384</c:v>
                </c:pt>
                <c:pt idx="46">
                  <c:v>40817846.830786213</c:v>
                </c:pt>
                <c:pt idx="47">
                  <c:v>45902493.045466043</c:v>
                </c:pt>
                <c:pt idx="48">
                  <c:v>47310902.790742546</c:v>
                </c:pt>
                <c:pt idx="49">
                  <c:v>42211303.114211284</c:v>
                </c:pt>
                <c:pt idx="50">
                  <c:v>42541593.437680028</c:v>
                </c:pt>
                <c:pt idx="51">
                  <c:v>37536349.761148773</c:v>
                </c:pt>
                <c:pt idx="52">
                  <c:v>38099337.08461751</c:v>
                </c:pt>
                <c:pt idx="53">
                  <c:v>45232822.408086255</c:v>
                </c:pt>
                <c:pt idx="54">
                  <c:v>63142023.731554992</c:v>
                </c:pt>
                <c:pt idx="55">
                  <c:v>58238131.055023737</c:v>
                </c:pt>
                <c:pt idx="56">
                  <c:v>44304376.378492482</c:v>
                </c:pt>
                <c:pt idx="57">
                  <c:v>39423259.701961219</c:v>
                </c:pt>
                <c:pt idx="58">
                  <c:v>40460397.025429964</c:v>
                </c:pt>
                <c:pt idx="59">
                  <c:v>45553447.348898709</c:v>
                </c:pt>
                <c:pt idx="60">
                  <c:v>44911593.71344091</c:v>
                </c:pt>
                <c:pt idx="61">
                  <c:v>40905172.199256942</c:v>
                </c:pt>
                <c:pt idx="62">
                  <c:v>42164842.685072981</c:v>
                </c:pt>
                <c:pt idx="63">
                  <c:v>40550697.17088902</c:v>
                </c:pt>
                <c:pt idx="64">
                  <c:v>45655296.656705059</c:v>
                </c:pt>
                <c:pt idx="65">
                  <c:v>59532998.142521091</c:v>
                </c:pt>
                <c:pt idx="66">
                  <c:v>72305754.62833713</c:v>
                </c:pt>
                <c:pt idx="67">
                  <c:v>63879386.114153169</c:v>
                </c:pt>
                <c:pt idx="68">
                  <c:v>46969020.599969208</c:v>
                </c:pt>
                <c:pt idx="69">
                  <c:v>40798366.08578524</c:v>
                </c:pt>
                <c:pt idx="70">
                  <c:v>41142966.571601279</c:v>
                </c:pt>
                <c:pt idx="71">
                  <c:v>47931193.057417318</c:v>
                </c:pt>
                <c:pt idx="72">
                  <c:v>49036599.020043381</c:v>
                </c:pt>
                <c:pt idx="73">
                  <c:v>44239591.50465861</c:v>
                </c:pt>
                <c:pt idx="74">
                  <c:v>43218533.989273846</c:v>
                </c:pt>
                <c:pt idx="75">
                  <c:v>39165169.473889083</c:v>
                </c:pt>
                <c:pt idx="76">
                  <c:v>47117065.958504319</c:v>
                </c:pt>
                <c:pt idx="77">
                  <c:v>54507390.443119556</c:v>
                </c:pt>
                <c:pt idx="78">
                  <c:v>61736270.927734792</c:v>
                </c:pt>
                <c:pt idx="79">
                  <c:v>64473872.412350029</c:v>
                </c:pt>
                <c:pt idx="80">
                  <c:v>49910611.896965258</c:v>
                </c:pt>
                <c:pt idx="81">
                  <c:v>41149312.381580494</c:v>
                </c:pt>
                <c:pt idx="82">
                  <c:v>40886298.866195731</c:v>
                </c:pt>
                <c:pt idx="83">
                  <c:v>46938659.350810967</c:v>
                </c:pt>
                <c:pt idx="84">
                  <c:v>50264546.652802087</c:v>
                </c:pt>
                <c:pt idx="85">
                  <c:v>43857792.181785412</c:v>
                </c:pt>
                <c:pt idx="86">
                  <c:v>43860485.710768737</c:v>
                </c:pt>
                <c:pt idx="87">
                  <c:v>39331597.239752054</c:v>
                </c:pt>
                <c:pt idx="88">
                  <c:v>43290007.768735379</c:v>
                </c:pt>
                <c:pt idx="89">
                  <c:v>52900848.297718704</c:v>
                </c:pt>
                <c:pt idx="90">
                  <c:v>63898027.826702021</c:v>
                </c:pt>
                <c:pt idx="91">
                  <c:v>62500468.355685346</c:v>
                </c:pt>
                <c:pt idx="92">
                  <c:v>48263159.884668671</c:v>
                </c:pt>
                <c:pt idx="93">
                  <c:v>39368582.413651988</c:v>
                </c:pt>
                <c:pt idx="94">
                  <c:v>40432823.942635313</c:v>
                </c:pt>
                <c:pt idx="95">
                  <c:v>46713356.471618637</c:v>
                </c:pt>
                <c:pt idx="96">
                  <c:v>46583116.519168116</c:v>
                </c:pt>
                <c:pt idx="97">
                  <c:v>40876786.046762481</c:v>
                </c:pt>
                <c:pt idx="98">
                  <c:v>42680536.574356854</c:v>
                </c:pt>
                <c:pt idx="99">
                  <c:v>38703114.101951219</c:v>
                </c:pt>
                <c:pt idx="100">
                  <c:v>41884572.629545584</c:v>
                </c:pt>
                <c:pt idx="101">
                  <c:v>49966785.15713995</c:v>
                </c:pt>
                <c:pt idx="102">
                  <c:v>60709456.684734322</c:v>
                </c:pt>
                <c:pt idx="103">
                  <c:v>56519900.212328687</c:v>
                </c:pt>
                <c:pt idx="104">
                  <c:v>46714488.739923052</c:v>
                </c:pt>
                <c:pt idx="105">
                  <c:v>40824035.267517418</c:v>
                </c:pt>
                <c:pt idx="106">
                  <c:v>40771078.79511179</c:v>
                </c:pt>
                <c:pt idx="107">
                  <c:v>46228650.322706155</c:v>
                </c:pt>
                <c:pt idx="108">
                  <c:v>47520942.166132875</c:v>
                </c:pt>
                <c:pt idx="109">
                  <c:v>42009232.734825648</c:v>
                </c:pt>
                <c:pt idx="110">
                  <c:v>42133800.273518406</c:v>
                </c:pt>
                <c:pt idx="111">
                  <c:v>38836355.502211168</c:v>
                </c:pt>
                <c:pt idx="112">
                  <c:v>43725998.02090393</c:v>
                </c:pt>
                <c:pt idx="113">
                  <c:v>54316624.359596707</c:v>
                </c:pt>
                <c:pt idx="114">
                  <c:v>64592396.868289471</c:v>
                </c:pt>
                <c:pt idx="115">
                  <c:v>60459871.106982246</c:v>
                </c:pt>
                <c:pt idx="116">
                  <c:v>48481511.215674996</c:v>
                </c:pt>
                <c:pt idx="117">
                  <c:v>41352177.60436777</c:v>
                </c:pt>
                <c:pt idx="118">
                  <c:v>40782399.333060533</c:v>
                </c:pt>
                <c:pt idx="119">
                  <c:v>48660834.701753296</c:v>
                </c:pt>
              </c:numCache>
            </c:numRef>
          </c:val>
          <c:smooth val="0"/>
          <c:extLst>
            <c:ext xmlns:c16="http://schemas.microsoft.com/office/drawing/2014/chart" uri="{C3380CC4-5D6E-409C-BE32-E72D297353CC}">
              <c16:uniqueId val="{00000000-11F5-44EE-B2D3-2F4AF3DC20A0}"/>
            </c:ext>
          </c:extLst>
        </c:ser>
        <c:ser>
          <c:idx val="1"/>
          <c:order val="1"/>
          <c:tx>
            <c:strRef>
              <c:f>'Res Normalized Monthly WN'!$S$1</c:f>
              <c:strCache>
                <c:ptCount val="1"/>
                <c:pt idx="0">
                  <c:v>Normalized</c:v>
                </c:pt>
              </c:strCache>
            </c:strRef>
          </c:tx>
          <c:spPr>
            <a:ln w="28575" cap="rnd">
              <a:solidFill>
                <a:schemeClr val="accent2"/>
              </a:solidFill>
              <a:round/>
            </a:ln>
            <a:effectLst/>
          </c:spPr>
          <c:marker>
            <c:symbol val="none"/>
          </c:marker>
          <c:cat>
            <c:numRef>
              <c:f>'Res Normalized Monthly WN'!$A$2:$A$145</c:f>
              <c:numCache>
                <c:formatCode>m/d/yyyy</c:formatCode>
                <c:ptCount val="14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pt idx="133">
                  <c:v>46054</c:v>
                </c:pt>
                <c:pt idx="134">
                  <c:v>46082</c:v>
                </c:pt>
                <c:pt idx="135">
                  <c:v>46113</c:v>
                </c:pt>
                <c:pt idx="136">
                  <c:v>46143</c:v>
                </c:pt>
                <c:pt idx="137">
                  <c:v>46174</c:v>
                </c:pt>
                <c:pt idx="138">
                  <c:v>46204</c:v>
                </c:pt>
                <c:pt idx="139">
                  <c:v>46235</c:v>
                </c:pt>
                <c:pt idx="140">
                  <c:v>46266</c:v>
                </c:pt>
                <c:pt idx="141">
                  <c:v>46296</c:v>
                </c:pt>
                <c:pt idx="142">
                  <c:v>46327</c:v>
                </c:pt>
                <c:pt idx="143">
                  <c:v>46357</c:v>
                </c:pt>
              </c:numCache>
            </c:numRef>
          </c:cat>
          <c:val>
            <c:numRef>
              <c:f>'Res Normalized Monthly WN'!$S$2:$S$145</c:f>
              <c:numCache>
                <c:formatCode>_(* #,##0.00_);_(* \(#,##0.00\);_(* "-"??_);_(@_)</c:formatCode>
                <c:ptCount val="144"/>
                <c:pt idx="0">
                  <c:v>47661879.843871385</c:v>
                </c:pt>
                <c:pt idx="1">
                  <c:v>38776200.728527322</c:v>
                </c:pt>
                <c:pt idx="2">
                  <c:v>41382301.219768748</c:v>
                </c:pt>
                <c:pt idx="3">
                  <c:v>38216446.549403928</c:v>
                </c:pt>
                <c:pt idx="4">
                  <c:v>39646440.835764535</c:v>
                </c:pt>
                <c:pt idx="5">
                  <c:v>49790320.045805573</c:v>
                </c:pt>
                <c:pt idx="6">
                  <c:v>55565354.419087939</c:v>
                </c:pt>
                <c:pt idx="7">
                  <c:v>57317988.683737494</c:v>
                </c:pt>
                <c:pt idx="8">
                  <c:v>44425269.432615332</c:v>
                </c:pt>
                <c:pt idx="9">
                  <c:v>42962544.2362113</c:v>
                </c:pt>
                <c:pt idx="10">
                  <c:v>38430890.50779178</c:v>
                </c:pt>
                <c:pt idx="11">
                  <c:v>42769112.440227136</c:v>
                </c:pt>
                <c:pt idx="12">
                  <c:v>45358665.389130533</c:v>
                </c:pt>
                <c:pt idx="13">
                  <c:v>40102512.819585472</c:v>
                </c:pt>
                <c:pt idx="14">
                  <c:v>40543782.850707494</c:v>
                </c:pt>
                <c:pt idx="15">
                  <c:v>36729761.459734187</c:v>
                </c:pt>
                <c:pt idx="16">
                  <c:v>40356754.979647644</c:v>
                </c:pt>
                <c:pt idx="17">
                  <c:v>50427902.755936697</c:v>
                </c:pt>
                <c:pt idx="18">
                  <c:v>61634069.992322899</c:v>
                </c:pt>
                <c:pt idx="19">
                  <c:v>56456684.864684269</c:v>
                </c:pt>
                <c:pt idx="20">
                  <c:v>47724151.981090352</c:v>
                </c:pt>
                <c:pt idx="21">
                  <c:v>40699756.506880492</c:v>
                </c:pt>
                <c:pt idx="22">
                  <c:v>38995970.613586441</c:v>
                </c:pt>
                <c:pt idx="23">
                  <c:v>42984868.288685389</c:v>
                </c:pt>
                <c:pt idx="24">
                  <c:v>45303286.793488607</c:v>
                </c:pt>
                <c:pt idx="25">
                  <c:v>39266121.583664715</c:v>
                </c:pt>
                <c:pt idx="26">
                  <c:v>39173247.596642755</c:v>
                </c:pt>
                <c:pt idx="27">
                  <c:v>36265314.372409798</c:v>
                </c:pt>
                <c:pt idx="28">
                  <c:v>39852936.068736717</c:v>
                </c:pt>
                <c:pt idx="29">
                  <c:v>46618442.778808333</c:v>
                </c:pt>
                <c:pt idx="30">
                  <c:v>57669561.0209703</c:v>
                </c:pt>
                <c:pt idx="31">
                  <c:v>55537723.825977944</c:v>
                </c:pt>
                <c:pt idx="32">
                  <c:v>45832173.776061803</c:v>
                </c:pt>
                <c:pt idx="33">
                  <c:v>38974741.134378619</c:v>
                </c:pt>
                <c:pt idx="34">
                  <c:v>38902574.943989605</c:v>
                </c:pt>
                <c:pt idx="35">
                  <c:v>45211712.883487359</c:v>
                </c:pt>
                <c:pt idx="36">
                  <c:v>47055960.167300843</c:v>
                </c:pt>
                <c:pt idx="37">
                  <c:v>40385397.585774273</c:v>
                </c:pt>
                <c:pt idx="38">
                  <c:v>40593053.918902069</c:v>
                </c:pt>
                <c:pt idx="39">
                  <c:v>37310035.124896832</c:v>
                </c:pt>
                <c:pt idx="40">
                  <c:v>39611862.048624165</c:v>
                </c:pt>
                <c:pt idx="41">
                  <c:v>52370550.682988234</c:v>
                </c:pt>
                <c:pt idx="42">
                  <c:v>63320731.81105075</c:v>
                </c:pt>
                <c:pt idx="43">
                  <c:v>59905834.734250158</c:v>
                </c:pt>
                <c:pt idx="44">
                  <c:v>49367295.237255946</c:v>
                </c:pt>
                <c:pt idx="45">
                  <c:v>40635192.279940374</c:v>
                </c:pt>
                <c:pt idx="46">
                  <c:v>39836276.812106334</c:v>
                </c:pt>
                <c:pt idx="47">
                  <c:v>45828862.911048613</c:v>
                </c:pt>
                <c:pt idx="48">
                  <c:v>46387652.071820647</c:v>
                </c:pt>
                <c:pt idx="49">
                  <c:v>42093741.245318025</c:v>
                </c:pt>
                <c:pt idx="50">
                  <c:v>41751095.935086951</c:v>
                </c:pt>
                <c:pt idx="51">
                  <c:v>37599836.123024665</c:v>
                </c:pt>
                <c:pt idx="52">
                  <c:v>40552872.11622265</c:v>
                </c:pt>
                <c:pt idx="53">
                  <c:v>49247303.68195951</c:v>
                </c:pt>
                <c:pt idx="54">
                  <c:v>62425982.072622985</c:v>
                </c:pt>
                <c:pt idx="55">
                  <c:v>59923194.376687363</c:v>
                </c:pt>
                <c:pt idx="56">
                  <c:v>45365709.088102631</c:v>
                </c:pt>
                <c:pt idx="57">
                  <c:v>41228647.745313749</c:v>
                </c:pt>
                <c:pt idx="58">
                  <c:v>39320070.583099119</c:v>
                </c:pt>
                <c:pt idx="59">
                  <c:v>45419599.260682635</c:v>
                </c:pt>
                <c:pt idx="60">
                  <c:v>46016593.165645987</c:v>
                </c:pt>
                <c:pt idx="61">
                  <c:v>40986055.859927386</c:v>
                </c:pt>
                <c:pt idx="62">
                  <c:v>42968752.368284851</c:v>
                </c:pt>
                <c:pt idx="63">
                  <c:v>40489641.855590448</c:v>
                </c:pt>
                <c:pt idx="64">
                  <c:v>46235139.946063563</c:v>
                </c:pt>
                <c:pt idx="65">
                  <c:v>57246784.777300961</c:v>
                </c:pt>
                <c:pt idx="66">
                  <c:v>67588539.533715621</c:v>
                </c:pt>
                <c:pt idx="67">
                  <c:v>63940726.748988889</c:v>
                </c:pt>
                <c:pt idx="68">
                  <c:v>50010137.947513781</c:v>
                </c:pt>
                <c:pt idx="69">
                  <c:v>42686260.691186666</c:v>
                </c:pt>
                <c:pt idx="70">
                  <c:v>41486572.988049045</c:v>
                </c:pt>
                <c:pt idx="71">
                  <c:v>47910937.927503228</c:v>
                </c:pt>
                <c:pt idx="72">
                  <c:v>49674909.330308981</c:v>
                </c:pt>
                <c:pt idx="73">
                  <c:v>43611545.618335955</c:v>
                </c:pt>
                <c:pt idx="74">
                  <c:v>43899270.585170306</c:v>
                </c:pt>
                <c:pt idx="75">
                  <c:v>39436681.494342104</c:v>
                </c:pt>
                <c:pt idx="76">
                  <c:v>46804739.093825348</c:v>
                </c:pt>
                <c:pt idx="77">
                  <c:v>50098639.781093083</c:v>
                </c:pt>
                <c:pt idx="78">
                  <c:v>64395968.780677088</c:v>
                </c:pt>
                <c:pt idx="79">
                  <c:v>60233350.225046642</c:v>
                </c:pt>
                <c:pt idx="80">
                  <c:v>51182966.605382882</c:v>
                </c:pt>
                <c:pt idx="81">
                  <c:v>39297429.354899004</c:v>
                </c:pt>
                <c:pt idx="82">
                  <c:v>41128248.18151553</c:v>
                </c:pt>
                <c:pt idx="83">
                  <c:v>47569852.993809454</c:v>
                </c:pt>
                <c:pt idx="84">
                  <c:v>48681635.621813245</c:v>
                </c:pt>
                <c:pt idx="85">
                  <c:v>43671800.819939151</c:v>
                </c:pt>
                <c:pt idx="86">
                  <c:v>43902090.842484161</c:v>
                </c:pt>
                <c:pt idx="87">
                  <c:v>39371817.574023925</c:v>
                </c:pt>
                <c:pt idx="88">
                  <c:v>42590994.084763035</c:v>
                </c:pt>
                <c:pt idx="89">
                  <c:v>52894190.253314547</c:v>
                </c:pt>
                <c:pt idx="90">
                  <c:v>64456909.16631636</c:v>
                </c:pt>
                <c:pt idx="91">
                  <c:v>61683795.982088201</c:v>
                </c:pt>
                <c:pt idx="92">
                  <c:v>49031951.171723977</c:v>
                </c:pt>
                <c:pt idx="93">
                  <c:v>40842467.906326242</c:v>
                </c:pt>
                <c:pt idx="94">
                  <c:v>40125351.395952769</c:v>
                </c:pt>
                <c:pt idx="95">
                  <c:v>46550767.996362306</c:v>
                </c:pt>
                <c:pt idx="96">
                  <c:v>47855083.934178516</c:v>
                </c:pt>
                <c:pt idx="97">
                  <c:v>41851358.885399133</c:v>
                </c:pt>
                <c:pt idx="98">
                  <c:v>42712561.577058859</c:v>
                </c:pt>
                <c:pt idx="99">
                  <c:v>38200993.323305272</c:v>
                </c:pt>
                <c:pt idx="100">
                  <c:v>42256915.363652796</c:v>
                </c:pt>
                <c:pt idx="101">
                  <c:v>50000219.030929074</c:v>
                </c:pt>
                <c:pt idx="102">
                  <c:v>60562720.264146902</c:v>
                </c:pt>
                <c:pt idx="103">
                  <c:v>60730754.380169049</c:v>
                </c:pt>
                <c:pt idx="104">
                  <c:v>47242695.515320405</c:v>
                </c:pt>
                <c:pt idx="105">
                  <c:v>39422279.512172267</c:v>
                </c:pt>
                <c:pt idx="106">
                  <c:v>40861114.636075921</c:v>
                </c:pt>
                <c:pt idx="107">
                  <c:v>47151353.605684429</c:v>
                </c:pt>
                <c:pt idx="108">
                  <c:v>48152409.527103178</c:v>
                </c:pt>
                <c:pt idx="109">
                  <c:v>43076869.683878385</c:v>
                </c:pt>
                <c:pt idx="110">
                  <c:v>43081411.891931579</c:v>
                </c:pt>
                <c:pt idx="111">
                  <c:v>39579418.554994524</c:v>
                </c:pt>
                <c:pt idx="112">
                  <c:v>43656761.83011318</c:v>
                </c:pt>
                <c:pt idx="113">
                  <c:v>53516146.334965564</c:v>
                </c:pt>
                <c:pt idx="114">
                  <c:v>65063075.987878591</c:v>
                </c:pt>
                <c:pt idx="115">
                  <c:v>60942176.882847421</c:v>
                </c:pt>
                <c:pt idx="116">
                  <c:v>48394846.475098237</c:v>
                </c:pt>
                <c:pt idx="117">
                  <c:v>40898456.668544561</c:v>
                </c:pt>
                <c:pt idx="118">
                  <c:v>40898400.519374661</c:v>
                </c:pt>
                <c:pt idx="119">
                  <c:v>48466768.659738585</c:v>
                </c:pt>
                <c:pt idx="120">
                  <c:v>48960185.20571062</c:v>
                </c:pt>
                <c:pt idx="121">
                  <c:v>43487933.367218621</c:v>
                </c:pt>
                <c:pt idx="122">
                  <c:v>44291413.64906165</c:v>
                </c:pt>
                <c:pt idx="123">
                  <c:v>40890613.980348982</c:v>
                </c:pt>
                <c:pt idx="124">
                  <c:v>44287645.076525278</c:v>
                </c:pt>
                <c:pt idx="125">
                  <c:v>52872710.737859331</c:v>
                </c:pt>
                <c:pt idx="126">
                  <c:v>63529939.699202143</c:v>
                </c:pt>
                <c:pt idx="127">
                  <c:v>61817613.87316709</c:v>
                </c:pt>
                <c:pt idx="128">
                  <c:v>49469497.832254343</c:v>
                </c:pt>
                <c:pt idx="129">
                  <c:v>43412489.633476995</c:v>
                </c:pt>
                <c:pt idx="130">
                  <c:v>41315567.56773372</c:v>
                </c:pt>
                <c:pt idx="131">
                  <c:v>47438875.560700536</c:v>
                </c:pt>
                <c:pt idx="132">
                  <c:v>49095067.589170158</c:v>
                </c:pt>
                <c:pt idx="133">
                  <c:v>43622815.750678159</c:v>
                </c:pt>
                <c:pt idx="134">
                  <c:v>44426296.032521188</c:v>
                </c:pt>
                <c:pt idx="135">
                  <c:v>41025917.947421081</c:v>
                </c:pt>
                <c:pt idx="136">
                  <c:v>44422949.043597385</c:v>
                </c:pt>
                <c:pt idx="137">
                  <c:v>53008014.704931438</c:v>
                </c:pt>
                <c:pt idx="138">
                  <c:v>63665356.273678988</c:v>
                </c:pt>
                <c:pt idx="139">
                  <c:v>61953030.447643936</c:v>
                </c:pt>
                <c:pt idx="140">
                  <c:v>49604914.406731188</c:v>
                </c:pt>
                <c:pt idx="141">
                  <c:v>43548550.217825785</c:v>
                </c:pt>
                <c:pt idx="142">
                  <c:v>41451628.152082503</c:v>
                </c:pt>
                <c:pt idx="143">
                  <c:v>47574936.145049319</c:v>
                </c:pt>
              </c:numCache>
            </c:numRef>
          </c:val>
          <c:smooth val="0"/>
          <c:extLst>
            <c:ext xmlns:c16="http://schemas.microsoft.com/office/drawing/2014/chart" uri="{C3380CC4-5D6E-409C-BE32-E72D297353CC}">
              <c16:uniqueId val="{00000001-11F5-44EE-B2D3-2F4AF3DC20A0}"/>
            </c:ext>
          </c:extLst>
        </c:ser>
        <c:dLbls>
          <c:showLegendKey val="0"/>
          <c:showVal val="0"/>
          <c:showCatName val="0"/>
          <c:showSerName val="0"/>
          <c:showPercent val="0"/>
          <c:showBubbleSize val="0"/>
        </c:dLbls>
        <c:smooth val="0"/>
        <c:axId val="176750976"/>
        <c:axId val="176752512"/>
      </c:lineChart>
      <c:dateAx>
        <c:axId val="17675097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752512"/>
        <c:crosses val="autoZero"/>
        <c:auto val="1"/>
        <c:lblOffset val="100"/>
        <c:baseTimeUnit val="months"/>
      </c:dateAx>
      <c:valAx>
        <c:axId val="17675251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7509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a:t>
            </a:r>
          </a:p>
        </c:rich>
      </c:tx>
      <c:overlay val="0"/>
      <c:spPr>
        <a:noFill/>
        <a:ln>
          <a:noFill/>
        </a:ln>
        <a:effectLst/>
      </c:spPr>
    </c:title>
    <c:autoTitleDeleted val="0"/>
    <c:plotArea>
      <c:layout/>
      <c:lineChart>
        <c:grouping val="standard"/>
        <c:varyColors val="0"/>
        <c:ser>
          <c:idx val="0"/>
          <c:order val="0"/>
          <c:tx>
            <c:strRef>
              <c:f>'GS&lt;50 Normalized Monthly WN'!$D$1</c:f>
              <c:strCache>
                <c:ptCount val="1"/>
                <c:pt idx="0">
                  <c:v> GS_lt_50_NoCDM </c:v>
                </c:pt>
              </c:strCache>
            </c:strRef>
          </c:tx>
          <c:spPr>
            <a:ln w="28575" cap="rnd">
              <a:solidFill>
                <a:schemeClr val="accent1"/>
              </a:solidFill>
              <a:round/>
            </a:ln>
            <a:effectLst/>
          </c:spPr>
          <c:marker>
            <c:symbol val="none"/>
          </c:marker>
          <c:cat>
            <c:numRef>
              <c:f>'GS&lt;50 Normalized Monthly WN'!$A$2:$A$145</c:f>
              <c:numCache>
                <c:formatCode>m/d/yyyy</c:formatCode>
                <c:ptCount val="14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pt idx="133">
                  <c:v>46054</c:v>
                </c:pt>
                <c:pt idx="134">
                  <c:v>46082</c:v>
                </c:pt>
                <c:pt idx="135">
                  <c:v>46113</c:v>
                </c:pt>
                <c:pt idx="136">
                  <c:v>46143</c:v>
                </c:pt>
                <c:pt idx="137">
                  <c:v>46174</c:v>
                </c:pt>
                <c:pt idx="138">
                  <c:v>46204</c:v>
                </c:pt>
                <c:pt idx="139">
                  <c:v>46235</c:v>
                </c:pt>
                <c:pt idx="140">
                  <c:v>46266</c:v>
                </c:pt>
                <c:pt idx="141">
                  <c:v>46296</c:v>
                </c:pt>
                <c:pt idx="142">
                  <c:v>46327</c:v>
                </c:pt>
                <c:pt idx="143">
                  <c:v>46357</c:v>
                </c:pt>
              </c:numCache>
            </c:numRef>
          </c:cat>
          <c:val>
            <c:numRef>
              <c:f>'GS&lt;50 Normalized Monthly WN'!$D$2:$D$145</c:f>
              <c:numCache>
                <c:formatCode>_(* #,##0.00_);_(* \(#,##0.00\);_(* "-"??_);_(@_)</c:formatCode>
                <c:ptCount val="144"/>
                <c:pt idx="0">
                  <c:v>15817525.215486044</c:v>
                </c:pt>
                <c:pt idx="1">
                  <c:v>14777649.244217517</c:v>
                </c:pt>
                <c:pt idx="2">
                  <c:v>15200272.27294899</c:v>
                </c:pt>
                <c:pt idx="3">
                  <c:v>13384863.301680462</c:v>
                </c:pt>
                <c:pt idx="4">
                  <c:v>13530179.330411935</c:v>
                </c:pt>
                <c:pt idx="5">
                  <c:v>13858885.359143406</c:v>
                </c:pt>
                <c:pt idx="6">
                  <c:v>15331961.387874879</c:v>
                </c:pt>
                <c:pt idx="7">
                  <c:v>15575294.416606352</c:v>
                </c:pt>
                <c:pt idx="8">
                  <c:v>14205506.445337825</c:v>
                </c:pt>
                <c:pt idx="9">
                  <c:v>13170519.474069297</c:v>
                </c:pt>
                <c:pt idx="10">
                  <c:v>13225827.50280077</c:v>
                </c:pt>
                <c:pt idx="11">
                  <c:v>14139805.531532243</c:v>
                </c:pt>
                <c:pt idx="12">
                  <c:v>15123271.889639981</c:v>
                </c:pt>
                <c:pt idx="13">
                  <c:v>14350816.425124092</c:v>
                </c:pt>
                <c:pt idx="14">
                  <c:v>14493124.960608203</c:v>
                </c:pt>
                <c:pt idx="15">
                  <c:v>13407795.496092316</c:v>
                </c:pt>
                <c:pt idx="16">
                  <c:v>13731027.031576427</c:v>
                </c:pt>
                <c:pt idx="17">
                  <c:v>14550745.567060538</c:v>
                </c:pt>
                <c:pt idx="18">
                  <c:v>16348284.10254465</c:v>
                </c:pt>
                <c:pt idx="19">
                  <c:v>16739654.638028761</c:v>
                </c:pt>
                <c:pt idx="20">
                  <c:v>14440145.173512874</c:v>
                </c:pt>
                <c:pt idx="21">
                  <c:v>13350527.708996985</c:v>
                </c:pt>
                <c:pt idx="22">
                  <c:v>13437723.244481096</c:v>
                </c:pt>
                <c:pt idx="23">
                  <c:v>14912204.779965209</c:v>
                </c:pt>
                <c:pt idx="24">
                  <c:v>15552205.778870873</c:v>
                </c:pt>
                <c:pt idx="25">
                  <c:v>13871440.371413311</c:v>
                </c:pt>
                <c:pt idx="26">
                  <c:v>14837407.963955749</c:v>
                </c:pt>
                <c:pt idx="27">
                  <c:v>13390657.556498185</c:v>
                </c:pt>
                <c:pt idx="28">
                  <c:v>13605380.149040623</c:v>
                </c:pt>
                <c:pt idx="29">
                  <c:v>14207511.74158306</c:v>
                </c:pt>
                <c:pt idx="30">
                  <c:v>15533752.334125496</c:v>
                </c:pt>
                <c:pt idx="31">
                  <c:v>15160539.926667934</c:v>
                </c:pt>
                <c:pt idx="32">
                  <c:v>14204164.519210372</c:v>
                </c:pt>
                <c:pt idx="33">
                  <c:v>13926867.111752808</c:v>
                </c:pt>
                <c:pt idx="34">
                  <c:v>13988763.704295246</c:v>
                </c:pt>
                <c:pt idx="35">
                  <c:v>15562822.296837684</c:v>
                </c:pt>
                <c:pt idx="36">
                  <c:v>16341548.767871764</c:v>
                </c:pt>
                <c:pt idx="37">
                  <c:v>14352800.598540761</c:v>
                </c:pt>
                <c:pt idx="38">
                  <c:v>15228033.429209759</c:v>
                </c:pt>
                <c:pt idx="39">
                  <c:v>14186658.259878756</c:v>
                </c:pt>
                <c:pt idx="40">
                  <c:v>14557839.090547755</c:v>
                </c:pt>
                <c:pt idx="41">
                  <c:v>15372235.921216752</c:v>
                </c:pt>
                <c:pt idx="42">
                  <c:v>17119387.751885749</c:v>
                </c:pt>
                <c:pt idx="43">
                  <c:v>16940976.582554746</c:v>
                </c:pt>
                <c:pt idx="44">
                  <c:v>15120534.413223745</c:v>
                </c:pt>
                <c:pt idx="45">
                  <c:v>14207629.243892744</c:v>
                </c:pt>
                <c:pt idx="46">
                  <c:v>14691641.074561741</c:v>
                </c:pt>
                <c:pt idx="47">
                  <c:v>15557414.90523074</c:v>
                </c:pt>
                <c:pt idx="48">
                  <c:v>16535161.594954573</c:v>
                </c:pt>
                <c:pt idx="49">
                  <c:v>15287128.896075014</c:v>
                </c:pt>
                <c:pt idx="50">
                  <c:v>16050310.197195457</c:v>
                </c:pt>
                <c:pt idx="51">
                  <c:v>14274222.498315901</c:v>
                </c:pt>
                <c:pt idx="52">
                  <c:v>14029473.799436344</c:v>
                </c:pt>
                <c:pt idx="53">
                  <c:v>14575779.100556785</c:v>
                </c:pt>
                <c:pt idx="54">
                  <c:v>17103909.401677229</c:v>
                </c:pt>
                <c:pt idx="55">
                  <c:v>16383214.702797672</c:v>
                </c:pt>
                <c:pt idx="56">
                  <c:v>14536936.003918113</c:v>
                </c:pt>
                <c:pt idx="57">
                  <c:v>13867496.305038556</c:v>
                </c:pt>
                <c:pt idx="58">
                  <c:v>14353293.606159</c:v>
                </c:pt>
                <c:pt idx="59">
                  <c:v>15207078.907279443</c:v>
                </c:pt>
                <c:pt idx="60">
                  <c:v>15460614.932394793</c:v>
                </c:pt>
                <c:pt idx="61">
                  <c:v>14562080.289898498</c:v>
                </c:pt>
                <c:pt idx="62">
                  <c:v>13828647.647402203</c:v>
                </c:pt>
                <c:pt idx="63">
                  <c:v>11361907.004905907</c:v>
                </c:pt>
                <c:pt idx="64">
                  <c:v>11649396.362409612</c:v>
                </c:pt>
                <c:pt idx="65">
                  <c:v>13516522.719913317</c:v>
                </c:pt>
                <c:pt idx="66">
                  <c:v>15828746.077417022</c:v>
                </c:pt>
                <c:pt idx="67">
                  <c:v>15475786.434920726</c:v>
                </c:pt>
                <c:pt idx="68">
                  <c:v>13348828.792424431</c:v>
                </c:pt>
                <c:pt idx="69">
                  <c:v>12958296.149928138</c:v>
                </c:pt>
                <c:pt idx="70">
                  <c:v>13270098.507431842</c:v>
                </c:pt>
                <c:pt idx="71">
                  <c:v>14143324.864935547</c:v>
                </c:pt>
                <c:pt idx="72">
                  <c:v>14381534.39165709</c:v>
                </c:pt>
                <c:pt idx="73">
                  <c:v>13667119.590722678</c:v>
                </c:pt>
                <c:pt idx="74">
                  <c:v>14309991.789788269</c:v>
                </c:pt>
                <c:pt idx="75">
                  <c:v>12572792.988853857</c:v>
                </c:pt>
                <c:pt idx="76">
                  <c:v>13147250.187919445</c:v>
                </c:pt>
                <c:pt idx="77">
                  <c:v>13511808.386985036</c:v>
                </c:pt>
                <c:pt idx="78">
                  <c:v>15349955.586050624</c:v>
                </c:pt>
                <c:pt idx="79">
                  <c:v>16375542.785116214</c:v>
                </c:pt>
                <c:pt idx="80">
                  <c:v>14161395.984181803</c:v>
                </c:pt>
                <c:pt idx="81">
                  <c:v>13417367.183247393</c:v>
                </c:pt>
                <c:pt idx="82">
                  <c:v>13769731.382312981</c:v>
                </c:pt>
                <c:pt idx="83">
                  <c:v>14754878.581378572</c:v>
                </c:pt>
                <c:pt idx="84">
                  <c:v>15788558.386490077</c:v>
                </c:pt>
                <c:pt idx="85">
                  <c:v>14751049.03981971</c:v>
                </c:pt>
                <c:pt idx="86">
                  <c:v>15389914.693149343</c:v>
                </c:pt>
                <c:pt idx="87">
                  <c:v>13876561.346478976</c:v>
                </c:pt>
                <c:pt idx="88">
                  <c:v>14211702.999808609</c:v>
                </c:pt>
                <c:pt idx="89">
                  <c:v>15055174.653138243</c:v>
                </c:pt>
                <c:pt idx="90">
                  <c:v>16754433.306467874</c:v>
                </c:pt>
                <c:pt idx="91">
                  <c:v>16753992.959797507</c:v>
                </c:pt>
                <c:pt idx="92">
                  <c:v>14523776.61312714</c:v>
                </c:pt>
                <c:pt idx="93">
                  <c:v>13812237.266456774</c:v>
                </c:pt>
                <c:pt idx="94">
                  <c:v>14497454.919786407</c:v>
                </c:pt>
                <c:pt idx="95">
                  <c:v>15707320.57311604</c:v>
                </c:pt>
                <c:pt idx="96">
                  <c:v>16124970.659739304</c:v>
                </c:pt>
                <c:pt idx="97">
                  <c:v>14767925.683730803</c:v>
                </c:pt>
                <c:pt idx="98">
                  <c:v>15713742.707722303</c:v>
                </c:pt>
                <c:pt idx="99">
                  <c:v>14335711.731713802</c:v>
                </c:pt>
                <c:pt idx="100">
                  <c:v>14570433.755705301</c:v>
                </c:pt>
                <c:pt idx="101">
                  <c:v>15207184.779696802</c:v>
                </c:pt>
                <c:pt idx="102">
                  <c:v>17067649.803688299</c:v>
                </c:pt>
                <c:pt idx="103">
                  <c:v>16466173.8276798</c:v>
                </c:pt>
                <c:pt idx="104">
                  <c:v>14997289.851671299</c:v>
                </c:pt>
                <c:pt idx="105">
                  <c:v>14525201.875662798</c:v>
                </c:pt>
                <c:pt idx="106">
                  <c:v>14789580.899654299</c:v>
                </c:pt>
                <c:pt idx="107">
                  <c:v>15248929.923645798</c:v>
                </c:pt>
                <c:pt idx="108">
                  <c:v>15984916.162170708</c:v>
                </c:pt>
                <c:pt idx="109">
                  <c:v>14775433.758234465</c:v>
                </c:pt>
                <c:pt idx="110">
                  <c:v>15102644.794298219</c:v>
                </c:pt>
                <c:pt idx="111">
                  <c:v>14096177.490361972</c:v>
                </c:pt>
                <c:pt idx="112">
                  <c:v>14561726.336425725</c:v>
                </c:pt>
                <c:pt idx="113">
                  <c:v>15556106.23248948</c:v>
                </c:pt>
                <c:pt idx="114">
                  <c:v>17398173.568553235</c:v>
                </c:pt>
                <c:pt idx="115">
                  <c:v>16751789.404616991</c:v>
                </c:pt>
                <c:pt idx="116">
                  <c:v>15120870.800680745</c:v>
                </c:pt>
                <c:pt idx="117">
                  <c:v>14429502.936744498</c:v>
                </c:pt>
                <c:pt idx="118">
                  <c:v>14351434.502808254</c:v>
                </c:pt>
                <c:pt idx="119">
                  <c:v>16012677.658872008</c:v>
                </c:pt>
              </c:numCache>
            </c:numRef>
          </c:val>
          <c:smooth val="0"/>
          <c:extLst>
            <c:ext xmlns:c16="http://schemas.microsoft.com/office/drawing/2014/chart" uri="{C3380CC4-5D6E-409C-BE32-E72D297353CC}">
              <c16:uniqueId val="{00000000-AC6C-43ED-9461-070103A744F8}"/>
            </c:ext>
          </c:extLst>
        </c:ser>
        <c:ser>
          <c:idx val="1"/>
          <c:order val="1"/>
          <c:tx>
            <c:strRef>
              <c:f>'GS&lt;50 Normalized Monthly WN'!$U$1</c:f>
              <c:strCache>
                <c:ptCount val="1"/>
                <c:pt idx="0">
                  <c:v>Normalized</c:v>
                </c:pt>
              </c:strCache>
            </c:strRef>
          </c:tx>
          <c:spPr>
            <a:ln w="28575" cap="rnd">
              <a:solidFill>
                <a:schemeClr val="accent2"/>
              </a:solidFill>
              <a:round/>
            </a:ln>
            <a:effectLst/>
          </c:spPr>
          <c:marker>
            <c:symbol val="none"/>
          </c:marker>
          <c:cat>
            <c:numRef>
              <c:f>'GS&lt;50 Normalized Monthly WN'!$A$2:$A$145</c:f>
              <c:numCache>
                <c:formatCode>m/d/yyyy</c:formatCode>
                <c:ptCount val="14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pt idx="133">
                  <c:v>46054</c:v>
                </c:pt>
                <c:pt idx="134">
                  <c:v>46082</c:v>
                </c:pt>
                <c:pt idx="135">
                  <c:v>46113</c:v>
                </c:pt>
                <c:pt idx="136">
                  <c:v>46143</c:v>
                </c:pt>
                <c:pt idx="137">
                  <c:v>46174</c:v>
                </c:pt>
                <c:pt idx="138">
                  <c:v>46204</c:v>
                </c:pt>
                <c:pt idx="139">
                  <c:v>46235</c:v>
                </c:pt>
                <c:pt idx="140">
                  <c:v>46266</c:v>
                </c:pt>
                <c:pt idx="141">
                  <c:v>46296</c:v>
                </c:pt>
                <c:pt idx="142">
                  <c:v>46327</c:v>
                </c:pt>
                <c:pt idx="143">
                  <c:v>46357</c:v>
                </c:pt>
              </c:numCache>
            </c:numRef>
          </c:cat>
          <c:val>
            <c:numRef>
              <c:f>'GS&lt;50 Normalized Monthly WN'!$U$2:$U$145</c:f>
              <c:numCache>
                <c:formatCode>_(* #,##0.0_);_(* \(#,##0.0\);_(* "-"??_);_(@_)</c:formatCode>
                <c:ptCount val="144"/>
                <c:pt idx="0">
                  <c:v>15313073.510629617</c:v>
                </c:pt>
                <c:pt idx="1">
                  <c:v>13586538.217964422</c:v>
                </c:pt>
                <c:pt idx="2">
                  <c:v>14751420.513144923</c:v>
                </c:pt>
                <c:pt idx="3">
                  <c:v>13479834.326112289</c:v>
                </c:pt>
                <c:pt idx="4">
                  <c:v>13555237.325332068</c:v>
                </c:pt>
                <c:pt idx="5">
                  <c:v>14462919.608741861</c:v>
                </c:pt>
                <c:pt idx="6">
                  <c:v>15595052.976520613</c:v>
                </c:pt>
                <c:pt idx="7">
                  <c:v>15986801.0889655</c:v>
                </c:pt>
                <c:pt idx="8">
                  <c:v>13820573.85417608</c:v>
                </c:pt>
                <c:pt idx="9">
                  <c:v>13404585.184645409</c:v>
                </c:pt>
                <c:pt idx="10">
                  <c:v>13480989.863308869</c:v>
                </c:pt>
                <c:pt idx="11">
                  <c:v>14686946.685725484</c:v>
                </c:pt>
                <c:pt idx="12">
                  <c:v>15158799.312156491</c:v>
                </c:pt>
                <c:pt idx="13">
                  <c:v>14458293.946026158</c:v>
                </c:pt>
                <c:pt idx="14">
                  <c:v>14717126.773132719</c:v>
                </c:pt>
                <c:pt idx="15">
                  <c:v>13157657.610722978</c:v>
                </c:pt>
                <c:pt idx="16">
                  <c:v>13499612.273633374</c:v>
                </c:pt>
                <c:pt idx="17">
                  <c:v>14441108.706516404</c:v>
                </c:pt>
                <c:pt idx="18">
                  <c:v>16246259.564655242</c:v>
                </c:pt>
                <c:pt idx="19">
                  <c:v>16098563.869648939</c:v>
                </c:pt>
                <c:pt idx="20">
                  <c:v>14055212.58235113</c:v>
                </c:pt>
                <c:pt idx="21">
                  <c:v>13198605.747768665</c:v>
                </c:pt>
                <c:pt idx="22">
                  <c:v>13765681.80679992</c:v>
                </c:pt>
                <c:pt idx="23">
                  <c:v>14684245.005250525</c:v>
                </c:pt>
                <c:pt idx="24">
                  <c:v>15853482.091298671</c:v>
                </c:pt>
                <c:pt idx="25">
                  <c:v>14304507.401054207</c:v>
                </c:pt>
                <c:pt idx="26">
                  <c:v>14637342.39896225</c:v>
                </c:pt>
                <c:pt idx="27">
                  <c:v>13669854.077078948</c:v>
                </c:pt>
                <c:pt idx="28">
                  <c:v>13731141.084623788</c:v>
                </c:pt>
                <c:pt idx="29">
                  <c:v>14159292.985647179</c:v>
                </c:pt>
                <c:pt idx="30">
                  <c:v>15882345.800504142</c:v>
                </c:pt>
                <c:pt idx="31">
                  <c:v>15670258.215341916</c:v>
                </c:pt>
                <c:pt idx="32">
                  <c:v>14246380.770195184</c:v>
                </c:pt>
                <c:pt idx="33">
                  <c:v>13739261.90651891</c:v>
                </c:pt>
                <c:pt idx="34">
                  <c:v>13900001.308693754</c:v>
                </c:pt>
                <c:pt idx="35">
                  <c:v>14909852.772654947</c:v>
                </c:pt>
                <c:pt idx="36">
                  <c:v>16116510.346202206</c:v>
                </c:pt>
                <c:pt idx="37">
                  <c:v>14593152.564398469</c:v>
                </c:pt>
                <c:pt idx="38">
                  <c:v>15062364.440392723</c:v>
                </c:pt>
                <c:pt idx="39">
                  <c:v>13848720.0127242</c:v>
                </c:pt>
                <c:pt idx="40">
                  <c:v>14389141.198256848</c:v>
                </c:pt>
                <c:pt idx="41">
                  <c:v>15409002.788724013</c:v>
                </c:pt>
                <c:pt idx="42">
                  <c:v>16882177.812715925</c:v>
                </c:pt>
                <c:pt idx="43">
                  <c:v>16461646.123399356</c:v>
                </c:pt>
                <c:pt idx="44">
                  <c:v>14906896.490243843</c:v>
                </c:pt>
                <c:pt idx="45">
                  <c:v>14071502.453770196</c:v>
                </c:pt>
                <c:pt idx="46">
                  <c:v>14298963.725072337</c:v>
                </c:pt>
                <c:pt idx="47">
                  <c:v>15532065.099774662</c:v>
                </c:pt>
                <c:pt idx="48">
                  <c:v>16217299.53620607</c:v>
                </c:pt>
                <c:pt idx="49">
                  <c:v>15246654.020820795</c:v>
                </c:pt>
                <c:pt idx="50">
                  <c:v>15778153.178023897</c:v>
                </c:pt>
                <c:pt idx="51">
                  <c:v>14253863.598324835</c:v>
                </c:pt>
                <c:pt idx="52">
                  <c:v>14298090.254184766</c:v>
                </c:pt>
                <c:pt idx="53">
                  <c:v>15148092.24471687</c:v>
                </c:pt>
                <c:pt idx="54">
                  <c:v>17000729.433007646</c:v>
                </c:pt>
                <c:pt idx="55">
                  <c:v>16626028.481251344</c:v>
                </c:pt>
                <c:pt idx="56">
                  <c:v>14695268.938268518</c:v>
                </c:pt>
                <c:pt idx="57">
                  <c:v>14154224.205359899</c:v>
                </c:pt>
                <c:pt idx="58">
                  <c:v>13905958.683567274</c:v>
                </c:pt>
                <c:pt idx="59">
                  <c:v>15160996.918922486</c:v>
                </c:pt>
                <c:pt idx="60">
                  <c:v>15841050.488625953</c:v>
                </c:pt>
                <c:pt idx="61">
                  <c:v>14589927.381022181</c:v>
                </c:pt>
                <c:pt idx="62">
                  <c:v>14105422.289128959</c:v>
                </c:pt>
                <c:pt idx="63">
                  <c:v>11298670.181188021</c:v>
                </c:pt>
                <c:pt idx="64">
                  <c:v>11601990.2634189</c:v>
                </c:pt>
                <c:pt idx="65">
                  <c:v>13184481.826971157</c:v>
                </c:pt>
                <c:pt idx="66">
                  <c:v>15149006.149440363</c:v>
                </c:pt>
                <c:pt idx="67">
                  <c:v>15484625.480389062</c:v>
                </c:pt>
                <c:pt idx="68">
                  <c:v>13774635.779683556</c:v>
                </c:pt>
                <c:pt idx="69">
                  <c:v>13140199.579645436</c:v>
                </c:pt>
                <c:pt idx="70">
                  <c:v>13473311.551146839</c:v>
                </c:pt>
                <c:pt idx="71">
                  <c:v>14136351.312505251</c:v>
                </c:pt>
                <c:pt idx="72">
                  <c:v>14601295.530406425</c:v>
                </c:pt>
                <c:pt idx="73">
                  <c:v>13450892.346785994</c:v>
                </c:pt>
                <c:pt idx="74">
                  <c:v>14544359.693763224</c:v>
                </c:pt>
                <c:pt idx="75">
                  <c:v>12624054.357065834</c:v>
                </c:pt>
                <c:pt idx="76">
                  <c:v>13089641.735805098</c:v>
                </c:pt>
                <c:pt idx="77">
                  <c:v>12882407.948621381</c:v>
                </c:pt>
                <c:pt idx="78">
                  <c:v>15733211.975834506</c:v>
                </c:pt>
                <c:pt idx="79">
                  <c:v>15764493.217020931</c:v>
                </c:pt>
                <c:pt idx="80">
                  <c:v>14349040.805696838</c:v>
                </c:pt>
                <c:pt idx="81">
                  <c:v>13249146.174131576</c:v>
                </c:pt>
                <c:pt idx="82">
                  <c:v>13798294.294491472</c:v>
                </c:pt>
                <c:pt idx="83">
                  <c:v>14972189.553057803</c:v>
                </c:pt>
                <c:pt idx="84">
                  <c:v>15243584.687781928</c:v>
                </c:pt>
                <c:pt idx="85">
                  <c:v>14687014.86581449</c:v>
                </c:pt>
                <c:pt idx="86">
                  <c:v>15404238.746789951</c:v>
                </c:pt>
                <c:pt idx="87">
                  <c:v>13848192.284912571</c:v>
                </c:pt>
                <c:pt idx="88">
                  <c:v>14128511.142674772</c:v>
                </c:pt>
                <c:pt idx="89">
                  <c:v>15060105.713090388</c:v>
                </c:pt>
                <c:pt idx="90">
                  <c:v>16834966.831846036</c:v>
                </c:pt>
                <c:pt idx="91">
                  <c:v>16636312.334836734</c:v>
                </c:pt>
                <c:pt idx="92">
                  <c:v>14618310.947506949</c:v>
                </c:pt>
                <c:pt idx="93">
                  <c:v>13925441.743110385</c:v>
                </c:pt>
                <c:pt idx="94">
                  <c:v>14490957.419046367</c:v>
                </c:pt>
                <c:pt idx="95">
                  <c:v>15651343.679283662</c:v>
                </c:pt>
                <c:pt idx="96">
                  <c:v>16562890.904922906</c:v>
                </c:pt>
                <c:pt idx="97">
                  <c:v>15103457.216542557</c:v>
                </c:pt>
                <c:pt idx="98">
                  <c:v>15724768.459537771</c:v>
                </c:pt>
                <c:pt idx="99">
                  <c:v>14379057.042875249</c:v>
                </c:pt>
                <c:pt idx="100">
                  <c:v>14626553.271510314</c:v>
                </c:pt>
                <c:pt idx="101">
                  <c:v>15217892.99354982</c:v>
                </c:pt>
                <c:pt idx="102">
                  <c:v>17046505.420411106</c:v>
                </c:pt>
                <c:pt idx="103">
                  <c:v>17072948.30188844</c:v>
                </c:pt>
                <c:pt idx="104">
                  <c:v>15079622.481675074</c:v>
                </c:pt>
                <c:pt idx="105">
                  <c:v>14340198.539469687</c:v>
                </c:pt>
                <c:pt idx="106">
                  <c:v>14765842.168605568</c:v>
                </c:pt>
                <c:pt idx="107">
                  <c:v>15566603.508004291</c:v>
                </c:pt>
                <c:pt idx="108">
                  <c:v>16202321.371044943</c:v>
                </c:pt>
                <c:pt idx="109">
                  <c:v>15143005.93734758</c:v>
                </c:pt>
                <c:pt idx="110">
                  <c:v>15428893.963402078</c:v>
                </c:pt>
                <c:pt idx="111">
                  <c:v>14327444.183775214</c:v>
                </c:pt>
                <c:pt idx="112">
                  <c:v>14674490.493841842</c:v>
                </c:pt>
                <c:pt idx="113">
                  <c:v>15446649.645204348</c:v>
                </c:pt>
                <c:pt idx="114">
                  <c:v>17465997.355349477</c:v>
                </c:pt>
                <c:pt idx="115">
                  <c:v>16821288.566044487</c:v>
                </c:pt>
                <c:pt idx="116">
                  <c:v>15113505.947491176</c:v>
                </c:pt>
                <c:pt idx="117">
                  <c:v>14442479.721369831</c:v>
                </c:pt>
                <c:pt idx="118">
                  <c:v>14495548.523559235</c:v>
                </c:pt>
                <c:pt idx="119">
                  <c:v>15945863.48761417</c:v>
                </c:pt>
                <c:pt idx="120">
                  <c:v>16106477.22602338</c:v>
                </c:pt>
                <c:pt idx="121">
                  <c:v>15844426.236814428</c:v>
                </c:pt>
                <c:pt idx="122">
                  <c:v>14924013.73944271</c:v>
                </c:pt>
                <c:pt idx="123">
                  <c:v>14629283.312279567</c:v>
                </c:pt>
                <c:pt idx="124">
                  <c:v>14134594.346507385</c:v>
                </c:pt>
                <c:pt idx="125">
                  <c:v>15566546.185533561</c:v>
                </c:pt>
                <c:pt idx="126">
                  <c:v>16863930.348890375</c:v>
                </c:pt>
                <c:pt idx="127">
                  <c:v>15525490.226547126</c:v>
                </c:pt>
                <c:pt idx="128">
                  <c:v>15292886.366021272</c:v>
                </c:pt>
                <c:pt idx="129">
                  <c:v>14072463.356998246</c:v>
                </c:pt>
                <c:pt idx="130">
                  <c:v>14800639.023616847</c:v>
                </c:pt>
                <c:pt idx="131">
                  <c:v>15293012.292483196</c:v>
                </c:pt>
                <c:pt idx="132">
                  <c:v>16209509.271306004</c:v>
                </c:pt>
                <c:pt idx="133">
                  <c:v>15947540.966659144</c:v>
                </c:pt>
                <c:pt idx="134">
                  <c:v>15027211.220182206</c:v>
                </c:pt>
                <c:pt idx="135">
                  <c:v>14732750.348419514</c:v>
                </c:pt>
                <c:pt idx="136">
                  <c:v>14238144.266367199</c:v>
                </c:pt>
                <c:pt idx="137">
                  <c:v>15670179.055605713</c:v>
                </c:pt>
                <c:pt idx="138">
                  <c:v>16967535.265623961</c:v>
                </c:pt>
                <c:pt idx="139">
                  <c:v>15629178.226638062</c:v>
                </c:pt>
                <c:pt idx="140">
                  <c:v>15396657.516122187</c:v>
                </c:pt>
                <c:pt idx="141">
                  <c:v>14176508.579232872</c:v>
                </c:pt>
                <c:pt idx="142">
                  <c:v>14904767.529327163</c:v>
                </c:pt>
                <c:pt idx="143">
                  <c:v>15397224.148482373</c:v>
                </c:pt>
              </c:numCache>
            </c:numRef>
          </c:val>
          <c:smooth val="0"/>
          <c:extLst>
            <c:ext xmlns:c16="http://schemas.microsoft.com/office/drawing/2014/chart" uri="{C3380CC4-5D6E-409C-BE32-E72D297353CC}">
              <c16:uniqueId val="{00000001-AC6C-43ED-9461-070103A744F8}"/>
            </c:ext>
          </c:extLst>
        </c:ser>
        <c:dLbls>
          <c:showLegendKey val="0"/>
          <c:showVal val="0"/>
          <c:showCatName val="0"/>
          <c:showSerName val="0"/>
          <c:showPercent val="0"/>
          <c:showBubbleSize val="0"/>
        </c:dLbls>
        <c:smooth val="0"/>
        <c:axId val="177107712"/>
        <c:axId val="177109248"/>
      </c:lineChart>
      <c:dateAx>
        <c:axId val="177107712"/>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109248"/>
        <c:crosses val="autoZero"/>
        <c:auto val="1"/>
        <c:lblOffset val="100"/>
        <c:baseTimeUnit val="months"/>
      </c:dateAx>
      <c:valAx>
        <c:axId val="17710924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1077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a:t>
            </a:r>
          </a:p>
        </c:rich>
      </c:tx>
      <c:overlay val="0"/>
      <c:spPr>
        <a:noFill/>
        <a:ln>
          <a:noFill/>
        </a:ln>
        <a:effectLst/>
      </c:spPr>
    </c:title>
    <c:autoTitleDeleted val="0"/>
    <c:plotArea>
      <c:layout/>
      <c:lineChart>
        <c:grouping val="standard"/>
        <c:varyColors val="0"/>
        <c:ser>
          <c:idx val="0"/>
          <c:order val="0"/>
          <c:tx>
            <c:strRef>
              <c:f>'GS&gt;50 Normalized Monthly WN'!$D$1</c:f>
              <c:strCache>
                <c:ptCount val="1"/>
                <c:pt idx="0">
                  <c:v> GS_gt_50_NoCDM </c:v>
                </c:pt>
              </c:strCache>
            </c:strRef>
          </c:tx>
          <c:spPr>
            <a:ln w="28575" cap="rnd">
              <a:solidFill>
                <a:schemeClr val="accent1"/>
              </a:solidFill>
              <a:round/>
            </a:ln>
            <a:effectLst/>
          </c:spPr>
          <c:marker>
            <c:symbol val="none"/>
          </c:marker>
          <c:cat>
            <c:numRef>
              <c:f>'GS&gt;50 Normalized Monthly WN'!$A$2:$A$145</c:f>
              <c:numCache>
                <c:formatCode>m/d/yyyy</c:formatCode>
                <c:ptCount val="14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pt idx="133">
                  <c:v>46054</c:v>
                </c:pt>
                <c:pt idx="134">
                  <c:v>46082</c:v>
                </c:pt>
                <c:pt idx="135">
                  <c:v>46113</c:v>
                </c:pt>
                <c:pt idx="136">
                  <c:v>46143</c:v>
                </c:pt>
                <c:pt idx="137">
                  <c:v>46174</c:v>
                </c:pt>
                <c:pt idx="138">
                  <c:v>46204</c:v>
                </c:pt>
                <c:pt idx="139">
                  <c:v>46235</c:v>
                </c:pt>
                <c:pt idx="140">
                  <c:v>46266</c:v>
                </c:pt>
                <c:pt idx="141">
                  <c:v>46296</c:v>
                </c:pt>
                <c:pt idx="142">
                  <c:v>46327</c:v>
                </c:pt>
                <c:pt idx="143">
                  <c:v>46357</c:v>
                </c:pt>
              </c:numCache>
            </c:numRef>
          </c:cat>
          <c:val>
            <c:numRef>
              <c:f>'GS&gt;50 Normalized Monthly WN'!$D$2:$D$145</c:f>
              <c:numCache>
                <c:formatCode>_(* #,##0.00_);_(* \(#,##0.00\);_(* "-"??_);_(@_)</c:formatCode>
                <c:ptCount val="144"/>
                <c:pt idx="0">
                  <c:v>79694681.694532961</c:v>
                </c:pt>
                <c:pt idx="1">
                  <c:v>74376312.853804022</c:v>
                </c:pt>
                <c:pt idx="2">
                  <c:v>77468239.013075083</c:v>
                </c:pt>
                <c:pt idx="3">
                  <c:v>70027916.172346145</c:v>
                </c:pt>
                <c:pt idx="4">
                  <c:v>73743857.331617206</c:v>
                </c:pt>
                <c:pt idx="5">
                  <c:v>75664536.490888268</c:v>
                </c:pt>
                <c:pt idx="6">
                  <c:v>82284876.650159329</c:v>
                </c:pt>
                <c:pt idx="7">
                  <c:v>81168529.809430391</c:v>
                </c:pt>
                <c:pt idx="8">
                  <c:v>78691834.968701452</c:v>
                </c:pt>
                <c:pt idx="9">
                  <c:v>73009956.127972499</c:v>
                </c:pt>
                <c:pt idx="10">
                  <c:v>71846695.28724356</c:v>
                </c:pt>
                <c:pt idx="11">
                  <c:v>72643978.446514621</c:v>
                </c:pt>
                <c:pt idx="12">
                  <c:v>78763477.389551774</c:v>
                </c:pt>
                <c:pt idx="13">
                  <c:v>74636760.565422177</c:v>
                </c:pt>
                <c:pt idx="14">
                  <c:v>77047328.741292581</c:v>
                </c:pt>
                <c:pt idx="15">
                  <c:v>73374646.91716297</c:v>
                </c:pt>
                <c:pt idx="16">
                  <c:v>75400761.093033373</c:v>
                </c:pt>
                <c:pt idx="17">
                  <c:v>78871885.268903777</c:v>
                </c:pt>
                <c:pt idx="18">
                  <c:v>85038422.444774166</c:v>
                </c:pt>
                <c:pt idx="19">
                  <c:v>88248238.620644569</c:v>
                </c:pt>
                <c:pt idx="20">
                  <c:v>78975239.796514973</c:v>
                </c:pt>
                <c:pt idx="21">
                  <c:v>74338761.972385362</c:v>
                </c:pt>
                <c:pt idx="22">
                  <c:v>72857624.148255765</c:v>
                </c:pt>
                <c:pt idx="23">
                  <c:v>75276873.324126154</c:v>
                </c:pt>
                <c:pt idx="24">
                  <c:v>77812185.537604213</c:v>
                </c:pt>
                <c:pt idx="25">
                  <c:v>69707884.42837292</c:v>
                </c:pt>
                <c:pt idx="26">
                  <c:v>76997412.319141626</c:v>
                </c:pt>
                <c:pt idx="27">
                  <c:v>69695820.209910318</c:v>
                </c:pt>
                <c:pt idx="28">
                  <c:v>73710670.100679025</c:v>
                </c:pt>
                <c:pt idx="29">
                  <c:v>76943218.991447717</c:v>
                </c:pt>
                <c:pt idx="30">
                  <c:v>80788009.882216424</c:v>
                </c:pt>
                <c:pt idx="31">
                  <c:v>80742066.772985116</c:v>
                </c:pt>
                <c:pt idx="32">
                  <c:v>76743976.663753822</c:v>
                </c:pt>
                <c:pt idx="33">
                  <c:v>74943627.554522514</c:v>
                </c:pt>
                <c:pt idx="34">
                  <c:v>73430363.445291221</c:v>
                </c:pt>
                <c:pt idx="35">
                  <c:v>74717172.336059913</c:v>
                </c:pt>
                <c:pt idx="36">
                  <c:v>79618055.13230744</c:v>
                </c:pt>
                <c:pt idx="37">
                  <c:v>70553686.891704157</c:v>
                </c:pt>
                <c:pt idx="38">
                  <c:v>76019363.651100874</c:v>
                </c:pt>
                <c:pt idx="39">
                  <c:v>72504561.410497591</c:v>
                </c:pt>
                <c:pt idx="40">
                  <c:v>75108611.169894308</c:v>
                </c:pt>
                <c:pt idx="41">
                  <c:v>76769190.929291025</c:v>
                </c:pt>
                <c:pt idx="42">
                  <c:v>82170576.688687727</c:v>
                </c:pt>
                <c:pt idx="43">
                  <c:v>82374458.448084444</c:v>
                </c:pt>
                <c:pt idx="44">
                  <c:v>74890624.207481161</c:v>
                </c:pt>
                <c:pt idx="45">
                  <c:v>71126370.966877878</c:v>
                </c:pt>
                <c:pt idx="46">
                  <c:v>70890027.726274595</c:v>
                </c:pt>
                <c:pt idx="47">
                  <c:v>70258464.485671312</c:v>
                </c:pt>
                <c:pt idx="48">
                  <c:v>77017720.98365432</c:v>
                </c:pt>
                <c:pt idx="49">
                  <c:v>69584021.673609644</c:v>
                </c:pt>
                <c:pt idx="50">
                  <c:v>74426627.363564968</c:v>
                </c:pt>
                <c:pt idx="51">
                  <c:v>68208973.053520292</c:v>
                </c:pt>
                <c:pt idx="52">
                  <c:v>69285910.743475616</c:v>
                </c:pt>
                <c:pt idx="53">
                  <c:v>70340791.43343094</c:v>
                </c:pt>
                <c:pt idx="54">
                  <c:v>81692876.123386264</c:v>
                </c:pt>
                <c:pt idx="55">
                  <c:v>78330561.813341588</c:v>
                </c:pt>
                <c:pt idx="56">
                  <c:v>71728053.503296927</c:v>
                </c:pt>
                <c:pt idx="57">
                  <c:v>69595229.193252251</c:v>
                </c:pt>
                <c:pt idx="58">
                  <c:v>70061546.883207574</c:v>
                </c:pt>
                <c:pt idx="59">
                  <c:v>70940575.573162898</c:v>
                </c:pt>
                <c:pt idx="60">
                  <c:v>76432025.257973492</c:v>
                </c:pt>
                <c:pt idx="61">
                  <c:v>71230216.188582152</c:v>
                </c:pt>
                <c:pt idx="62">
                  <c:v>71001661.119190797</c:v>
                </c:pt>
                <c:pt idx="63">
                  <c:v>60883665.04979945</c:v>
                </c:pt>
                <c:pt idx="64">
                  <c:v>63891673.980408102</c:v>
                </c:pt>
                <c:pt idx="65">
                  <c:v>70683945.911016747</c:v>
                </c:pt>
                <c:pt idx="66">
                  <c:v>75739065.841625407</c:v>
                </c:pt>
                <c:pt idx="67">
                  <c:v>75530851.772234052</c:v>
                </c:pt>
                <c:pt idx="68">
                  <c:v>65350821.702842705</c:v>
                </c:pt>
                <c:pt idx="69">
                  <c:v>63677703.633451357</c:v>
                </c:pt>
                <c:pt idx="70">
                  <c:v>63426058.56406001</c:v>
                </c:pt>
                <c:pt idx="71">
                  <c:v>66367198.494668663</c:v>
                </c:pt>
                <c:pt idx="72">
                  <c:v>66761890.620358296</c:v>
                </c:pt>
                <c:pt idx="73">
                  <c:v>63358967.919563264</c:v>
                </c:pt>
                <c:pt idx="74">
                  <c:v>67520952.218768224</c:v>
                </c:pt>
                <c:pt idx="75">
                  <c:v>60994721.517973185</c:v>
                </c:pt>
                <c:pt idx="76">
                  <c:v>64228014.817178145</c:v>
                </c:pt>
                <c:pt idx="77">
                  <c:v>73762071.116383106</c:v>
                </c:pt>
                <c:pt idx="78">
                  <c:v>76779118.415588066</c:v>
                </c:pt>
                <c:pt idx="79">
                  <c:v>82287571.714793041</c:v>
                </c:pt>
                <c:pt idx="80">
                  <c:v>71607496.013998002</c:v>
                </c:pt>
                <c:pt idx="81">
                  <c:v>69158586.313202962</c:v>
                </c:pt>
                <c:pt idx="82">
                  <c:v>69469437.612407923</c:v>
                </c:pt>
                <c:pt idx="83">
                  <c:v>71198021.911612883</c:v>
                </c:pt>
                <c:pt idx="84">
                  <c:v>74478066.188207835</c:v>
                </c:pt>
                <c:pt idx="85">
                  <c:v>67971284.977837473</c:v>
                </c:pt>
                <c:pt idx="86">
                  <c:v>72988414.767467111</c:v>
                </c:pt>
                <c:pt idx="87">
                  <c:v>66254711.557096742</c:v>
                </c:pt>
                <c:pt idx="88">
                  <c:v>70028259.346726373</c:v>
                </c:pt>
                <c:pt idx="89">
                  <c:v>73412523.136356011</c:v>
                </c:pt>
                <c:pt idx="90">
                  <c:v>77789632.925985634</c:v>
                </c:pt>
                <c:pt idx="91">
                  <c:v>79678316.715615273</c:v>
                </c:pt>
                <c:pt idx="92">
                  <c:v>70692856.505244911</c:v>
                </c:pt>
                <c:pt idx="93">
                  <c:v>66086004.294874541</c:v>
                </c:pt>
                <c:pt idx="94">
                  <c:v>67580147.084504172</c:v>
                </c:pt>
                <c:pt idx="95">
                  <c:v>69037463.87413381</c:v>
                </c:pt>
                <c:pt idx="96">
                  <c:v>71676689.947135583</c:v>
                </c:pt>
                <c:pt idx="97">
                  <c:v>65932492.269264214</c:v>
                </c:pt>
                <c:pt idx="98">
                  <c:v>71645382.591392845</c:v>
                </c:pt>
                <c:pt idx="99">
                  <c:v>64673302.913521484</c:v>
                </c:pt>
                <c:pt idx="100">
                  <c:v>67530760.235650122</c:v>
                </c:pt>
                <c:pt idx="101">
                  <c:v>70478423.557778746</c:v>
                </c:pt>
                <c:pt idx="102">
                  <c:v>76112982.879907385</c:v>
                </c:pt>
                <c:pt idx="103">
                  <c:v>74128294.202036023</c:v>
                </c:pt>
                <c:pt idx="104">
                  <c:v>70137255.524164647</c:v>
                </c:pt>
                <c:pt idx="105">
                  <c:v>68045049.846293285</c:v>
                </c:pt>
                <c:pt idx="106">
                  <c:v>67535164.168421924</c:v>
                </c:pt>
                <c:pt idx="107">
                  <c:v>67172872.490550563</c:v>
                </c:pt>
                <c:pt idx="108">
                  <c:v>73612400.277207389</c:v>
                </c:pt>
                <c:pt idx="109">
                  <c:v>67426409.722989291</c:v>
                </c:pt>
                <c:pt idx="110">
                  <c:v>69526387.418771222</c:v>
                </c:pt>
                <c:pt idx="111">
                  <c:v>66433277.094553113</c:v>
                </c:pt>
                <c:pt idx="112">
                  <c:v>69679780.220335022</c:v>
                </c:pt>
                <c:pt idx="113">
                  <c:v>72525274.106116936</c:v>
                </c:pt>
                <c:pt idx="114">
                  <c:v>79765425.231898844</c:v>
                </c:pt>
                <c:pt idx="115">
                  <c:v>77761792.017680764</c:v>
                </c:pt>
                <c:pt idx="116">
                  <c:v>71569012.573462665</c:v>
                </c:pt>
                <c:pt idx="117">
                  <c:v>68521516.309244588</c:v>
                </c:pt>
                <c:pt idx="118">
                  <c:v>66855346.295026518</c:v>
                </c:pt>
                <c:pt idx="119">
                  <c:v>69388792.820808396</c:v>
                </c:pt>
              </c:numCache>
            </c:numRef>
          </c:val>
          <c:smooth val="0"/>
          <c:extLst>
            <c:ext xmlns:c16="http://schemas.microsoft.com/office/drawing/2014/chart" uri="{C3380CC4-5D6E-409C-BE32-E72D297353CC}">
              <c16:uniqueId val="{00000000-B561-4D82-AE55-0896A5AB78B0}"/>
            </c:ext>
          </c:extLst>
        </c:ser>
        <c:ser>
          <c:idx val="1"/>
          <c:order val="1"/>
          <c:tx>
            <c:strRef>
              <c:f>'GS&gt;50 Normalized Monthly WN'!$U$1</c:f>
              <c:strCache>
                <c:ptCount val="1"/>
                <c:pt idx="0">
                  <c:v>Normalized</c:v>
                </c:pt>
              </c:strCache>
            </c:strRef>
          </c:tx>
          <c:spPr>
            <a:ln w="28575" cap="rnd">
              <a:solidFill>
                <a:schemeClr val="accent2"/>
              </a:solidFill>
              <a:round/>
            </a:ln>
            <a:effectLst/>
          </c:spPr>
          <c:marker>
            <c:symbol val="none"/>
          </c:marker>
          <c:cat>
            <c:numRef>
              <c:f>'GS&gt;50 Normalized Monthly WN'!$A$2:$A$145</c:f>
              <c:numCache>
                <c:formatCode>m/d/yyyy</c:formatCode>
                <c:ptCount val="14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pt idx="133">
                  <c:v>46054</c:v>
                </c:pt>
                <c:pt idx="134">
                  <c:v>46082</c:v>
                </c:pt>
                <c:pt idx="135">
                  <c:v>46113</c:v>
                </c:pt>
                <c:pt idx="136">
                  <c:v>46143</c:v>
                </c:pt>
                <c:pt idx="137">
                  <c:v>46174</c:v>
                </c:pt>
                <c:pt idx="138">
                  <c:v>46204</c:v>
                </c:pt>
                <c:pt idx="139">
                  <c:v>46235</c:v>
                </c:pt>
                <c:pt idx="140">
                  <c:v>46266</c:v>
                </c:pt>
                <c:pt idx="141">
                  <c:v>46296</c:v>
                </c:pt>
                <c:pt idx="142">
                  <c:v>46327</c:v>
                </c:pt>
                <c:pt idx="143">
                  <c:v>46357</c:v>
                </c:pt>
              </c:numCache>
            </c:numRef>
          </c:cat>
          <c:val>
            <c:numRef>
              <c:f>'GS&gt;50 Normalized Monthly WN'!$U$2:$U$145</c:f>
              <c:numCache>
                <c:formatCode>_(* #,##0_);_(* \(#,##0\);_(* "-"??_);_(@_)</c:formatCode>
                <c:ptCount val="144"/>
                <c:pt idx="0">
                  <c:v>77742728.141868636</c:v>
                </c:pt>
                <c:pt idx="1">
                  <c:v>69746623.317645386</c:v>
                </c:pt>
                <c:pt idx="2">
                  <c:v>75766297.448518261</c:v>
                </c:pt>
                <c:pt idx="3">
                  <c:v>70250751.393181816</c:v>
                </c:pt>
                <c:pt idx="4">
                  <c:v>73526073.353411853</c:v>
                </c:pt>
                <c:pt idx="5">
                  <c:v>78293945.064446837</c:v>
                </c:pt>
                <c:pt idx="6">
                  <c:v>83353059.22321783</c:v>
                </c:pt>
                <c:pt idx="7">
                  <c:v>82839294.953895837</c:v>
                </c:pt>
                <c:pt idx="8">
                  <c:v>77087450.076360628</c:v>
                </c:pt>
                <c:pt idx="9">
                  <c:v>74003235.733314857</c:v>
                </c:pt>
                <c:pt idx="10">
                  <c:v>72622301.625828087</c:v>
                </c:pt>
                <c:pt idx="11">
                  <c:v>74740906.127950266</c:v>
                </c:pt>
                <c:pt idx="12">
                  <c:v>78901339.579930529</c:v>
                </c:pt>
                <c:pt idx="13">
                  <c:v>75102136.636647835</c:v>
                </c:pt>
                <c:pt idx="14">
                  <c:v>77852801.353598103</c:v>
                </c:pt>
                <c:pt idx="15">
                  <c:v>72443396.415270835</c:v>
                </c:pt>
                <c:pt idx="16">
                  <c:v>74491647.201801404</c:v>
                </c:pt>
                <c:pt idx="17">
                  <c:v>78423877.206861243</c:v>
                </c:pt>
                <c:pt idx="18">
                  <c:v>84624190.906780899</c:v>
                </c:pt>
                <c:pt idx="19">
                  <c:v>85645335.236096889</c:v>
                </c:pt>
                <c:pt idx="20">
                  <c:v>77370854.904174149</c:v>
                </c:pt>
                <c:pt idx="21">
                  <c:v>73540788.867502242</c:v>
                </c:pt>
                <c:pt idx="22">
                  <c:v>73990692.849097565</c:v>
                </c:pt>
                <c:pt idx="23">
                  <c:v>74401375.472263157</c:v>
                </c:pt>
                <c:pt idx="24">
                  <c:v>78978543.433983237</c:v>
                </c:pt>
                <c:pt idx="25">
                  <c:v>71354936.417130783</c:v>
                </c:pt>
                <c:pt idx="26">
                  <c:v>76254670.650606334</c:v>
                </c:pt>
                <c:pt idx="27">
                  <c:v>70442480.368457153</c:v>
                </c:pt>
                <c:pt idx="28">
                  <c:v>74557687.84347859</c:v>
                </c:pt>
                <c:pt idx="29">
                  <c:v>76706314.204713181</c:v>
                </c:pt>
                <c:pt idx="30">
                  <c:v>82203340.063559189</c:v>
                </c:pt>
                <c:pt idx="31">
                  <c:v>82811582.548587918</c:v>
                </c:pt>
                <c:pt idx="32">
                  <c:v>76950388.755166098</c:v>
                </c:pt>
                <c:pt idx="33">
                  <c:v>73693365.571881592</c:v>
                </c:pt>
                <c:pt idx="34">
                  <c:v>73270295.588470757</c:v>
                </c:pt>
                <c:pt idx="35">
                  <c:v>72196810.784175217</c:v>
                </c:pt>
                <c:pt idx="36">
                  <c:v>78743833.782207221</c:v>
                </c:pt>
                <c:pt idx="37">
                  <c:v>71456720.710163966</c:v>
                </c:pt>
                <c:pt idx="38">
                  <c:v>75413390.028576255</c:v>
                </c:pt>
                <c:pt idx="39">
                  <c:v>71374597.173313558</c:v>
                </c:pt>
                <c:pt idx="40">
                  <c:v>74182736.877718195</c:v>
                </c:pt>
                <c:pt idx="41">
                  <c:v>76888816.118632227</c:v>
                </c:pt>
                <c:pt idx="42">
                  <c:v>81207476.634893656</c:v>
                </c:pt>
                <c:pt idx="43">
                  <c:v>80428320.808939442</c:v>
                </c:pt>
                <c:pt idx="44">
                  <c:v>74018064.002874747</c:v>
                </c:pt>
                <c:pt idx="45">
                  <c:v>71023918.545523852</c:v>
                </c:pt>
                <c:pt idx="46">
                  <c:v>69593873.300592139</c:v>
                </c:pt>
                <c:pt idx="47">
                  <c:v>70167103.430936188</c:v>
                </c:pt>
                <c:pt idx="48">
                  <c:v>75787902.713926345</c:v>
                </c:pt>
                <c:pt idx="49">
                  <c:v>69407499.715558529</c:v>
                </c:pt>
                <c:pt idx="50">
                  <c:v>73408526.029061511</c:v>
                </c:pt>
                <c:pt idx="51">
                  <c:v>68247919.716240823</c:v>
                </c:pt>
                <c:pt idx="52">
                  <c:v>70715735.150258526</c:v>
                </c:pt>
                <c:pt idx="53">
                  <c:v>72707493.708828449</c:v>
                </c:pt>
                <c:pt idx="54">
                  <c:v>81273953.401497275</c:v>
                </c:pt>
                <c:pt idx="55">
                  <c:v>79316414.109029964</c:v>
                </c:pt>
                <c:pt idx="56">
                  <c:v>72333216.225846529</c:v>
                </c:pt>
                <c:pt idx="57">
                  <c:v>70814339.55748634</c:v>
                </c:pt>
                <c:pt idx="58">
                  <c:v>68584858.636791021</c:v>
                </c:pt>
                <c:pt idx="59">
                  <c:v>70768977.264768168</c:v>
                </c:pt>
                <c:pt idx="60">
                  <c:v>77904743.57741642</c:v>
                </c:pt>
                <c:pt idx="61">
                  <c:v>71391055.41069071</c:v>
                </c:pt>
                <c:pt idx="62">
                  <c:v>72047845.492475107</c:v>
                </c:pt>
                <c:pt idx="63">
                  <c:v>60840550.884913579</c:v>
                </c:pt>
                <c:pt idx="64">
                  <c:v>64080798.874703892</c:v>
                </c:pt>
                <c:pt idx="65">
                  <c:v>69353995.276576325</c:v>
                </c:pt>
                <c:pt idx="66">
                  <c:v>72979242.355765447</c:v>
                </c:pt>
                <c:pt idx="67">
                  <c:v>75566739.329036415</c:v>
                </c:pt>
                <c:pt idx="68">
                  <c:v>67166309.870491534</c:v>
                </c:pt>
                <c:pt idx="69">
                  <c:v>64755522.242509916</c:v>
                </c:pt>
                <c:pt idx="70">
                  <c:v>63880882.69247058</c:v>
                </c:pt>
                <c:pt idx="71">
                  <c:v>66346956.823859081</c:v>
                </c:pt>
                <c:pt idx="72">
                  <c:v>67612770.223939359</c:v>
                </c:pt>
                <c:pt idx="73">
                  <c:v>62502252.879352406</c:v>
                </c:pt>
                <c:pt idx="74">
                  <c:v>68339189.848701417</c:v>
                </c:pt>
                <c:pt idx="75">
                  <c:v>61330910.734023578</c:v>
                </c:pt>
                <c:pt idx="76">
                  <c:v>64079930.709284663</c:v>
                </c:pt>
                <c:pt idx="77">
                  <c:v>71165500.830094665</c:v>
                </c:pt>
                <c:pt idx="78">
                  <c:v>78335184.113802835</c:v>
                </c:pt>
                <c:pt idx="79">
                  <c:v>79806639.111534432</c:v>
                </c:pt>
                <c:pt idx="80">
                  <c:v>72339320.701732412</c:v>
                </c:pt>
                <c:pt idx="81">
                  <c:v>68058414.302770376</c:v>
                </c:pt>
                <c:pt idx="82">
                  <c:v>69670437.397055641</c:v>
                </c:pt>
                <c:pt idx="83">
                  <c:v>72020271.404229045</c:v>
                </c:pt>
                <c:pt idx="84">
                  <c:v>72369285.276117936</c:v>
                </c:pt>
                <c:pt idx="85">
                  <c:v>67703584.322445914</c:v>
                </c:pt>
                <c:pt idx="86">
                  <c:v>73075399.244729906</c:v>
                </c:pt>
                <c:pt idx="87">
                  <c:v>66299128.9416577</c:v>
                </c:pt>
                <c:pt idx="88">
                  <c:v>69669809.632786855</c:v>
                </c:pt>
                <c:pt idx="89">
                  <c:v>73391412.80882521</c:v>
                </c:pt>
                <c:pt idx="90">
                  <c:v>78116608.443518251</c:v>
                </c:pt>
                <c:pt idx="91">
                  <c:v>79200519.635834828</c:v>
                </c:pt>
                <c:pt idx="92">
                  <c:v>71190121.998192653</c:v>
                </c:pt>
                <c:pt idx="93">
                  <c:v>67037383.568122998</c:v>
                </c:pt>
                <c:pt idx="94">
                  <c:v>67365441.120150834</c:v>
                </c:pt>
                <c:pt idx="95">
                  <c:v>68812981.921281621</c:v>
                </c:pt>
                <c:pt idx="96">
                  <c:v>73371884.288089216</c:v>
                </c:pt>
                <c:pt idx="97">
                  <c:v>67211182.320766672</c:v>
                </c:pt>
                <c:pt idx="98">
                  <c:v>71723249.198921591</c:v>
                </c:pt>
                <c:pt idx="99">
                  <c:v>64562395.519369513</c:v>
                </c:pt>
                <c:pt idx="100">
                  <c:v>67706381.772789821</c:v>
                </c:pt>
                <c:pt idx="101">
                  <c:v>70480769.149726614</c:v>
                </c:pt>
                <c:pt idx="102">
                  <c:v>76027134.214615464</c:v>
                </c:pt>
                <c:pt idx="103">
                  <c:v>76591869.424880415</c:v>
                </c:pt>
                <c:pt idx="104">
                  <c:v>70428108.925700113</c:v>
                </c:pt>
                <c:pt idx="105">
                  <c:v>67275418.561704129</c:v>
                </c:pt>
                <c:pt idx="106">
                  <c:v>67628573.090207905</c:v>
                </c:pt>
                <c:pt idx="107">
                  <c:v>68409073.269092366</c:v>
                </c:pt>
                <c:pt idx="108">
                  <c:v>74454162.011054412</c:v>
                </c:pt>
                <c:pt idx="109">
                  <c:v>68902045.76074712</c:v>
                </c:pt>
                <c:pt idx="110">
                  <c:v>70760399.908576861</c:v>
                </c:pt>
                <c:pt idx="111">
                  <c:v>67259464.749952719</c:v>
                </c:pt>
                <c:pt idx="112">
                  <c:v>69597497.6227635</c:v>
                </c:pt>
                <c:pt idx="113">
                  <c:v>72039736.572908521</c:v>
                </c:pt>
                <c:pt idx="114">
                  <c:v>80040797.7265784</c:v>
                </c:pt>
                <c:pt idx="115">
                  <c:v>78043966.729009122</c:v>
                </c:pt>
                <c:pt idx="116">
                  <c:v>71503335.998922393</c:v>
                </c:pt>
                <c:pt idx="117">
                  <c:v>68300419.261260957</c:v>
                </c:pt>
                <c:pt idx="118">
                  <c:v>67345054.914028734</c:v>
                </c:pt>
                <c:pt idx="119">
                  <c:v>69136957.258754075</c:v>
                </c:pt>
                <c:pt idx="120">
                  <c:v>71117950.627455562</c:v>
                </c:pt>
                <c:pt idx="121">
                  <c:v>64486202.40838477</c:v>
                </c:pt>
                <c:pt idx="122">
                  <c:v>68580821.174696475</c:v>
                </c:pt>
                <c:pt idx="123">
                  <c:v>64170065.35138616</c:v>
                </c:pt>
                <c:pt idx="124">
                  <c:v>66562800.858115971</c:v>
                </c:pt>
                <c:pt idx="125">
                  <c:v>69100643.375083983</c:v>
                </c:pt>
                <c:pt idx="126">
                  <c:v>76271028.095136344</c:v>
                </c:pt>
                <c:pt idx="127">
                  <c:v>75202995.005101517</c:v>
                </c:pt>
                <c:pt idx="128">
                  <c:v>68563521.866920561</c:v>
                </c:pt>
                <c:pt idx="129">
                  <c:v>65676173.335799366</c:v>
                </c:pt>
                <c:pt idx="130">
                  <c:v>64153267.156030968</c:v>
                </c:pt>
                <c:pt idx="131">
                  <c:v>65725464.210970677</c:v>
                </c:pt>
                <c:pt idx="132">
                  <c:v>70178512.99236007</c:v>
                </c:pt>
                <c:pt idx="133">
                  <c:v>63546764.773289278</c:v>
                </c:pt>
                <c:pt idx="134">
                  <c:v>67641045.438229412</c:v>
                </c:pt>
                <c:pt idx="135">
                  <c:v>63229682.569274649</c:v>
                </c:pt>
                <c:pt idx="136">
                  <c:v>65621607.401124872</c:v>
                </c:pt>
                <c:pt idx="137">
                  <c:v>68158973.502523825</c:v>
                </c:pt>
                <c:pt idx="138">
                  <c:v>75328939.437922746</c:v>
                </c:pt>
                <c:pt idx="139">
                  <c:v>74260810.296361893</c:v>
                </c:pt>
                <c:pt idx="140">
                  <c:v>67621010.582992494</c:v>
                </c:pt>
                <c:pt idx="141">
                  <c:v>64733343.160804912</c:v>
                </c:pt>
                <c:pt idx="142">
                  <c:v>63210317.877144247</c:v>
                </c:pt>
                <c:pt idx="143">
                  <c:v>64782130.725979894</c:v>
                </c:pt>
              </c:numCache>
            </c:numRef>
          </c:val>
          <c:smooth val="0"/>
          <c:extLst>
            <c:ext xmlns:c16="http://schemas.microsoft.com/office/drawing/2014/chart" uri="{C3380CC4-5D6E-409C-BE32-E72D297353CC}">
              <c16:uniqueId val="{00000001-B561-4D82-AE55-0896A5AB78B0}"/>
            </c:ext>
          </c:extLst>
        </c:ser>
        <c:dLbls>
          <c:showLegendKey val="0"/>
          <c:showVal val="0"/>
          <c:showCatName val="0"/>
          <c:showSerName val="0"/>
          <c:showPercent val="0"/>
          <c:showBubbleSize val="0"/>
        </c:dLbls>
        <c:smooth val="0"/>
        <c:axId val="177120384"/>
        <c:axId val="177121920"/>
      </c:lineChart>
      <c:dateAx>
        <c:axId val="1771203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121920"/>
        <c:crosses val="autoZero"/>
        <c:auto val="1"/>
        <c:lblOffset val="100"/>
        <c:baseTimeUnit val="months"/>
      </c:dateAx>
      <c:valAx>
        <c:axId val="177121920"/>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1203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 kW</a:t>
            </a:r>
          </a:p>
        </c:rich>
      </c:tx>
      <c:overlay val="0"/>
      <c:spPr>
        <a:noFill/>
        <a:ln>
          <a:noFill/>
        </a:ln>
        <a:effectLst/>
      </c:spPr>
    </c:title>
    <c:autoTitleDeleted val="0"/>
    <c:plotArea>
      <c:layout/>
      <c:scatterChart>
        <c:scatterStyle val="lineMarker"/>
        <c:varyColors val="0"/>
        <c:ser>
          <c:idx val="0"/>
          <c:order val="0"/>
          <c:tx>
            <c:v>GS &lt; 50</c:v>
          </c:tx>
          <c:spPr>
            <a:ln w="25400" cap="rnd">
              <a:noFill/>
              <a:round/>
            </a:ln>
            <a:effectLst/>
          </c:spPr>
          <c:marker>
            <c:symbol val="circle"/>
            <c:size val="5"/>
            <c:spPr>
              <a:solidFill>
                <a:schemeClr val="accent1"/>
              </a:solidFill>
              <a:ln w="9525">
                <a:solidFill>
                  <a:schemeClr val="accent1"/>
                </a:solidFill>
              </a:ln>
              <a:effectLst/>
            </c:spPr>
          </c:marker>
          <c:xVal>
            <c:numRef>
              <c:f>Weather!$D$194:$D$313</c:f>
              <c:numCache>
                <c:formatCode>0.0</c:formatCode>
                <c:ptCount val="120"/>
                <c:pt idx="0">
                  <c:v>-5.8580645161290343</c:v>
                </c:pt>
                <c:pt idx="1">
                  <c:v>-11.139285714285718</c:v>
                </c:pt>
                <c:pt idx="2">
                  <c:v>-1.1612903225806448</c:v>
                </c:pt>
                <c:pt idx="3">
                  <c:v>7.2700000000000022</c:v>
                </c:pt>
                <c:pt idx="4">
                  <c:v>14.535483870967743</c:v>
                </c:pt>
                <c:pt idx="5">
                  <c:v>16.886666666666663</c:v>
                </c:pt>
                <c:pt idx="6">
                  <c:v>21.899999999999995</c:v>
                </c:pt>
                <c:pt idx="7">
                  <c:v>20.796774193548384</c:v>
                </c:pt>
                <c:pt idx="8">
                  <c:v>20.030000000000005</c:v>
                </c:pt>
                <c:pt idx="9">
                  <c:v>11.587096774193544</c:v>
                </c:pt>
                <c:pt idx="10">
                  <c:v>7.9633333333333329</c:v>
                </c:pt>
                <c:pt idx="11">
                  <c:v>5.2741935483870979</c:v>
                </c:pt>
                <c:pt idx="12">
                  <c:v>-2.1612903225806446</c:v>
                </c:pt>
                <c:pt idx="13">
                  <c:v>-0.76896551724137929</c:v>
                </c:pt>
                <c:pt idx="14">
                  <c:v>3.4451612903225803</c:v>
                </c:pt>
                <c:pt idx="15">
                  <c:v>4.9666666666666659</c:v>
                </c:pt>
                <c:pt idx="16">
                  <c:v>13.870967741935482</c:v>
                </c:pt>
                <c:pt idx="17">
                  <c:v>19.386666666666663</c:v>
                </c:pt>
                <c:pt idx="18">
                  <c:v>22.919354838709673</c:v>
                </c:pt>
                <c:pt idx="19">
                  <c:v>23.735483870967741</c:v>
                </c:pt>
                <c:pt idx="20">
                  <c:v>20.029999999999998</c:v>
                </c:pt>
                <c:pt idx="21">
                  <c:v>13.20967741935484</c:v>
                </c:pt>
                <c:pt idx="22">
                  <c:v>8.2366666666666628</c:v>
                </c:pt>
                <c:pt idx="23">
                  <c:v>-3.2258064516129135E-2</c:v>
                </c:pt>
                <c:pt idx="24">
                  <c:v>-0.34193548387096795</c:v>
                </c:pt>
                <c:pt idx="25">
                  <c:v>1.1714285714285715</c:v>
                </c:pt>
                <c:pt idx="26">
                  <c:v>0.54193548387096779</c:v>
                </c:pt>
                <c:pt idx="27">
                  <c:v>8.9300000000000015</c:v>
                </c:pt>
                <c:pt idx="28">
                  <c:v>11.783870967741937</c:v>
                </c:pt>
                <c:pt idx="29">
                  <c:v>19.303333333333331</c:v>
                </c:pt>
                <c:pt idx="30">
                  <c:v>21.661290322580644</c:v>
                </c:pt>
                <c:pt idx="31">
                  <c:v>20.522580645161295</c:v>
                </c:pt>
                <c:pt idx="32">
                  <c:v>18.610000000000003</c:v>
                </c:pt>
                <c:pt idx="33">
                  <c:v>14.658064516129036</c:v>
                </c:pt>
                <c:pt idx="34">
                  <c:v>5.0699999999999994</c:v>
                </c:pt>
                <c:pt idx="35">
                  <c:v>-2.9419354838709673</c:v>
                </c:pt>
                <c:pt idx="36">
                  <c:v>-3.9451612903225803</c:v>
                </c:pt>
                <c:pt idx="37">
                  <c:v>-0.28928571428571387</c:v>
                </c:pt>
                <c:pt idx="38">
                  <c:v>0.77741935483870972</c:v>
                </c:pt>
                <c:pt idx="39">
                  <c:v>4.0233333333333334</c:v>
                </c:pt>
                <c:pt idx="40">
                  <c:v>14.790322580645164</c:v>
                </c:pt>
                <c:pt idx="41">
                  <c:v>19.029999999999998</c:v>
                </c:pt>
                <c:pt idx="42">
                  <c:v>23.296774193548391</c:v>
                </c:pt>
                <c:pt idx="43">
                  <c:v>23.283870967741933</c:v>
                </c:pt>
                <c:pt idx="44">
                  <c:v>19.446666666666669</c:v>
                </c:pt>
                <c:pt idx="45">
                  <c:v>10.645161290322582</c:v>
                </c:pt>
                <c:pt idx="46">
                  <c:v>2.9200000000000004</c:v>
                </c:pt>
                <c:pt idx="47">
                  <c:v>1.3548387096774193</c:v>
                </c:pt>
                <c:pt idx="48">
                  <c:v>-4.580645161290323</c:v>
                </c:pt>
                <c:pt idx="49">
                  <c:v>-2.4178571428571423</c:v>
                </c:pt>
                <c:pt idx="50">
                  <c:v>4.8387096774193415E-2</c:v>
                </c:pt>
                <c:pt idx="51">
                  <c:v>6.2700000000000005</c:v>
                </c:pt>
                <c:pt idx="52">
                  <c:v>11.058064516129033</c:v>
                </c:pt>
                <c:pt idx="53">
                  <c:v>17.306666666666668</c:v>
                </c:pt>
                <c:pt idx="54">
                  <c:v>22.92258064516129</c:v>
                </c:pt>
                <c:pt idx="55">
                  <c:v>21.267741935483876</c:v>
                </c:pt>
                <c:pt idx="56">
                  <c:v>18.453333333333333</c:v>
                </c:pt>
                <c:pt idx="57">
                  <c:v>12.125806451612904</c:v>
                </c:pt>
                <c:pt idx="58">
                  <c:v>2.5333333333333332</c:v>
                </c:pt>
                <c:pt idx="59">
                  <c:v>1.2129032258064516</c:v>
                </c:pt>
                <c:pt idx="60">
                  <c:v>0.20000000000000021</c:v>
                </c:pt>
                <c:pt idx="61">
                  <c:v>-1.3517241379310343</c:v>
                </c:pt>
                <c:pt idx="62">
                  <c:v>3.8064516129032264</c:v>
                </c:pt>
                <c:pt idx="63">
                  <c:v>5.9666666666666659</c:v>
                </c:pt>
                <c:pt idx="64">
                  <c:v>11.177419354838708</c:v>
                </c:pt>
                <c:pt idx="65">
                  <c:v>19.97666666666667</c:v>
                </c:pt>
                <c:pt idx="66">
                  <c:v>24.532258064516125</c:v>
                </c:pt>
                <c:pt idx="67">
                  <c:v>21.920967741935485</c:v>
                </c:pt>
                <c:pt idx="68">
                  <c:v>17.376666666666665</c:v>
                </c:pt>
                <c:pt idx="69">
                  <c:v>10.483870967741934</c:v>
                </c:pt>
                <c:pt idx="70">
                  <c:v>8.1366666666666667</c:v>
                </c:pt>
                <c:pt idx="71">
                  <c:v>1.4806451612903222</c:v>
                </c:pt>
                <c:pt idx="72">
                  <c:v>-0.8999999999999998</c:v>
                </c:pt>
                <c:pt idx="73">
                  <c:v>-3.7500000000000004</c:v>
                </c:pt>
                <c:pt idx="74">
                  <c:v>3.5161290322580645</c:v>
                </c:pt>
                <c:pt idx="75">
                  <c:v>6.7766666666666673</c:v>
                </c:pt>
                <c:pt idx="76">
                  <c:v>13.167741935483869</c:v>
                </c:pt>
                <c:pt idx="77">
                  <c:v>20.980000000000004</c:v>
                </c:pt>
                <c:pt idx="78">
                  <c:v>21.56451612903226</c:v>
                </c:pt>
                <c:pt idx="79">
                  <c:v>23.651612903225807</c:v>
                </c:pt>
                <c:pt idx="80">
                  <c:v>18.350000000000001</c:v>
                </c:pt>
                <c:pt idx="81">
                  <c:v>14.590322580645163</c:v>
                </c:pt>
                <c:pt idx="82">
                  <c:v>5.8999999999999995</c:v>
                </c:pt>
                <c:pt idx="83">
                  <c:v>3.0161290322580654</c:v>
                </c:pt>
                <c:pt idx="84">
                  <c:v>-6.1354838709677422</c:v>
                </c:pt>
                <c:pt idx="85">
                  <c:v>-2.596428571428572</c:v>
                </c:pt>
                <c:pt idx="86">
                  <c:v>2.0096774193548388</c:v>
                </c:pt>
                <c:pt idx="87">
                  <c:v>6.2133333333333338</c:v>
                </c:pt>
                <c:pt idx="88">
                  <c:v>13.738709677419356</c:v>
                </c:pt>
                <c:pt idx="89">
                  <c:v>19.150000000000002</c:v>
                </c:pt>
                <c:pt idx="90">
                  <c:v>22.409677419354836</c:v>
                </c:pt>
                <c:pt idx="91">
                  <c:v>22.274193548387096</c:v>
                </c:pt>
                <c:pt idx="92">
                  <c:v>18.266666666666666</c:v>
                </c:pt>
                <c:pt idx="93">
                  <c:v>10.525806451612901</c:v>
                </c:pt>
                <c:pt idx="94">
                  <c:v>6.7566666666666659</c:v>
                </c:pt>
                <c:pt idx="95">
                  <c:v>1.1451612903225807</c:v>
                </c:pt>
                <c:pt idx="96">
                  <c:v>0.59354838709677415</c:v>
                </c:pt>
                <c:pt idx="97">
                  <c:v>0.43214285714285683</c:v>
                </c:pt>
                <c:pt idx="98">
                  <c:v>1.9870967741935488</c:v>
                </c:pt>
                <c:pt idx="99">
                  <c:v>8.5733333333333324</c:v>
                </c:pt>
                <c:pt idx="100">
                  <c:v>13.1</c:v>
                </c:pt>
                <c:pt idx="101">
                  <c:v>19.133333333333336</c:v>
                </c:pt>
                <c:pt idx="102">
                  <c:v>22.693548387096783</c:v>
                </c:pt>
                <c:pt idx="103">
                  <c:v>20.251612903225805</c:v>
                </c:pt>
                <c:pt idx="104">
                  <c:v>18.68666666666666</c:v>
                </c:pt>
                <c:pt idx="105">
                  <c:v>13.283870967741938</c:v>
                </c:pt>
                <c:pt idx="106">
                  <c:v>5.5299999999999994</c:v>
                </c:pt>
                <c:pt idx="107">
                  <c:v>3.7032258064516133</c:v>
                </c:pt>
                <c:pt idx="108">
                  <c:v>-0.91612903225806464</c:v>
                </c:pt>
                <c:pt idx="109">
                  <c:v>1.1344827586206896</c:v>
                </c:pt>
                <c:pt idx="110">
                  <c:v>4.1451612903225818</c:v>
                </c:pt>
                <c:pt idx="111">
                  <c:v>8.1766666666666676</c:v>
                </c:pt>
                <c:pt idx="112">
                  <c:v>14.935483870967746</c:v>
                </c:pt>
                <c:pt idx="113">
                  <c:v>19.479999999999997</c:v>
                </c:pt>
                <c:pt idx="114">
                  <c:v>22.445161290322577</c:v>
                </c:pt>
                <c:pt idx="115">
                  <c:v>21.751612903225805</c:v>
                </c:pt>
                <c:pt idx="116">
                  <c:v>18.926666666666669</c:v>
                </c:pt>
                <c:pt idx="117">
                  <c:v>13.748387096774191</c:v>
                </c:pt>
                <c:pt idx="118">
                  <c:v>7.8566666666666674</c:v>
                </c:pt>
                <c:pt idx="119">
                  <c:v>1.0709677419354837</c:v>
                </c:pt>
              </c:numCache>
            </c:numRef>
          </c:xVal>
          <c:yVal>
            <c:numRef>
              <c:f>Weather!$T$194:$T$313</c:f>
              <c:numCache>
                <c:formatCode>_(* #,##0.00_);_(* \(#,##0.00\);_(* "-"??_);_(@_)</c:formatCode>
                <c:ptCount val="120"/>
                <c:pt idx="0">
                  <c:v>97.560755045247902</c:v>
                </c:pt>
                <c:pt idx="1">
                  <c:v>100.83553444659586</c:v>
                </c:pt>
                <c:pt idx="2">
                  <c:v>93.646173346737172</c:v>
                </c:pt>
                <c:pt idx="3">
                  <c:v>85.210487023685147</c:v>
                </c:pt>
                <c:pt idx="4">
                  <c:v>83.134742429566415</c:v>
                </c:pt>
                <c:pt idx="5">
                  <c:v>88.144026961415804</c:v>
                </c:pt>
                <c:pt idx="6">
                  <c:v>94.385381604745632</c:v>
                </c:pt>
                <c:pt idx="7">
                  <c:v>95.810231149617096</c:v>
                </c:pt>
                <c:pt idx="8">
                  <c:v>90.417582874023452</c:v>
                </c:pt>
                <c:pt idx="9">
                  <c:v>81.048353091465316</c:v>
                </c:pt>
                <c:pt idx="10">
                  <c:v>84.23020954528576</c:v>
                </c:pt>
                <c:pt idx="11">
                  <c:v>87.079564544040707</c:v>
                </c:pt>
                <c:pt idx="12">
                  <c:v>92.994182293360112</c:v>
                </c:pt>
                <c:pt idx="13">
                  <c:v>93.954003948620183</c:v>
                </c:pt>
                <c:pt idx="14">
                  <c:v>88.747182995371958</c:v>
                </c:pt>
                <c:pt idx="15">
                  <c:v>84.854094652821445</c:v>
                </c:pt>
                <c:pt idx="16">
                  <c:v>83.667615386721593</c:v>
                </c:pt>
                <c:pt idx="17">
                  <c:v>92.139979527992253</c:v>
                </c:pt>
                <c:pt idx="18">
                  <c:v>100.22120929454427</c:v>
                </c:pt>
                <c:pt idx="19">
                  <c:v>102.65947895270921</c:v>
                </c:pt>
                <c:pt idx="20">
                  <c:v>91.283552522364715</c:v>
                </c:pt>
                <c:pt idx="21">
                  <c:v>81.595715074117678</c:v>
                </c:pt>
                <c:pt idx="22">
                  <c:v>84.545886777910511</c:v>
                </c:pt>
                <c:pt idx="23">
                  <c:v>90.81345362843976</c:v>
                </c:pt>
                <c:pt idx="24">
                  <c:v>94.603819985466984</c:v>
                </c:pt>
                <c:pt idx="25">
                  <c:v>92.755773206016201</c:v>
                </c:pt>
                <c:pt idx="26">
                  <c:v>89.59679209161574</c:v>
                </c:pt>
                <c:pt idx="27">
                  <c:v>83.524560606899868</c:v>
                </c:pt>
                <c:pt idx="28">
                  <c:v>82.172482796145601</c:v>
                </c:pt>
                <c:pt idx="29">
                  <c:v>88.702701764269605</c:v>
                </c:pt>
                <c:pt idx="30">
                  <c:v>93.889598083528242</c:v>
                </c:pt>
                <c:pt idx="31">
                  <c:v>91.513786499589131</c:v>
                </c:pt>
                <c:pt idx="32">
                  <c:v>88.499467409410428</c:v>
                </c:pt>
                <c:pt idx="33">
                  <c:v>83.972668747379004</c:v>
                </c:pt>
                <c:pt idx="34">
                  <c:v>87.108560335607734</c:v>
                </c:pt>
                <c:pt idx="35">
                  <c:v>93.731614209193694</c:v>
                </c:pt>
                <c:pt idx="36">
                  <c:v>98.25661406290331</c:v>
                </c:pt>
                <c:pt idx="37">
                  <c:v>95.509599660230251</c:v>
                </c:pt>
                <c:pt idx="38">
                  <c:v>91.272182239542559</c:v>
                </c:pt>
                <c:pt idx="39">
                  <c:v>87.946551731936992</c:v>
                </c:pt>
                <c:pt idx="40">
                  <c:v>87.433943883506743</c:v>
                </c:pt>
                <c:pt idx="41">
                  <c:v>94.24459518862578</c:v>
                </c:pt>
                <c:pt idx="42">
                  <c:v>101.45844471375339</c:v>
                </c:pt>
                <c:pt idx="43">
                  <c:v>99.978616093355683</c:v>
                </c:pt>
                <c:pt idx="44">
                  <c:v>92.20962564473561</c:v>
                </c:pt>
                <c:pt idx="45">
                  <c:v>83.801539727689459</c:v>
                </c:pt>
                <c:pt idx="46">
                  <c:v>89.105052611364272</c:v>
                </c:pt>
                <c:pt idx="47">
                  <c:v>91.345484841121348</c:v>
                </c:pt>
                <c:pt idx="48">
                  <c:v>96.998055921924646</c:v>
                </c:pt>
                <c:pt idx="49">
                  <c:v>99.140891437359045</c:v>
                </c:pt>
                <c:pt idx="50">
                  <c:v>94.136716699093583</c:v>
                </c:pt>
                <c:pt idx="51">
                  <c:v>86.573401857811135</c:v>
                </c:pt>
                <c:pt idx="52">
                  <c:v>82.449202213437687</c:v>
                </c:pt>
                <c:pt idx="53">
                  <c:v>88.515085325540682</c:v>
                </c:pt>
                <c:pt idx="54">
                  <c:v>100.40746368650225</c:v>
                </c:pt>
                <c:pt idx="55">
                  <c:v>96.229205547057717</c:v>
                </c:pt>
                <c:pt idx="56">
                  <c:v>88.166763730701803</c:v>
                </c:pt>
                <c:pt idx="57">
                  <c:v>81.408296721585941</c:v>
                </c:pt>
                <c:pt idx="58">
                  <c:v>87.691187720912751</c:v>
                </c:pt>
                <c:pt idx="59">
                  <c:v>89.844493130565056</c:v>
                </c:pt>
                <c:pt idx="60">
                  <c:v>90.826718985288494</c:v>
                </c:pt>
                <c:pt idx="61">
                  <c:v>91.481271570718221</c:v>
                </c:pt>
                <c:pt idx="62">
                  <c:v>81.106437814675672</c:v>
                </c:pt>
                <c:pt idx="63">
                  <c:v>68.835011540687674</c:v>
                </c:pt>
                <c:pt idx="64">
                  <c:v>68.312484899576106</c:v>
                </c:pt>
                <c:pt idx="65">
                  <c:v>81.858785852188205</c:v>
                </c:pt>
                <c:pt idx="66">
                  <c:v>92.82034396923153</c:v>
                </c:pt>
                <c:pt idx="67">
                  <c:v>90.734081653127461</c:v>
                </c:pt>
                <c:pt idx="68">
                  <c:v>80.173145900447039</c:v>
                </c:pt>
                <c:pt idx="69">
                  <c:v>75.575764459137275</c:v>
                </c:pt>
                <c:pt idx="70">
                  <c:v>79.916281285346841</c:v>
                </c:pt>
                <c:pt idx="71">
                  <c:v>82.056885965047258</c:v>
                </c:pt>
                <c:pt idx="72">
                  <c:v>83.244296473533623</c:v>
                </c:pt>
                <c:pt idx="73">
                  <c:v>87.396851200426383</c:v>
                </c:pt>
                <c:pt idx="74">
                  <c:v>82.593064659199626</c:v>
                </c:pt>
                <c:pt idx="75">
                  <c:v>74.904932909465941</c:v>
                </c:pt>
                <c:pt idx="76">
                  <c:v>75.584538365994476</c:v>
                </c:pt>
                <c:pt idx="77">
                  <c:v>80.312698448555849</c:v>
                </c:pt>
                <c:pt idx="78">
                  <c:v>88.248058744347929</c:v>
                </c:pt>
                <c:pt idx="79">
                  <c:v>94.077171086181679</c:v>
                </c:pt>
                <c:pt idx="80">
                  <c:v>84.023946743691724</c:v>
                </c:pt>
                <c:pt idx="81">
                  <c:v>77.096240868148712</c:v>
                </c:pt>
                <c:pt idx="82">
                  <c:v>81.685539433546793</c:v>
                </c:pt>
                <c:pt idx="83">
                  <c:v>84.645887463233208</c:v>
                </c:pt>
                <c:pt idx="84">
                  <c:v>90.286887971648099</c:v>
                </c:pt>
                <c:pt idx="85">
                  <c:v>93.424929950977315</c:v>
                </c:pt>
                <c:pt idx="86">
                  <c:v>87.867055056519234</c:v>
                </c:pt>
                <c:pt idx="87">
                  <c:v>81.751863712024132</c:v>
                </c:pt>
                <c:pt idx="88">
                  <c:v>80.868236417691065</c:v>
                </c:pt>
                <c:pt idx="89">
                  <c:v>88.632842653586735</c:v>
                </c:pt>
                <c:pt idx="90">
                  <c:v>95.522373724146647</c:v>
                </c:pt>
                <c:pt idx="91">
                  <c:v>95.133143073388425</c:v>
                </c:pt>
                <c:pt idx="92">
                  <c:v>85.248439356266601</c:v>
                </c:pt>
                <c:pt idx="93">
                  <c:v>78.609040376401609</c:v>
                </c:pt>
                <c:pt idx="94">
                  <c:v>85.123920614094331</c:v>
                </c:pt>
                <c:pt idx="95">
                  <c:v>89.048815540087531</c:v>
                </c:pt>
                <c:pt idx="96">
                  <c:v>91.304255548983363</c:v>
                </c:pt>
                <c:pt idx="97">
                  <c:v>92.579588779375143</c:v>
                </c:pt>
                <c:pt idx="98">
                  <c:v>88.975763745051466</c:v>
                </c:pt>
                <c:pt idx="99">
                  <c:v>83.908175192940021</c:v>
                </c:pt>
                <c:pt idx="100">
                  <c:v>82.530990714578721</c:v>
                </c:pt>
                <c:pt idx="101">
                  <c:v>88.728541803470463</c:v>
                </c:pt>
                <c:pt idx="102">
                  <c:v>96.574170935989144</c:v>
                </c:pt>
                <c:pt idx="103">
                  <c:v>93.105503534985147</c:v>
                </c:pt>
                <c:pt idx="104">
                  <c:v>87.842147552693135</c:v>
                </c:pt>
                <c:pt idx="105">
                  <c:v>82.130569538111999</c:v>
                </c:pt>
                <c:pt idx="106">
                  <c:v>86.397832104534984</c:v>
                </c:pt>
                <c:pt idx="107">
                  <c:v>86.541338015287963</c:v>
                </c:pt>
                <c:pt idx="108">
                  <c:v>90.574821156546008</c:v>
                </c:pt>
                <c:pt idx="109">
                  <c:v>89.495470894289198</c:v>
                </c:pt>
                <c:pt idx="110">
                  <c:v>85.470542129588111</c:v>
                </c:pt>
                <c:pt idx="111">
                  <c:v>82.462720781338305</c:v>
                </c:pt>
                <c:pt idx="112">
                  <c:v>82.264992579095676</c:v>
                </c:pt>
                <c:pt idx="113">
                  <c:v>90.827968894082318</c:v>
                </c:pt>
                <c:pt idx="114">
                  <c:v>98.203220548941587</c:v>
                </c:pt>
                <c:pt idx="115">
                  <c:v>94.604394848519206</c:v>
                </c:pt>
                <c:pt idx="116">
                  <c:v>87.871169227572906</c:v>
                </c:pt>
                <c:pt idx="117">
                  <c:v>81.190970987123208</c:v>
                </c:pt>
                <c:pt idx="118">
                  <c:v>83.676954712892865</c:v>
                </c:pt>
                <c:pt idx="119">
                  <c:v>90.099073608210588</c:v>
                </c:pt>
              </c:numCache>
            </c:numRef>
          </c:yVal>
          <c:smooth val="0"/>
          <c:extLst>
            <c:ext xmlns:c16="http://schemas.microsoft.com/office/drawing/2014/chart" uri="{C3380CC4-5D6E-409C-BE32-E72D297353CC}">
              <c16:uniqueId val="{00000000-1118-493C-A18D-374F6CA8F352}"/>
            </c:ext>
          </c:extLst>
        </c:ser>
        <c:dLbls>
          <c:showLegendKey val="0"/>
          <c:showVal val="0"/>
          <c:showCatName val="0"/>
          <c:showSerName val="0"/>
          <c:showPercent val="0"/>
          <c:showBubbleSize val="0"/>
        </c:dLbls>
        <c:axId val="152621824"/>
        <c:axId val="152624128"/>
      </c:scatterChart>
      <c:valAx>
        <c:axId val="152621824"/>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defRPr sz="1000"/>
                </a:pPr>
                <a:r>
                  <a:rPr lang="en-US" sz="1000" b="1" i="0" baseline="0">
                    <a:effectLst/>
                  </a:rPr>
                  <a:t>Average Tempurature (°C)</a:t>
                </a:r>
                <a:endParaRPr lang="en-US" sz="1000">
                  <a:effectLst/>
                </a:endParaRPr>
              </a:p>
            </c:rich>
          </c:tx>
          <c:overlay val="0"/>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24128"/>
        <c:crosses val="autoZero"/>
        <c:crossBetween val="midCat"/>
      </c:valAx>
      <c:valAx>
        <c:axId val="152624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a:pPr>
                <a:r>
                  <a:rPr lang="en-US" sz="1000" b="1" i="0" baseline="0">
                    <a:effectLst/>
                  </a:rPr>
                  <a:t>Avg. Daily Consumption</a:t>
                </a:r>
                <a:endParaRPr lang="en-US" sz="1000">
                  <a:effectLst/>
                </a:endParaRPr>
              </a:p>
            </c:rich>
          </c:tx>
          <c:overlay val="0"/>
        </c:title>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218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Residential</a:t>
            </a:r>
          </a:p>
        </c:rich>
      </c:tx>
      <c:overlay val="0"/>
    </c:title>
    <c:autoTitleDeleted val="0"/>
    <c:plotArea>
      <c:layout/>
      <c:lineChart>
        <c:grouping val="standard"/>
        <c:varyColors val="0"/>
        <c:ser>
          <c:idx val="0"/>
          <c:order val="0"/>
          <c:tx>
            <c:strRef>
              <c:f>'Normalized Annual Summary'!$C$3</c:f>
              <c:strCache>
                <c:ptCount val="1"/>
                <c:pt idx="0">
                  <c:v>Actual</c:v>
                </c:pt>
              </c:strCache>
            </c:strRef>
          </c:tx>
          <c:spPr>
            <a:ln w="28575" cap="rnd">
              <a:solidFill>
                <a:schemeClr val="accent1"/>
              </a:solidFill>
              <a:round/>
            </a:ln>
            <a:effectLst/>
          </c:spPr>
          <c:marker>
            <c:symbol val="none"/>
          </c:marker>
          <c:cat>
            <c:numRef>
              <c:f>'Normalized Annual Summary'!$B$6:$B$17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Summary'!$C$6:$C$17</c:f>
              <c:numCache>
                <c:formatCode>#,##0</c:formatCode>
                <c:ptCount val="12"/>
                <c:pt idx="0">
                  <c:v>530999846</c:v>
                </c:pt>
                <c:pt idx="1">
                  <c:v>545123880</c:v>
                </c:pt>
                <c:pt idx="2">
                  <c:v>501428451</c:v>
                </c:pt>
                <c:pt idx="3">
                  <c:v>536801589</c:v>
                </c:pt>
                <c:pt idx="4">
                  <c:v>512580883</c:v>
                </c:pt>
                <c:pt idx="5">
                  <c:v>555286631</c:v>
                </c:pt>
                <c:pt idx="6">
                  <c:v>550878084</c:v>
                </c:pt>
                <c:pt idx="7">
                  <c:v>543063322</c:v>
                </c:pt>
                <c:pt idx="8">
                  <c:v>520495248</c:v>
                </c:pt>
                <c:pt idx="9">
                  <c:v>540051923.88</c:v>
                </c:pt>
              </c:numCache>
            </c:numRef>
          </c:val>
          <c:smooth val="0"/>
          <c:extLst>
            <c:ext xmlns:c16="http://schemas.microsoft.com/office/drawing/2014/chart" uri="{C3380CC4-5D6E-409C-BE32-E72D297353CC}">
              <c16:uniqueId val="{00000000-8DE2-4E16-B54F-952CEB5448A4}"/>
            </c:ext>
          </c:extLst>
        </c:ser>
        <c:ser>
          <c:idx val="1"/>
          <c:order val="1"/>
          <c:tx>
            <c:strRef>
              <c:f>'Normalized Annual Summary'!$E$3</c:f>
              <c:strCache>
                <c:ptCount val="1"/>
                <c:pt idx="0">
                  <c:v>Actual No CDM</c:v>
                </c:pt>
              </c:strCache>
            </c:strRef>
          </c:tx>
          <c:spPr>
            <a:ln w="28575" cap="rnd">
              <a:solidFill>
                <a:schemeClr val="accent2"/>
              </a:solidFill>
              <a:round/>
            </a:ln>
            <a:effectLst/>
          </c:spPr>
          <c:marker>
            <c:symbol val="none"/>
          </c:marker>
          <c:cat>
            <c:numRef>
              <c:f>'Normalized Annual Summary'!$B$6:$B$17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Summary'!$E$6:$E$17</c:f>
              <c:numCache>
                <c:formatCode>#,##0</c:formatCode>
                <c:ptCount val="12"/>
                <c:pt idx="0">
                  <c:v>532890860.25720602</c:v>
                </c:pt>
                <c:pt idx="1">
                  <c:v>552745360.65753627</c:v>
                </c:pt>
                <c:pt idx="2">
                  <c:v>523095111.88667035</c:v>
                </c:pt>
                <c:pt idx="3">
                  <c:v>566454235.37672377</c:v>
                </c:pt>
                <c:pt idx="4">
                  <c:v>544053943.83784747</c:v>
                </c:pt>
                <c:pt idx="5">
                  <c:v>586747287.62514937</c:v>
                </c:pt>
                <c:pt idx="6">
                  <c:v>582379376.22512603</c:v>
                </c:pt>
                <c:pt idx="7">
                  <c:v>574681696.74652433</c:v>
                </c:pt>
                <c:pt idx="8">
                  <c:v>552462521.05124569</c:v>
                </c:pt>
                <c:pt idx="9">
                  <c:v>572872143.88731706</c:v>
                </c:pt>
              </c:numCache>
            </c:numRef>
          </c:val>
          <c:smooth val="0"/>
          <c:extLst>
            <c:ext xmlns:c16="http://schemas.microsoft.com/office/drawing/2014/chart" uri="{C3380CC4-5D6E-409C-BE32-E72D297353CC}">
              <c16:uniqueId val="{00000001-8DE2-4E16-B54F-952CEB5448A4}"/>
            </c:ext>
          </c:extLst>
        </c:ser>
        <c:ser>
          <c:idx val="2"/>
          <c:order val="2"/>
          <c:tx>
            <c:v>Normal No CDM</c:v>
          </c:tx>
          <c:spPr>
            <a:ln w="28575" cap="rnd">
              <a:solidFill>
                <a:schemeClr val="accent3"/>
              </a:solidFill>
              <a:round/>
            </a:ln>
            <a:effectLst/>
          </c:spPr>
          <c:marker>
            <c:symbol val="none"/>
          </c:marker>
          <c:cat>
            <c:numRef>
              <c:f>'Normalized Annual Summary'!$B$6:$B$17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Summary'!$G$6:$G$17</c:f>
              <c:numCache>
                <c:formatCode>#,##0</c:formatCode>
                <c:ptCount val="12"/>
                <c:pt idx="0">
                  <c:v>541351968.77968085</c:v>
                </c:pt>
                <c:pt idx="1">
                  <c:v>547234567.03939569</c:v>
                </c:pt>
                <c:pt idx="2">
                  <c:v>549429442.81330526</c:v>
                </c:pt>
                <c:pt idx="3">
                  <c:v>554132551.1224947</c:v>
                </c:pt>
                <c:pt idx="4">
                  <c:v>559886648.10306692</c:v>
                </c:pt>
                <c:pt idx="5">
                  <c:v>565521563.32763457</c:v>
                </c:pt>
                <c:pt idx="6">
                  <c:v>555389904.06505203</c:v>
                </c:pt>
                <c:pt idx="7">
                  <c:v>566252951.43650103</c:v>
                </c:pt>
                <c:pt idx="8">
                  <c:v>573873049.70781684</c:v>
                </c:pt>
                <c:pt idx="9">
                  <c:v>578969673.25729585</c:v>
                </c:pt>
                <c:pt idx="10">
                  <c:v>581774486.18325925</c:v>
                </c:pt>
                <c:pt idx="11">
                  <c:v>583399476.71133101</c:v>
                </c:pt>
              </c:numCache>
            </c:numRef>
          </c:val>
          <c:smooth val="0"/>
          <c:extLst>
            <c:ext xmlns:c16="http://schemas.microsoft.com/office/drawing/2014/chart" uri="{C3380CC4-5D6E-409C-BE32-E72D297353CC}">
              <c16:uniqueId val="{00000002-8DE2-4E16-B54F-952CEB5448A4}"/>
            </c:ext>
          </c:extLst>
        </c:ser>
        <c:ser>
          <c:idx val="3"/>
          <c:order val="3"/>
          <c:tx>
            <c:strRef>
              <c:f>'Normalized Annual Summary'!$K$3</c:f>
              <c:strCache>
                <c:ptCount val="1"/>
                <c:pt idx="0">
                  <c:v>Normalized with Additional Loads</c:v>
                </c:pt>
              </c:strCache>
            </c:strRef>
          </c:tx>
          <c:marker>
            <c:symbol val="none"/>
          </c:marker>
          <c:cat>
            <c:numRef>
              <c:f>'Normalized Annual Summary'!$B$6:$B$17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Summary'!$K$6:$K$17</c:f>
              <c:numCache>
                <c:formatCode>#,##0</c:formatCode>
                <c:ptCount val="12"/>
                <c:pt idx="0">
                  <c:v>539460954.52247477</c:v>
                </c:pt>
                <c:pt idx="1">
                  <c:v>539613086.38185942</c:v>
                </c:pt>
                <c:pt idx="2">
                  <c:v>527762781.92663491</c:v>
                </c:pt>
                <c:pt idx="3">
                  <c:v>524479904.74577093</c:v>
                </c:pt>
                <c:pt idx="4">
                  <c:v>528413587.26521945</c:v>
                </c:pt>
                <c:pt idx="5">
                  <c:v>534060906.7024852</c:v>
                </c:pt>
                <c:pt idx="6">
                  <c:v>523888611.83992594</c:v>
                </c:pt>
                <c:pt idx="7">
                  <c:v>534634576.68997669</c:v>
                </c:pt>
                <c:pt idx="8">
                  <c:v>541905776.65657115</c:v>
                </c:pt>
                <c:pt idx="9">
                  <c:v>546149453.24997878</c:v>
                </c:pt>
                <c:pt idx="10">
                  <c:v>551459827.7427696</c:v>
                </c:pt>
                <c:pt idx="11">
                  <c:v>556998472.61889982</c:v>
                </c:pt>
              </c:numCache>
            </c:numRef>
          </c:val>
          <c:smooth val="0"/>
          <c:extLst>
            <c:ext xmlns:c16="http://schemas.microsoft.com/office/drawing/2014/chart" uri="{C3380CC4-5D6E-409C-BE32-E72D297353CC}">
              <c16:uniqueId val="{00000003-8DE2-4E16-B54F-952CEB5448A4}"/>
            </c:ext>
          </c:extLst>
        </c:ser>
        <c:dLbls>
          <c:showLegendKey val="0"/>
          <c:showVal val="0"/>
          <c:showCatName val="0"/>
          <c:showSerName val="0"/>
          <c:showPercent val="0"/>
          <c:showBubbleSize val="0"/>
        </c:dLbls>
        <c:smooth val="0"/>
        <c:axId val="177840896"/>
        <c:axId val="177842432"/>
      </c:lineChart>
      <c:catAx>
        <c:axId val="17784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842432"/>
        <c:crosses val="autoZero"/>
        <c:auto val="1"/>
        <c:lblAlgn val="ctr"/>
        <c:lblOffset val="100"/>
        <c:noMultiLvlLbl val="0"/>
      </c:catAx>
      <c:valAx>
        <c:axId val="177842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t>Annual Consumption (kWh)</a:t>
                </a:r>
              </a:p>
            </c:rich>
          </c:tx>
          <c:overlay val="0"/>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84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GS &lt; 50 kW</a:t>
            </a:r>
          </a:p>
        </c:rich>
      </c:tx>
      <c:overlay val="0"/>
    </c:title>
    <c:autoTitleDeleted val="0"/>
    <c:plotArea>
      <c:layout/>
      <c:lineChart>
        <c:grouping val="standard"/>
        <c:varyColors val="0"/>
        <c:ser>
          <c:idx val="0"/>
          <c:order val="0"/>
          <c:tx>
            <c:strRef>
              <c:f>'Normalized Annual Summary'!$N$3</c:f>
              <c:strCache>
                <c:ptCount val="1"/>
                <c:pt idx="0">
                  <c:v>Actual</c:v>
                </c:pt>
              </c:strCache>
            </c:strRef>
          </c:tx>
          <c:spPr>
            <a:ln w="28575" cap="rnd">
              <a:solidFill>
                <a:schemeClr val="accent1"/>
              </a:solidFill>
              <a:round/>
            </a:ln>
            <a:effectLst/>
          </c:spPr>
          <c:marker>
            <c:symbol val="none"/>
          </c:marker>
          <c:cat>
            <c:numRef>
              <c:f>'Normalized Annual Summary'!$M$6:$M$17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Summary'!$N$6:$N$17</c:f>
              <c:numCache>
                <c:formatCode>#,##0</c:formatCode>
                <c:ptCount val="12"/>
                <c:pt idx="0">
                  <c:v>170245509</c:v>
                </c:pt>
                <c:pt idx="1">
                  <c:v>169905557</c:v>
                </c:pt>
                <c:pt idx="2">
                  <c:v>166894185</c:v>
                </c:pt>
                <c:pt idx="3">
                  <c:v>174257110</c:v>
                </c:pt>
                <c:pt idx="4">
                  <c:v>170703484</c:v>
                </c:pt>
                <c:pt idx="5">
                  <c:v>153322573</c:v>
                </c:pt>
                <c:pt idx="6">
                  <c:v>156917865</c:v>
                </c:pt>
                <c:pt idx="7">
                  <c:v>167739015</c:v>
                </c:pt>
                <c:pt idx="8">
                  <c:v>169521838</c:v>
                </c:pt>
                <c:pt idx="9">
                  <c:v>168919666.52000001</c:v>
                </c:pt>
              </c:numCache>
            </c:numRef>
          </c:val>
          <c:smooth val="0"/>
          <c:extLst>
            <c:ext xmlns:c16="http://schemas.microsoft.com/office/drawing/2014/chart" uri="{C3380CC4-5D6E-409C-BE32-E72D297353CC}">
              <c16:uniqueId val="{00000000-5FF4-4DA4-9875-10FB45B051C5}"/>
            </c:ext>
          </c:extLst>
        </c:ser>
        <c:ser>
          <c:idx val="1"/>
          <c:order val="1"/>
          <c:tx>
            <c:strRef>
              <c:f>'Normalized Annual Summary'!$P$3</c:f>
              <c:strCache>
                <c:ptCount val="1"/>
                <c:pt idx="0">
                  <c:v>Actual No CDM</c:v>
                </c:pt>
              </c:strCache>
            </c:strRef>
          </c:tx>
          <c:spPr>
            <a:ln w="28575" cap="rnd">
              <a:solidFill>
                <a:schemeClr val="accent2"/>
              </a:solidFill>
              <a:round/>
            </a:ln>
            <a:effectLst/>
          </c:spPr>
          <c:marker>
            <c:symbol val="none"/>
          </c:marker>
          <c:cat>
            <c:numRef>
              <c:f>'Normalized Annual Summary'!$M$6:$M$17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Summary'!$P$6:$P$17</c:f>
              <c:numCache>
                <c:formatCode>#,##0</c:formatCode>
                <c:ptCount val="12"/>
                <c:pt idx="0">
                  <c:v>172218289.48210973</c:v>
                </c:pt>
                <c:pt idx="1">
                  <c:v>174885321.01763114</c:v>
                </c:pt>
                <c:pt idx="2">
                  <c:v>173841513.45425135</c:v>
                </c:pt>
                <c:pt idx="3">
                  <c:v>183676700.03861502</c:v>
                </c:pt>
                <c:pt idx="4">
                  <c:v>182204005.01340407</c:v>
                </c:pt>
                <c:pt idx="5">
                  <c:v>165404249.78398204</c:v>
                </c:pt>
                <c:pt idx="6">
                  <c:v>169419368.83821395</c:v>
                </c:pt>
                <c:pt idx="7">
                  <c:v>181122176.7576367</c:v>
                </c:pt>
                <c:pt idx="8">
                  <c:v>183814795.5003106</c:v>
                </c:pt>
                <c:pt idx="9">
                  <c:v>184141453.6462563</c:v>
                </c:pt>
              </c:numCache>
            </c:numRef>
          </c:val>
          <c:smooth val="0"/>
          <c:extLst>
            <c:ext xmlns:c16="http://schemas.microsoft.com/office/drawing/2014/chart" uri="{C3380CC4-5D6E-409C-BE32-E72D297353CC}">
              <c16:uniqueId val="{00000001-5FF4-4DA4-9875-10FB45B051C5}"/>
            </c:ext>
          </c:extLst>
        </c:ser>
        <c:ser>
          <c:idx val="2"/>
          <c:order val="2"/>
          <c:tx>
            <c:v>Normal No CDM</c:v>
          </c:tx>
          <c:spPr>
            <a:ln w="28575" cap="rnd">
              <a:solidFill>
                <a:schemeClr val="accent3"/>
              </a:solidFill>
              <a:round/>
            </a:ln>
            <a:effectLst/>
          </c:spPr>
          <c:marker>
            <c:symbol val="none"/>
          </c:marker>
          <c:cat>
            <c:numRef>
              <c:f>'Normalized Annual Summary'!$M$6:$M$17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Summary'!$R$6:$R$17</c:f>
              <c:numCache>
                <c:formatCode>#,##0</c:formatCode>
                <c:ptCount val="12"/>
                <c:pt idx="0">
                  <c:v>171550276.65221488</c:v>
                </c:pt>
                <c:pt idx="1">
                  <c:v>172409506.54125133</c:v>
                </c:pt>
                <c:pt idx="2">
                  <c:v>173956836.04288605</c:v>
                </c:pt>
                <c:pt idx="3">
                  <c:v>175917753.57018435</c:v>
                </c:pt>
                <c:pt idx="4">
                  <c:v>176954931.92005631</c:v>
                </c:pt>
                <c:pt idx="5">
                  <c:v>177301396.07755589</c:v>
                </c:pt>
                <c:pt idx="6">
                  <c:v>180163402.42043597</c:v>
                </c:pt>
                <c:pt idx="7">
                  <c:v>180887834.69829619</c:v>
                </c:pt>
                <c:pt idx="8">
                  <c:v>181737015.58854797</c:v>
                </c:pt>
                <c:pt idx="9">
                  <c:v>182301582.00755709</c:v>
                </c:pt>
                <c:pt idx="10">
                  <c:v>183053762.66115808</c:v>
                </c:pt>
                <c:pt idx="11">
                  <c:v>184297206.39396638</c:v>
                </c:pt>
              </c:numCache>
            </c:numRef>
          </c:val>
          <c:smooth val="0"/>
          <c:extLst>
            <c:ext xmlns:c16="http://schemas.microsoft.com/office/drawing/2014/chart" uri="{C3380CC4-5D6E-409C-BE32-E72D297353CC}">
              <c16:uniqueId val="{00000002-5FF4-4DA4-9875-10FB45B051C5}"/>
            </c:ext>
          </c:extLst>
        </c:ser>
        <c:ser>
          <c:idx val="3"/>
          <c:order val="3"/>
          <c:tx>
            <c:strRef>
              <c:f>'Normalized Annual Summary'!$V$3</c:f>
              <c:strCache>
                <c:ptCount val="1"/>
                <c:pt idx="0">
                  <c:v>Normalized with Additional Loads</c:v>
                </c:pt>
              </c:strCache>
            </c:strRef>
          </c:tx>
          <c:marker>
            <c:symbol val="none"/>
          </c:marker>
          <c:cat>
            <c:numRef>
              <c:f>'Normalized Annual Summary'!$M$6:$M$17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Summary'!$V$6:$V$17</c:f>
              <c:numCache>
                <c:formatCode>#,##0</c:formatCode>
                <c:ptCount val="12"/>
                <c:pt idx="0">
                  <c:v>169577496.17010516</c:v>
                </c:pt>
                <c:pt idx="1">
                  <c:v>167429742.52362019</c:v>
                </c:pt>
                <c:pt idx="2">
                  <c:v>167009507.5886347</c:v>
                </c:pt>
                <c:pt idx="3">
                  <c:v>166498163.53156933</c:v>
                </c:pt>
                <c:pt idx="4">
                  <c:v>165454410.90665221</c:v>
                </c:pt>
                <c:pt idx="5">
                  <c:v>165219719.29357386</c:v>
                </c:pt>
                <c:pt idx="6">
                  <c:v>167661898.58222201</c:v>
                </c:pt>
                <c:pt idx="7">
                  <c:v>167504672.94065949</c:v>
                </c:pt>
                <c:pt idx="8">
                  <c:v>167444058.08823738</c:v>
                </c:pt>
                <c:pt idx="9">
                  <c:v>167079794.88130081</c:v>
                </c:pt>
                <c:pt idx="10">
                  <c:v>169765570.42542037</c:v>
                </c:pt>
                <c:pt idx="11">
                  <c:v>172548368.89067316</c:v>
                </c:pt>
              </c:numCache>
            </c:numRef>
          </c:val>
          <c:smooth val="0"/>
          <c:extLst>
            <c:ext xmlns:c16="http://schemas.microsoft.com/office/drawing/2014/chart" uri="{C3380CC4-5D6E-409C-BE32-E72D297353CC}">
              <c16:uniqueId val="{00000003-5FF4-4DA4-9875-10FB45B051C5}"/>
            </c:ext>
          </c:extLst>
        </c:ser>
        <c:dLbls>
          <c:showLegendKey val="0"/>
          <c:showVal val="0"/>
          <c:showCatName val="0"/>
          <c:showSerName val="0"/>
          <c:showPercent val="0"/>
          <c:showBubbleSize val="0"/>
        </c:dLbls>
        <c:smooth val="0"/>
        <c:axId val="177875968"/>
        <c:axId val="177885952"/>
      </c:lineChart>
      <c:catAx>
        <c:axId val="177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885952"/>
        <c:crosses val="autoZero"/>
        <c:auto val="1"/>
        <c:lblAlgn val="ctr"/>
        <c:lblOffset val="100"/>
        <c:noMultiLvlLbl val="0"/>
      </c:catAx>
      <c:valAx>
        <c:axId val="177885952"/>
        <c:scaling>
          <c:orientation val="minMax"/>
          <c:min val="120000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a:pPr>
                <a:r>
                  <a:rPr lang="en-US" sz="1000" b="1" i="0" baseline="0">
                    <a:effectLst/>
                  </a:rPr>
                  <a:t>Annual Consumption (kWh)</a:t>
                </a:r>
                <a:endParaRPr lang="en-US" sz="1000">
                  <a:effectLst/>
                </a:endParaRPr>
              </a:p>
            </c:rich>
          </c:tx>
          <c:overlay val="0"/>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875968"/>
        <c:crosses val="autoZero"/>
        <c:crossBetween val="between"/>
      </c:valAx>
      <c:spPr>
        <a:noFill/>
        <a:ln>
          <a:noFill/>
        </a:ln>
        <a:effectLst/>
      </c:spPr>
    </c:plotArea>
    <c:legend>
      <c:legendPos val="b"/>
      <c:layout>
        <c:manualLayout>
          <c:xMode val="edge"/>
          <c:yMode val="edge"/>
          <c:x val="1.4685006509185803E-2"/>
          <c:y val="0.8509923345674506"/>
          <c:w val="0.9620622153021775"/>
          <c:h val="0.1225175992073838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GS &gt; 50 kW</a:t>
            </a:r>
          </a:p>
        </c:rich>
      </c:tx>
      <c:overlay val="0"/>
    </c:title>
    <c:autoTitleDeleted val="0"/>
    <c:plotArea>
      <c:layout/>
      <c:lineChart>
        <c:grouping val="standard"/>
        <c:varyColors val="0"/>
        <c:ser>
          <c:idx val="0"/>
          <c:order val="0"/>
          <c:tx>
            <c:strRef>
              <c:f>'Normalized Annual Summary'!$Y$3</c:f>
              <c:strCache>
                <c:ptCount val="1"/>
                <c:pt idx="0">
                  <c:v>Actual</c:v>
                </c:pt>
              </c:strCache>
            </c:strRef>
          </c:tx>
          <c:spPr>
            <a:ln w="28575" cap="rnd">
              <a:solidFill>
                <a:schemeClr val="accent1"/>
              </a:solidFill>
              <a:round/>
            </a:ln>
            <a:effectLst/>
          </c:spPr>
          <c:marker>
            <c:symbol val="none"/>
          </c:marker>
          <c:cat>
            <c:numRef>
              <c:f>'Normalized Annual Summary'!$X$6:$X$17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Summary'!$Y$6:$Y$16</c:f>
              <c:numCache>
                <c:formatCode>#,##0</c:formatCode>
                <c:ptCount val="11"/>
                <c:pt idx="0">
                  <c:v>907051642</c:v>
                </c:pt>
                <c:pt idx="1">
                  <c:v>920835908</c:v>
                </c:pt>
                <c:pt idx="2">
                  <c:v>885596225</c:v>
                </c:pt>
                <c:pt idx="3">
                  <c:v>874283086</c:v>
                </c:pt>
                <c:pt idx="4">
                  <c:v>837536595</c:v>
                </c:pt>
                <c:pt idx="5">
                  <c:v>787632949</c:v>
                </c:pt>
                <c:pt idx="6">
                  <c:v>797368549</c:v>
                </c:pt>
                <c:pt idx="7">
                  <c:v>812199013</c:v>
                </c:pt>
                <c:pt idx="8">
                  <c:v>785675948</c:v>
                </c:pt>
                <c:pt idx="9">
                  <c:v>796891425.15999985</c:v>
                </c:pt>
              </c:numCache>
            </c:numRef>
          </c:val>
          <c:smooth val="0"/>
          <c:extLst>
            <c:ext xmlns:c16="http://schemas.microsoft.com/office/drawing/2014/chart" uri="{C3380CC4-5D6E-409C-BE32-E72D297353CC}">
              <c16:uniqueId val="{00000000-0347-4CD5-B9F2-06D34607F46F}"/>
            </c:ext>
          </c:extLst>
        </c:ser>
        <c:ser>
          <c:idx val="1"/>
          <c:order val="1"/>
          <c:tx>
            <c:strRef>
              <c:f>'Normalized Annual Summary'!$AA$3</c:f>
              <c:strCache>
                <c:ptCount val="1"/>
                <c:pt idx="0">
                  <c:v>Actual No CDM</c:v>
                </c:pt>
              </c:strCache>
            </c:strRef>
          </c:tx>
          <c:spPr>
            <a:ln w="28575" cap="rnd">
              <a:solidFill>
                <a:schemeClr val="accent2"/>
              </a:solidFill>
              <a:round/>
            </a:ln>
            <a:effectLst/>
          </c:spPr>
          <c:marker>
            <c:symbol val="none"/>
          </c:marker>
          <c:cat>
            <c:numRef>
              <c:f>'Normalized Annual Summary'!$X$6:$X$17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Summary'!$AA$6:$AA$16</c:f>
              <c:numCache>
                <c:formatCode>#,##0</c:formatCode>
                <c:ptCount val="11"/>
                <c:pt idx="0">
                  <c:v>910621414.84628546</c:v>
                </c:pt>
                <c:pt idx="1">
                  <c:v>932830020.28206766</c:v>
                </c:pt>
                <c:pt idx="2">
                  <c:v>906232408.24198484</c:v>
                </c:pt>
                <c:pt idx="3">
                  <c:v>902283991.70787251</c:v>
                </c:pt>
                <c:pt idx="4">
                  <c:v>871212888.34090328</c:v>
                </c:pt>
                <c:pt idx="5">
                  <c:v>824214887.51585293</c:v>
                </c:pt>
                <c:pt idx="6">
                  <c:v>837126850.19182706</c:v>
                </c:pt>
                <c:pt idx="7">
                  <c:v>855997681.3740499</c:v>
                </c:pt>
                <c:pt idx="8">
                  <c:v>835068670.62611687</c:v>
                </c:pt>
                <c:pt idx="9">
                  <c:v>853065414.08809459</c:v>
                </c:pt>
              </c:numCache>
            </c:numRef>
          </c:val>
          <c:smooth val="0"/>
          <c:extLst>
            <c:ext xmlns:c16="http://schemas.microsoft.com/office/drawing/2014/chart" uri="{C3380CC4-5D6E-409C-BE32-E72D297353CC}">
              <c16:uniqueId val="{00000001-0347-4CD5-B9F2-06D34607F46F}"/>
            </c:ext>
          </c:extLst>
        </c:ser>
        <c:ser>
          <c:idx val="2"/>
          <c:order val="2"/>
          <c:tx>
            <c:v>Normal No CDM</c:v>
          </c:tx>
          <c:spPr>
            <a:ln w="28575" cap="rnd">
              <a:solidFill>
                <a:schemeClr val="accent3"/>
              </a:solidFill>
              <a:round/>
            </a:ln>
            <a:effectLst/>
          </c:spPr>
          <c:marker>
            <c:symbol val="none"/>
          </c:marker>
          <c:cat>
            <c:numRef>
              <c:f>'Normalized Annual Summary'!$X$6:$X$17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Summary'!$AC$6:$AC$17</c:f>
              <c:numCache>
                <c:formatCode>#,##0</c:formatCode>
                <c:ptCount val="12"/>
                <c:pt idx="0">
                  <c:v>914940592.92510986</c:v>
                </c:pt>
                <c:pt idx="1">
                  <c:v>905686799.77462828</c:v>
                </c:pt>
                <c:pt idx="2">
                  <c:v>896590634.36314428</c:v>
                </c:pt>
                <c:pt idx="3">
                  <c:v>887901926.88075137</c:v>
                </c:pt>
                <c:pt idx="4">
                  <c:v>880143722.20603633</c:v>
                </c:pt>
                <c:pt idx="5">
                  <c:v>850324976.19009829</c:v>
                </c:pt>
                <c:pt idx="6">
                  <c:v>865497557.19932771</c:v>
                </c:pt>
                <c:pt idx="7">
                  <c:v>858769351.86744785</c:v>
                </c:pt>
                <c:pt idx="8">
                  <c:v>841536554.5982964</c:v>
                </c:pt>
                <c:pt idx="9">
                  <c:v>830858279.36347163</c:v>
                </c:pt>
                <c:pt idx="10">
                  <c:v>819610933.46508241</c:v>
                </c:pt>
                <c:pt idx="11">
                  <c:v>808313138.75800836</c:v>
                </c:pt>
              </c:numCache>
            </c:numRef>
          </c:val>
          <c:smooth val="0"/>
          <c:extLst>
            <c:ext xmlns:c16="http://schemas.microsoft.com/office/drawing/2014/chart" uri="{C3380CC4-5D6E-409C-BE32-E72D297353CC}">
              <c16:uniqueId val="{00000002-0347-4CD5-B9F2-06D34607F46F}"/>
            </c:ext>
          </c:extLst>
        </c:ser>
        <c:ser>
          <c:idx val="3"/>
          <c:order val="3"/>
          <c:tx>
            <c:strRef>
              <c:f>'Normalized Annual Summary'!$AG$3</c:f>
              <c:strCache>
                <c:ptCount val="1"/>
                <c:pt idx="0">
                  <c:v>Normalized with Additional Loads</c:v>
                </c:pt>
              </c:strCache>
            </c:strRef>
          </c:tx>
          <c:marker>
            <c:symbol val="none"/>
          </c:marker>
          <c:cat>
            <c:numRef>
              <c:f>'Normalized Annual Summary'!$X$6:$X$17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Summary'!$AG$6:$AG$17</c:f>
              <c:numCache>
                <c:formatCode>#,##0</c:formatCode>
                <c:ptCount val="12"/>
                <c:pt idx="0">
                  <c:v>911370820.0788244</c:v>
                </c:pt>
                <c:pt idx="1">
                  <c:v>893692687.49256063</c:v>
                </c:pt>
                <c:pt idx="2">
                  <c:v>875954451.12115943</c:v>
                </c:pt>
                <c:pt idx="3">
                  <c:v>859901021.17287886</c:v>
                </c:pt>
                <c:pt idx="4">
                  <c:v>846467428.86513305</c:v>
                </c:pt>
                <c:pt idx="5">
                  <c:v>813743037.67424536</c:v>
                </c:pt>
                <c:pt idx="6">
                  <c:v>825739256.00750065</c:v>
                </c:pt>
                <c:pt idx="7">
                  <c:v>814970683.49339795</c:v>
                </c:pt>
                <c:pt idx="8">
                  <c:v>792143831.97217953</c:v>
                </c:pt>
                <c:pt idx="9">
                  <c:v>774684290.43537688</c:v>
                </c:pt>
                <c:pt idx="10">
                  <c:v>762298638.97352743</c:v>
                </c:pt>
                <c:pt idx="11">
                  <c:v>750558930.32238185</c:v>
                </c:pt>
              </c:numCache>
            </c:numRef>
          </c:val>
          <c:smooth val="0"/>
          <c:extLst>
            <c:ext xmlns:c16="http://schemas.microsoft.com/office/drawing/2014/chart" uri="{C3380CC4-5D6E-409C-BE32-E72D297353CC}">
              <c16:uniqueId val="{00000003-0347-4CD5-B9F2-06D34607F46F}"/>
            </c:ext>
          </c:extLst>
        </c:ser>
        <c:dLbls>
          <c:showLegendKey val="0"/>
          <c:showVal val="0"/>
          <c:showCatName val="0"/>
          <c:showSerName val="0"/>
          <c:showPercent val="0"/>
          <c:showBubbleSize val="0"/>
        </c:dLbls>
        <c:smooth val="0"/>
        <c:axId val="178001408"/>
        <c:axId val="178002944"/>
      </c:lineChart>
      <c:catAx>
        <c:axId val="17800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002944"/>
        <c:crosses val="autoZero"/>
        <c:auto val="1"/>
        <c:lblAlgn val="ctr"/>
        <c:lblOffset val="100"/>
        <c:noMultiLvlLbl val="0"/>
      </c:catAx>
      <c:valAx>
        <c:axId val="178002944"/>
        <c:scaling>
          <c:orientation val="minMax"/>
          <c:min val="600000000.00000012"/>
        </c:scaling>
        <c:delete val="0"/>
        <c:axPos val="l"/>
        <c:majorGridlines>
          <c:spPr>
            <a:ln w="9525" cap="flat" cmpd="sng" algn="ctr">
              <a:solidFill>
                <a:schemeClr val="tx1">
                  <a:lumMod val="15000"/>
                  <a:lumOff val="85000"/>
                </a:schemeClr>
              </a:solidFill>
              <a:round/>
            </a:ln>
            <a:effectLst/>
          </c:spPr>
        </c:majorGridlines>
        <c:title>
          <c:tx>
            <c:rich>
              <a:bodyPr/>
              <a:lstStyle/>
              <a:p>
                <a:pPr>
                  <a:defRPr sz="1000"/>
                </a:pPr>
                <a:r>
                  <a:rPr lang="en-US" sz="1000" b="1" i="0" baseline="0">
                    <a:effectLst/>
                  </a:rPr>
                  <a:t>Annual Consumption (kWh)</a:t>
                </a:r>
                <a:endParaRPr lang="en-US" sz="1000">
                  <a:effectLst/>
                </a:endParaRPr>
              </a:p>
            </c:rich>
          </c:tx>
          <c:overlay val="0"/>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001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Street Light</a:t>
            </a:r>
          </a:p>
        </c:rich>
      </c:tx>
      <c:overlay val="0"/>
    </c:title>
    <c:autoTitleDeleted val="0"/>
    <c:plotArea>
      <c:layout/>
      <c:lineChart>
        <c:grouping val="standard"/>
        <c:varyColors val="0"/>
        <c:ser>
          <c:idx val="0"/>
          <c:order val="0"/>
          <c:tx>
            <c:strRef>
              <c:f>'Normalized Annual Summary'!$AJ$3</c:f>
              <c:strCache>
                <c:ptCount val="1"/>
                <c:pt idx="0">
                  <c:v>Actual</c:v>
                </c:pt>
              </c:strCache>
            </c:strRef>
          </c:tx>
          <c:spPr>
            <a:ln w="28575" cap="rnd">
              <a:solidFill>
                <a:schemeClr val="accent1"/>
              </a:solidFill>
              <a:round/>
            </a:ln>
            <a:effectLst/>
          </c:spPr>
          <c:marker>
            <c:symbol val="none"/>
          </c:marker>
          <c:cat>
            <c:numRef>
              <c:f>'Normalized Annual Summary'!$AI$6:$AI$17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Summary'!$AJ$6:$AJ$17</c:f>
              <c:numCache>
                <c:formatCode>#,##0</c:formatCode>
                <c:ptCount val="12"/>
                <c:pt idx="0">
                  <c:v>9918681</c:v>
                </c:pt>
                <c:pt idx="1">
                  <c:v>9945876</c:v>
                </c:pt>
                <c:pt idx="2">
                  <c:v>11286654.700000001</c:v>
                </c:pt>
                <c:pt idx="3">
                  <c:v>6528022.6000000006</c:v>
                </c:pt>
                <c:pt idx="4">
                  <c:v>5537652.8999999994</c:v>
                </c:pt>
                <c:pt idx="5">
                  <c:v>5409836</c:v>
                </c:pt>
                <c:pt idx="6">
                  <c:v>5543828</c:v>
                </c:pt>
                <c:pt idx="7">
                  <c:v>5550156</c:v>
                </c:pt>
                <c:pt idx="8">
                  <c:v>5553781</c:v>
                </c:pt>
                <c:pt idx="9">
                  <c:v>5595608.9199999999</c:v>
                </c:pt>
              </c:numCache>
            </c:numRef>
          </c:val>
          <c:smooth val="0"/>
          <c:extLst>
            <c:ext xmlns:c16="http://schemas.microsoft.com/office/drawing/2014/chart" uri="{C3380CC4-5D6E-409C-BE32-E72D297353CC}">
              <c16:uniqueId val="{00000000-7887-4806-AF2F-9B2AB721F4D7}"/>
            </c:ext>
          </c:extLst>
        </c:ser>
        <c:ser>
          <c:idx val="3"/>
          <c:order val="1"/>
          <c:tx>
            <c:strRef>
              <c:f>'Normalized Annual Summary'!$AM$3</c:f>
              <c:strCache>
                <c:ptCount val="1"/>
                <c:pt idx="0">
                  <c:v>Normal Forecast</c:v>
                </c:pt>
              </c:strCache>
            </c:strRef>
          </c:tx>
          <c:marker>
            <c:symbol val="none"/>
          </c:marker>
          <c:cat>
            <c:numRef>
              <c:f>'Normalized Annual Summary'!$AI$6:$AI$17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Summary'!$AM$6:$AM$17</c:f>
              <c:numCache>
                <c:formatCode>#,##0</c:formatCode>
                <c:ptCount val="12"/>
                <c:pt idx="0">
                  <c:v>9918681</c:v>
                </c:pt>
                <c:pt idx="1">
                  <c:v>9945876</c:v>
                </c:pt>
                <c:pt idx="2">
                  <c:v>11286654.700000001</c:v>
                </c:pt>
                <c:pt idx="3">
                  <c:v>6528022.6000000006</c:v>
                </c:pt>
                <c:pt idx="4">
                  <c:v>5537652.8999999994</c:v>
                </c:pt>
                <c:pt idx="5">
                  <c:v>5409836</c:v>
                </c:pt>
                <c:pt idx="6">
                  <c:v>5543828</c:v>
                </c:pt>
                <c:pt idx="7">
                  <c:v>5550156</c:v>
                </c:pt>
                <c:pt idx="8">
                  <c:v>5553781</c:v>
                </c:pt>
                <c:pt idx="9">
                  <c:v>5595608.9199999999</c:v>
                </c:pt>
                <c:pt idx="10">
                  <c:v>5601815.3767096987</c:v>
                </c:pt>
                <c:pt idx="11">
                  <c:v>5608030.8259170279</c:v>
                </c:pt>
              </c:numCache>
            </c:numRef>
          </c:val>
          <c:smooth val="0"/>
          <c:extLst>
            <c:ext xmlns:c16="http://schemas.microsoft.com/office/drawing/2014/chart" uri="{C3380CC4-5D6E-409C-BE32-E72D297353CC}">
              <c16:uniqueId val="{00000003-7887-4806-AF2F-9B2AB721F4D7}"/>
            </c:ext>
          </c:extLst>
        </c:ser>
        <c:dLbls>
          <c:showLegendKey val="0"/>
          <c:showVal val="0"/>
          <c:showCatName val="0"/>
          <c:showSerName val="0"/>
          <c:showPercent val="0"/>
          <c:showBubbleSize val="0"/>
        </c:dLbls>
        <c:smooth val="0"/>
        <c:axId val="178042752"/>
        <c:axId val="178044288"/>
      </c:lineChart>
      <c:catAx>
        <c:axId val="17804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044288"/>
        <c:crosses val="autoZero"/>
        <c:auto val="1"/>
        <c:lblAlgn val="ctr"/>
        <c:lblOffset val="100"/>
        <c:noMultiLvlLbl val="0"/>
      </c:catAx>
      <c:valAx>
        <c:axId val="178044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t>Annual Consumption</a:t>
                </a:r>
              </a:p>
            </c:rich>
          </c:tx>
          <c:overlay val="0"/>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042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Per Streetlight Device</a:t>
            </a:r>
          </a:p>
        </c:rich>
      </c:tx>
      <c:overlay val="0"/>
      <c:spPr>
        <a:noFill/>
        <a:ln>
          <a:noFill/>
        </a:ln>
        <a:effectLst/>
      </c:spPr>
    </c:title>
    <c:autoTitleDeleted val="0"/>
    <c:plotArea>
      <c:layout/>
      <c:lineChart>
        <c:grouping val="standard"/>
        <c:varyColors val="0"/>
        <c:ser>
          <c:idx val="0"/>
          <c:order val="0"/>
          <c:tx>
            <c:strRef>
              <c:f>'Normalized Annual Summary'!$AL$3</c:f>
              <c:strCache>
                <c:ptCount val="1"/>
                <c:pt idx="0">
                  <c:v>Average per Device</c:v>
                </c:pt>
              </c:strCache>
            </c:strRef>
          </c:tx>
          <c:spPr>
            <a:ln w="28575" cap="rnd">
              <a:solidFill>
                <a:schemeClr val="accent1"/>
              </a:solidFill>
              <a:round/>
            </a:ln>
            <a:effectLst/>
          </c:spPr>
          <c:marker>
            <c:symbol val="none"/>
          </c:marker>
          <c:cat>
            <c:numRef>
              <c:f>'Normalized Annual Summary'!$AI$6:$AI$17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Summary'!$AL$6:$AL$15</c:f>
              <c:numCache>
                <c:formatCode>#,##0</c:formatCode>
                <c:ptCount val="10"/>
                <c:pt idx="0">
                  <c:v>651.32000678548559</c:v>
                </c:pt>
                <c:pt idx="1">
                  <c:v>652.07456619607501</c:v>
                </c:pt>
                <c:pt idx="2">
                  <c:v>656.81184241154574</c:v>
                </c:pt>
                <c:pt idx="3">
                  <c:v>379.88958333333335</c:v>
                </c:pt>
                <c:pt idx="4">
                  <c:v>322.25633729050276</c:v>
                </c:pt>
                <c:pt idx="5">
                  <c:v>314.79377763984797</c:v>
                </c:pt>
                <c:pt idx="6">
                  <c:v>322.52184536622258</c:v>
                </c:pt>
                <c:pt idx="7">
                  <c:v>322.66472879483752</c:v>
                </c:pt>
                <c:pt idx="8">
                  <c:v>322.7066240557815</c:v>
                </c:pt>
                <c:pt idx="9">
                  <c:v>323.26341628273082</c:v>
                </c:pt>
              </c:numCache>
            </c:numRef>
          </c:val>
          <c:smooth val="0"/>
          <c:extLst>
            <c:ext xmlns:c16="http://schemas.microsoft.com/office/drawing/2014/chart" uri="{C3380CC4-5D6E-409C-BE32-E72D297353CC}">
              <c16:uniqueId val="{00000000-CA5A-47C0-92B0-3D2135012DDA}"/>
            </c:ext>
          </c:extLst>
        </c:ser>
        <c:ser>
          <c:idx val="1"/>
          <c:order val="1"/>
          <c:tx>
            <c:v>Forecast per Device</c:v>
          </c:tx>
          <c:spPr>
            <a:ln w="28575" cap="rnd">
              <a:solidFill>
                <a:schemeClr val="accent2"/>
              </a:solidFill>
              <a:round/>
            </a:ln>
            <a:effectLst/>
          </c:spPr>
          <c:marker>
            <c:symbol val="none"/>
          </c:marker>
          <c:cat>
            <c:numRef>
              <c:f>'Normalized Annual Summary'!$AI$6:$AI$17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Summary'!$AN$6:$AN$14,'Normalized Annual Summary'!$AL$15:$AL$17)</c:f>
              <c:numCache>
                <c:formatCode>General</c:formatCode>
                <c:ptCount val="12"/>
                <c:pt idx="9" formatCode="#,##0">
                  <c:v>323.26341628273082</c:v>
                </c:pt>
                <c:pt idx="10" formatCode="#,##0">
                  <c:v>323.26341628273082</c:v>
                </c:pt>
                <c:pt idx="11" formatCode="#,##0">
                  <c:v>323.26341628273082</c:v>
                </c:pt>
              </c:numCache>
            </c:numRef>
          </c:val>
          <c:smooth val="0"/>
          <c:extLst>
            <c:ext xmlns:c16="http://schemas.microsoft.com/office/drawing/2014/chart" uri="{C3380CC4-5D6E-409C-BE32-E72D297353CC}">
              <c16:uniqueId val="{00000001-CA5A-47C0-92B0-3D2135012DDA}"/>
            </c:ext>
          </c:extLst>
        </c:ser>
        <c:dLbls>
          <c:showLegendKey val="0"/>
          <c:showVal val="0"/>
          <c:showCatName val="0"/>
          <c:showSerName val="0"/>
          <c:showPercent val="0"/>
          <c:showBubbleSize val="0"/>
        </c:dLbls>
        <c:smooth val="0"/>
        <c:axId val="177608192"/>
        <c:axId val="177609728"/>
      </c:lineChart>
      <c:catAx>
        <c:axId val="17760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609728"/>
        <c:crosses val="autoZero"/>
        <c:auto val="1"/>
        <c:lblAlgn val="ctr"/>
        <c:lblOffset val="100"/>
        <c:noMultiLvlLbl val="0"/>
      </c:catAx>
      <c:valAx>
        <c:axId val="177609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t>Annual Consumption per Device</a:t>
                </a:r>
              </a:p>
            </c:rich>
          </c:tx>
          <c:overlay val="0"/>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608192"/>
        <c:crosses val="autoZero"/>
        <c:crossBetween val="between"/>
      </c:valAx>
      <c:spPr>
        <a:noFill/>
        <a:ln>
          <a:noFill/>
        </a:ln>
        <a:effectLst/>
      </c:spPr>
    </c:plotArea>
    <c:legend>
      <c:legendPos val="b"/>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USL</a:t>
            </a:r>
          </a:p>
        </c:rich>
      </c:tx>
      <c:overlay val="0"/>
    </c:title>
    <c:autoTitleDeleted val="0"/>
    <c:plotArea>
      <c:layout/>
      <c:lineChart>
        <c:grouping val="standard"/>
        <c:varyColors val="0"/>
        <c:ser>
          <c:idx val="0"/>
          <c:order val="0"/>
          <c:tx>
            <c:strRef>
              <c:f>'Normalized Annual Summary'!$AP$3</c:f>
              <c:strCache>
                <c:ptCount val="1"/>
                <c:pt idx="0">
                  <c:v>Actual</c:v>
                </c:pt>
              </c:strCache>
            </c:strRef>
          </c:tx>
          <c:spPr>
            <a:ln w="28575" cap="rnd">
              <a:solidFill>
                <a:schemeClr val="accent1"/>
              </a:solidFill>
              <a:round/>
            </a:ln>
            <a:effectLst/>
          </c:spPr>
          <c:marker>
            <c:symbol val="none"/>
          </c:marker>
          <c:cat>
            <c:numRef>
              <c:f>'Normalized Annual Summary'!$AO$6:$AO$17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Summary'!$AP$6:$AP$17</c:f>
              <c:numCache>
                <c:formatCode>#,##0</c:formatCode>
                <c:ptCount val="12"/>
                <c:pt idx="0">
                  <c:v>3110148</c:v>
                </c:pt>
                <c:pt idx="1">
                  <c:v>3115033</c:v>
                </c:pt>
                <c:pt idx="2">
                  <c:v>3130244</c:v>
                </c:pt>
                <c:pt idx="3">
                  <c:v>3138478</c:v>
                </c:pt>
                <c:pt idx="4">
                  <c:v>3144191</c:v>
                </c:pt>
                <c:pt idx="5">
                  <c:v>3140725</c:v>
                </c:pt>
                <c:pt idx="6">
                  <c:v>3135184</c:v>
                </c:pt>
                <c:pt idx="7">
                  <c:v>3146746</c:v>
                </c:pt>
                <c:pt idx="8">
                  <c:v>3168511</c:v>
                </c:pt>
                <c:pt idx="9">
                  <c:v>3283469.76</c:v>
                </c:pt>
              </c:numCache>
            </c:numRef>
          </c:val>
          <c:smooth val="0"/>
          <c:extLst>
            <c:ext xmlns:c16="http://schemas.microsoft.com/office/drawing/2014/chart" uri="{C3380CC4-5D6E-409C-BE32-E72D297353CC}">
              <c16:uniqueId val="{00000000-9168-43A7-9AA7-1FFDC34E62D4}"/>
            </c:ext>
          </c:extLst>
        </c:ser>
        <c:ser>
          <c:idx val="3"/>
          <c:order val="1"/>
          <c:tx>
            <c:strRef>
              <c:f>'Normalized Annual Summary'!$AS$3</c:f>
              <c:strCache>
                <c:ptCount val="1"/>
                <c:pt idx="0">
                  <c:v>Normal Forecast</c:v>
                </c:pt>
              </c:strCache>
            </c:strRef>
          </c:tx>
          <c:spPr>
            <a:ln w="28575" cap="rnd">
              <a:solidFill>
                <a:schemeClr val="accent4"/>
              </a:solidFill>
              <a:round/>
            </a:ln>
            <a:effectLst/>
          </c:spPr>
          <c:marker>
            <c:symbol val="none"/>
          </c:marker>
          <c:cat>
            <c:numRef>
              <c:f>'Normalized Annual Summary'!$AO$6:$AO$17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Summary'!$AT$6:$AT$14,'Normalized Annual Summary'!$AS$15:$AS$17)</c:f>
              <c:numCache>
                <c:formatCode>General</c:formatCode>
                <c:ptCount val="12"/>
                <c:pt idx="9" formatCode="#,##0">
                  <c:v>3283469.76</c:v>
                </c:pt>
                <c:pt idx="10" formatCode="#,##0">
                  <c:v>3297741.5382048921</c:v>
                </c:pt>
                <c:pt idx="11" formatCode="#,##0">
                  <c:v>3312078.3011629507</c:v>
                </c:pt>
              </c:numCache>
            </c:numRef>
          </c:val>
          <c:smooth val="0"/>
          <c:extLst>
            <c:ext xmlns:c16="http://schemas.microsoft.com/office/drawing/2014/chart" uri="{C3380CC4-5D6E-409C-BE32-E72D297353CC}">
              <c16:uniqueId val="{00000001-9168-43A7-9AA7-1FFDC34E62D4}"/>
            </c:ext>
          </c:extLst>
        </c:ser>
        <c:dLbls>
          <c:showLegendKey val="0"/>
          <c:showVal val="0"/>
          <c:showCatName val="0"/>
          <c:showSerName val="0"/>
          <c:showPercent val="0"/>
          <c:showBubbleSize val="0"/>
        </c:dLbls>
        <c:smooth val="0"/>
        <c:axId val="177661440"/>
        <c:axId val="177662976"/>
      </c:lineChart>
      <c:catAx>
        <c:axId val="17766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662976"/>
        <c:crosses val="autoZero"/>
        <c:auto val="1"/>
        <c:lblAlgn val="ctr"/>
        <c:lblOffset val="100"/>
        <c:noMultiLvlLbl val="0"/>
      </c:catAx>
      <c:valAx>
        <c:axId val="177662976"/>
        <c:scaling>
          <c:orientation val="minMax"/>
          <c:min val="280000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t>Annual Consumption</a:t>
                </a:r>
              </a:p>
            </c:rich>
          </c:tx>
          <c:overlay val="0"/>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66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Per USL Device</a:t>
            </a:r>
          </a:p>
        </c:rich>
      </c:tx>
      <c:overlay val="0"/>
      <c:spPr>
        <a:noFill/>
        <a:ln>
          <a:noFill/>
        </a:ln>
        <a:effectLst/>
      </c:spPr>
    </c:title>
    <c:autoTitleDeleted val="0"/>
    <c:plotArea>
      <c:layout/>
      <c:lineChart>
        <c:grouping val="standard"/>
        <c:varyColors val="0"/>
        <c:ser>
          <c:idx val="0"/>
          <c:order val="0"/>
          <c:tx>
            <c:strRef>
              <c:f>'Normalized Annual Summary'!$AR$3</c:f>
              <c:strCache>
                <c:ptCount val="1"/>
                <c:pt idx="0">
                  <c:v>Average per Device</c:v>
                </c:pt>
              </c:strCache>
            </c:strRef>
          </c:tx>
          <c:spPr>
            <a:ln w="28575" cap="rnd">
              <a:solidFill>
                <a:schemeClr val="accent1"/>
              </a:solidFill>
              <a:round/>
            </a:ln>
            <a:effectLst/>
          </c:spPr>
          <c:marker>
            <c:symbol val="none"/>
          </c:marker>
          <c:cat>
            <c:numRef>
              <c:f>'Normalized Annual Summary'!$AO$6:$AO$17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Summary'!$AR$6:$AR$15</c:f>
              <c:numCache>
                <c:formatCode>#,##0</c:formatCode>
                <c:ptCount val="10"/>
                <c:pt idx="0">
                  <c:v>5586.2559497081274</c:v>
                </c:pt>
                <c:pt idx="1">
                  <c:v>5571.6792368460274</c:v>
                </c:pt>
                <c:pt idx="2">
                  <c:v>5570.6551979830938</c:v>
                </c:pt>
                <c:pt idx="3">
                  <c:v>5571.2627218934904</c:v>
                </c:pt>
                <c:pt idx="4">
                  <c:v>5599.6277827248441</c:v>
                </c:pt>
                <c:pt idx="5">
                  <c:v>5452.6475694444443</c:v>
                </c:pt>
                <c:pt idx="6">
                  <c:v>5465.9607729187846</c:v>
                </c:pt>
                <c:pt idx="7">
                  <c:v>5486.9154315605929</c:v>
                </c:pt>
                <c:pt idx="8">
                  <c:v>5509.6554122590924</c:v>
                </c:pt>
                <c:pt idx="9">
                  <c:v>5671.7485418166116</c:v>
                </c:pt>
              </c:numCache>
            </c:numRef>
          </c:val>
          <c:smooth val="0"/>
          <c:extLst>
            <c:ext xmlns:c16="http://schemas.microsoft.com/office/drawing/2014/chart" uri="{C3380CC4-5D6E-409C-BE32-E72D297353CC}">
              <c16:uniqueId val="{00000000-AC2D-4DDA-B3EA-029F51E8F94F}"/>
            </c:ext>
          </c:extLst>
        </c:ser>
        <c:ser>
          <c:idx val="1"/>
          <c:order val="1"/>
          <c:tx>
            <c:v>Forecast per Device</c:v>
          </c:tx>
          <c:spPr>
            <a:ln w="28575" cap="rnd">
              <a:solidFill>
                <a:schemeClr val="accent2"/>
              </a:solidFill>
              <a:round/>
            </a:ln>
            <a:effectLst/>
          </c:spPr>
          <c:marker>
            <c:symbol val="none"/>
          </c:marker>
          <c:cat>
            <c:numRef>
              <c:f>'Normalized Annual Summary'!$AO$6:$AO$17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Summary'!$AN$6:$AN$14,'Normalized Annual Summary'!$AR$15:$AR$17)</c:f>
              <c:numCache>
                <c:formatCode>General</c:formatCode>
                <c:ptCount val="12"/>
                <c:pt idx="9" formatCode="#,##0">
                  <c:v>5671.7485418166116</c:v>
                </c:pt>
                <c:pt idx="10" formatCode="#,##0">
                  <c:v>5671.7485418166116</c:v>
                </c:pt>
                <c:pt idx="11" formatCode="#,##0">
                  <c:v>5671.7485418166116</c:v>
                </c:pt>
              </c:numCache>
            </c:numRef>
          </c:val>
          <c:smooth val="0"/>
          <c:extLst>
            <c:ext xmlns:c16="http://schemas.microsoft.com/office/drawing/2014/chart" uri="{C3380CC4-5D6E-409C-BE32-E72D297353CC}">
              <c16:uniqueId val="{00000001-AC2D-4DDA-B3EA-029F51E8F94F}"/>
            </c:ext>
          </c:extLst>
        </c:ser>
        <c:dLbls>
          <c:showLegendKey val="0"/>
          <c:showVal val="0"/>
          <c:showCatName val="0"/>
          <c:showSerName val="0"/>
          <c:showPercent val="0"/>
          <c:showBubbleSize val="0"/>
        </c:dLbls>
        <c:smooth val="0"/>
        <c:axId val="177702400"/>
        <c:axId val="177703936"/>
      </c:lineChart>
      <c:catAx>
        <c:axId val="17770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703936"/>
        <c:crosses val="autoZero"/>
        <c:auto val="1"/>
        <c:lblAlgn val="ctr"/>
        <c:lblOffset val="100"/>
        <c:noMultiLvlLbl val="0"/>
      </c:catAx>
      <c:valAx>
        <c:axId val="177703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a:pPr>
                <a:r>
                  <a:rPr lang="en-US" sz="1000" b="1" i="0" baseline="0">
                    <a:effectLst/>
                  </a:rPr>
                  <a:t>Annual Consumption per Device</a:t>
                </a:r>
                <a:endParaRPr lang="en-US" sz="1000">
                  <a:effectLst/>
                </a:endParaRPr>
              </a:p>
            </c:rich>
          </c:tx>
          <c:overlay val="0"/>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702400"/>
        <c:crosses val="autoZero"/>
        <c:crossBetween val="between"/>
      </c:valAx>
      <c:spPr>
        <a:noFill/>
        <a:ln>
          <a:noFill/>
        </a:ln>
        <a:effectLst/>
      </c:spPr>
    </c:plotArea>
    <c:legend>
      <c:legendPos val="b"/>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Residential</a:t>
            </a:r>
          </a:p>
        </c:rich>
      </c:tx>
      <c:overlay val="0"/>
    </c:title>
    <c:autoTitleDeleted val="0"/>
    <c:plotArea>
      <c:layout/>
      <c:lineChart>
        <c:grouping val="standard"/>
        <c:varyColors val="0"/>
        <c:ser>
          <c:idx val="0"/>
          <c:order val="0"/>
          <c:tx>
            <c:strRef>
              <c:f>'Normalized Annual Summary'!$C$3</c:f>
              <c:strCache>
                <c:ptCount val="1"/>
                <c:pt idx="0">
                  <c:v>Actual</c:v>
                </c:pt>
              </c:strCache>
            </c:strRef>
          </c:tx>
          <c:spPr>
            <a:ln w="28575" cap="rnd">
              <a:solidFill>
                <a:schemeClr val="accent1"/>
              </a:solidFill>
              <a:round/>
            </a:ln>
            <a:effectLst/>
          </c:spPr>
          <c:marker>
            <c:symbol val="none"/>
          </c:marker>
          <c:cat>
            <c:numRef>
              <c:f>'Normalized Annual Summary'!$B$6:$B$17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Summary'!$C$6:$C$17</c:f>
              <c:numCache>
                <c:formatCode>#,##0</c:formatCode>
                <c:ptCount val="12"/>
                <c:pt idx="0">
                  <c:v>530999846</c:v>
                </c:pt>
                <c:pt idx="1">
                  <c:v>545123880</c:v>
                </c:pt>
                <c:pt idx="2">
                  <c:v>501428451</c:v>
                </c:pt>
                <c:pt idx="3">
                  <c:v>536801589</c:v>
                </c:pt>
                <c:pt idx="4">
                  <c:v>512580883</c:v>
                </c:pt>
                <c:pt idx="5">
                  <c:v>555286631</c:v>
                </c:pt>
                <c:pt idx="6">
                  <c:v>550878084</c:v>
                </c:pt>
                <c:pt idx="7">
                  <c:v>543063322</c:v>
                </c:pt>
                <c:pt idx="8">
                  <c:v>520495248</c:v>
                </c:pt>
                <c:pt idx="9">
                  <c:v>540051923.88</c:v>
                </c:pt>
              </c:numCache>
            </c:numRef>
          </c:val>
          <c:smooth val="0"/>
          <c:extLst>
            <c:ext xmlns:c16="http://schemas.microsoft.com/office/drawing/2014/chart" uri="{C3380CC4-5D6E-409C-BE32-E72D297353CC}">
              <c16:uniqueId val="{00000000-E8EE-4137-99CE-2F19F9AB6A5E}"/>
            </c:ext>
          </c:extLst>
        </c:ser>
        <c:ser>
          <c:idx val="1"/>
          <c:order val="1"/>
          <c:tx>
            <c:strRef>
              <c:f>'Normalized Annual Summary'!$E$3</c:f>
              <c:strCache>
                <c:ptCount val="1"/>
                <c:pt idx="0">
                  <c:v>Actual No CDM</c:v>
                </c:pt>
              </c:strCache>
            </c:strRef>
          </c:tx>
          <c:spPr>
            <a:ln w="28575" cap="rnd">
              <a:solidFill>
                <a:schemeClr val="accent2"/>
              </a:solidFill>
              <a:round/>
            </a:ln>
            <a:effectLst/>
          </c:spPr>
          <c:marker>
            <c:symbol val="none"/>
          </c:marker>
          <c:cat>
            <c:numRef>
              <c:f>'Normalized Annual Summary'!$B$6:$B$17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Summary'!$E$6:$E$17</c:f>
              <c:numCache>
                <c:formatCode>#,##0</c:formatCode>
                <c:ptCount val="12"/>
                <c:pt idx="0">
                  <c:v>532890860.25720602</c:v>
                </c:pt>
                <c:pt idx="1">
                  <c:v>552745360.65753627</c:v>
                </c:pt>
                <c:pt idx="2">
                  <c:v>523095111.88667035</c:v>
                </c:pt>
                <c:pt idx="3">
                  <c:v>566454235.37672377</c:v>
                </c:pt>
                <c:pt idx="4">
                  <c:v>544053943.83784747</c:v>
                </c:pt>
                <c:pt idx="5">
                  <c:v>586747287.62514937</c:v>
                </c:pt>
                <c:pt idx="6">
                  <c:v>582379376.22512603</c:v>
                </c:pt>
                <c:pt idx="7">
                  <c:v>574681696.74652433</c:v>
                </c:pt>
                <c:pt idx="8">
                  <c:v>552462521.05124569</c:v>
                </c:pt>
                <c:pt idx="9">
                  <c:v>572872143.88731706</c:v>
                </c:pt>
              </c:numCache>
            </c:numRef>
          </c:val>
          <c:smooth val="0"/>
          <c:extLst>
            <c:ext xmlns:c16="http://schemas.microsoft.com/office/drawing/2014/chart" uri="{C3380CC4-5D6E-409C-BE32-E72D297353CC}">
              <c16:uniqueId val="{00000001-E8EE-4137-99CE-2F19F9AB6A5E}"/>
            </c:ext>
          </c:extLst>
        </c:ser>
        <c:ser>
          <c:idx val="2"/>
          <c:order val="2"/>
          <c:tx>
            <c:v>Normal No CDM</c:v>
          </c:tx>
          <c:spPr>
            <a:ln w="28575" cap="rnd">
              <a:solidFill>
                <a:schemeClr val="accent3"/>
              </a:solidFill>
              <a:round/>
            </a:ln>
            <a:effectLst/>
          </c:spPr>
          <c:marker>
            <c:symbol val="none"/>
          </c:marker>
          <c:cat>
            <c:numRef>
              <c:f>'Normalized Annual Summary'!$B$6:$B$17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Summary'!$G$6:$G$17</c:f>
              <c:numCache>
                <c:formatCode>#,##0</c:formatCode>
                <c:ptCount val="12"/>
                <c:pt idx="0">
                  <c:v>541351968.77968085</c:v>
                </c:pt>
                <c:pt idx="1">
                  <c:v>547234567.03939569</c:v>
                </c:pt>
                <c:pt idx="2">
                  <c:v>549429442.81330526</c:v>
                </c:pt>
                <c:pt idx="3">
                  <c:v>554132551.1224947</c:v>
                </c:pt>
                <c:pt idx="4">
                  <c:v>559886648.10306692</c:v>
                </c:pt>
                <c:pt idx="5">
                  <c:v>565521563.32763457</c:v>
                </c:pt>
                <c:pt idx="6">
                  <c:v>555389904.06505203</c:v>
                </c:pt>
                <c:pt idx="7">
                  <c:v>566252951.43650103</c:v>
                </c:pt>
                <c:pt idx="8">
                  <c:v>573873049.70781684</c:v>
                </c:pt>
                <c:pt idx="9">
                  <c:v>578969673.25729585</c:v>
                </c:pt>
                <c:pt idx="10">
                  <c:v>581774486.18325925</c:v>
                </c:pt>
                <c:pt idx="11">
                  <c:v>583399476.71133101</c:v>
                </c:pt>
              </c:numCache>
            </c:numRef>
          </c:val>
          <c:smooth val="0"/>
          <c:extLst>
            <c:ext xmlns:c16="http://schemas.microsoft.com/office/drawing/2014/chart" uri="{C3380CC4-5D6E-409C-BE32-E72D297353CC}">
              <c16:uniqueId val="{00000002-E8EE-4137-99CE-2F19F9AB6A5E}"/>
            </c:ext>
          </c:extLst>
        </c:ser>
        <c:ser>
          <c:idx val="3"/>
          <c:order val="3"/>
          <c:tx>
            <c:strRef>
              <c:f>'Normalized Annual Summary'!$K$3</c:f>
              <c:strCache>
                <c:ptCount val="1"/>
                <c:pt idx="0">
                  <c:v>Normalized with Additional Loads</c:v>
                </c:pt>
              </c:strCache>
            </c:strRef>
          </c:tx>
          <c:marker>
            <c:symbol val="none"/>
          </c:marker>
          <c:cat>
            <c:numRef>
              <c:f>'Normalized Annual Summary'!$B$6:$B$17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Summary'!$K$6:$K$17</c:f>
              <c:numCache>
                <c:formatCode>#,##0</c:formatCode>
                <c:ptCount val="12"/>
                <c:pt idx="0">
                  <c:v>539460954.52247477</c:v>
                </c:pt>
                <c:pt idx="1">
                  <c:v>539613086.38185942</c:v>
                </c:pt>
                <c:pt idx="2">
                  <c:v>527762781.92663491</c:v>
                </c:pt>
                <c:pt idx="3">
                  <c:v>524479904.74577093</c:v>
                </c:pt>
                <c:pt idx="4">
                  <c:v>528413587.26521945</c:v>
                </c:pt>
                <c:pt idx="5">
                  <c:v>534060906.7024852</c:v>
                </c:pt>
                <c:pt idx="6">
                  <c:v>523888611.83992594</c:v>
                </c:pt>
                <c:pt idx="7">
                  <c:v>534634576.68997669</c:v>
                </c:pt>
                <c:pt idx="8">
                  <c:v>541905776.65657115</c:v>
                </c:pt>
                <c:pt idx="9">
                  <c:v>546149453.24997878</c:v>
                </c:pt>
                <c:pt idx="10">
                  <c:v>551459827.7427696</c:v>
                </c:pt>
                <c:pt idx="11">
                  <c:v>556998472.61889982</c:v>
                </c:pt>
              </c:numCache>
            </c:numRef>
          </c:val>
          <c:smooth val="0"/>
          <c:extLst>
            <c:ext xmlns:c16="http://schemas.microsoft.com/office/drawing/2014/chart" uri="{C3380CC4-5D6E-409C-BE32-E72D297353CC}">
              <c16:uniqueId val="{00000003-E8EE-4137-99CE-2F19F9AB6A5E}"/>
            </c:ext>
          </c:extLst>
        </c:ser>
        <c:dLbls>
          <c:showLegendKey val="0"/>
          <c:showVal val="0"/>
          <c:showCatName val="0"/>
          <c:showSerName val="0"/>
          <c:showPercent val="0"/>
          <c:showBubbleSize val="0"/>
        </c:dLbls>
        <c:smooth val="0"/>
        <c:axId val="177840896"/>
        <c:axId val="177842432"/>
      </c:lineChart>
      <c:catAx>
        <c:axId val="17784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842432"/>
        <c:crosses val="autoZero"/>
        <c:auto val="1"/>
        <c:lblAlgn val="ctr"/>
        <c:lblOffset val="100"/>
        <c:noMultiLvlLbl val="0"/>
      </c:catAx>
      <c:valAx>
        <c:axId val="177842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t>Annual Consumption (kWh)</a:t>
                </a:r>
              </a:p>
            </c:rich>
          </c:tx>
          <c:overlay val="0"/>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84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GS &lt; 50 kW</a:t>
            </a:r>
          </a:p>
        </c:rich>
      </c:tx>
      <c:overlay val="0"/>
    </c:title>
    <c:autoTitleDeleted val="0"/>
    <c:plotArea>
      <c:layout/>
      <c:lineChart>
        <c:grouping val="standard"/>
        <c:varyColors val="0"/>
        <c:ser>
          <c:idx val="0"/>
          <c:order val="0"/>
          <c:tx>
            <c:strRef>
              <c:f>'Normalized Annual Summary'!$N$3</c:f>
              <c:strCache>
                <c:ptCount val="1"/>
                <c:pt idx="0">
                  <c:v>Actual</c:v>
                </c:pt>
              </c:strCache>
            </c:strRef>
          </c:tx>
          <c:spPr>
            <a:ln w="28575" cap="rnd">
              <a:solidFill>
                <a:schemeClr val="accent1"/>
              </a:solidFill>
              <a:round/>
            </a:ln>
            <a:effectLst/>
          </c:spPr>
          <c:marker>
            <c:symbol val="none"/>
          </c:marker>
          <c:cat>
            <c:numRef>
              <c:f>'Normalized Annual Summary'!$M$6:$M$17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Summary'!$N$6:$N$17</c:f>
              <c:numCache>
                <c:formatCode>#,##0</c:formatCode>
                <c:ptCount val="12"/>
                <c:pt idx="0">
                  <c:v>170245509</c:v>
                </c:pt>
                <c:pt idx="1">
                  <c:v>169905557</c:v>
                </c:pt>
                <c:pt idx="2">
                  <c:v>166894185</c:v>
                </c:pt>
                <c:pt idx="3">
                  <c:v>174257110</c:v>
                </c:pt>
                <c:pt idx="4">
                  <c:v>170703484</c:v>
                </c:pt>
                <c:pt idx="5">
                  <c:v>153322573</c:v>
                </c:pt>
                <c:pt idx="6">
                  <c:v>156917865</c:v>
                </c:pt>
                <c:pt idx="7">
                  <c:v>167739015</c:v>
                </c:pt>
                <c:pt idx="8">
                  <c:v>169521838</c:v>
                </c:pt>
                <c:pt idx="9">
                  <c:v>168919666.52000001</c:v>
                </c:pt>
              </c:numCache>
            </c:numRef>
          </c:val>
          <c:smooth val="0"/>
          <c:extLst>
            <c:ext xmlns:c16="http://schemas.microsoft.com/office/drawing/2014/chart" uri="{C3380CC4-5D6E-409C-BE32-E72D297353CC}">
              <c16:uniqueId val="{00000000-F832-41D6-B493-115199E61CAA}"/>
            </c:ext>
          </c:extLst>
        </c:ser>
        <c:ser>
          <c:idx val="1"/>
          <c:order val="1"/>
          <c:tx>
            <c:strRef>
              <c:f>'Normalized Annual Summary'!$P$3</c:f>
              <c:strCache>
                <c:ptCount val="1"/>
                <c:pt idx="0">
                  <c:v>Actual No CDM</c:v>
                </c:pt>
              </c:strCache>
            </c:strRef>
          </c:tx>
          <c:spPr>
            <a:ln w="28575" cap="rnd">
              <a:solidFill>
                <a:schemeClr val="accent2"/>
              </a:solidFill>
              <a:round/>
            </a:ln>
            <a:effectLst/>
          </c:spPr>
          <c:marker>
            <c:symbol val="none"/>
          </c:marker>
          <c:cat>
            <c:numRef>
              <c:f>'Normalized Annual Summary'!$M$6:$M$17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Summary'!$P$6:$P$17</c:f>
              <c:numCache>
                <c:formatCode>#,##0</c:formatCode>
                <c:ptCount val="12"/>
                <c:pt idx="0">
                  <c:v>172218289.48210973</c:v>
                </c:pt>
                <c:pt idx="1">
                  <c:v>174885321.01763114</c:v>
                </c:pt>
                <c:pt idx="2">
                  <c:v>173841513.45425135</c:v>
                </c:pt>
                <c:pt idx="3">
                  <c:v>183676700.03861502</c:v>
                </c:pt>
                <c:pt idx="4">
                  <c:v>182204005.01340407</c:v>
                </c:pt>
                <c:pt idx="5">
                  <c:v>165404249.78398204</c:v>
                </c:pt>
                <c:pt idx="6">
                  <c:v>169419368.83821395</c:v>
                </c:pt>
                <c:pt idx="7">
                  <c:v>181122176.7576367</c:v>
                </c:pt>
                <c:pt idx="8">
                  <c:v>183814795.5003106</c:v>
                </c:pt>
                <c:pt idx="9">
                  <c:v>184141453.6462563</c:v>
                </c:pt>
              </c:numCache>
            </c:numRef>
          </c:val>
          <c:smooth val="0"/>
          <c:extLst>
            <c:ext xmlns:c16="http://schemas.microsoft.com/office/drawing/2014/chart" uri="{C3380CC4-5D6E-409C-BE32-E72D297353CC}">
              <c16:uniqueId val="{00000001-F832-41D6-B493-115199E61CAA}"/>
            </c:ext>
          </c:extLst>
        </c:ser>
        <c:ser>
          <c:idx val="2"/>
          <c:order val="2"/>
          <c:tx>
            <c:v>Normal No CDM</c:v>
          </c:tx>
          <c:spPr>
            <a:ln w="28575" cap="rnd">
              <a:solidFill>
                <a:schemeClr val="accent3"/>
              </a:solidFill>
              <a:round/>
            </a:ln>
            <a:effectLst/>
          </c:spPr>
          <c:marker>
            <c:symbol val="none"/>
          </c:marker>
          <c:cat>
            <c:numRef>
              <c:f>'Normalized Annual Summary'!$M$6:$M$17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Summary'!$R$6:$R$17</c:f>
              <c:numCache>
                <c:formatCode>#,##0</c:formatCode>
                <c:ptCount val="12"/>
                <c:pt idx="0">
                  <c:v>171550276.65221488</c:v>
                </c:pt>
                <c:pt idx="1">
                  <c:v>172409506.54125133</c:v>
                </c:pt>
                <c:pt idx="2">
                  <c:v>173956836.04288605</c:v>
                </c:pt>
                <c:pt idx="3">
                  <c:v>175917753.57018435</c:v>
                </c:pt>
                <c:pt idx="4">
                  <c:v>176954931.92005631</c:v>
                </c:pt>
                <c:pt idx="5">
                  <c:v>177301396.07755589</c:v>
                </c:pt>
                <c:pt idx="6">
                  <c:v>180163402.42043597</c:v>
                </c:pt>
                <c:pt idx="7">
                  <c:v>180887834.69829619</c:v>
                </c:pt>
                <c:pt idx="8">
                  <c:v>181737015.58854797</c:v>
                </c:pt>
                <c:pt idx="9">
                  <c:v>182301582.00755709</c:v>
                </c:pt>
                <c:pt idx="10">
                  <c:v>183053762.66115808</c:v>
                </c:pt>
                <c:pt idx="11">
                  <c:v>184297206.39396638</c:v>
                </c:pt>
              </c:numCache>
            </c:numRef>
          </c:val>
          <c:smooth val="0"/>
          <c:extLst>
            <c:ext xmlns:c16="http://schemas.microsoft.com/office/drawing/2014/chart" uri="{C3380CC4-5D6E-409C-BE32-E72D297353CC}">
              <c16:uniqueId val="{00000002-F832-41D6-B493-115199E61CAA}"/>
            </c:ext>
          </c:extLst>
        </c:ser>
        <c:ser>
          <c:idx val="3"/>
          <c:order val="3"/>
          <c:tx>
            <c:strRef>
              <c:f>'Normalized Annual Summary'!$V$3</c:f>
              <c:strCache>
                <c:ptCount val="1"/>
                <c:pt idx="0">
                  <c:v>Normalized with Additional Loads</c:v>
                </c:pt>
              </c:strCache>
            </c:strRef>
          </c:tx>
          <c:marker>
            <c:symbol val="none"/>
          </c:marker>
          <c:cat>
            <c:numRef>
              <c:f>'Normalized Annual Summary'!$M$6:$M$17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Summary'!$V$6:$V$17</c:f>
              <c:numCache>
                <c:formatCode>#,##0</c:formatCode>
                <c:ptCount val="12"/>
                <c:pt idx="0">
                  <c:v>169577496.17010516</c:v>
                </c:pt>
                <c:pt idx="1">
                  <c:v>167429742.52362019</c:v>
                </c:pt>
                <c:pt idx="2">
                  <c:v>167009507.5886347</c:v>
                </c:pt>
                <c:pt idx="3">
                  <c:v>166498163.53156933</c:v>
                </c:pt>
                <c:pt idx="4">
                  <c:v>165454410.90665221</c:v>
                </c:pt>
                <c:pt idx="5">
                  <c:v>165219719.29357386</c:v>
                </c:pt>
                <c:pt idx="6">
                  <c:v>167661898.58222201</c:v>
                </c:pt>
                <c:pt idx="7">
                  <c:v>167504672.94065949</c:v>
                </c:pt>
                <c:pt idx="8">
                  <c:v>167444058.08823738</c:v>
                </c:pt>
                <c:pt idx="9">
                  <c:v>167079794.88130081</c:v>
                </c:pt>
                <c:pt idx="10">
                  <c:v>169765570.42542037</c:v>
                </c:pt>
                <c:pt idx="11">
                  <c:v>172548368.89067316</c:v>
                </c:pt>
              </c:numCache>
            </c:numRef>
          </c:val>
          <c:smooth val="0"/>
          <c:extLst>
            <c:ext xmlns:c16="http://schemas.microsoft.com/office/drawing/2014/chart" uri="{C3380CC4-5D6E-409C-BE32-E72D297353CC}">
              <c16:uniqueId val="{00000003-F832-41D6-B493-115199E61CAA}"/>
            </c:ext>
          </c:extLst>
        </c:ser>
        <c:dLbls>
          <c:showLegendKey val="0"/>
          <c:showVal val="0"/>
          <c:showCatName val="0"/>
          <c:showSerName val="0"/>
          <c:showPercent val="0"/>
          <c:showBubbleSize val="0"/>
        </c:dLbls>
        <c:smooth val="0"/>
        <c:axId val="177875968"/>
        <c:axId val="177885952"/>
      </c:lineChart>
      <c:catAx>
        <c:axId val="177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885952"/>
        <c:crosses val="autoZero"/>
        <c:auto val="1"/>
        <c:lblAlgn val="ctr"/>
        <c:lblOffset val="100"/>
        <c:noMultiLvlLbl val="0"/>
      </c:catAx>
      <c:valAx>
        <c:axId val="177885952"/>
        <c:scaling>
          <c:orientation val="minMax"/>
          <c:min val="120000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a:pPr>
                <a:r>
                  <a:rPr lang="en-US" sz="1000" b="1" i="0" baseline="0">
                    <a:effectLst/>
                  </a:rPr>
                  <a:t>Annual Consumption (kWh)</a:t>
                </a:r>
                <a:endParaRPr lang="en-US" sz="1000">
                  <a:effectLst/>
                </a:endParaRPr>
              </a:p>
            </c:rich>
          </c:tx>
          <c:overlay val="0"/>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875968"/>
        <c:crosses val="autoZero"/>
        <c:crossBetween val="between"/>
      </c:valAx>
      <c:spPr>
        <a:noFill/>
        <a:ln>
          <a:noFill/>
        </a:ln>
        <a:effectLst/>
      </c:spPr>
    </c:plotArea>
    <c:legend>
      <c:legendPos val="b"/>
      <c:layout>
        <c:manualLayout>
          <c:xMode val="edge"/>
          <c:yMode val="edge"/>
          <c:x val="1.4685006509185803E-2"/>
          <c:y val="0.8509923345674506"/>
          <c:w val="0.9620622153021775"/>
          <c:h val="0.1225175992073838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GS &gt; 50 kW</a:t>
            </a:r>
          </a:p>
        </c:rich>
      </c:tx>
      <c:overlay val="0"/>
    </c:title>
    <c:autoTitleDeleted val="0"/>
    <c:plotArea>
      <c:layout/>
      <c:lineChart>
        <c:grouping val="standard"/>
        <c:varyColors val="0"/>
        <c:ser>
          <c:idx val="0"/>
          <c:order val="0"/>
          <c:tx>
            <c:strRef>
              <c:f>'Normalized Annual Summary'!$Y$3</c:f>
              <c:strCache>
                <c:ptCount val="1"/>
                <c:pt idx="0">
                  <c:v>Actual</c:v>
                </c:pt>
              </c:strCache>
            </c:strRef>
          </c:tx>
          <c:spPr>
            <a:ln w="28575" cap="rnd">
              <a:solidFill>
                <a:schemeClr val="accent1"/>
              </a:solidFill>
              <a:round/>
            </a:ln>
            <a:effectLst/>
          </c:spPr>
          <c:marker>
            <c:symbol val="none"/>
          </c:marker>
          <c:cat>
            <c:numRef>
              <c:f>'Normalized Annual Summary'!$X$6:$X$17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Summary'!$Y$6:$Y$16</c:f>
              <c:numCache>
                <c:formatCode>#,##0</c:formatCode>
                <c:ptCount val="11"/>
                <c:pt idx="0">
                  <c:v>907051642</c:v>
                </c:pt>
                <c:pt idx="1">
                  <c:v>920835908</c:v>
                </c:pt>
                <c:pt idx="2">
                  <c:v>885596225</c:v>
                </c:pt>
                <c:pt idx="3">
                  <c:v>874283086</c:v>
                </c:pt>
                <c:pt idx="4">
                  <c:v>837536595</c:v>
                </c:pt>
                <c:pt idx="5">
                  <c:v>787632949</c:v>
                </c:pt>
                <c:pt idx="6">
                  <c:v>797368549</c:v>
                </c:pt>
                <c:pt idx="7">
                  <c:v>812199013</c:v>
                </c:pt>
                <c:pt idx="8">
                  <c:v>785675948</c:v>
                </c:pt>
                <c:pt idx="9">
                  <c:v>796891425.15999985</c:v>
                </c:pt>
              </c:numCache>
            </c:numRef>
          </c:val>
          <c:smooth val="0"/>
          <c:extLst>
            <c:ext xmlns:c16="http://schemas.microsoft.com/office/drawing/2014/chart" uri="{C3380CC4-5D6E-409C-BE32-E72D297353CC}">
              <c16:uniqueId val="{00000000-9C43-4FC0-AEEC-BAE23406DD23}"/>
            </c:ext>
          </c:extLst>
        </c:ser>
        <c:ser>
          <c:idx val="1"/>
          <c:order val="1"/>
          <c:tx>
            <c:strRef>
              <c:f>'Normalized Annual Summary'!$AA$3</c:f>
              <c:strCache>
                <c:ptCount val="1"/>
                <c:pt idx="0">
                  <c:v>Actual No CDM</c:v>
                </c:pt>
              </c:strCache>
            </c:strRef>
          </c:tx>
          <c:spPr>
            <a:ln w="28575" cap="rnd">
              <a:solidFill>
                <a:schemeClr val="accent2"/>
              </a:solidFill>
              <a:round/>
            </a:ln>
            <a:effectLst/>
          </c:spPr>
          <c:marker>
            <c:symbol val="none"/>
          </c:marker>
          <c:cat>
            <c:numRef>
              <c:f>'Normalized Annual Summary'!$X$6:$X$17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Summary'!$AA$6:$AA$16</c:f>
              <c:numCache>
                <c:formatCode>#,##0</c:formatCode>
                <c:ptCount val="11"/>
                <c:pt idx="0">
                  <c:v>910621414.84628546</c:v>
                </c:pt>
                <c:pt idx="1">
                  <c:v>932830020.28206766</c:v>
                </c:pt>
                <c:pt idx="2">
                  <c:v>906232408.24198484</c:v>
                </c:pt>
                <c:pt idx="3">
                  <c:v>902283991.70787251</c:v>
                </c:pt>
                <c:pt idx="4">
                  <c:v>871212888.34090328</c:v>
                </c:pt>
                <c:pt idx="5">
                  <c:v>824214887.51585293</c:v>
                </c:pt>
                <c:pt idx="6">
                  <c:v>837126850.19182706</c:v>
                </c:pt>
                <c:pt idx="7">
                  <c:v>855997681.3740499</c:v>
                </c:pt>
                <c:pt idx="8">
                  <c:v>835068670.62611687</c:v>
                </c:pt>
                <c:pt idx="9">
                  <c:v>853065414.08809459</c:v>
                </c:pt>
              </c:numCache>
            </c:numRef>
          </c:val>
          <c:smooth val="0"/>
          <c:extLst>
            <c:ext xmlns:c16="http://schemas.microsoft.com/office/drawing/2014/chart" uri="{C3380CC4-5D6E-409C-BE32-E72D297353CC}">
              <c16:uniqueId val="{00000001-9C43-4FC0-AEEC-BAE23406DD23}"/>
            </c:ext>
          </c:extLst>
        </c:ser>
        <c:ser>
          <c:idx val="2"/>
          <c:order val="2"/>
          <c:tx>
            <c:v>Normal No CDM</c:v>
          </c:tx>
          <c:spPr>
            <a:ln w="28575" cap="rnd">
              <a:solidFill>
                <a:schemeClr val="accent3"/>
              </a:solidFill>
              <a:round/>
            </a:ln>
            <a:effectLst/>
          </c:spPr>
          <c:marker>
            <c:symbol val="none"/>
          </c:marker>
          <c:cat>
            <c:numRef>
              <c:f>'Normalized Annual Summary'!$X$6:$X$17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Summary'!$AC$6:$AC$17</c:f>
              <c:numCache>
                <c:formatCode>#,##0</c:formatCode>
                <c:ptCount val="12"/>
                <c:pt idx="0">
                  <c:v>914940592.92510986</c:v>
                </c:pt>
                <c:pt idx="1">
                  <c:v>905686799.77462828</c:v>
                </c:pt>
                <c:pt idx="2">
                  <c:v>896590634.36314428</c:v>
                </c:pt>
                <c:pt idx="3">
                  <c:v>887901926.88075137</c:v>
                </c:pt>
                <c:pt idx="4">
                  <c:v>880143722.20603633</c:v>
                </c:pt>
                <c:pt idx="5">
                  <c:v>850324976.19009829</c:v>
                </c:pt>
                <c:pt idx="6">
                  <c:v>865497557.19932771</c:v>
                </c:pt>
                <c:pt idx="7">
                  <c:v>858769351.86744785</c:v>
                </c:pt>
                <c:pt idx="8">
                  <c:v>841536554.5982964</c:v>
                </c:pt>
                <c:pt idx="9">
                  <c:v>830858279.36347163</c:v>
                </c:pt>
                <c:pt idx="10">
                  <c:v>819610933.46508241</c:v>
                </c:pt>
                <c:pt idx="11">
                  <c:v>808313138.75800836</c:v>
                </c:pt>
              </c:numCache>
            </c:numRef>
          </c:val>
          <c:smooth val="0"/>
          <c:extLst>
            <c:ext xmlns:c16="http://schemas.microsoft.com/office/drawing/2014/chart" uri="{C3380CC4-5D6E-409C-BE32-E72D297353CC}">
              <c16:uniqueId val="{00000002-9C43-4FC0-AEEC-BAE23406DD23}"/>
            </c:ext>
          </c:extLst>
        </c:ser>
        <c:ser>
          <c:idx val="3"/>
          <c:order val="3"/>
          <c:tx>
            <c:strRef>
              <c:f>'Normalized Annual Summary'!$AG$3</c:f>
              <c:strCache>
                <c:ptCount val="1"/>
                <c:pt idx="0">
                  <c:v>Normalized with Additional Loads</c:v>
                </c:pt>
              </c:strCache>
            </c:strRef>
          </c:tx>
          <c:marker>
            <c:symbol val="none"/>
          </c:marker>
          <c:cat>
            <c:numRef>
              <c:f>'Normalized Annual Summary'!$X$6:$X$17</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'Normalized Annual Summary'!$AG$6:$AG$17</c:f>
              <c:numCache>
                <c:formatCode>#,##0</c:formatCode>
                <c:ptCount val="12"/>
                <c:pt idx="0">
                  <c:v>911370820.0788244</c:v>
                </c:pt>
                <c:pt idx="1">
                  <c:v>893692687.49256063</c:v>
                </c:pt>
                <c:pt idx="2">
                  <c:v>875954451.12115943</c:v>
                </c:pt>
                <c:pt idx="3">
                  <c:v>859901021.17287886</c:v>
                </c:pt>
                <c:pt idx="4">
                  <c:v>846467428.86513305</c:v>
                </c:pt>
                <c:pt idx="5">
                  <c:v>813743037.67424536</c:v>
                </c:pt>
                <c:pt idx="6">
                  <c:v>825739256.00750065</c:v>
                </c:pt>
                <c:pt idx="7">
                  <c:v>814970683.49339795</c:v>
                </c:pt>
                <c:pt idx="8">
                  <c:v>792143831.97217953</c:v>
                </c:pt>
                <c:pt idx="9">
                  <c:v>774684290.43537688</c:v>
                </c:pt>
                <c:pt idx="10">
                  <c:v>762298638.97352743</c:v>
                </c:pt>
                <c:pt idx="11">
                  <c:v>750558930.32238185</c:v>
                </c:pt>
              </c:numCache>
            </c:numRef>
          </c:val>
          <c:smooth val="0"/>
          <c:extLst>
            <c:ext xmlns:c16="http://schemas.microsoft.com/office/drawing/2014/chart" uri="{C3380CC4-5D6E-409C-BE32-E72D297353CC}">
              <c16:uniqueId val="{00000003-9C43-4FC0-AEEC-BAE23406DD23}"/>
            </c:ext>
          </c:extLst>
        </c:ser>
        <c:dLbls>
          <c:showLegendKey val="0"/>
          <c:showVal val="0"/>
          <c:showCatName val="0"/>
          <c:showSerName val="0"/>
          <c:showPercent val="0"/>
          <c:showBubbleSize val="0"/>
        </c:dLbls>
        <c:smooth val="0"/>
        <c:axId val="178001408"/>
        <c:axId val="178002944"/>
      </c:lineChart>
      <c:catAx>
        <c:axId val="17800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002944"/>
        <c:crosses val="autoZero"/>
        <c:auto val="1"/>
        <c:lblAlgn val="ctr"/>
        <c:lblOffset val="100"/>
        <c:noMultiLvlLbl val="0"/>
      </c:catAx>
      <c:valAx>
        <c:axId val="178002944"/>
        <c:scaling>
          <c:orientation val="minMax"/>
          <c:min val="600000000.00000012"/>
        </c:scaling>
        <c:delete val="0"/>
        <c:axPos val="l"/>
        <c:majorGridlines>
          <c:spPr>
            <a:ln w="9525" cap="flat" cmpd="sng" algn="ctr">
              <a:solidFill>
                <a:schemeClr val="tx1">
                  <a:lumMod val="15000"/>
                  <a:lumOff val="85000"/>
                </a:schemeClr>
              </a:solidFill>
              <a:round/>
            </a:ln>
            <a:effectLst/>
          </c:spPr>
        </c:majorGridlines>
        <c:title>
          <c:tx>
            <c:rich>
              <a:bodyPr/>
              <a:lstStyle/>
              <a:p>
                <a:pPr>
                  <a:defRPr sz="1000"/>
                </a:pPr>
                <a:r>
                  <a:rPr lang="en-US" sz="1000" b="1" i="0" baseline="0">
                    <a:effectLst/>
                  </a:rPr>
                  <a:t>Annual Consumption (kWh)</a:t>
                </a:r>
                <a:endParaRPr lang="en-US" sz="1000">
                  <a:effectLst/>
                </a:endParaRPr>
              </a:p>
            </c:rich>
          </c:tx>
          <c:overlay val="0"/>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001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 kW</a:t>
            </a:r>
          </a:p>
        </c:rich>
      </c:tx>
      <c:overlay val="0"/>
      <c:spPr>
        <a:noFill/>
        <a:ln>
          <a:noFill/>
        </a:ln>
        <a:effectLst/>
      </c:sp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Weather!$D$194:$D$313</c:f>
              <c:numCache>
                <c:formatCode>0.0</c:formatCode>
                <c:ptCount val="120"/>
                <c:pt idx="0">
                  <c:v>-5.8580645161290343</c:v>
                </c:pt>
                <c:pt idx="1">
                  <c:v>-11.139285714285718</c:v>
                </c:pt>
                <c:pt idx="2">
                  <c:v>-1.1612903225806448</c:v>
                </c:pt>
                <c:pt idx="3">
                  <c:v>7.2700000000000022</c:v>
                </c:pt>
                <c:pt idx="4">
                  <c:v>14.535483870967743</c:v>
                </c:pt>
                <c:pt idx="5">
                  <c:v>16.886666666666663</c:v>
                </c:pt>
                <c:pt idx="6">
                  <c:v>21.899999999999995</c:v>
                </c:pt>
                <c:pt idx="7">
                  <c:v>20.796774193548384</c:v>
                </c:pt>
                <c:pt idx="8">
                  <c:v>20.030000000000005</c:v>
                </c:pt>
                <c:pt idx="9">
                  <c:v>11.587096774193544</c:v>
                </c:pt>
                <c:pt idx="10">
                  <c:v>7.9633333333333329</c:v>
                </c:pt>
                <c:pt idx="11">
                  <c:v>5.2741935483870979</c:v>
                </c:pt>
                <c:pt idx="12">
                  <c:v>-2.1612903225806446</c:v>
                </c:pt>
                <c:pt idx="13">
                  <c:v>-0.76896551724137929</c:v>
                </c:pt>
                <c:pt idx="14">
                  <c:v>3.4451612903225803</c:v>
                </c:pt>
                <c:pt idx="15">
                  <c:v>4.9666666666666659</c:v>
                </c:pt>
                <c:pt idx="16">
                  <c:v>13.870967741935482</c:v>
                </c:pt>
                <c:pt idx="17">
                  <c:v>19.386666666666663</c:v>
                </c:pt>
                <c:pt idx="18">
                  <c:v>22.919354838709673</c:v>
                </c:pt>
                <c:pt idx="19">
                  <c:v>23.735483870967741</c:v>
                </c:pt>
                <c:pt idx="20">
                  <c:v>20.029999999999998</c:v>
                </c:pt>
                <c:pt idx="21">
                  <c:v>13.20967741935484</c:v>
                </c:pt>
                <c:pt idx="22">
                  <c:v>8.2366666666666628</c:v>
                </c:pt>
                <c:pt idx="23">
                  <c:v>-3.2258064516129135E-2</c:v>
                </c:pt>
                <c:pt idx="24">
                  <c:v>-0.34193548387096795</c:v>
                </c:pt>
                <c:pt idx="25">
                  <c:v>1.1714285714285715</c:v>
                </c:pt>
                <c:pt idx="26">
                  <c:v>0.54193548387096779</c:v>
                </c:pt>
                <c:pt idx="27">
                  <c:v>8.9300000000000015</c:v>
                </c:pt>
                <c:pt idx="28">
                  <c:v>11.783870967741937</c:v>
                </c:pt>
                <c:pt idx="29">
                  <c:v>19.303333333333331</c:v>
                </c:pt>
                <c:pt idx="30">
                  <c:v>21.661290322580644</c:v>
                </c:pt>
                <c:pt idx="31">
                  <c:v>20.522580645161295</c:v>
                </c:pt>
                <c:pt idx="32">
                  <c:v>18.610000000000003</c:v>
                </c:pt>
                <c:pt idx="33">
                  <c:v>14.658064516129036</c:v>
                </c:pt>
                <c:pt idx="34">
                  <c:v>5.0699999999999994</c:v>
                </c:pt>
                <c:pt idx="35">
                  <c:v>-2.9419354838709673</c:v>
                </c:pt>
                <c:pt idx="36">
                  <c:v>-3.9451612903225803</c:v>
                </c:pt>
                <c:pt idx="37">
                  <c:v>-0.28928571428571387</c:v>
                </c:pt>
                <c:pt idx="38">
                  <c:v>0.77741935483870972</c:v>
                </c:pt>
                <c:pt idx="39">
                  <c:v>4.0233333333333334</c:v>
                </c:pt>
                <c:pt idx="40">
                  <c:v>14.790322580645164</c:v>
                </c:pt>
                <c:pt idx="41">
                  <c:v>19.029999999999998</c:v>
                </c:pt>
                <c:pt idx="42">
                  <c:v>23.296774193548391</c:v>
                </c:pt>
                <c:pt idx="43">
                  <c:v>23.283870967741933</c:v>
                </c:pt>
                <c:pt idx="44">
                  <c:v>19.446666666666669</c:v>
                </c:pt>
                <c:pt idx="45">
                  <c:v>10.645161290322582</c:v>
                </c:pt>
                <c:pt idx="46">
                  <c:v>2.9200000000000004</c:v>
                </c:pt>
                <c:pt idx="47">
                  <c:v>1.3548387096774193</c:v>
                </c:pt>
                <c:pt idx="48">
                  <c:v>-4.580645161290323</c:v>
                </c:pt>
                <c:pt idx="49">
                  <c:v>-2.4178571428571423</c:v>
                </c:pt>
                <c:pt idx="50">
                  <c:v>4.8387096774193415E-2</c:v>
                </c:pt>
                <c:pt idx="51">
                  <c:v>6.2700000000000005</c:v>
                </c:pt>
                <c:pt idx="52">
                  <c:v>11.058064516129033</c:v>
                </c:pt>
                <c:pt idx="53">
                  <c:v>17.306666666666668</c:v>
                </c:pt>
                <c:pt idx="54">
                  <c:v>22.92258064516129</c:v>
                </c:pt>
                <c:pt idx="55">
                  <c:v>21.267741935483876</c:v>
                </c:pt>
                <c:pt idx="56">
                  <c:v>18.453333333333333</c:v>
                </c:pt>
                <c:pt idx="57">
                  <c:v>12.125806451612904</c:v>
                </c:pt>
                <c:pt idx="58">
                  <c:v>2.5333333333333332</c:v>
                </c:pt>
                <c:pt idx="59">
                  <c:v>1.2129032258064516</c:v>
                </c:pt>
                <c:pt idx="60">
                  <c:v>0.20000000000000021</c:v>
                </c:pt>
                <c:pt idx="61">
                  <c:v>-1.3517241379310343</c:v>
                </c:pt>
                <c:pt idx="62">
                  <c:v>3.8064516129032264</c:v>
                </c:pt>
                <c:pt idx="63">
                  <c:v>5.9666666666666659</c:v>
                </c:pt>
                <c:pt idx="64">
                  <c:v>11.177419354838708</c:v>
                </c:pt>
                <c:pt idx="65">
                  <c:v>19.97666666666667</c:v>
                </c:pt>
                <c:pt idx="66">
                  <c:v>24.532258064516125</c:v>
                </c:pt>
                <c:pt idx="67">
                  <c:v>21.920967741935485</c:v>
                </c:pt>
                <c:pt idx="68">
                  <c:v>17.376666666666665</c:v>
                </c:pt>
                <c:pt idx="69">
                  <c:v>10.483870967741934</c:v>
                </c:pt>
                <c:pt idx="70">
                  <c:v>8.1366666666666667</c:v>
                </c:pt>
                <c:pt idx="71">
                  <c:v>1.4806451612903222</c:v>
                </c:pt>
                <c:pt idx="72">
                  <c:v>-0.8999999999999998</c:v>
                </c:pt>
                <c:pt idx="73">
                  <c:v>-3.7500000000000004</c:v>
                </c:pt>
                <c:pt idx="74">
                  <c:v>3.5161290322580645</c:v>
                </c:pt>
                <c:pt idx="75">
                  <c:v>6.7766666666666673</c:v>
                </c:pt>
                <c:pt idx="76">
                  <c:v>13.167741935483869</c:v>
                </c:pt>
                <c:pt idx="77">
                  <c:v>20.980000000000004</c:v>
                </c:pt>
                <c:pt idx="78">
                  <c:v>21.56451612903226</c:v>
                </c:pt>
                <c:pt idx="79">
                  <c:v>23.651612903225807</c:v>
                </c:pt>
                <c:pt idx="80">
                  <c:v>18.350000000000001</c:v>
                </c:pt>
                <c:pt idx="81">
                  <c:v>14.590322580645163</c:v>
                </c:pt>
                <c:pt idx="82">
                  <c:v>5.8999999999999995</c:v>
                </c:pt>
                <c:pt idx="83">
                  <c:v>3.0161290322580654</c:v>
                </c:pt>
                <c:pt idx="84">
                  <c:v>-6.1354838709677422</c:v>
                </c:pt>
                <c:pt idx="85">
                  <c:v>-2.596428571428572</c:v>
                </c:pt>
                <c:pt idx="86">
                  <c:v>2.0096774193548388</c:v>
                </c:pt>
                <c:pt idx="87">
                  <c:v>6.2133333333333338</c:v>
                </c:pt>
                <c:pt idx="88">
                  <c:v>13.738709677419356</c:v>
                </c:pt>
                <c:pt idx="89">
                  <c:v>19.150000000000002</c:v>
                </c:pt>
                <c:pt idx="90">
                  <c:v>22.409677419354836</c:v>
                </c:pt>
                <c:pt idx="91">
                  <c:v>22.274193548387096</c:v>
                </c:pt>
                <c:pt idx="92">
                  <c:v>18.266666666666666</c:v>
                </c:pt>
                <c:pt idx="93">
                  <c:v>10.525806451612901</c:v>
                </c:pt>
                <c:pt idx="94">
                  <c:v>6.7566666666666659</c:v>
                </c:pt>
                <c:pt idx="95">
                  <c:v>1.1451612903225807</c:v>
                </c:pt>
                <c:pt idx="96">
                  <c:v>0.59354838709677415</c:v>
                </c:pt>
                <c:pt idx="97">
                  <c:v>0.43214285714285683</c:v>
                </c:pt>
                <c:pt idx="98">
                  <c:v>1.9870967741935488</c:v>
                </c:pt>
                <c:pt idx="99">
                  <c:v>8.5733333333333324</c:v>
                </c:pt>
                <c:pt idx="100">
                  <c:v>13.1</c:v>
                </c:pt>
                <c:pt idx="101">
                  <c:v>19.133333333333336</c:v>
                </c:pt>
                <c:pt idx="102">
                  <c:v>22.693548387096783</c:v>
                </c:pt>
                <c:pt idx="103">
                  <c:v>20.251612903225805</c:v>
                </c:pt>
                <c:pt idx="104">
                  <c:v>18.68666666666666</c:v>
                </c:pt>
                <c:pt idx="105">
                  <c:v>13.283870967741938</c:v>
                </c:pt>
                <c:pt idx="106">
                  <c:v>5.5299999999999994</c:v>
                </c:pt>
                <c:pt idx="107">
                  <c:v>3.7032258064516133</c:v>
                </c:pt>
                <c:pt idx="108">
                  <c:v>-0.91612903225806464</c:v>
                </c:pt>
                <c:pt idx="109">
                  <c:v>1.1344827586206896</c:v>
                </c:pt>
                <c:pt idx="110">
                  <c:v>4.1451612903225818</c:v>
                </c:pt>
                <c:pt idx="111">
                  <c:v>8.1766666666666676</c:v>
                </c:pt>
                <c:pt idx="112">
                  <c:v>14.935483870967746</c:v>
                </c:pt>
                <c:pt idx="113">
                  <c:v>19.479999999999997</c:v>
                </c:pt>
                <c:pt idx="114">
                  <c:v>22.445161290322577</c:v>
                </c:pt>
                <c:pt idx="115">
                  <c:v>21.751612903225805</c:v>
                </c:pt>
                <c:pt idx="116">
                  <c:v>18.926666666666669</c:v>
                </c:pt>
                <c:pt idx="117">
                  <c:v>13.748387096774191</c:v>
                </c:pt>
                <c:pt idx="118">
                  <c:v>7.8566666666666674</c:v>
                </c:pt>
                <c:pt idx="119">
                  <c:v>1.0709677419354837</c:v>
                </c:pt>
              </c:numCache>
            </c:numRef>
          </c:xVal>
          <c:yVal>
            <c:numRef>
              <c:f>Weather!$U$194:$U$313</c:f>
              <c:numCache>
                <c:formatCode>_(* #,##0_);_(* \(#,##0\);_(* "-"??_);_(@_)</c:formatCode>
                <c:ptCount val="120"/>
                <c:pt idx="0">
                  <c:v>2500.7744977574043</c:v>
                </c:pt>
                <c:pt idx="1">
                  <c:v>2586.4624027613027</c:v>
                </c:pt>
                <c:pt idx="2">
                  <c:v>2426.1897592569712</c:v>
                </c:pt>
                <c:pt idx="3">
                  <c:v>2270.6847007894339</c:v>
                </c:pt>
                <c:pt idx="4">
                  <c:v>2314.0409605754112</c:v>
                </c:pt>
                <c:pt idx="5">
                  <c:v>2455.8434433913749</c:v>
                </c:pt>
                <c:pt idx="6">
                  <c:v>2584.5675362050233</c:v>
                </c:pt>
                <c:pt idx="7">
                  <c:v>2544.5477854926608</c:v>
                </c:pt>
                <c:pt idx="8">
                  <c:v>2551.6159198671025</c:v>
                </c:pt>
                <c:pt idx="9">
                  <c:v>2299.9608155233273</c:v>
                </c:pt>
                <c:pt idx="10">
                  <c:v>2331.9277925103393</c:v>
                </c:pt>
                <c:pt idx="11">
                  <c:v>2277.3120927463128</c:v>
                </c:pt>
                <c:pt idx="12">
                  <c:v>2464.3621097447444</c:v>
                </c:pt>
                <c:pt idx="13">
                  <c:v>2491.4631159803112</c:v>
                </c:pt>
                <c:pt idx="14">
                  <c:v>2403.6728252727453</c:v>
                </c:pt>
                <c:pt idx="15">
                  <c:v>2363.1126221308523</c:v>
                </c:pt>
                <c:pt idx="16">
                  <c:v>2350.0315129510168</c:v>
                </c:pt>
                <c:pt idx="17">
                  <c:v>2545.0753555632064</c:v>
                </c:pt>
                <c:pt idx="18">
                  <c:v>2652.9738080980273</c:v>
                </c:pt>
                <c:pt idx="19">
                  <c:v>2753.1115811020331</c:v>
                </c:pt>
                <c:pt idx="20">
                  <c:v>2548.4104484193281</c:v>
                </c:pt>
                <c:pt idx="21">
                  <c:v>2314.6955403034426</c:v>
                </c:pt>
                <c:pt idx="22">
                  <c:v>2344.1964011665304</c:v>
                </c:pt>
                <c:pt idx="23">
                  <c:v>2343.9056334576585</c:v>
                </c:pt>
                <c:pt idx="24">
                  <c:v>2425.1888900609074</c:v>
                </c:pt>
                <c:pt idx="25">
                  <c:v>2492.0593603736925</c:v>
                </c:pt>
                <c:pt idx="26">
                  <c:v>2483.7874941658588</c:v>
                </c:pt>
                <c:pt idx="27">
                  <c:v>2323.1940069970105</c:v>
                </c:pt>
                <c:pt idx="28">
                  <c:v>2384.9183065544703</c:v>
                </c:pt>
                <c:pt idx="29">
                  <c:v>2562.2117546269637</c:v>
                </c:pt>
                <c:pt idx="30">
                  <c:v>2603.4613735366706</c:v>
                </c:pt>
                <c:pt idx="31">
                  <c:v>2599.3840310664195</c:v>
                </c:pt>
                <c:pt idx="32">
                  <c:v>2555.5769784799804</c:v>
                </c:pt>
                <c:pt idx="33">
                  <c:v>2412.7109508248832</c:v>
                </c:pt>
                <c:pt idx="34">
                  <c:v>2440.3577083845535</c:v>
                </c:pt>
                <c:pt idx="35">
                  <c:v>2403.022298783003</c:v>
                </c:pt>
                <c:pt idx="36">
                  <c:v>2563.1979631803306</c:v>
                </c:pt>
                <c:pt idx="37">
                  <c:v>2509.7355894886227</c:v>
                </c:pt>
                <c:pt idx="38">
                  <c:v>2432.7753344566331</c:v>
                </c:pt>
                <c:pt idx="39">
                  <c:v>2402.40428795552</c:v>
                </c:pt>
                <c:pt idx="40">
                  <c:v>2403.6293897175601</c:v>
                </c:pt>
                <c:pt idx="41">
                  <c:v>2638.1165267797605</c:v>
                </c:pt>
                <c:pt idx="42">
                  <c:v>2732.6430558259972</c:v>
                </c:pt>
                <c:pt idx="43">
                  <c:v>2739.4232939170083</c:v>
                </c:pt>
                <c:pt idx="44">
                  <c:v>2562.9919304408336</c:v>
                </c:pt>
                <c:pt idx="45">
                  <c:v>2360.4928636292934</c:v>
                </c:pt>
                <c:pt idx="46">
                  <c:v>2431.0709096801988</c:v>
                </c:pt>
                <c:pt idx="47">
                  <c:v>2326.9015196950163</c:v>
                </c:pt>
                <c:pt idx="48">
                  <c:v>2550.7624357042564</c:v>
                </c:pt>
                <c:pt idx="49">
                  <c:v>2556.7321308645519</c:v>
                </c:pt>
                <c:pt idx="50">
                  <c:v>2470.0194930162274</c:v>
                </c:pt>
                <c:pt idx="51">
                  <c:v>2336.7239826488626</c:v>
                </c:pt>
                <c:pt idx="52">
                  <c:v>2287.6452188554699</c:v>
                </c:pt>
                <c:pt idx="53">
                  <c:v>2387.6711280865902</c:v>
                </c:pt>
                <c:pt idx="54">
                  <c:v>2683.5581145583819</c:v>
                </c:pt>
                <c:pt idx="55">
                  <c:v>2570.4906577410029</c:v>
                </c:pt>
                <c:pt idx="56">
                  <c:v>2437.242728620351</c:v>
                </c:pt>
                <c:pt idx="57">
                  <c:v>2290.8238707456303</c:v>
                </c:pt>
                <c:pt idx="58">
                  <c:v>2289.5930353989402</c:v>
                </c:pt>
                <c:pt idx="59">
                  <c:v>2239.1444849808377</c:v>
                </c:pt>
                <c:pt idx="60">
                  <c:v>2438.7232461623266</c:v>
                </c:pt>
                <c:pt idx="61">
                  <c:v>2424.6933379372349</c:v>
                </c:pt>
                <c:pt idx="62">
                  <c:v>2260.9833811798489</c:v>
                </c:pt>
                <c:pt idx="63">
                  <c:v>2003.4111566238714</c:v>
                </c:pt>
                <c:pt idx="64">
                  <c:v>2038.59717240701</c:v>
                </c:pt>
                <c:pt idx="65">
                  <c:v>2332.803495413094</c:v>
                </c:pt>
                <c:pt idx="66">
                  <c:v>2421.4030449063403</c:v>
                </c:pt>
                <c:pt idx="67">
                  <c:v>2409.9694257437241</c:v>
                </c:pt>
                <c:pt idx="68">
                  <c:v>2259.7102940125415</c:v>
                </c:pt>
                <c:pt idx="69">
                  <c:v>2083.2854686073206</c:v>
                </c:pt>
                <c:pt idx="70">
                  <c:v>2139.880518355601</c:v>
                </c:pt>
                <c:pt idx="71">
                  <c:v>2164.6889492373743</c:v>
                </c:pt>
                <c:pt idx="72">
                  <c:v>2188.6274134657187</c:v>
                </c:pt>
                <c:pt idx="73">
                  <c:v>2297.2794749660357</c:v>
                </c:pt>
                <c:pt idx="74">
                  <c:v>2211.2641958004983</c:v>
                </c:pt>
                <c:pt idx="75">
                  <c:v>2068.3188035935295</c:v>
                </c:pt>
                <c:pt idx="76">
                  <c:v>2101.2894986971846</c:v>
                </c:pt>
                <c:pt idx="77">
                  <c:v>2486.0826126182374</c:v>
                </c:pt>
                <c:pt idx="78">
                  <c:v>2511.9125307723634</c:v>
                </c:pt>
                <c:pt idx="79">
                  <c:v>2689.3999972151855</c:v>
                </c:pt>
                <c:pt idx="80">
                  <c:v>2420.8078436104797</c:v>
                </c:pt>
                <c:pt idx="81">
                  <c:v>2264.895572726477</c:v>
                </c:pt>
                <c:pt idx="82">
                  <c:v>2348.527302650707</c:v>
                </c:pt>
                <c:pt idx="83">
                  <c:v>2331.6856692848496</c:v>
                </c:pt>
                <c:pt idx="84">
                  <c:v>2429.239903069501</c:v>
                </c:pt>
                <c:pt idx="85">
                  <c:v>2497.4751975983786</c:v>
                </c:pt>
                <c:pt idx="86">
                  <c:v>2422.2890869330645</c:v>
                </c:pt>
                <c:pt idx="87">
                  <c:v>2274.4494183692668</c:v>
                </c:pt>
                <c:pt idx="88">
                  <c:v>2324.0494937848921</c:v>
                </c:pt>
                <c:pt idx="89">
                  <c:v>2517.5762392440329</c:v>
                </c:pt>
                <c:pt idx="90">
                  <c:v>2581.6285983667076</c:v>
                </c:pt>
                <c:pt idx="91">
                  <c:v>2641.5912447573273</c:v>
                </c:pt>
                <c:pt idx="92">
                  <c:v>2472.6427598896435</c:v>
                </c:pt>
                <c:pt idx="93">
                  <c:v>2227.5930931632633</c:v>
                </c:pt>
                <c:pt idx="94">
                  <c:v>2348.9797387731724</c:v>
                </c:pt>
                <c:pt idx="95">
                  <c:v>2361.6277451556052</c:v>
                </c:pt>
                <c:pt idx="96">
                  <c:v>2454.5130452412704</c:v>
                </c:pt>
                <c:pt idx="97">
                  <c:v>2499.7153574940935</c:v>
                </c:pt>
                <c:pt idx="98">
                  <c:v>2453.4409489553059</c:v>
                </c:pt>
                <c:pt idx="99">
                  <c:v>2288.5103649512198</c:v>
                </c:pt>
                <c:pt idx="100">
                  <c:v>2310.0865540878499</c:v>
                </c:pt>
                <c:pt idx="101">
                  <c:v>2496.5789428897892</c:v>
                </c:pt>
                <c:pt idx="102">
                  <c:v>2611.9760768671031</c:v>
                </c:pt>
                <c:pt idx="103">
                  <c:v>2543.8673370636934</c:v>
                </c:pt>
                <c:pt idx="104">
                  <c:v>2487.1367207150588</c:v>
                </c:pt>
                <c:pt idx="105">
                  <c:v>2335.1080935584519</c:v>
                </c:pt>
                <c:pt idx="106">
                  <c:v>2394.8639776036143</c:v>
                </c:pt>
                <c:pt idx="107">
                  <c:v>2231.5827544118324</c:v>
                </c:pt>
                <c:pt idx="108">
                  <c:v>2450.5609466762339</c:v>
                </c:pt>
                <c:pt idx="109">
                  <c:v>2399.4309712461936</c:v>
                </c:pt>
                <c:pt idx="110">
                  <c:v>2312.1512277609318</c:v>
                </c:pt>
                <c:pt idx="111">
                  <c:v>2287.6472828702858</c:v>
                </c:pt>
                <c:pt idx="112">
                  <c:v>2317.2524183683081</c:v>
                </c:pt>
                <c:pt idx="113">
                  <c:v>2497.4267942877732</c:v>
                </c:pt>
                <c:pt idx="114">
                  <c:v>2669.1682917915555</c:v>
                </c:pt>
                <c:pt idx="115">
                  <c:v>2602.1212694980845</c:v>
                </c:pt>
                <c:pt idx="116">
                  <c:v>2474.7238095941448</c:v>
                </c:pt>
                <c:pt idx="117">
                  <c:v>2307.2771334515655</c:v>
                </c:pt>
                <c:pt idx="118">
                  <c:v>2318.9506172399069</c:v>
                </c:pt>
                <c:pt idx="119">
                  <c:v>2334.0439577788825</c:v>
                </c:pt>
              </c:numCache>
            </c:numRef>
          </c:yVal>
          <c:smooth val="0"/>
          <c:extLst>
            <c:ext xmlns:c16="http://schemas.microsoft.com/office/drawing/2014/chart" uri="{C3380CC4-5D6E-409C-BE32-E72D297353CC}">
              <c16:uniqueId val="{00000000-DD8D-4301-9ADB-BDBD32FAA9D8}"/>
            </c:ext>
          </c:extLst>
        </c:ser>
        <c:dLbls>
          <c:showLegendKey val="0"/>
          <c:showVal val="0"/>
          <c:showCatName val="0"/>
          <c:showSerName val="0"/>
          <c:showPercent val="0"/>
          <c:showBubbleSize val="0"/>
        </c:dLbls>
        <c:axId val="175472640"/>
        <c:axId val="175474944"/>
      </c:scatterChart>
      <c:valAx>
        <c:axId val="175472640"/>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defRPr sz="1000"/>
                </a:pPr>
                <a:r>
                  <a:rPr lang="en-US" sz="1000" b="1" i="0" baseline="0">
                    <a:effectLst/>
                  </a:rPr>
                  <a:t>Average Tempurature (°C)</a:t>
                </a:r>
                <a:endParaRPr lang="en-US" sz="1000">
                  <a:effectLst/>
                </a:endParaRPr>
              </a:p>
            </c:rich>
          </c:tx>
          <c:overlay val="0"/>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474944"/>
        <c:crosses val="autoZero"/>
        <c:crossBetween val="midCat"/>
      </c:valAx>
      <c:valAx>
        <c:axId val="175474944"/>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a:pPr>
                <a:r>
                  <a:rPr lang="en-US" sz="1000" b="1" i="0" baseline="0">
                    <a:effectLst/>
                  </a:rPr>
                  <a:t>Avg. Daily Consumption</a:t>
                </a:r>
                <a:endParaRPr lang="en-US" sz="1000">
                  <a:effectLst/>
                </a:endParaRPr>
              </a:p>
            </c:rich>
          </c:tx>
          <c:overlay val="0"/>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47264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GS &gt;</a:t>
            </a:r>
            <a:r>
              <a:rPr lang="en-US" baseline="0"/>
              <a:t> 50 - </a:t>
            </a:r>
            <a:r>
              <a:rPr lang="en-US"/>
              <a:t>kW/kWh Ratio</a:t>
            </a:r>
          </a:p>
        </c:rich>
      </c:tx>
      <c:overlay val="0"/>
    </c:title>
    <c:autoTitleDeleted val="0"/>
    <c:plotArea>
      <c:layout/>
      <c:lineChart>
        <c:grouping val="standard"/>
        <c:varyColors val="0"/>
        <c:ser>
          <c:idx val="0"/>
          <c:order val="0"/>
          <c:tx>
            <c:strRef>
              <c:f>'kW Forecast'!$E$3</c:f>
              <c:strCache>
                <c:ptCount val="1"/>
                <c:pt idx="0">
                  <c:v>Ratio</c:v>
                </c:pt>
              </c:strCache>
            </c:strRef>
          </c:tx>
          <c:spPr>
            <a:ln w="28575" cap="rnd">
              <a:solidFill>
                <a:schemeClr val="accent1"/>
              </a:solidFill>
              <a:round/>
            </a:ln>
            <a:effectLst/>
          </c:spPr>
          <c:marker>
            <c:symbol val="none"/>
          </c:marker>
          <c:cat>
            <c:numRef>
              <c:f>('kW Forecast'!$B$5:$B$13,'kW Forecast'!$B$19:$B$21)</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'kW Forecast'!$E$5:$E$14</c:f>
              <c:numCache>
                <c:formatCode>0.000000</c:formatCode>
                <c:ptCount val="10"/>
                <c:pt idx="0">
                  <c:v>2.6173812934897922E-3</c:v>
                </c:pt>
                <c:pt idx="1">
                  <c:v>2.6177780200117911E-3</c:v>
                </c:pt>
                <c:pt idx="2">
                  <c:v>2.6693654887700092E-3</c:v>
                </c:pt>
                <c:pt idx="3">
                  <c:v>2.6919450206543283E-3</c:v>
                </c:pt>
                <c:pt idx="4">
                  <c:v>2.7168771055311319E-3</c:v>
                </c:pt>
                <c:pt idx="5">
                  <c:v>2.7718736281562035E-3</c:v>
                </c:pt>
                <c:pt idx="6">
                  <c:v>2.709300489352509E-3</c:v>
                </c:pt>
                <c:pt idx="7">
                  <c:v>2.6840921561178998E-3</c:v>
                </c:pt>
                <c:pt idx="8">
                  <c:v>2.7159568845551577E-3</c:v>
                </c:pt>
                <c:pt idx="9">
                  <c:v>2.6444516046547849E-3</c:v>
                </c:pt>
              </c:numCache>
            </c:numRef>
          </c:val>
          <c:smooth val="0"/>
          <c:extLst>
            <c:ext xmlns:c16="http://schemas.microsoft.com/office/drawing/2014/chart" uri="{C3380CC4-5D6E-409C-BE32-E72D297353CC}">
              <c16:uniqueId val="{00000000-D4F6-4A91-BE35-5F8396D72999}"/>
            </c:ext>
          </c:extLst>
        </c:ser>
        <c:ser>
          <c:idx val="2"/>
          <c:order val="1"/>
          <c:tx>
            <c:v>Forecast Trend</c:v>
          </c:tx>
          <c:spPr>
            <a:ln w="28575" cap="rnd">
              <a:solidFill>
                <a:schemeClr val="accent3"/>
              </a:solidFill>
              <a:round/>
            </a:ln>
            <a:effectLst/>
          </c:spPr>
          <c:marker>
            <c:symbol val="none"/>
          </c:marker>
          <c:cat>
            <c:numRef>
              <c:f>('kW Forecast'!$B$5:$B$13,'kW Forecast'!$B$19:$B$21)</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('kW Forecast'!$I$5:$I$13,'kW Forecast'!$F$19:$F$21)</c:f>
              <c:numCache>
                <c:formatCode>General</c:formatCode>
                <c:ptCount val="12"/>
                <c:pt idx="9" formatCode="_-* #,##0.000000_-;\-* #,##0.000000_-;_-* &quot;-&quot;??_-;_-@_-">
                  <c:v>2.714218017795202E-3</c:v>
                </c:pt>
                <c:pt idx="10" formatCode="_-* #,##0.000000_-;\-* #,##0.000000_-;_-* &quot;-&quot;??_-;_-@_-">
                  <c:v>2.7209548730542793E-3</c:v>
                </c:pt>
                <c:pt idx="11" formatCode="_-* #,##0.000000_-;\-* #,##0.000000_-;_-* &quot;-&quot;??_-;_-@_-">
                  <c:v>2.7276917283133549E-3</c:v>
                </c:pt>
              </c:numCache>
            </c:numRef>
          </c:val>
          <c:smooth val="0"/>
          <c:extLst>
            <c:ext xmlns:c16="http://schemas.microsoft.com/office/drawing/2014/chart" uri="{C3380CC4-5D6E-409C-BE32-E72D297353CC}">
              <c16:uniqueId val="{00000002-D4F6-4A91-BE35-5F8396D72999}"/>
            </c:ext>
          </c:extLst>
        </c:ser>
        <c:ser>
          <c:idx val="3"/>
          <c:order val="2"/>
          <c:tx>
            <c:v>Forecast Avg</c:v>
          </c:tx>
          <c:marker>
            <c:symbol val="none"/>
          </c:marker>
          <c:cat>
            <c:numRef>
              <c:f>('kW Forecast'!$B$5:$B$13,'kW Forecast'!$B$19:$B$21)</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('kW Forecast'!$I$5:$I$13,'kW Forecast'!$E$19:$E$21)</c:f>
              <c:numCache>
                <c:formatCode>General</c:formatCode>
                <c:ptCount val="12"/>
                <c:pt idx="9" formatCode="_-* #,##0.000000_-;\-* #,##0.000000_-;_-* &quot;-&quot;??_-;_-@_-">
                  <c:v>2.6839021691293604E-3</c:v>
                </c:pt>
                <c:pt idx="10" formatCode="_-* #,##0.000000_-;\-* #,##0.000000_-;_-* &quot;-&quot;??_-;_-@_-">
                  <c:v>2.6839021691293604E-3</c:v>
                </c:pt>
                <c:pt idx="11" formatCode="_-* #,##0.000000_-;\-* #,##0.000000_-;_-* &quot;-&quot;??_-;_-@_-">
                  <c:v>2.6839021691293604E-3</c:v>
                </c:pt>
              </c:numCache>
            </c:numRef>
          </c:val>
          <c:smooth val="0"/>
          <c:extLst>
            <c:ext xmlns:c16="http://schemas.microsoft.com/office/drawing/2014/chart" uri="{C3380CC4-5D6E-409C-BE32-E72D297353CC}">
              <c16:uniqueId val="{00000003-D4F6-4A91-BE35-5F8396D72999}"/>
            </c:ext>
          </c:extLst>
        </c:ser>
        <c:dLbls>
          <c:showLegendKey val="0"/>
          <c:showVal val="0"/>
          <c:showCatName val="0"/>
          <c:showSerName val="0"/>
          <c:showPercent val="0"/>
          <c:showBubbleSize val="0"/>
        </c:dLbls>
        <c:smooth val="0"/>
        <c:axId val="177295360"/>
        <c:axId val="177296896"/>
      </c:lineChart>
      <c:catAx>
        <c:axId val="177295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296896"/>
        <c:crosses val="autoZero"/>
        <c:auto val="1"/>
        <c:lblAlgn val="ctr"/>
        <c:lblOffset val="100"/>
        <c:noMultiLvlLbl val="0"/>
      </c:catAx>
      <c:valAx>
        <c:axId val="177296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t>kW/kWh Ratio</a:t>
                </a:r>
              </a:p>
            </c:rich>
          </c:tx>
          <c:overlay val="0"/>
        </c:title>
        <c:numFmt formatCode="0.0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295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'kW Forecast'!$M$3</c:f>
              <c:strCache>
                <c:ptCount val="1"/>
                <c:pt idx="0">
                  <c:v>Ratio</c:v>
                </c:pt>
              </c:strCache>
            </c:strRef>
          </c:tx>
          <c:spPr>
            <a:ln w="28575" cap="rnd">
              <a:solidFill>
                <a:schemeClr val="accent1"/>
              </a:solidFill>
              <a:round/>
            </a:ln>
            <a:effectLst/>
          </c:spPr>
          <c:marker>
            <c:symbol val="none"/>
          </c:marker>
          <c:cat>
            <c:numRef>
              <c:f>('kW Forecast'!$J$5:$J$13,'kW Forecast'!$J$19:$J$21)</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'kW Forecast'!$M$5:$M$14</c:f>
              <c:numCache>
                <c:formatCode>0.000000</c:formatCode>
                <c:ptCount val="10"/>
                <c:pt idx="0">
                  <c:v>2.788778064341418E-3</c:v>
                </c:pt>
                <c:pt idx="1">
                  <c:v>2.7798456365231176E-3</c:v>
                </c:pt>
                <c:pt idx="2">
                  <c:v>2.6980359379648604E-3</c:v>
                </c:pt>
                <c:pt idx="3">
                  <c:v>2.7881184112322154E-3</c:v>
                </c:pt>
                <c:pt idx="4">
                  <c:v>2.7892322395287727E-3</c:v>
                </c:pt>
                <c:pt idx="5">
                  <c:v>2.8583121558583293E-3</c:v>
                </c:pt>
                <c:pt idx="6">
                  <c:v>2.7888671870772326E-3</c:v>
                </c:pt>
                <c:pt idx="7">
                  <c:v>2.7891107925615065E-3</c:v>
                </c:pt>
                <c:pt idx="8">
                  <c:v>2.7883706613566505E-3</c:v>
                </c:pt>
                <c:pt idx="9">
                  <c:v>2.7803730071972216E-3</c:v>
                </c:pt>
              </c:numCache>
            </c:numRef>
          </c:val>
          <c:smooth val="0"/>
          <c:extLst>
            <c:ext xmlns:c16="http://schemas.microsoft.com/office/drawing/2014/chart" uri="{C3380CC4-5D6E-409C-BE32-E72D297353CC}">
              <c16:uniqueId val="{00000000-28B5-4533-8DD9-03E0BE3E3248}"/>
            </c:ext>
          </c:extLst>
        </c:ser>
        <c:ser>
          <c:idx val="1"/>
          <c:order val="1"/>
          <c:tx>
            <c:strRef>
              <c:f>'kW Forecast'!$N$3</c:f>
              <c:strCache>
                <c:ptCount val="1"/>
                <c:pt idx="0">
                  <c:v>3-Yr MA</c:v>
                </c:pt>
              </c:strCache>
            </c:strRef>
          </c:tx>
          <c:spPr>
            <a:ln w="28575" cap="rnd">
              <a:solidFill>
                <a:schemeClr val="accent2"/>
              </a:solidFill>
              <a:round/>
            </a:ln>
            <a:effectLst/>
          </c:spPr>
          <c:marker>
            <c:symbol val="none"/>
          </c:marker>
          <c:cat>
            <c:numRef>
              <c:f>('kW Forecast'!$J$5:$J$13,'kW Forecast'!$J$19:$J$21)</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'kW Forecast'!$N$5:$N$13</c:f>
              <c:numCache>
                <c:formatCode>0.000000</c:formatCode>
                <c:ptCount val="9"/>
                <c:pt idx="2">
                  <c:v>2.7843118504322678E-3</c:v>
                </c:pt>
                <c:pt idx="3">
                  <c:v>2.7839820238776663E-3</c:v>
                </c:pt>
                <c:pt idx="4">
                  <c:v>2.7886753253804943E-3</c:v>
                </c:pt>
                <c:pt idx="5">
                  <c:v>2.8232152835452723E-3</c:v>
                </c:pt>
                <c:pt idx="6">
                  <c:v>2.8235896714677812E-3</c:v>
                </c:pt>
                <c:pt idx="7">
                  <c:v>2.8237114742099179E-3</c:v>
                </c:pt>
                <c:pt idx="8">
                  <c:v>2.7887407269590785E-3</c:v>
                </c:pt>
              </c:numCache>
            </c:numRef>
          </c:val>
          <c:smooth val="0"/>
          <c:extLst>
            <c:ext xmlns:c16="http://schemas.microsoft.com/office/drawing/2014/chart" uri="{C3380CC4-5D6E-409C-BE32-E72D297353CC}">
              <c16:uniqueId val="{00000001-28B5-4533-8DD9-03E0BE3E3248}"/>
            </c:ext>
          </c:extLst>
        </c:ser>
        <c:ser>
          <c:idx val="2"/>
          <c:order val="2"/>
          <c:tx>
            <c:v>Forecast Trend</c:v>
          </c:tx>
          <c:spPr>
            <a:ln w="28575" cap="rnd">
              <a:solidFill>
                <a:schemeClr val="accent3"/>
              </a:solidFill>
              <a:round/>
            </a:ln>
            <a:effectLst/>
          </c:spPr>
          <c:marker>
            <c:symbol val="none"/>
          </c:marker>
          <c:cat>
            <c:numRef>
              <c:f>('kW Forecast'!$J$5:$J$13,'kW Forecast'!$J$19:$J$21)</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('kW Forecast'!$O$5:$O$13,'kW Forecast'!$N$19:$N$21)</c:f>
              <c:numCache>
                <c:formatCode>0.000000</c:formatCode>
                <c:ptCount val="12"/>
                <c:pt idx="9" formatCode="_-* #,##0.000000_-;\-* #,##0.000000_-;_-* &quot;-&quot;??_-;_-@_-">
                  <c:v>2.8056329776334605E-3</c:v>
                </c:pt>
                <c:pt idx="10" formatCode="_-* #,##0.000000_-;\-* #,##0.000000_-;_-* &quot;-&quot;??_-;_-@_-">
                  <c:v>2.8072078192518833E-3</c:v>
                </c:pt>
                <c:pt idx="11" formatCode="_-* #,##0.000000_-;\-* #,##0.000000_-;_-* &quot;-&quot;??_-;_-@_-">
                  <c:v>2.8087826608703061E-3</c:v>
                </c:pt>
              </c:numCache>
            </c:numRef>
          </c:val>
          <c:smooth val="0"/>
          <c:extLst>
            <c:ext xmlns:c16="http://schemas.microsoft.com/office/drawing/2014/chart" uri="{C3380CC4-5D6E-409C-BE32-E72D297353CC}">
              <c16:uniqueId val="{00000002-28B5-4533-8DD9-03E0BE3E3248}"/>
            </c:ext>
          </c:extLst>
        </c:ser>
        <c:ser>
          <c:idx val="3"/>
          <c:order val="3"/>
          <c:tx>
            <c:v>Forecast Average</c:v>
          </c:tx>
          <c:spPr>
            <a:ln w="28575" cap="rnd">
              <a:solidFill>
                <a:schemeClr val="accent4"/>
              </a:solidFill>
              <a:round/>
            </a:ln>
            <a:effectLst/>
          </c:spPr>
          <c:marker>
            <c:symbol val="none"/>
          </c:marker>
          <c:cat>
            <c:numRef>
              <c:f>('kW Forecast'!$J$5:$J$13,'kW Forecast'!$J$19:$J$21)</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('kW Forecast'!$O$5:$O$13,'kW Forecast'!$M$19:$M$21)</c:f>
              <c:numCache>
                <c:formatCode>0.000000</c:formatCode>
                <c:ptCount val="12"/>
                <c:pt idx="9" formatCode="_-* #,##0.000000_-;\-* #,##0.000000_-;_-* &quot;-&quot;??_-;_-@_-">
                  <c:v>2.7945564617418298E-3</c:v>
                </c:pt>
                <c:pt idx="10" formatCode="_-* #,##0.000000_-;\-* #,##0.000000_-;_-* &quot;-&quot;??_-;_-@_-">
                  <c:v>2.7945564617418298E-3</c:v>
                </c:pt>
                <c:pt idx="11" formatCode="_-* #,##0.000000_-;\-* #,##0.000000_-;_-* &quot;-&quot;??_-;_-@_-">
                  <c:v>2.7945564617418298E-3</c:v>
                </c:pt>
              </c:numCache>
            </c:numRef>
          </c:val>
          <c:smooth val="0"/>
          <c:extLst>
            <c:ext xmlns:c16="http://schemas.microsoft.com/office/drawing/2014/chart" uri="{C3380CC4-5D6E-409C-BE32-E72D297353CC}">
              <c16:uniqueId val="{00000003-28B5-4533-8DD9-03E0BE3E3248}"/>
            </c:ext>
          </c:extLst>
        </c:ser>
        <c:dLbls>
          <c:showLegendKey val="0"/>
          <c:showVal val="0"/>
          <c:showCatName val="0"/>
          <c:showSerName val="0"/>
          <c:showPercent val="0"/>
          <c:showBubbleSize val="0"/>
        </c:dLbls>
        <c:smooth val="0"/>
        <c:axId val="177330432"/>
        <c:axId val="177340416"/>
      </c:lineChart>
      <c:catAx>
        <c:axId val="17733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340416"/>
        <c:crosses val="autoZero"/>
        <c:auto val="1"/>
        <c:lblAlgn val="ctr"/>
        <c:lblOffset val="100"/>
        <c:noMultiLvlLbl val="0"/>
      </c:catAx>
      <c:valAx>
        <c:axId val="177340416"/>
        <c:scaling>
          <c:orientation val="minMax"/>
        </c:scaling>
        <c:delete val="0"/>
        <c:axPos val="l"/>
        <c:majorGridlines>
          <c:spPr>
            <a:ln w="9525" cap="flat" cmpd="sng" algn="ctr">
              <a:solidFill>
                <a:schemeClr val="tx1">
                  <a:lumMod val="15000"/>
                  <a:lumOff val="85000"/>
                </a:schemeClr>
              </a:solidFill>
              <a:round/>
            </a:ln>
            <a:effectLst/>
          </c:spPr>
        </c:majorGridlines>
        <c:numFmt formatCode="0.0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330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28575" cap="rnd">
              <a:solidFill>
                <a:schemeClr val="accent1"/>
              </a:solidFill>
              <a:round/>
            </a:ln>
            <a:effectLst/>
          </c:spPr>
          <c:marker>
            <c:symbol val="none"/>
          </c:marker>
          <c:cat>
            <c:numRef>
              <c:f>('kW Forecast (Weather Normal)'!$B$5:$B$9,'kW Forecast (Weather Normal)'!$B$23:$B$24)</c:f>
              <c:numCache>
                <c:formatCode>General</c:formatCode>
                <c:ptCount val="7"/>
                <c:pt idx="0">
                  <c:v>2015</c:v>
                </c:pt>
                <c:pt idx="1">
                  <c:v>2016</c:v>
                </c:pt>
                <c:pt idx="2">
                  <c:v>2017</c:v>
                </c:pt>
                <c:pt idx="3">
                  <c:v>2018</c:v>
                </c:pt>
                <c:pt idx="4">
                  <c:v>2019</c:v>
                </c:pt>
                <c:pt idx="5">
                  <c:v>2020</c:v>
                </c:pt>
                <c:pt idx="6">
                  <c:v>2021</c:v>
                </c:pt>
              </c:numCache>
            </c:numRef>
          </c:cat>
          <c:val>
            <c:numRef>
              <c:f>'kW Forecast (Weather Normal)'!$E$5:$E$14</c:f>
              <c:numCache>
                <c:formatCode>0.000000</c:formatCode>
                <c:ptCount val="10"/>
                <c:pt idx="0">
                  <c:v>2.6173812934897922E-3</c:v>
                </c:pt>
                <c:pt idx="1">
                  <c:v>2.6177780200117911E-3</c:v>
                </c:pt>
                <c:pt idx="2">
                  <c:v>2.6693654887700092E-3</c:v>
                </c:pt>
                <c:pt idx="3">
                  <c:v>2.6919450206543283E-3</c:v>
                </c:pt>
                <c:pt idx="4">
                  <c:v>2.7168771055311319E-3</c:v>
                </c:pt>
                <c:pt idx="5">
                  <c:v>2.7718736281562035E-3</c:v>
                </c:pt>
                <c:pt idx="6">
                  <c:v>2.709300489352509E-3</c:v>
                </c:pt>
                <c:pt idx="7">
                  <c:v>2.6840921561178998E-3</c:v>
                </c:pt>
                <c:pt idx="8">
                  <c:v>2.7159568845551577E-3</c:v>
                </c:pt>
                <c:pt idx="9">
                  <c:v>2.6444516046547849E-3</c:v>
                </c:pt>
              </c:numCache>
            </c:numRef>
          </c:val>
          <c:smooth val="0"/>
          <c:extLst>
            <c:ext xmlns:c16="http://schemas.microsoft.com/office/drawing/2014/chart" uri="{C3380CC4-5D6E-409C-BE32-E72D297353CC}">
              <c16:uniqueId val="{00000000-F001-4D6E-BEA4-A655F889F03B}"/>
            </c:ext>
          </c:extLst>
        </c:ser>
        <c:ser>
          <c:idx val="1"/>
          <c:order val="1"/>
          <c:spPr>
            <a:ln w="28575" cap="rnd">
              <a:solidFill>
                <a:schemeClr val="accent3"/>
              </a:solidFill>
              <a:round/>
            </a:ln>
            <a:effectLst/>
          </c:spPr>
          <c:marker>
            <c:symbol val="none"/>
          </c:marker>
          <c:cat>
            <c:numRef>
              <c:f>('kW Forecast (Weather Normal)'!$B$5:$B$9,'kW Forecast (Weather Normal)'!$B$23:$B$24)</c:f>
              <c:numCache>
                <c:formatCode>General</c:formatCode>
                <c:ptCount val="7"/>
                <c:pt idx="0">
                  <c:v>2015</c:v>
                </c:pt>
                <c:pt idx="1">
                  <c:v>2016</c:v>
                </c:pt>
                <c:pt idx="2">
                  <c:v>2017</c:v>
                </c:pt>
                <c:pt idx="3">
                  <c:v>2018</c:v>
                </c:pt>
                <c:pt idx="4">
                  <c:v>2019</c:v>
                </c:pt>
                <c:pt idx="5">
                  <c:v>2020</c:v>
                </c:pt>
                <c:pt idx="6">
                  <c:v>2021</c:v>
                </c:pt>
              </c:numCache>
            </c:numRef>
          </c:cat>
          <c:val>
            <c:numRef>
              <c:f>'kW Forecast (Weather Normal)'!$F$18:$F$29</c:f>
              <c:numCache>
                <c:formatCode>_-* #,##0.000000_-;\-* #,##0.000000_-;_-* "-"??_-;_-@_-</c:formatCode>
                <c:ptCount val="12"/>
                <c:pt idx="0">
                  <c:v>2.6535863204635163E-3</c:v>
                </c:pt>
                <c:pt idx="1">
                  <c:v>2.6603231757225936E-3</c:v>
                </c:pt>
                <c:pt idx="2">
                  <c:v>2.6670600309816692E-3</c:v>
                </c:pt>
                <c:pt idx="3">
                  <c:v>2.6737968862407448E-3</c:v>
                </c:pt>
                <c:pt idx="4">
                  <c:v>2.6805337414998222E-3</c:v>
                </c:pt>
                <c:pt idx="5">
                  <c:v>2.6872705967588978E-3</c:v>
                </c:pt>
                <c:pt idx="6">
                  <c:v>2.6940074520179734E-3</c:v>
                </c:pt>
                <c:pt idx="7">
                  <c:v>2.7007443072770507E-3</c:v>
                </c:pt>
                <c:pt idx="8">
                  <c:v>2.7074811625361263E-3</c:v>
                </c:pt>
                <c:pt idx="9">
                  <c:v>2.714218017795202E-3</c:v>
                </c:pt>
                <c:pt idx="10">
                  <c:v>2.7209548730542793E-3</c:v>
                </c:pt>
                <c:pt idx="11">
                  <c:v>2.7276917283133549E-3</c:v>
                </c:pt>
              </c:numCache>
            </c:numRef>
          </c:val>
          <c:smooth val="0"/>
          <c:extLst>
            <c:ext xmlns:c16="http://schemas.microsoft.com/office/drawing/2014/chart" uri="{C3380CC4-5D6E-409C-BE32-E72D297353CC}">
              <c16:uniqueId val="{00000001-F001-4D6E-BEA4-A655F889F03B}"/>
            </c:ext>
          </c:extLst>
        </c:ser>
        <c:dLbls>
          <c:showLegendKey val="0"/>
          <c:showVal val="0"/>
          <c:showCatName val="0"/>
          <c:showSerName val="0"/>
          <c:showPercent val="0"/>
          <c:showBubbleSize val="0"/>
        </c:dLbls>
        <c:smooth val="0"/>
        <c:axId val="177420544"/>
        <c:axId val="177426432"/>
      </c:lineChart>
      <c:catAx>
        <c:axId val="177420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426432"/>
        <c:crosses val="autoZero"/>
        <c:auto val="1"/>
        <c:lblAlgn val="ctr"/>
        <c:lblOffset val="100"/>
        <c:noMultiLvlLbl val="0"/>
      </c:catAx>
      <c:valAx>
        <c:axId val="177426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b="0"/>
                  <a:t>kW/kWh Ratio</a:t>
                </a:r>
              </a:p>
            </c:rich>
          </c:tx>
          <c:overlay val="0"/>
        </c:title>
        <c:numFmt formatCode="0.0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420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'kW Forecast (Weather Normal)'!$M$3</c:f>
              <c:strCache>
                <c:ptCount val="1"/>
                <c:pt idx="0">
                  <c:v>Ratio</c:v>
                </c:pt>
              </c:strCache>
            </c:strRef>
          </c:tx>
          <c:spPr>
            <a:ln w="28575" cap="rnd">
              <a:solidFill>
                <a:schemeClr val="accent1"/>
              </a:solidFill>
              <a:round/>
            </a:ln>
            <a:effectLst/>
          </c:spPr>
          <c:marker>
            <c:symbol val="none"/>
          </c:marker>
          <c:cat>
            <c:numRef>
              <c:f>('kW Forecast (Weather Normal)'!$J$5:$J$9,'kW Forecast (Weather Normal)'!$J$23:$J$24)</c:f>
              <c:numCache>
                <c:formatCode>General</c:formatCode>
                <c:ptCount val="7"/>
                <c:pt idx="0">
                  <c:v>2015</c:v>
                </c:pt>
                <c:pt idx="1">
                  <c:v>2016</c:v>
                </c:pt>
                <c:pt idx="2">
                  <c:v>2017</c:v>
                </c:pt>
                <c:pt idx="3">
                  <c:v>2018</c:v>
                </c:pt>
                <c:pt idx="4">
                  <c:v>2019</c:v>
                </c:pt>
                <c:pt idx="5">
                  <c:v>2020</c:v>
                </c:pt>
                <c:pt idx="6">
                  <c:v>2021</c:v>
                </c:pt>
              </c:numCache>
            </c:numRef>
          </c:cat>
          <c:val>
            <c:numRef>
              <c:f>'kW Forecast (Weather Normal)'!$M$5:$M$14</c:f>
              <c:numCache>
                <c:formatCode>0.000000</c:formatCode>
                <c:ptCount val="10"/>
                <c:pt idx="0">
                  <c:v>2.788778064341418E-3</c:v>
                </c:pt>
                <c:pt idx="1">
                  <c:v>2.7798456365231176E-3</c:v>
                </c:pt>
                <c:pt idx="2">
                  <c:v>2.6980359379648604E-3</c:v>
                </c:pt>
                <c:pt idx="3">
                  <c:v>2.7881184112322154E-3</c:v>
                </c:pt>
                <c:pt idx="4">
                  <c:v>2.7892322395287727E-3</c:v>
                </c:pt>
                <c:pt idx="5">
                  <c:v>2.8583121558583293E-3</c:v>
                </c:pt>
                <c:pt idx="6">
                  <c:v>2.7888671870772326E-3</c:v>
                </c:pt>
                <c:pt idx="7">
                  <c:v>2.7891107925615065E-3</c:v>
                </c:pt>
                <c:pt idx="8">
                  <c:v>2.7883706613566505E-3</c:v>
                </c:pt>
                <c:pt idx="9">
                  <c:v>2.7803730071972216E-3</c:v>
                </c:pt>
              </c:numCache>
            </c:numRef>
          </c:val>
          <c:smooth val="0"/>
          <c:extLst>
            <c:ext xmlns:c16="http://schemas.microsoft.com/office/drawing/2014/chart" uri="{C3380CC4-5D6E-409C-BE32-E72D297353CC}">
              <c16:uniqueId val="{00000000-0165-4A83-A7CD-6920A66E18C1}"/>
            </c:ext>
          </c:extLst>
        </c:ser>
        <c:ser>
          <c:idx val="1"/>
          <c:order val="1"/>
          <c:tx>
            <c:strRef>
              <c:f>'kW Forecast (Weather Normal)'!$N$3</c:f>
              <c:strCache>
                <c:ptCount val="1"/>
                <c:pt idx="0">
                  <c:v>3-Yr MA</c:v>
                </c:pt>
              </c:strCache>
            </c:strRef>
          </c:tx>
          <c:spPr>
            <a:ln w="28575" cap="rnd">
              <a:solidFill>
                <a:schemeClr val="accent2"/>
              </a:solidFill>
              <a:round/>
            </a:ln>
            <a:effectLst/>
          </c:spPr>
          <c:marker>
            <c:symbol val="none"/>
          </c:marker>
          <c:cat>
            <c:numRef>
              <c:f>('kW Forecast (Weather Normal)'!$J$5:$J$9,'kW Forecast (Weather Normal)'!$J$23:$J$24)</c:f>
              <c:numCache>
                <c:formatCode>General</c:formatCode>
                <c:ptCount val="7"/>
                <c:pt idx="0">
                  <c:v>2015</c:v>
                </c:pt>
                <c:pt idx="1">
                  <c:v>2016</c:v>
                </c:pt>
                <c:pt idx="2">
                  <c:v>2017</c:v>
                </c:pt>
                <c:pt idx="3">
                  <c:v>2018</c:v>
                </c:pt>
                <c:pt idx="4">
                  <c:v>2019</c:v>
                </c:pt>
                <c:pt idx="5">
                  <c:v>2020</c:v>
                </c:pt>
                <c:pt idx="6">
                  <c:v>2021</c:v>
                </c:pt>
              </c:numCache>
            </c:numRef>
          </c:cat>
          <c:val>
            <c:numRef>
              <c:f>'kW Forecast (Weather Normal)'!$N$5:$N$9</c:f>
              <c:numCache>
                <c:formatCode>0.000000</c:formatCode>
                <c:ptCount val="5"/>
                <c:pt idx="1">
                  <c:v>2.7843118504322678E-3</c:v>
                </c:pt>
                <c:pt idx="2">
                  <c:v>2.7843118504322678E-3</c:v>
                </c:pt>
                <c:pt idx="3">
                  <c:v>2.7839820238776663E-3</c:v>
                </c:pt>
                <c:pt idx="4">
                  <c:v>2.7886753253804943E-3</c:v>
                </c:pt>
              </c:numCache>
            </c:numRef>
          </c:val>
          <c:smooth val="0"/>
          <c:extLst>
            <c:ext xmlns:c16="http://schemas.microsoft.com/office/drawing/2014/chart" uri="{C3380CC4-5D6E-409C-BE32-E72D297353CC}">
              <c16:uniqueId val="{00000001-0165-4A83-A7CD-6920A66E18C1}"/>
            </c:ext>
          </c:extLst>
        </c:ser>
        <c:ser>
          <c:idx val="2"/>
          <c:order val="2"/>
          <c:tx>
            <c:v>Forecast Trend</c:v>
          </c:tx>
          <c:spPr>
            <a:ln w="28575" cap="rnd">
              <a:solidFill>
                <a:schemeClr val="accent3"/>
              </a:solidFill>
              <a:round/>
            </a:ln>
            <a:effectLst/>
          </c:spPr>
          <c:marker>
            <c:symbol val="none"/>
          </c:marker>
          <c:cat>
            <c:numRef>
              <c:f>('kW Forecast (Weather Normal)'!$J$5:$J$9,'kW Forecast (Weather Normal)'!$J$23:$J$24)</c:f>
              <c:numCache>
                <c:formatCode>General</c:formatCode>
                <c:ptCount val="7"/>
                <c:pt idx="0">
                  <c:v>2015</c:v>
                </c:pt>
                <c:pt idx="1">
                  <c:v>2016</c:v>
                </c:pt>
                <c:pt idx="2">
                  <c:v>2017</c:v>
                </c:pt>
                <c:pt idx="3">
                  <c:v>2018</c:v>
                </c:pt>
                <c:pt idx="4">
                  <c:v>2019</c:v>
                </c:pt>
                <c:pt idx="5">
                  <c:v>2020</c:v>
                </c:pt>
                <c:pt idx="6">
                  <c:v>2021</c:v>
                </c:pt>
              </c:numCache>
            </c:numRef>
          </c:cat>
          <c:val>
            <c:numRef>
              <c:f>('kW Forecast (Weather Normal)'!$O$5:$O$9,'kW Forecast (Weather Normal)'!$N$23:$N$24)</c:f>
              <c:numCache>
                <c:formatCode>0.000000</c:formatCode>
                <c:ptCount val="7"/>
                <c:pt idx="5" formatCode="_-* #,##0.000000_-;\-* #,##0.000000_-;_-* &quot;-&quot;??_-;_-@_-">
                  <c:v>2.7993027723595665E-3</c:v>
                </c:pt>
                <c:pt idx="6" formatCode="_-* #,##0.000000_-;\-* #,##0.000000_-;_-* &quot;-&quot;??_-;_-@_-">
                  <c:v>2.800846775177787E-3</c:v>
                </c:pt>
              </c:numCache>
            </c:numRef>
          </c:val>
          <c:smooth val="0"/>
          <c:extLst>
            <c:ext xmlns:c16="http://schemas.microsoft.com/office/drawing/2014/chart" uri="{C3380CC4-5D6E-409C-BE32-E72D297353CC}">
              <c16:uniqueId val="{00000002-0165-4A83-A7CD-6920A66E18C1}"/>
            </c:ext>
          </c:extLst>
        </c:ser>
        <c:ser>
          <c:idx val="3"/>
          <c:order val="3"/>
          <c:tx>
            <c:v>Forecast Average</c:v>
          </c:tx>
          <c:spPr>
            <a:ln w="28575" cap="rnd">
              <a:solidFill>
                <a:schemeClr val="accent4"/>
              </a:solidFill>
              <a:round/>
            </a:ln>
            <a:effectLst/>
          </c:spPr>
          <c:marker>
            <c:symbol val="none"/>
          </c:marker>
          <c:val>
            <c:numRef>
              <c:f>('kW Forecast (Weather Normal)'!$O$5:$O$9,'kW Forecast (Weather Normal)'!$M$23:$M$24)</c:f>
              <c:numCache>
                <c:formatCode>0.000000</c:formatCode>
                <c:ptCount val="7"/>
                <c:pt idx="5" formatCode="_-* #,##0.000000_-;\-* #,##0.000000_-;_-* &quot;-&quot;??_-;_-@_-">
                  <c:v>2.7849044093641328E-3</c:v>
                </c:pt>
                <c:pt idx="6" formatCode="_-* #,##0.000000_-;\-* #,##0.000000_-;_-* &quot;-&quot;??_-;_-@_-">
                  <c:v>2.7849044093641328E-3</c:v>
                </c:pt>
              </c:numCache>
            </c:numRef>
          </c:val>
          <c:smooth val="0"/>
          <c:extLst>
            <c:ext xmlns:c16="http://schemas.microsoft.com/office/drawing/2014/chart" uri="{C3380CC4-5D6E-409C-BE32-E72D297353CC}">
              <c16:uniqueId val="{00000003-0165-4A83-A7CD-6920A66E18C1}"/>
            </c:ext>
          </c:extLst>
        </c:ser>
        <c:dLbls>
          <c:showLegendKey val="0"/>
          <c:showVal val="0"/>
          <c:showCatName val="0"/>
          <c:showSerName val="0"/>
          <c:showPercent val="0"/>
          <c:showBubbleSize val="0"/>
        </c:dLbls>
        <c:smooth val="0"/>
        <c:axId val="178594176"/>
        <c:axId val="178595712"/>
      </c:lineChart>
      <c:catAx>
        <c:axId val="17859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595712"/>
        <c:crosses val="autoZero"/>
        <c:auto val="1"/>
        <c:lblAlgn val="ctr"/>
        <c:lblOffset val="100"/>
        <c:noMultiLvlLbl val="0"/>
      </c:catAx>
      <c:valAx>
        <c:axId val="178595712"/>
        <c:scaling>
          <c:orientation val="minMax"/>
        </c:scaling>
        <c:delete val="0"/>
        <c:axPos val="l"/>
        <c:majorGridlines>
          <c:spPr>
            <a:ln w="9525" cap="flat" cmpd="sng" algn="ctr">
              <a:solidFill>
                <a:schemeClr val="tx1">
                  <a:lumMod val="15000"/>
                  <a:lumOff val="85000"/>
                </a:schemeClr>
              </a:solidFill>
              <a:round/>
            </a:ln>
            <a:effectLst/>
          </c:spPr>
        </c:majorGridlines>
        <c:numFmt formatCode="0.0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59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Consumption by Class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'Summary Tables'!$R$4</c:f>
              <c:strCache>
                <c:ptCount val="1"/>
                <c:pt idx="0">
                  <c:v>Residential</c:v>
                </c:pt>
              </c:strCache>
            </c:strRef>
          </c:tx>
          <c:spPr>
            <a:ln w="28575" cap="rnd">
              <a:solidFill>
                <a:schemeClr val="accent1"/>
              </a:solidFill>
              <a:round/>
            </a:ln>
            <a:effectLst/>
          </c:spPr>
          <c:marker>
            <c:symbol val="none"/>
          </c:marker>
          <c:cat>
            <c:strRef>
              <c:f>'Summary Tables'!$S$2:$X$2</c:f>
              <c:strCache>
                <c:ptCount val="6"/>
                <c:pt idx="0">
                  <c:v>2021 Actual</c:v>
                </c:pt>
                <c:pt idx="1">
                  <c:v>2022 Actual</c:v>
                </c:pt>
                <c:pt idx="2">
                  <c:v>2023 Actual</c:v>
                </c:pt>
                <c:pt idx="3">
                  <c:v>2024 Normal</c:v>
                </c:pt>
                <c:pt idx="4">
                  <c:v>2025 Forecast</c:v>
                </c:pt>
                <c:pt idx="5">
                  <c:v>2026 Forecast</c:v>
                </c:pt>
              </c:strCache>
            </c:strRef>
          </c:cat>
          <c:val>
            <c:numRef>
              <c:f>'Summary Tables'!$S$4:$X$4</c:f>
              <c:numCache>
                <c:formatCode>#,##0</c:formatCode>
                <c:ptCount val="6"/>
                <c:pt idx="0">
                  <c:v>550878084</c:v>
                </c:pt>
                <c:pt idx="1">
                  <c:v>543063322</c:v>
                </c:pt>
                <c:pt idx="2">
                  <c:v>520495248</c:v>
                </c:pt>
                <c:pt idx="3">
                  <c:v>540051923.88</c:v>
                </c:pt>
                <c:pt idx="4">
                  <c:v>550184938.12356281</c:v>
                </c:pt>
                <c:pt idx="5">
                  <c:v>554448693.38048613</c:v>
                </c:pt>
              </c:numCache>
            </c:numRef>
          </c:val>
          <c:smooth val="0"/>
          <c:extLst>
            <c:ext xmlns:c16="http://schemas.microsoft.com/office/drawing/2014/chart" uri="{C3380CC4-5D6E-409C-BE32-E72D297353CC}">
              <c16:uniqueId val="{00000000-249A-4CC9-A143-46E6A984B3C2}"/>
            </c:ext>
          </c:extLst>
        </c:ser>
        <c:ser>
          <c:idx val="1"/>
          <c:order val="1"/>
          <c:tx>
            <c:strRef>
              <c:f>'Summary Tables'!$R$5</c:f>
              <c:strCache>
                <c:ptCount val="1"/>
                <c:pt idx="0">
                  <c:v>GS &lt; 50</c:v>
                </c:pt>
              </c:strCache>
            </c:strRef>
          </c:tx>
          <c:spPr>
            <a:ln w="28575" cap="rnd">
              <a:solidFill>
                <a:schemeClr val="accent2"/>
              </a:solidFill>
              <a:round/>
            </a:ln>
            <a:effectLst/>
          </c:spPr>
          <c:marker>
            <c:symbol val="none"/>
          </c:marker>
          <c:cat>
            <c:strRef>
              <c:f>'Summary Tables'!$S$2:$X$2</c:f>
              <c:strCache>
                <c:ptCount val="6"/>
                <c:pt idx="0">
                  <c:v>2021 Actual</c:v>
                </c:pt>
                <c:pt idx="1">
                  <c:v>2022 Actual</c:v>
                </c:pt>
                <c:pt idx="2">
                  <c:v>2023 Actual</c:v>
                </c:pt>
                <c:pt idx="3">
                  <c:v>2024 Normal</c:v>
                </c:pt>
                <c:pt idx="4">
                  <c:v>2025 Forecast</c:v>
                </c:pt>
                <c:pt idx="5">
                  <c:v>2026 Forecast</c:v>
                </c:pt>
              </c:strCache>
            </c:strRef>
          </c:cat>
          <c:val>
            <c:numRef>
              <c:f>'Summary Tables'!$S$5:$X$5</c:f>
              <c:numCache>
                <c:formatCode>#,##0</c:formatCode>
                <c:ptCount val="6"/>
                <c:pt idx="0">
                  <c:v>156917865</c:v>
                </c:pt>
                <c:pt idx="1">
                  <c:v>167739015</c:v>
                </c:pt>
                <c:pt idx="2">
                  <c:v>169521838</c:v>
                </c:pt>
                <c:pt idx="3">
                  <c:v>168919666.52000001</c:v>
                </c:pt>
                <c:pt idx="4">
                  <c:v>167760950.19116414</c:v>
                </c:pt>
                <c:pt idx="5">
                  <c:v>168539128.42216069</c:v>
                </c:pt>
              </c:numCache>
            </c:numRef>
          </c:val>
          <c:smooth val="0"/>
          <c:extLst>
            <c:ext xmlns:c16="http://schemas.microsoft.com/office/drawing/2014/chart" uri="{C3380CC4-5D6E-409C-BE32-E72D297353CC}">
              <c16:uniqueId val="{00000001-249A-4CC9-A143-46E6A984B3C2}"/>
            </c:ext>
          </c:extLst>
        </c:ser>
        <c:ser>
          <c:idx val="2"/>
          <c:order val="2"/>
          <c:tx>
            <c:strRef>
              <c:f>'Summary Tables'!$R$6</c:f>
              <c:strCache>
                <c:ptCount val="1"/>
                <c:pt idx="0">
                  <c:v>GS &gt; 50</c:v>
                </c:pt>
              </c:strCache>
            </c:strRef>
          </c:tx>
          <c:spPr>
            <a:ln w="28575" cap="rnd">
              <a:solidFill>
                <a:schemeClr val="accent3"/>
              </a:solidFill>
              <a:round/>
            </a:ln>
            <a:effectLst/>
          </c:spPr>
          <c:marker>
            <c:symbol val="none"/>
          </c:marker>
          <c:cat>
            <c:strRef>
              <c:f>'Summary Tables'!$S$2:$X$2</c:f>
              <c:strCache>
                <c:ptCount val="6"/>
                <c:pt idx="0">
                  <c:v>2021 Actual</c:v>
                </c:pt>
                <c:pt idx="1">
                  <c:v>2022 Actual</c:v>
                </c:pt>
                <c:pt idx="2">
                  <c:v>2023 Actual</c:v>
                </c:pt>
                <c:pt idx="3">
                  <c:v>2024 Normal</c:v>
                </c:pt>
                <c:pt idx="4">
                  <c:v>2025 Forecast</c:v>
                </c:pt>
                <c:pt idx="5">
                  <c:v>2026 Forecast</c:v>
                </c:pt>
              </c:strCache>
            </c:strRef>
          </c:cat>
          <c:val>
            <c:numRef>
              <c:f>'Summary Tables'!$S$6:$X$6</c:f>
              <c:numCache>
                <c:formatCode>#,##0</c:formatCode>
                <c:ptCount val="6"/>
                <c:pt idx="0">
                  <c:v>797368549</c:v>
                </c:pt>
                <c:pt idx="1">
                  <c:v>812199013</c:v>
                </c:pt>
                <c:pt idx="2">
                  <c:v>785675948</c:v>
                </c:pt>
                <c:pt idx="3">
                  <c:v>796891425.15999985</c:v>
                </c:pt>
                <c:pt idx="4">
                  <c:v>753271774.73510349</c:v>
                </c:pt>
                <c:pt idx="5">
                  <c:v>732505201.84553397</c:v>
                </c:pt>
              </c:numCache>
            </c:numRef>
          </c:val>
          <c:smooth val="0"/>
          <c:extLst>
            <c:ext xmlns:c16="http://schemas.microsoft.com/office/drawing/2014/chart" uri="{C3380CC4-5D6E-409C-BE32-E72D297353CC}">
              <c16:uniqueId val="{00000002-249A-4CC9-A143-46E6A984B3C2}"/>
            </c:ext>
          </c:extLst>
        </c:ser>
        <c:ser>
          <c:idx val="3"/>
          <c:order val="3"/>
          <c:tx>
            <c:strRef>
              <c:f>'Summary Tables'!$R$7</c:f>
              <c:strCache>
                <c:ptCount val="1"/>
                <c:pt idx="0">
                  <c:v>Street Light</c:v>
                </c:pt>
              </c:strCache>
            </c:strRef>
          </c:tx>
          <c:spPr>
            <a:ln w="28575" cap="rnd">
              <a:solidFill>
                <a:schemeClr val="accent4"/>
              </a:solidFill>
              <a:round/>
            </a:ln>
            <a:effectLst/>
          </c:spPr>
          <c:marker>
            <c:symbol val="none"/>
          </c:marker>
          <c:cat>
            <c:strRef>
              <c:f>'Summary Tables'!$S$2:$X$2</c:f>
              <c:strCache>
                <c:ptCount val="6"/>
                <c:pt idx="0">
                  <c:v>2021 Actual</c:v>
                </c:pt>
                <c:pt idx="1">
                  <c:v>2022 Actual</c:v>
                </c:pt>
                <c:pt idx="2">
                  <c:v>2023 Actual</c:v>
                </c:pt>
                <c:pt idx="3">
                  <c:v>2024 Normal</c:v>
                </c:pt>
                <c:pt idx="4">
                  <c:v>2025 Forecast</c:v>
                </c:pt>
                <c:pt idx="5">
                  <c:v>2026 Forecast</c:v>
                </c:pt>
              </c:strCache>
            </c:strRef>
          </c:cat>
          <c:val>
            <c:numRef>
              <c:f>'Summary Tables'!$S$7:$X$7</c:f>
              <c:numCache>
                <c:formatCode>#,##0</c:formatCode>
                <c:ptCount val="6"/>
                <c:pt idx="0">
                  <c:v>5543828</c:v>
                </c:pt>
                <c:pt idx="1">
                  <c:v>5550156</c:v>
                </c:pt>
                <c:pt idx="2">
                  <c:v>5553781</c:v>
                </c:pt>
                <c:pt idx="3">
                  <c:v>5595608.9199999999</c:v>
                </c:pt>
                <c:pt idx="4">
                  <c:v>5601815.3767096987</c:v>
                </c:pt>
                <c:pt idx="5">
                  <c:v>5608030.8259170279</c:v>
                </c:pt>
              </c:numCache>
            </c:numRef>
          </c:val>
          <c:smooth val="0"/>
          <c:extLst>
            <c:ext xmlns:c16="http://schemas.microsoft.com/office/drawing/2014/chart" uri="{C3380CC4-5D6E-409C-BE32-E72D297353CC}">
              <c16:uniqueId val="{00000003-249A-4CC9-A143-46E6A984B3C2}"/>
            </c:ext>
          </c:extLst>
        </c:ser>
        <c:ser>
          <c:idx val="4"/>
          <c:order val="4"/>
          <c:tx>
            <c:strRef>
              <c:f>'Summary Tables'!$R$8</c:f>
              <c:strCache>
                <c:ptCount val="1"/>
                <c:pt idx="0">
                  <c:v>USL</c:v>
                </c:pt>
              </c:strCache>
            </c:strRef>
          </c:tx>
          <c:spPr>
            <a:ln w="28575" cap="rnd">
              <a:solidFill>
                <a:schemeClr val="accent5"/>
              </a:solidFill>
              <a:round/>
            </a:ln>
            <a:effectLst/>
          </c:spPr>
          <c:marker>
            <c:symbol val="none"/>
          </c:marker>
          <c:cat>
            <c:strRef>
              <c:f>'Summary Tables'!$S$2:$X$2</c:f>
              <c:strCache>
                <c:ptCount val="6"/>
                <c:pt idx="0">
                  <c:v>2021 Actual</c:v>
                </c:pt>
                <c:pt idx="1">
                  <c:v>2022 Actual</c:v>
                </c:pt>
                <c:pt idx="2">
                  <c:v>2023 Actual</c:v>
                </c:pt>
                <c:pt idx="3">
                  <c:v>2024 Normal</c:v>
                </c:pt>
                <c:pt idx="4">
                  <c:v>2025 Forecast</c:v>
                </c:pt>
                <c:pt idx="5">
                  <c:v>2026 Forecast</c:v>
                </c:pt>
              </c:strCache>
            </c:strRef>
          </c:cat>
          <c:val>
            <c:numRef>
              <c:f>'Summary Tables'!$S$8:$X$8</c:f>
              <c:numCache>
                <c:formatCode>#,##0</c:formatCode>
                <c:ptCount val="6"/>
                <c:pt idx="0">
                  <c:v>3135184</c:v>
                </c:pt>
                <c:pt idx="1">
                  <c:v>3146746</c:v>
                </c:pt>
                <c:pt idx="2">
                  <c:v>3168511</c:v>
                </c:pt>
                <c:pt idx="3">
                  <c:v>3283469.76</c:v>
                </c:pt>
                <c:pt idx="4">
                  <c:v>3297741.5382048921</c:v>
                </c:pt>
                <c:pt idx="5">
                  <c:v>3312078.3011629507</c:v>
                </c:pt>
              </c:numCache>
            </c:numRef>
          </c:val>
          <c:smooth val="0"/>
          <c:extLst>
            <c:ext xmlns:c16="http://schemas.microsoft.com/office/drawing/2014/chart" uri="{C3380CC4-5D6E-409C-BE32-E72D297353CC}">
              <c16:uniqueId val="{00000004-249A-4CC9-A143-46E6A984B3C2}"/>
            </c:ext>
          </c:extLst>
        </c:ser>
        <c:ser>
          <c:idx val="5"/>
          <c:order val="5"/>
          <c:tx>
            <c:strRef>
              <c:f>'Summary Tables'!$R$9</c:f>
              <c:strCache>
                <c:ptCount val="1"/>
                <c:pt idx="0">
                  <c:v>Total</c:v>
                </c:pt>
              </c:strCache>
            </c:strRef>
          </c:tx>
          <c:spPr>
            <a:ln w="28575" cap="rnd">
              <a:solidFill>
                <a:schemeClr val="accent6"/>
              </a:solidFill>
              <a:round/>
            </a:ln>
            <a:effectLst/>
          </c:spPr>
          <c:marker>
            <c:symbol val="none"/>
          </c:marker>
          <c:cat>
            <c:strRef>
              <c:f>'Summary Tables'!$S$2:$X$2</c:f>
              <c:strCache>
                <c:ptCount val="6"/>
                <c:pt idx="0">
                  <c:v>2021 Actual</c:v>
                </c:pt>
                <c:pt idx="1">
                  <c:v>2022 Actual</c:v>
                </c:pt>
                <c:pt idx="2">
                  <c:v>2023 Actual</c:v>
                </c:pt>
                <c:pt idx="3">
                  <c:v>2024 Normal</c:v>
                </c:pt>
                <c:pt idx="4">
                  <c:v>2025 Forecast</c:v>
                </c:pt>
                <c:pt idx="5">
                  <c:v>2026 Forecast</c:v>
                </c:pt>
              </c:strCache>
            </c:strRef>
          </c:cat>
          <c:val>
            <c:numRef>
              <c:f>'Summary Tables'!$S$9:$X$9</c:f>
              <c:numCache>
                <c:formatCode>#,##0</c:formatCode>
                <c:ptCount val="6"/>
                <c:pt idx="0">
                  <c:v>1513843510</c:v>
                </c:pt>
                <c:pt idx="1">
                  <c:v>1531698252</c:v>
                </c:pt>
                <c:pt idx="2">
                  <c:v>1484415326</c:v>
                </c:pt>
                <c:pt idx="3">
                  <c:v>1514742094.24</c:v>
                </c:pt>
                <c:pt idx="4">
                  <c:v>1480117219.964745</c:v>
                </c:pt>
                <c:pt idx="5">
                  <c:v>1464413132.7752609</c:v>
                </c:pt>
              </c:numCache>
            </c:numRef>
          </c:val>
          <c:smooth val="0"/>
          <c:extLst>
            <c:ext xmlns:c16="http://schemas.microsoft.com/office/drawing/2014/chart" uri="{C3380CC4-5D6E-409C-BE32-E72D297353CC}">
              <c16:uniqueId val="{00000005-249A-4CC9-A143-46E6A984B3C2}"/>
            </c:ext>
          </c:extLst>
        </c:ser>
        <c:dLbls>
          <c:showLegendKey val="0"/>
          <c:showVal val="0"/>
          <c:showCatName val="0"/>
          <c:showSerName val="0"/>
          <c:showPercent val="0"/>
          <c:showBubbleSize val="0"/>
        </c:dLbls>
        <c:smooth val="0"/>
        <c:axId val="406510624"/>
        <c:axId val="406503424"/>
      </c:lineChart>
      <c:catAx>
        <c:axId val="406510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503424"/>
        <c:crosses val="autoZero"/>
        <c:auto val="1"/>
        <c:lblAlgn val="ctr"/>
        <c:lblOffset val="100"/>
        <c:noMultiLvlLbl val="0"/>
      </c:catAx>
      <c:valAx>
        <c:axId val="406503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510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 kW</a:t>
            </a:r>
          </a:p>
        </c:rich>
      </c:tx>
      <c:overlay val="0"/>
      <c:spPr>
        <a:noFill/>
        <a:ln>
          <a:noFill/>
        </a:ln>
        <a:effectLst/>
      </c:spPr>
    </c:title>
    <c:autoTitleDeleted val="0"/>
    <c:plotArea>
      <c:layout/>
      <c:scatterChart>
        <c:scatterStyle val="lineMarker"/>
        <c:varyColors val="0"/>
        <c:ser>
          <c:idx val="0"/>
          <c:order val="0"/>
          <c:tx>
            <c:v>GS&lt;50 kW</c:v>
          </c:tx>
          <c:spPr>
            <a:ln w="19050">
              <a:noFill/>
            </a:ln>
          </c:spPr>
          <c:marker>
            <c:symbol val="circle"/>
            <c:size val="5"/>
            <c:spPr>
              <a:solidFill>
                <a:schemeClr val="accent1"/>
              </a:solidFill>
              <a:ln w="9525">
                <a:solidFill>
                  <a:schemeClr val="accent1"/>
                </a:solidFill>
              </a:ln>
              <a:effectLst/>
            </c:spPr>
          </c:marker>
          <c:xVal>
            <c:numRef>
              <c:f>(Weather!$D$194:$D$256,Weather!$D$259:$D$269,Weather!$D$271:$D$313)</c:f>
              <c:numCache>
                <c:formatCode>0.0</c:formatCode>
                <c:ptCount val="117"/>
                <c:pt idx="0">
                  <c:v>-5.8580645161290343</c:v>
                </c:pt>
                <c:pt idx="1">
                  <c:v>-11.139285714285718</c:v>
                </c:pt>
                <c:pt idx="2">
                  <c:v>-1.1612903225806448</c:v>
                </c:pt>
                <c:pt idx="3">
                  <c:v>7.2700000000000022</c:v>
                </c:pt>
                <c:pt idx="4">
                  <c:v>14.535483870967743</c:v>
                </c:pt>
                <c:pt idx="5">
                  <c:v>16.886666666666663</c:v>
                </c:pt>
                <c:pt idx="6">
                  <c:v>21.899999999999995</c:v>
                </c:pt>
                <c:pt idx="7">
                  <c:v>20.796774193548384</c:v>
                </c:pt>
                <c:pt idx="8">
                  <c:v>20.030000000000005</c:v>
                </c:pt>
                <c:pt idx="9">
                  <c:v>11.587096774193544</c:v>
                </c:pt>
                <c:pt idx="10">
                  <c:v>7.9633333333333329</c:v>
                </c:pt>
                <c:pt idx="11">
                  <c:v>5.2741935483870979</c:v>
                </c:pt>
                <c:pt idx="12">
                  <c:v>-2.1612903225806446</c:v>
                </c:pt>
                <c:pt idx="13">
                  <c:v>-0.76896551724137929</c:v>
                </c:pt>
                <c:pt idx="14">
                  <c:v>3.4451612903225803</c:v>
                </c:pt>
                <c:pt idx="15">
                  <c:v>4.9666666666666659</c:v>
                </c:pt>
                <c:pt idx="16">
                  <c:v>13.870967741935482</c:v>
                </c:pt>
                <c:pt idx="17">
                  <c:v>19.386666666666663</c:v>
                </c:pt>
                <c:pt idx="18">
                  <c:v>22.919354838709673</c:v>
                </c:pt>
                <c:pt idx="19">
                  <c:v>23.735483870967741</c:v>
                </c:pt>
                <c:pt idx="20">
                  <c:v>20.029999999999998</c:v>
                </c:pt>
                <c:pt idx="21">
                  <c:v>13.20967741935484</c:v>
                </c:pt>
                <c:pt idx="22">
                  <c:v>8.2366666666666628</c:v>
                </c:pt>
                <c:pt idx="23">
                  <c:v>-3.2258064516129135E-2</c:v>
                </c:pt>
                <c:pt idx="24">
                  <c:v>-0.34193548387096795</c:v>
                </c:pt>
                <c:pt idx="25">
                  <c:v>1.1714285714285715</c:v>
                </c:pt>
                <c:pt idx="26">
                  <c:v>0.54193548387096779</c:v>
                </c:pt>
                <c:pt idx="27">
                  <c:v>8.9300000000000015</c:v>
                </c:pt>
                <c:pt idx="28">
                  <c:v>11.783870967741937</c:v>
                </c:pt>
                <c:pt idx="29">
                  <c:v>19.303333333333331</c:v>
                </c:pt>
                <c:pt idx="30">
                  <c:v>21.661290322580644</c:v>
                </c:pt>
                <c:pt idx="31">
                  <c:v>20.522580645161295</c:v>
                </c:pt>
                <c:pt idx="32">
                  <c:v>18.610000000000003</c:v>
                </c:pt>
                <c:pt idx="33">
                  <c:v>14.658064516129036</c:v>
                </c:pt>
                <c:pt idx="34">
                  <c:v>5.0699999999999994</c:v>
                </c:pt>
                <c:pt idx="35">
                  <c:v>-2.9419354838709673</c:v>
                </c:pt>
                <c:pt idx="36">
                  <c:v>-3.9451612903225803</c:v>
                </c:pt>
                <c:pt idx="37">
                  <c:v>-0.28928571428571387</c:v>
                </c:pt>
                <c:pt idx="38">
                  <c:v>0.77741935483870972</c:v>
                </c:pt>
                <c:pt idx="39">
                  <c:v>4.0233333333333334</c:v>
                </c:pt>
                <c:pt idx="40">
                  <c:v>14.790322580645164</c:v>
                </c:pt>
                <c:pt idx="41">
                  <c:v>19.029999999999998</c:v>
                </c:pt>
                <c:pt idx="42">
                  <c:v>23.296774193548391</c:v>
                </c:pt>
                <c:pt idx="43">
                  <c:v>23.283870967741933</c:v>
                </c:pt>
                <c:pt idx="44">
                  <c:v>19.446666666666669</c:v>
                </c:pt>
                <c:pt idx="45">
                  <c:v>10.645161290322582</c:v>
                </c:pt>
                <c:pt idx="46">
                  <c:v>2.9200000000000004</c:v>
                </c:pt>
                <c:pt idx="47">
                  <c:v>1.3548387096774193</c:v>
                </c:pt>
                <c:pt idx="48">
                  <c:v>-4.580645161290323</c:v>
                </c:pt>
                <c:pt idx="49">
                  <c:v>-2.4178571428571423</c:v>
                </c:pt>
                <c:pt idx="50">
                  <c:v>4.8387096774193415E-2</c:v>
                </c:pt>
                <c:pt idx="51">
                  <c:v>6.2700000000000005</c:v>
                </c:pt>
                <c:pt idx="52">
                  <c:v>11.058064516129033</c:v>
                </c:pt>
                <c:pt idx="53">
                  <c:v>17.306666666666668</c:v>
                </c:pt>
                <c:pt idx="54">
                  <c:v>22.92258064516129</c:v>
                </c:pt>
                <c:pt idx="55">
                  <c:v>21.267741935483876</c:v>
                </c:pt>
                <c:pt idx="56">
                  <c:v>18.453333333333333</c:v>
                </c:pt>
                <c:pt idx="57">
                  <c:v>12.125806451612904</c:v>
                </c:pt>
                <c:pt idx="58">
                  <c:v>2.5333333333333332</c:v>
                </c:pt>
                <c:pt idx="59">
                  <c:v>1.2129032258064516</c:v>
                </c:pt>
                <c:pt idx="60">
                  <c:v>0.20000000000000021</c:v>
                </c:pt>
                <c:pt idx="61">
                  <c:v>-1.3517241379310343</c:v>
                </c:pt>
                <c:pt idx="62">
                  <c:v>3.8064516129032264</c:v>
                </c:pt>
                <c:pt idx="63">
                  <c:v>19.97666666666667</c:v>
                </c:pt>
                <c:pt idx="64">
                  <c:v>24.532258064516125</c:v>
                </c:pt>
                <c:pt idx="65">
                  <c:v>21.920967741935485</c:v>
                </c:pt>
                <c:pt idx="66">
                  <c:v>17.376666666666665</c:v>
                </c:pt>
                <c:pt idx="67">
                  <c:v>10.483870967741934</c:v>
                </c:pt>
                <c:pt idx="68">
                  <c:v>8.1366666666666667</c:v>
                </c:pt>
                <c:pt idx="69">
                  <c:v>1.4806451612903222</c:v>
                </c:pt>
                <c:pt idx="70">
                  <c:v>-0.8999999999999998</c:v>
                </c:pt>
                <c:pt idx="71">
                  <c:v>-3.7500000000000004</c:v>
                </c:pt>
                <c:pt idx="72">
                  <c:v>3.5161290322580645</c:v>
                </c:pt>
                <c:pt idx="73">
                  <c:v>6.7766666666666673</c:v>
                </c:pt>
                <c:pt idx="74">
                  <c:v>20.980000000000004</c:v>
                </c:pt>
                <c:pt idx="75">
                  <c:v>21.56451612903226</c:v>
                </c:pt>
                <c:pt idx="76">
                  <c:v>23.651612903225807</c:v>
                </c:pt>
                <c:pt idx="77">
                  <c:v>18.350000000000001</c:v>
                </c:pt>
                <c:pt idx="78">
                  <c:v>14.590322580645163</c:v>
                </c:pt>
                <c:pt idx="79">
                  <c:v>5.8999999999999995</c:v>
                </c:pt>
                <c:pt idx="80">
                  <c:v>3.0161290322580654</c:v>
                </c:pt>
                <c:pt idx="81">
                  <c:v>-6.1354838709677422</c:v>
                </c:pt>
                <c:pt idx="82">
                  <c:v>-2.596428571428572</c:v>
                </c:pt>
                <c:pt idx="83">
                  <c:v>2.0096774193548388</c:v>
                </c:pt>
                <c:pt idx="84">
                  <c:v>6.2133333333333338</c:v>
                </c:pt>
                <c:pt idx="85">
                  <c:v>13.738709677419356</c:v>
                </c:pt>
                <c:pt idx="86">
                  <c:v>19.150000000000002</c:v>
                </c:pt>
                <c:pt idx="87">
                  <c:v>22.409677419354836</c:v>
                </c:pt>
                <c:pt idx="88">
                  <c:v>22.274193548387096</c:v>
                </c:pt>
                <c:pt idx="89">
                  <c:v>18.266666666666666</c:v>
                </c:pt>
                <c:pt idx="90">
                  <c:v>10.525806451612901</c:v>
                </c:pt>
                <c:pt idx="91">
                  <c:v>6.7566666666666659</c:v>
                </c:pt>
                <c:pt idx="92">
                  <c:v>1.1451612903225807</c:v>
                </c:pt>
                <c:pt idx="93">
                  <c:v>0.59354838709677415</c:v>
                </c:pt>
                <c:pt idx="94">
                  <c:v>0.43214285714285683</c:v>
                </c:pt>
                <c:pt idx="95">
                  <c:v>1.9870967741935488</c:v>
                </c:pt>
                <c:pt idx="96">
                  <c:v>8.5733333333333324</c:v>
                </c:pt>
                <c:pt idx="97">
                  <c:v>13.1</c:v>
                </c:pt>
                <c:pt idx="98">
                  <c:v>19.133333333333336</c:v>
                </c:pt>
                <c:pt idx="99">
                  <c:v>22.693548387096783</c:v>
                </c:pt>
                <c:pt idx="100">
                  <c:v>20.251612903225805</c:v>
                </c:pt>
                <c:pt idx="101">
                  <c:v>18.68666666666666</c:v>
                </c:pt>
                <c:pt idx="102">
                  <c:v>13.283870967741938</c:v>
                </c:pt>
                <c:pt idx="103">
                  <c:v>5.5299999999999994</c:v>
                </c:pt>
                <c:pt idx="104">
                  <c:v>3.7032258064516133</c:v>
                </c:pt>
                <c:pt idx="105">
                  <c:v>-0.91612903225806464</c:v>
                </c:pt>
                <c:pt idx="106">
                  <c:v>1.1344827586206896</c:v>
                </c:pt>
                <c:pt idx="107">
                  <c:v>4.1451612903225818</c:v>
                </c:pt>
                <c:pt idx="108">
                  <c:v>8.1766666666666676</c:v>
                </c:pt>
                <c:pt idx="109">
                  <c:v>14.935483870967746</c:v>
                </c:pt>
                <c:pt idx="110">
                  <c:v>19.479999999999997</c:v>
                </c:pt>
                <c:pt idx="111">
                  <c:v>22.445161290322577</c:v>
                </c:pt>
                <c:pt idx="112">
                  <c:v>21.751612903225805</c:v>
                </c:pt>
                <c:pt idx="113">
                  <c:v>18.926666666666669</c:v>
                </c:pt>
                <c:pt idx="114">
                  <c:v>13.748387096774191</c:v>
                </c:pt>
                <c:pt idx="115">
                  <c:v>7.8566666666666674</c:v>
                </c:pt>
                <c:pt idx="116">
                  <c:v>1.0709677419354837</c:v>
                </c:pt>
              </c:numCache>
            </c:numRef>
          </c:xVal>
          <c:yVal>
            <c:numRef>
              <c:f>(Weather!$X$194:$X$256,Weather!$X$259:$X$269,Weather!$X$271:$X$313)</c:f>
              <c:numCache>
                <c:formatCode>_(* #,##0_);_(* \(#,##0\);_(* "-"??_);_(@_)</c:formatCode>
                <c:ptCount val="117"/>
                <c:pt idx="0">
                  <c:v>97.560755045247902</c:v>
                </c:pt>
                <c:pt idx="1">
                  <c:v>100.83553444659586</c:v>
                </c:pt>
                <c:pt idx="2">
                  <c:v>93.646173346737172</c:v>
                </c:pt>
                <c:pt idx="3">
                  <c:v>85.210487023685147</c:v>
                </c:pt>
                <c:pt idx="4">
                  <c:v>83.134742429566415</c:v>
                </c:pt>
                <c:pt idx="5">
                  <c:v>88.144026961415804</c:v>
                </c:pt>
                <c:pt idx="6">
                  <c:v>94.385381604745632</c:v>
                </c:pt>
                <c:pt idx="7">
                  <c:v>95.810231149617096</c:v>
                </c:pt>
                <c:pt idx="8">
                  <c:v>90.417582874023452</c:v>
                </c:pt>
                <c:pt idx="9">
                  <c:v>81.048353091465316</c:v>
                </c:pt>
                <c:pt idx="10">
                  <c:v>84.23020954528576</c:v>
                </c:pt>
                <c:pt idx="11">
                  <c:v>87.079564544040707</c:v>
                </c:pt>
                <c:pt idx="12">
                  <c:v>92.994182293360112</c:v>
                </c:pt>
                <c:pt idx="13">
                  <c:v>93.954003948620183</c:v>
                </c:pt>
                <c:pt idx="14">
                  <c:v>88.747182995371958</c:v>
                </c:pt>
                <c:pt idx="15">
                  <c:v>84.854094652821445</c:v>
                </c:pt>
                <c:pt idx="16">
                  <c:v>83.667615386721593</c:v>
                </c:pt>
                <c:pt idx="17">
                  <c:v>92.139979527992253</c:v>
                </c:pt>
                <c:pt idx="18">
                  <c:v>100.22120929454427</c:v>
                </c:pt>
                <c:pt idx="19">
                  <c:v>102.65947895270921</c:v>
                </c:pt>
                <c:pt idx="20">
                  <c:v>91.283552522364715</c:v>
                </c:pt>
                <c:pt idx="21">
                  <c:v>81.595715074117678</c:v>
                </c:pt>
                <c:pt idx="22">
                  <c:v>84.545886777910511</c:v>
                </c:pt>
                <c:pt idx="23">
                  <c:v>90.81345362843976</c:v>
                </c:pt>
                <c:pt idx="24">
                  <c:v>94.603819985466984</c:v>
                </c:pt>
                <c:pt idx="25">
                  <c:v>92.755773206016201</c:v>
                </c:pt>
                <c:pt idx="26">
                  <c:v>89.59679209161574</c:v>
                </c:pt>
                <c:pt idx="27">
                  <c:v>83.524560606899868</c:v>
                </c:pt>
                <c:pt idx="28">
                  <c:v>82.172482796145601</c:v>
                </c:pt>
                <c:pt idx="29">
                  <c:v>88.702701764269605</c:v>
                </c:pt>
                <c:pt idx="30">
                  <c:v>93.889598083528242</c:v>
                </c:pt>
                <c:pt idx="31">
                  <c:v>91.513786499589131</c:v>
                </c:pt>
                <c:pt idx="32">
                  <c:v>88.499467409410428</c:v>
                </c:pt>
                <c:pt idx="33">
                  <c:v>83.972668747379004</c:v>
                </c:pt>
                <c:pt idx="34">
                  <c:v>87.108560335607734</c:v>
                </c:pt>
                <c:pt idx="35">
                  <c:v>93.731614209193694</c:v>
                </c:pt>
                <c:pt idx="36">
                  <c:v>98.25661406290331</c:v>
                </c:pt>
                <c:pt idx="37">
                  <c:v>95.509599660230251</c:v>
                </c:pt>
                <c:pt idx="38">
                  <c:v>91.272182239542559</c:v>
                </c:pt>
                <c:pt idx="39">
                  <c:v>87.946551731936992</c:v>
                </c:pt>
                <c:pt idx="40">
                  <c:v>87.433943883506743</c:v>
                </c:pt>
                <c:pt idx="41">
                  <c:v>94.24459518862578</c:v>
                </c:pt>
                <c:pt idx="42">
                  <c:v>101.45844471375339</c:v>
                </c:pt>
                <c:pt idx="43">
                  <c:v>99.978616093355683</c:v>
                </c:pt>
                <c:pt idx="44">
                  <c:v>92.20962564473561</c:v>
                </c:pt>
                <c:pt idx="45">
                  <c:v>83.801539727689459</c:v>
                </c:pt>
                <c:pt idx="46">
                  <c:v>89.105052611364272</c:v>
                </c:pt>
                <c:pt idx="47">
                  <c:v>91.345484841121348</c:v>
                </c:pt>
                <c:pt idx="48">
                  <c:v>96.998055921924646</c:v>
                </c:pt>
                <c:pt idx="49">
                  <c:v>99.140891437359045</c:v>
                </c:pt>
                <c:pt idx="50">
                  <c:v>94.136716699093583</c:v>
                </c:pt>
                <c:pt idx="51">
                  <c:v>86.573401857811135</c:v>
                </c:pt>
                <c:pt idx="52">
                  <c:v>82.449202213437687</c:v>
                </c:pt>
                <c:pt idx="53">
                  <c:v>88.515085325540682</c:v>
                </c:pt>
                <c:pt idx="54">
                  <c:v>100.40746368650225</c:v>
                </c:pt>
                <c:pt idx="55">
                  <c:v>96.229205547057717</c:v>
                </c:pt>
                <c:pt idx="56">
                  <c:v>88.166763730701803</c:v>
                </c:pt>
                <c:pt idx="57">
                  <c:v>81.408296721585941</c:v>
                </c:pt>
                <c:pt idx="58">
                  <c:v>87.691187720912751</c:v>
                </c:pt>
                <c:pt idx="59">
                  <c:v>89.844493130565056</c:v>
                </c:pt>
                <c:pt idx="60">
                  <c:v>90.826718985288494</c:v>
                </c:pt>
                <c:pt idx="61">
                  <c:v>91.481271570718221</c:v>
                </c:pt>
                <c:pt idx="62">
                  <c:v>81.106437814675672</c:v>
                </c:pt>
                <c:pt idx="63">
                  <c:v>81.858785852188205</c:v>
                </c:pt>
                <c:pt idx="64">
                  <c:v>92.82034396923153</c:v>
                </c:pt>
                <c:pt idx="65">
                  <c:v>90.734081653127461</c:v>
                </c:pt>
                <c:pt idx="66">
                  <c:v>80.173145900447039</c:v>
                </c:pt>
                <c:pt idx="67">
                  <c:v>75.575764459137275</c:v>
                </c:pt>
                <c:pt idx="68">
                  <c:v>79.916281285346841</c:v>
                </c:pt>
                <c:pt idx="69">
                  <c:v>82.056885965047258</c:v>
                </c:pt>
                <c:pt idx="70">
                  <c:v>83.244296473533623</c:v>
                </c:pt>
                <c:pt idx="71">
                  <c:v>87.396851200426383</c:v>
                </c:pt>
                <c:pt idx="72">
                  <c:v>82.593064659199626</c:v>
                </c:pt>
                <c:pt idx="73">
                  <c:v>74.904932909465941</c:v>
                </c:pt>
                <c:pt idx="74">
                  <c:v>80.312698448555849</c:v>
                </c:pt>
                <c:pt idx="75">
                  <c:v>88.248058744347929</c:v>
                </c:pt>
                <c:pt idx="76">
                  <c:v>94.077171086181679</c:v>
                </c:pt>
                <c:pt idx="77">
                  <c:v>84.023946743691724</c:v>
                </c:pt>
                <c:pt idx="78">
                  <c:v>77.096240868148712</c:v>
                </c:pt>
                <c:pt idx="79">
                  <c:v>81.685539433546793</c:v>
                </c:pt>
                <c:pt idx="80">
                  <c:v>84.645887463233208</c:v>
                </c:pt>
                <c:pt idx="81">
                  <c:v>90.286887971648099</c:v>
                </c:pt>
                <c:pt idx="82">
                  <c:v>93.424929950977315</c:v>
                </c:pt>
                <c:pt idx="83">
                  <c:v>87.867055056519234</c:v>
                </c:pt>
                <c:pt idx="84">
                  <c:v>81.751863712024132</c:v>
                </c:pt>
                <c:pt idx="85">
                  <c:v>80.868236417691065</c:v>
                </c:pt>
                <c:pt idx="86">
                  <c:v>88.632842653586735</c:v>
                </c:pt>
                <c:pt idx="87">
                  <c:v>95.522373724146647</c:v>
                </c:pt>
                <c:pt idx="88">
                  <c:v>95.133143073388425</c:v>
                </c:pt>
                <c:pt idx="89">
                  <c:v>85.248439356266601</c:v>
                </c:pt>
                <c:pt idx="90">
                  <c:v>78.609040376401609</c:v>
                </c:pt>
                <c:pt idx="91">
                  <c:v>85.123920614094331</c:v>
                </c:pt>
                <c:pt idx="92">
                  <c:v>89.048815540087531</c:v>
                </c:pt>
                <c:pt idx="93">
                  <c:v>91.304255548983363</c:v>
                </c:pt>
                <c:pt idx="94">
                  <c:v>92.579588779375143</c:v>
                </c:pt>
                <c:pt idx="95">
                  <c:v>88.975763745051466</c:v>
                </c:pt>
                <c:pt idx="96">
                  <c:v>83.908175192940021</c:v>
                </c:pt>
                <c:pt idx="97">
                  <c:v>82.530990714578721</c:v>
                </c:pt>
                <c:pt idx="98">
                  <c:v>88.728541803470463</c:v>
                </c:pt>
                <c:pt idx="99">
                  <c:v>96.574170935989144</c:v>
                </c:pt>
                <c:pt idx="100">
                  <c:v>93.105503534985147</c:v>
                </c:pt>
                <c:pt idx="101">
                  <c:v>87.842147552693135</c:v>
                </c:pt>
                <c:pt idx="102">
                  <c:v>82.130569538111999</c:v>
                </c:pt>
                <c:pt idx="103">
                  <c:v>86.397832104534984</c:v>
                </c:pt>
                <c:pt idx="104">
                  <c:v>86.541338015287963</c:v>
                </c:pt>
                <c:pt idx="105">
                  <c:v>90.574821156546008</c:v>
                </c:pt>
                <c:pt idx="106">
                  <c:v>89.495470894289198</c:v>
                </c:pt>
                <c:pt idx="107">
                  <c:v>85.470542129588111</c:v>
                </c:pt>
                <c:pt idx="108">
                  <c:v>82.462720781338305</c:v>
                </c:pt>
                <c:pt idx="109">
                  <c:v>82.264992579095676</c:v>
                </c:pt>
                <c:pt idx="110">
                  <c:v>90.827968894082318</c:v>
                </c:pt>
                <c:pt idx="111">
                  <c:v>98.203220548941587</c:v>
                </c:pt>
                <c:pt idx="112">
                  <c:v>94.604394848519206</c:v>
                </c:pt>
                <c:pt idx="113">
                  <c:v>87.871169227572906</c:v>
                </c:pt>
                <c:pt idx="114">
                  <c:v>81.190970987123208</c:v>
                </c:pt>
                <c:pt idx="115">
                  <c:v>83.676954712892865</c:v>
                </c:pt>
                <c:pt idx="116">
                  <c:v>90.099073608210588</c:v>
                </c:pt>
              </c:numCache>
            </c:numRef>
          </c:yVal>
          <c:smooth val="0"/>
          <c:extLst>
            <c:ext xmlns:c16="http://schemas.microsoft.com/office/drawing/2014/chart" uri="{C3380CC4-5D6E-409C-BE32-E72D297353CC}">
              <c16:uniqueId val="{00000000-7E0C-4CBE-A334-3E02689B822E}"/>
            </c:ext>
          </c:extLst>
        </c:ser>
        <c:ser>
          <c:idx val="1"/>
          <c:order val="1"/>
          <c:tx>
            <c:v>Apr/May 2020</c:v>
          </c:tx>
          <c:spPr>
            <a:ln w="19050">
              <a:noFill/>
            </a:ln>
          </c:spPr>
          <c:xVal>
            <c:numRef>
              <c:f>Weather!$W$257:$W$258</c:f>
              <c:numCache>
                <c:formatCode>0.0</c:formatCode>
                <c:ptCount val="2"/>
                <c:pt idx="0">
                  <c:v>5.9666666666666659</c:v>
                </c:pt>
                <c:pt idx="1">
                  <c:v>11.177419354838708</c:v>
                </c:pt>
              </c:numCache>
            </c:numRef>
          </c:xVal>
          <c:yVal>
            <c:numRef>
              <c:f>Weather!$X$257:$X$258</c:f>
              <c:numCache>
                <c:formatCode>_(* #,##0_);_(* \(#,##0\);_(* "-"??_);_(@_)</c:formatCode>
                <c:ptCount val="2"/>
                <c:pt idx="0">
                  <c:v>68.835011540687674</c:v>
                </c:pt>
                <c:pt idx="1">
                  <c:v>68.312484899576106</c:v>
                </c:pt>
              </c:numCache>
            </c:numRef>
          </c:yVal>
          <c:smooth val="0"/>
          <c:extLst>
            <c:ext xmlns:c16="http://schemas.microsoft.com/office/drawing/2014/chart" uri="{C3380CC4-5D6E-409C-BE32-E72D297353CC}">
              <c16:uniqueId val="{00000001-7E0C-4CBE-A334-3E02689B822E}"/>
            </c:ext>
          </c:extLst>
        </c:ser>
        <c:ser>
          <c:idx val="2"/>
          <c:order val="2"/>
          <c:tx>
            <c:v>May-21</c:v>
          </c:tx>
          <c:spPr>
            <a:ln w="19050">
              <a:solidFill>
                <a:schemeClr val="accent6">
                  <a:lumMod val="75000"/>
                </a:schemeClr>
              </a:solidFill>
            </a:ln>
          </c:spPr>
          <c:marker>
            <c:spPr>
              <a:solidFill>
                <a:schemeClr val="accent6">
                  <a:lumMod val="75000"/>
                </a:schemeClr>
              </a:solidFill>
              <a:ln>
                <a:solidFill>
                  <a:schemeClr val="accent6">
                    <a:lumMod val="75000"/>
                  </a:schemeClr>
                </a:solidFill>
              </a:ln>
            </c:spPr>
          </c:marker>
          <c:xVal>
            <c:numRef>
              <c:f>Weather!$W$270</c:f>
              <c:numCache>
                <c:formatCode>0.0</c:formatCode>
                <c:ptCount val="1"/>
                <c:pt idx="0">
                  <c:v>13.167741935483869</c:v>
                </c:pt>
              </c:numCache>
            </c:numRef>
          </c:xVal>
          <c:yVal>
            <c:numRef>
              <c:f>Weather!$X$270</c:f>
              <c:numCache>
                <c:formatCode>_(* #,##0_);_(* \(#,##0\);_(* "-"??_);_(@_)</c:formatCode>
                <c:ptCount val="1"/>
                <c:pt idx="0">
                  <c:v>75.584538365994476</c:v>
                </c:pt>
              </c:numCache>
            </c:numRef>
          </c:yVal>
          <c:smooth val="0"/>
          <c:extLst>
            <c:ext xmlns:c16="http://schemas.microsoft.com/office/drawing/2014/chart" uri="{C3380CC4-5D6E-409C-BE32-E72D297353CC}">
              <c16:uniqueId val="{00000002-7E0C-4CBE-A334-3E02689B822E}"/>
            </c:ext>
          </c:extLst>
        </c:ser>
        <c:dLbls>
          <c:showLegendKey val="0"/>
          <c:showVal val="0"/>
          <c:showCatName val="0"/>
          <c:showSerName val="0"/>
          <c:showPercent val="0"/>
          <c:showBubbleSize val="0"/>
        </c:dLbls>
        <c:axId val="152621824"/>
        <c:axId val="152624128"/>
      </c:scatterChart>
      <c:valAx>
        <c:axId val="152621824"/>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defRPr sz="1000"/>
                </a:pPr>
                <a:r>
                  <a:rPr lang="en-US" sz="1000" b="1" i="0" baseline="0">
                    <a:effectLst/>
                  </a:rPr>
                  <a:t>Average Tempurature (°C)</a:t>
                </a:r>
                <a:endParaRPr lang="en-US" sz="1000">
                  <a:effectLst/>
                </a:endParaRPr>
              </a:p>
            </c:rich>
          </c:tx>
          <c:overlay val="0"/>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24128"/>
        <c:crosses val="autoZero"/>
        <c:crossBetween val="midCat"/>
      </c:valAx>
      <c:valAx>
        <c:axId val="152624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a:pPr>
                <a:r>
                  <a:rPr lang="en-US" sz="1000" b="1" i="0" baseline="0">
                    <a:effectLst/>
                  </a:rPr>
                  <a:t>Avg. Daily Consumption</a:t>
                </a:r>
                <a:endParaRPr lang="en-US" sz="1000">
                  <a:effectLst/>
                </a:endParaRPr>
              </a:p>
            </c:rich>
          </c:tx>
          <c:overlay val="0"/>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218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CA"/>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lineMarker"/>
        <c:varyColors val="0"/>
        <c:ser>
          <c:idx val="0"/>
          <c:order val="0"/>
          <c:tx>
            <c:strRef>
              <c:f>Weather!$D$1</c:f>
              <c:strCache>
                <c:ptCount val="1"/>
                <c:pt idx="0">
                  <c:v>MeanTemp</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Weather!$D$194:$D$313</c:f>
              <c:numCache>
                <c:formatCode>0.0</c:formatCode>
                <c:ptCount val="120"/>
                <c:pt idx="0">
                  <c:v>-5.8580645161290343</c:v>
                </c:pt>
                <c:pt idx="1">
                  <c:v>-11.139285714285718</c:v>
                </c:pt>
                <c:pt idx="2">
                  <c:v>-1.1612903225806448</c:v>
                </c:pt>
                <c:pt idx="3">
                  <c:v>7.2700000000000022</c:v>
                </c:pt>
                <c:pt idx="4">
                  <c:v>14.535483870967743</c:v>
                </c:pt>
                <c:pt idx="5">
                  <c:v>16.886666666666663</c:v>
                </c:pt>
                <c:pt idx="6">
                  <c:v>21.899999999999995</c:v>
                </c:pt>
                <c:pt idx="7">
                  <c:v>20.796774193548384</c:v>
                </c:pt>
                <c:pt idx="8">
                  <c:v>20.030000000000005</c:v>
                </c:pt>
                <c:pt idx="9">
                  <c:v>11.587096774193544</c:v>
                </c:pt>
                <c:pt idx="10">
                  <c:v>7.9633333333333329</c:v>
                </c:pt>
                <c:pt idx="11">
                  <c:v>5.2741935483870979</c:v>
                </c:pt>
                <c:pt idx="12">
                  <c:v>-2.1612903225806446</c:v>
                </c:pt>
                <c:pt idx="13">
                  <c:v>-0.76896551724137929</c:v>
                </c:pt>
                <c:pt idx="14">
                  <c:v>3.4451612903225803</c:v>
                </c:pt>
                <c:pt idx="15">
                  <c:v>4.9666666666666659</c:v>
                </c:pt>
                <c:pt idx="16">
                  <c:v>13.870967741935482</c:v>
                </c:pt>
                <c:pt idx="17">
                  <c:v>19.386666666666663</c:v>
                </c:pt>
                <c:pt idx="18">
                  <c:v>22.919354838709673</c:v>
                </c:pt>
                <c:pt idx="19">
                  <c:v>23.735483870967741</c:v>
                </c:pt>
                <c:pt idx="20">
                  <c:v>20.029999999999998</c:v>
                </c:pt>
                <c:pt idx="21">
                  <c:v>13.20967741935484</c:v>
                </c:pt>
                <c:pt idx="22">
                  <c:v>8.2366666666666628</c:v>
                </c:pt>
                <c:pt idx="23">
                  <c:v>-3.2258064516129135E-2</c:v>
                </c:pt>
                <c:pt idx="24">
                  <c:v>-0.34193548387096795</c:v>
                </c:pt>
                <c:pt idx="25">
                  <c:v>1.1714285714285715</c:v>
                </c:pt>
                <c:pt idx="26">
                  <c:v>0.54193548387096779</c:v>
                </c:pt>
                <c:pt idx="27">
                  <c:v>8.9300000000000015</c:v>
                </c:pt>
                <c:pt idx="28">
                  <c:v>11.783870967741937</c:v>
                </c:pt>
                <c:pt idx="29">
                  <c:v>19.303333333333331</c:v>
                </c:pt>
                <c:pt idx="30">
                  <c:v>21.661290322580644</c:v>
                </c:pt>
                <c:pt idx="31">
                  <c:v>20.522580645161295</c:v>
                </c:pt>
                <c:pt idx="32">
                  <c:v>18.610000000000003</c:v>
                </c:pt>
                <c:pt idx="33">
                  <c:v>14.658064516129036</c:v>
                </c:pt>
                <c:pt idx="34">
                  <c:v>5.0699999999999994</c:v>
                </c:pt>
                <c:pt idx="35">
                  <c:v>-2.9419354838709673</c:v>
                </c:pt>
                <c:pt idx="36">
                  <c:v>-3.9451612903225803</c:v>
                </c:pt>
                <c:pt idx="37">
                  <c:v>-0.28928571428571387</c:v>
                </c:pt>
                <c:pt idx="38">
                  <c:v>0.77741935483870972</c:v>
                </c:pt>
                <c:pt idx="39">
                  <c:v>4.0233333333333334</c:v>
                </c:pt>
                <c:pt idx="40">
                  <c:v>14.790322580645164</c:v>
                </c:pt>
                <c:pt idx="41">
                  <c:v>19.029999999999998</c:v>
                </c:pt>
                <c:pt idx="42">
                  <c:v>23.296774193548391</c:v>
                </c:pt>
                <c:pt idx="43">
                  <c:v>23.283870967741933</c:v>
                </c:pt>
                <c:pt idx="44">
                  <c:v>19.446666666666669</c:v>
                </c:pt>
                <c:pt idx="45">
                  <c:v>10.645161290322582</c:v>
                </c:pt>
                <c:pt idx="46">
                  <c:v>2.9200000000000004</c:v>
                </c:pt>
                <c:pt idx="47">
                  <c:v>1.3548387096774193</c:v>
                </c:pt>
                <c:pt idx="48">
                  <c:v>-4.580645161290323</c:v>
                </c:pt>
                <c:pt idx="49">
                  <c:v>-2.4178571428571423</c:v>
                </c:pt>
                <c:pt idx="50">
                  <c:v>4.8387096774193415E-2</c:v>
                </c:pt>
                <c:pt idx="51">
                  <c:v>6.2700000000000005</c:v>
                </c:pt>
                <c:pt idx="52">
                  <c:v>11.058064516129033</c:v>
                </c:pt>
                <c:pt idx="53">
                  <c:v>17.306666666666668</c:v>
                </c:pt>
                <c:pt idx="54">
                  <c:v>22.92258064516129</c:v>
                </c:pt>
                <c:pt idx="55">
                  <c:v>21.267741935483876</c:v>
                </c:pt>
                <c:pt idx="56">
                  <c:v>18.453333333333333</c:v>
                </c:pt>
                <c:pt idx="57">
                  <c:v>12.125806451612904</c:v>
                </c:pt>
                <c:pt idx="58">
                  <c:v>2.5333333333333332</c:v>
                </c:pt>
                <c:pt idx="59">
                  <c:v>1.2129032258064516</c:v>
                </c:pt>
                <c:pt idx="60">
                  <c:v>0.20000000000000021</c:v>
                </c:pt>
                <c:pt idx="61">
                  <c:v>-1.3517241379310343</c:v>
                </c:pt>
                <c:pt idx="62">
                  <c:v>3.8064516129032264</c:v>
                </c:pt>
                <c:pt idx="63">
                  <c:v>5.9666666666666659</c:v>
                </c:pt>
                <c:pt idx="64">
                  <c:v>11.177419354838708</c:v>
                </c:pt>
                <c:pt idx="65">
                  <c:v>19.97666666666667</c:v>
                </c:pt>
                <c:pt idx="66">
                  <c:v>24.532258064516125</c:v>
                </c:pt>
                <c:pt idx="67">
                  <c:v>21.920967741935485</c:v>
                </c:pt>
                <c:pt idx="68">
                  <c:v>17.376666666666665</c:v>
                </c:pt>
                <c:pt idx="69">
                  <c:v>10.483870967741934</c:v>
                </c:pt>
                <c:pt idx="70">
                  <c:v>8.1366666666666667</c:v>
                </c:pt>
                <c:pt idx="71">
                  <c:v>1.4806451612903222</c:v>
                </c:pt>
                <c:pt idx="72">
                  <c:v>-0.8999999999999998</c:v>
                </c:pt>
                <c:pt idx="73">
                  <c:v>-3.7500000000000004</c:v>
                </c:pt>
                <c:pt idx="74">
                  <c:v>3.5161290322580645</c:v>
                </c:pt>
                <c:pt idx="75">
                  <c:v>6.7766666666666673</c:v>
                </c:pt>
                <c:pt idx="76">
                  <c:v>13.167741935483869</c:v>
                </c:pt>
                <c:pt idx="77">
                  <c:v>20.980000000000004</c:v>
                </c:pt>
                <c:pt idx="78">
                  <c:v>21.56451612903226</c:v>
                </c:pt>
                <c:pt idx="79">
                  <c:v>23.651612903225807</c:v>
                </c:pt>
                <c:pt idx="80">
                  <c:v>18.350000000000001</c:v>
                </c:pt>
                <c:pt idx="81">
                  <c:v>14.590322580645163</c:v>
                </c:pt>
                <c:pt idx="82">
                  <c:v>5.8999999999999995</c:v>
                </c:pt>
                <c:pt idx="83">
                  <c:v>3.0161290322580654</c:v>
                </c:pt>
                <c:pt idx="84">
                  <c:v>-6.1354838709677422</c:v>
                </c:pt>
                <c:pt idx="85">
                  <c:v>-2.596428571428572</c:v>
                </c:pt>
                <c:pt idx="86">
                  <c:v>2.0096774193548388</c:v>
                </c:pt>
                <c:pt idx="87">
                  <c:v>6.2133333333333338</c:v>
                </c:pt>
                <c:pt idx="88">
                  <c:v>13.738709677419356</c:v>
                </c:pt>
                <c:pt idx="89">
                  <c:v>19.150000000000002</c:v>
                </c:pt>
                <c:pt idx="90">
                  <c:v>22.409677419354836</c:v>
                </c:pt>
                <c:pt idx="91">
                  <c:v>22.274193548387096</c:v>
                </c:pt>
                <c:pt idx="92">
                  <c:v>18.266666666666666</c:v>
                </c:pt>
                <c:pt idx="93">
                  <c:v>10.525806451612901</c:v>
                </c:pt>
                <c:pt idx="94">
                  <c:v>6.7566666666666659</c:v>
                </c:pt>
                <c:pt idx="95">
                  <c:v>1.1451612903225807</c:v>
                </c:pt>
                <c:pt idx="96">
                  <c:v>0.59354838709677415</c:v>
                </c:pt>
                <c:pt idx="97">
                  <c:v>0.43214285714285683</c:v>
                </c:pt>
                <c:pt idx="98">
                  <c:v>1.9870967741935488</c:v>
                </c:pt>
                <c:pt idx="99">
                  <c:v>8.5733333333333324</c:v>
                </c:pt>
                <c:pt idx="100">
                  <c:v>13.1</c:v>
                </c:pt>
                <c:pt idx="101">
                  <c:v>19.133333333333336</c:v>
                </c:pt>
                <c:pt idx="102">
                  <c:v>22.693548387096783</c:v>
                </c:pt>
                <c:pt idx="103">
                  <c:v>20.251612903225805</c:v>
                </c:pt>
                <c:pt idx="104">
                  <c:v>18.68666666666666</c:v>
                </c:pt>
                <c:pt idx="105">
                  <c:v>13.283870967741938</c:v>
                </c:pt>
                <c:pt idx="106">
                  <c:v>5.5299999999999994</c:v>
                </c:pt>
                <c:pt idx="107">
                  <c:v>3.7032258064516133</c:v>
                </c:pt>
                <c:pt idx="108">
                  <c:v>-0.91612903225806464</c:v>
                </c:pt>
                <c:pt idx="109">
                  <c:v>1.1344827586206896</c:v>
                </c:pt>
                <c:pt idx="110">
                  <c:v>4.1451612903225818</c:v>
                </c:pt>
                <c:pt idx="111">
                  <c:v>8.1766666666666676</c:v>
                </c:pt>
                <c:pt idx="112">
                  <c:v>14.935483870967746</c:v>
                </c:pt>
                <c:pt idx="113">
                  <c:v>19.479999999999997</c:v>
                </c:pt>
                <c:pt idx="114">
                  <c:v>22.445161290322577</c:v>
                </c:pt>
                <c:pt idx="115">
                  <c:v>21.751612903225805</c:v>
                </c:pt>
                <c:pt idx="116">
                  <c:v>18.926666666666669</c:v>
                </c:pt>
                <c:pt idx="117">
                  <c:v>13.748387096774191</c:v>
                </c:pt>
                <c:pt idx="118">
                  <c:v>7.8566666666666674</c:v>
                </c:pt>
                <c:pt idx="119">
                  <c:v>1.0709677419354837</c:v>
                </c:pt>
              </c:numCache>
            </c:numRef>
          </c:xVal>
          <c:yVal>
            <c:numRef>
              <c:f>Weather!$DP$194:$DP$313</c:f>
              <c:numCache>
                <c:formatCode>_(* #,##0_);_(* \(#,##0\);_(* "-"??_);_(@_)</c:formatCode>
                <c:ptCount val="120"/>
                <c:pt idx="0">
                  <c:v>49127092.146981061</c:v>
                </c:pt>
                <c:pt idx="1">
                  <c:v>42235859.033245198</c:v>
                </c:pt>
                <c:pt idx="2">
                  <c:v>42686019.919509344</c:v>
                </c:pt>
                <c:pt idx="3">
                  <c:v>37892574.805773482</c:v>
                </c:pt>
                <c:pt idx="4">
                  <c:v>40054347.692037627</c:v>
                </c:pt>
                <c:pt idx="5">
                  <c:v>45422610.578301765</c:v>
                </c:pt>
                <c:pt idx="6">
                  <c:v>53739568.464565903</c:v>
                </c:pt>
                <c:pt idx="7">
                  <c:v>54462241.350830048</c:v>
                </c:pt>
                <c:pt idx="8">
                  <c:v>47137858.237094186</c:v>
                </c:pt>
                <c:pt idx="9">
                  <c:v>41235519.123358332</c:v>
                </c:pt>
                <c:pt idx="10">
                  <c:v>37717263.00962247</c:v>
                </c:pt>
                <c:pt idx="11">
                  <c:v>41179905.895886615</c:v>
                </c:pt>
                <c:pt idx="12">
                  <c:v>45255473.713757403</c:v>
                </c:pt>
                <c:pt idx="13">
                  <c:v>39790337.472733878</c:v>
                </c:pt>
                <c:pt idx="14">
                  <c:v>39893155.231710352</c:v>
                </c:pt>
                <c:pt idx="15">
                  <c:v>37464228.990686826</c:v>
                </c:pt>
                <c:pt idx="16">
                  <c:v>41966514.749663308</c:v>
                </c:pt>
                <c:pt idx="17">
                  <c:v>51191605.508639783</c:v>
                </c:pt>
                <c:pt idx="18">
                  <c:v>62342093.267616257</c:v>
                </c:pt>
                <c:pt idx="19">
                  <c:v>60905685.026592731</c:v>
                </c:pt>
                <c:pt idx="20">
                  <c:v>50436740.785569206</c:v>
                </c:pt>
                <c:pt idx="21">
                  <c:v>41879541.544545688</c:v>
                </c:pt>
                <c:pt idx="22">
                  <c:v>37972992.303522162</c:v>
                </c:pt>
                <c:pt idx="23">
                  <c:v>43646992.062498637</c:v>
                </c:pt>
                <c:pt idx="24">
                  <c:v>44428210.437605619</c:v>
                </c:pt>
                <c:pt idx="25">
                  <c:v>38008250.644202635</c:v>
                </c:pt>
                <c:pt idx="26">
                  <c:v>39754350.85079965</c:v>
                </c:pt>
                <c:pt idx="27">
                  <c:v>35550881.057396658</c:v>
                </c:pt>
                <c:pt idx="28">
                  <c:v>38527675.263993673</c:v>
                </c:pt>
                <c:pt idx="29">
                  <c:v>46993946.470590688</c:v>
                </c:pt>
                <c:pt idx="30">
                  <c:v>55250414.677187696</c:v>
                </c:pt>
                <c:pt idx="31">
                  <c:v>52000413.883784711</c:v>
                </c:pt>
                <c:pt idx="32">
                  <c:v>45504410.090381727</c:v>
                </c:pt>
                <c:pt idx="33">
                  <c:v>40966849.296978742</c:v>
                </c:pt>
                <c:pt idx="34">
                  <c:v>39001404.503575757</c:v>
                </c:pt>
                <c:pt idx="35">
                  <c:v>47108304.710172765</c:v>
                </c:pt>
                <c:pt idx="36">
                  <c:v>47709598.683987916</c:v>
                </c:pt>
                <c:pt idx="37">
                  <c:v>39687279.898667745</c:v>
                </c:pt>
                <c:pt idx="38">
                  <c:v>41074250.113347575</c:v>
                </c:pt>
                <c:pt idx="39">
                  <c:v>38168978.328027405</c:v>
                </c:pt>
                <c:pt idx="40">
                  <c:v>41244600.542707235</c:v>
                </c:pt>
                <c:pt idx="41">
                  <c:v>52144868.757387064</c:v>
                </c:pt>
                <c:pt idx="42">
                  <c:v>64966905.972066894</c:v>
                </c:pt>
                <c:pt idx="43">
                  <c:v>63232261.186746724</c:v>
                </c:pt>
                <c:pt idx="44">
                  <c:v>50855019.401426554</c:v>
                </c:pt>
                <c:pt idx="45">
                  <c:v>40650132.616106384</c:v>
                </c:pt>
                <c:pt idx="46">
                  <c:v>40817846.830786213</c:v>
                </c:pt>
                <c:pt idx="47">
                  <c:v>45902493.045466043</c:v>
                </c:pt>
                <c:pt idx="48">
                  <c:v>47310902.790742546</c:v>
                </c:pt>
                <c:pt idx="49">
                  <c:v>42211303.114211284</c:v>
                </c:pt>
                <c:pt idx="50">
                  <c:v>42541593.437680028</c:v>
                </c:pt>
                <c:pt idx="51">
                  <c:v>37536349.761148773</c:v>
                </c:pt>
                <c:pt idx="52">
                  <c:v>38099337.08461751</c:v>
                </c:pt>
                <c:pt idx="53">
                  <c:v>45232822.408086255</c:v>
                </c:pt>
                <c:pt idx="54">
                  <c:v>63142023.731554992</c:v>
                </c:pt>
                <c:pt idx="55">
                  <c:v>58238131.055023737</c:v>
                </c:pt>
                <c:pt idx="56">
                  <c:v>44304376.378492482</c:v>
                </c:pt>
                <c:pt idx="57">
                  <c:v>39423259.701961219</c:v>
                </c:pt>
                <c:pt idx="58">
                  <c:v>40460397.025429964</c:v>
                </c:pt>
                <c:pt idx="59">
                  <c:v>45553447.348898709</c:v>
                </c:pt>
                <c:pt idx="60">
                  <c:v>44911593.71344091</c:v>
                </c:pt>
                <c:pt idx="61">
                  <c:v>40905172.199256942</c:v>
                </c:pt>
                <c:pt idx="62">
                  <c:v>42164842.685072981</c:v>
                </c:pt>
                <c:pt idx="63">
                  <c:v>40550697.17088902</c:v>
                </c:pt>
                <c:pt idx="64">
                  <c:v>45655296.656705059</c:v>
                </c:pt>
                <c:pt idx="65">
                  <c:v>59532998.142521091</c:v>
                </c:pt>
                <c:pt idx="66">
                  <c:v>72305754.62833713</c:v>
                </c:pt>
                <c:pt idx="67">
                  <c:v>63879386.114153169</c:v>
                </c:pt>
                <c:pt idx="68">
                  <c:v>46969020.599969208</c:v>
                </c:pt>
                <c:pt idx="69">
                  <c:v>40798366.08578524</c:v>
                </c:pt>
                <c:pt idx="70">
                  <c:v>41142966.571601279</c:v>
                </c:pt>
                <c:pt idx="71">
                  <c:v>47931193.057417318</c:v>
                </c:pt>
                <c:pt idx="72">
                  <c:v>49036599.020043381</c:v>
                </c:pt>
                <c:pt idx="73">
                  <c:v>44239591.50465861</c:v>
                </c:pt>
                <c:pt idx="74">
                  <c:v>43218533.989273846</c:v>
                </c:pt>
                <c:pt idx="75">
                  <c:v>39165169.473889083</c:v>
                </c:pt>
                <c:pt idx="76">
                  <c:v>47117065.958504319</c:v>
                </c:pt>
                <c:pt idx="77">
                  <c:v>54507390.443119556</c:v>
                </c:pt>
                <c:pt idx="78">
                  <c:v>61736270.927734792</c:v>
                </c:pt>
                <c:pt idx="79">
                  <c:v>64473872.412350029</c:v>
                </c:pt>
                <c:pt idx="80">
                  <c:v>49910611.896965258</c:v>
                </c:pt>
                <c:pt idx="81">
                  <c:v>41149312.381580494</c:v>
                </c:pt>
                <c:pt idx="82">
                  <c:v>40886298.866195731</c:v>
                </c:pt>
                <c:pt idx="83">
                  <c:v>46938659.350810967</c:v>
                </c:pt>
                <c:pt idx="84">
                  <c:v>50264546.652802087</c:v>
                </c:pt>
                <c:pt idx="85">
                  <c:v>43857792.181785412</c:v>
                </c:pt>
                <c:pt idx="86">
                  <c:v>43860485.710768737</c:v>
                </c:pt>
                <c:pt idx="87">
                  <c:v>39331597.239752054</c:v>
                </c:pt>
                <c:pt idx="88">
                  <c:v>43290007.768735379</c:v>
                </c:pt>
                <c:pt idx="89">
                  <c:v>52900848.297718704</c:v>
                </c:pt>
                <c:pt idx="90">
                  <c:v>63898027.826702021</c:v>
                </c:pt>
                <c:pt idx="91">
                  <c:v>62500468.355685346</c:v>
                </c:pt>
                <c:pt idx="92">
                  <c:v>48263159.884668671</c:v>
                </c:pt>
                <c:pt idx="93">
                  <c:v>39368582.413651988</c:v>
                </c:pt>
                <c:pt idx="94">
                  <c:v>40432823.942635313</c:v>
                </c:pt>
                <c:pt idx="95">
                  <c:v>46713356.471618637</c:v>
                </c:pt>
                <c:pt idx="96">
                  <c:v>46583116.519168116</c:v>
                </c:pt>
                <c:pt idx="97">
                  <c:v>40876786.046762481</c:v>
                </c:pt>
                <c:pt idx="98">
                  <c:v>42680536.574356854</c:v>
                </c:pt>
                <c:pt idx="99">
                  <c:v>38703114.101951219</c:v>
                </c:pt>
                <c:pt idx="100">
                  <c:v>41884572.629545584</c:v>
                </c:pt>
                <c:pt idx="101">
                  <c:v>49966785.15713995</c:v>
                </c:pt>
                <c:pt idx="102">
                  <c:v>60709456.684734322</c:v>
                </c:pt>
                <c:pt idx="103">
                  <c:v>56519900.212328687</c:v>
                </c:pt>
                <c:pt idx="104">
                  <c:v>46714488.739923052</c:v>
                </c:pt>
                <c:pt idx="105">
                  <c:v>40824035.267517418</c:v>
                </c:pt>
                <c:pt idx="106">
                  <c:v>40771078.79511179</c:v>
                </c:pt>
                <c:pt idx="107">
                  <c:v>46228650.322706155</c:v>
                </c:pt>
                <c:pt idx="108">
                  <c:v>47520942.166132875</c:v>
                </c:pt>
                <c:pt idx="109">
                  <c:v>42009232.734825648</c:v>
                </c:pt>
                <c:pt idx="110">
                  <c:v>42133800.273518406</c:v>
                </c:pt>
                <c:pt idx="111">
                  <c:v>38836355.502211168</c:v>
                </c:pt>
                <c:pt idx="112">
                  <c:v>43725998.02090393</c:v>
                </c:pt>
                <c:pt idx="113">
                  <c:v>54316624.359596707</c:v>
                </c:pt>
                <c:pt idx="114">
                  <c:v>64592396.868289471</c:v>
                </c:pt>
                <c:pt idx="115">
                  <c:v>60459871.106982246</c:v>
                </c:pt>
                <c:pt idx="116">
                  <c:v>48481511.215674996</c:v>
                </c:pt>
                <c:pt idx="117">
                  <c:v>41352177.60436777</c:v>
                </c:pt>
                <c:pt idx="118">
                  <c:v>40782399.333060533</c:v>
                </c:pt>
                <c:pt idx="119">
                  <c:v>48660834.701753296</c:v>
                </c:pt>
              </c:numCache>
            </c:numRef>
          </c:yVal>
          <c:smooth val="0"/>
          <c:extLst>
            <c:ext xmlns:c16="http://schemas.microsoft.com/office/drawing/2014/chart" uri="{C3380CC4-5D6E-409C-BE32-E72D297353CC}">
              <c16:uniqueId val="{00000000-67E3-46FD-8B6A-AB48D1FFCD7F}"/>
            </c:ext>
          </c:extLst>
        </c:ser>
        <c:ser>
          <c:idx val="1"/>
          <c:order val="1"/>
          <c:spPr>
            <a:ln w="25400" cap="rnd">
              <a:noFill/>
              <a:round/>
            </a:ln>
            <a:effectLst/>
          </c:spPr>
          <c:marker>
            <c:symbol val="circle"/>
            <c:size val="5"/>
            <c:spPr>
              <a:solidFill>
                <a:schemeClr val="accent2"/>
              </a:solidFill>
              <a:ln w="9525">
                <a:solidFill>
                  <a:schemeClr val="accent2"/>
                </a:solidFill>
              </a:ln>
              <a:effectLst/>
            </c:spPr>
          </c:marker>
          <c:xVal>
            <c:numRef>
              <c:f>Weather!$D$194:$D$313</c:f>
              <c:numCache>
                <c:formatCode>0.0</c:formatCode>
                <c:ptCount val="120"/>
                <c:pt idx="0">
                  <c:v>-5.8580645161290343</c:v>
                </c:pt>
                <c:pt idx="1">
                  <c:v>-11.139285714285718</c:v>
                </c:pt>
                <c:pt idx="2">
                  <c:v>-1.1612903225806448</c:v>
                </c:pt>
                <c:pt idx="3">
                  <c:v>7.2700000000000022</c:v>
                </c:pt>
                <c:pt idx="4">
                  <c:v>14.535483870967743</c:v>
                </c:pt>
                <c:pt idx="5">
                  <c:v>16.886666666666663</c:v>
                </c:pt>
                <c:pt idx="6">
                  <c:v>21.899999999999995</c:v>
                </c:pt>
                <c:pt idx="7">
                  <c:v>20.796774193548384</c:v>
                </c:pt>
                <c:pt idx="8">
                  <c:v>20.030000000000005</c:v>
                </c:pt>
                <c:pt idx="9">
                  <c:v>11.587096774193544</c:v>
                </c:pt>
                <c:pt idx="10">
                  <c:v>7.9633333333333329</c:v>
                </c:pt>
                <c:pt idx="11">
                  <c:v>5.2741935483870979</c:v>
                </c:pt>
                <c:pt idx="12">
                  <c:v>-2.1612903225806446</c:v>
                </c:pt>
                <c:pt idx="13">
                  <c:v>-0.76896551724137929</c:v>
                </c:pt>
                <c:pt idx="14">
                  <c:v>3.4451612903225803</c:v>
                </c:pt>
                <c:pt idx="15">
                  <c:v>4.9666666666666659</c:v>
                </c:pt>
                <c:pt idx="16">
                  <c:v>13.870967741935482</c:v>
                </c:pt>
                <c:pt idx="17">
                  <c:v>19.386666666666663</c:v>
                </c:pt>
                <c:pt idx="18">
                  <c:v>22.919354838709673</c:v>
                </c:pt>
                <c:pt idx="19">
                  <c:v>23.735483870967741</c:v>
                </c:pt>
                <c:pt idx="20">
                  <c:v>20.029999999999998</c:v>
                </c:pt>
                <c:pt idx="21">
                  <c:v>13.20967741935484</c:v>
                </c:pt>
                <c:pt idx="22">
                  <c:v>8.2366666666666628</c:v>
                </c:pt>
                <c:pt idx="23">
                  <c:v>-3.2258064516129135E-2</c:v>
                </c:pt>
                <c:pt idx="24">
                  <c:v>-0.34193548387096795</c:v>
                </c:pt>
                <c:pt idx="25">
                  <c:v>1.1714285714285715</c:v>
                </c:pt>
                <c:pt idx="26">
                  <c:v>0.54193548387096779</c:v>
                </c:pt>
                <c:pt idx="27">
                  <c:v>8.9300000000000015</c:v>
                </c:pt>
                <c:pt idx="28">
                  <c:v>11.783870967741937</c:v>
                </c:pt>
                <c:pt idx="29">
                  <c:v>19.303333333333331</c:v>
                </c:pt>
                <c:pt idx="30">
                  <c:v>21.661290322580644</c:v>
                </c:pt>
                <c:pt idx="31">
                  <c:v>20.522580645161295</c:v>
                </c:pt>
                <c:pt idx="32">
                  <c:v>18.610000000000003</c:v>
                </c:pt>
                <c:pt idx="33">
                  <c:v>14.658064516129036</c:v>
                </c:pt>
                <c:pt idx="34">
                  <c:v>5.0699999999999994</c:v>
                </c:pt>
                <c:pt idx="35">
                  <c:v>-2.9419354838709673</c:v>
                </c:pt>
                <c:pt idx="36">
                  <c:v>-3.9451612903225803</c:v>
                </c:pt>
                <c:pt idx="37">
                  <c:v>-0.28928571428571387</c:v>
                </c:pt>
                <c:pt idx="38">
                  <c:v>0.77741935483870972</c:v>
                </c:pt>
                <c:pt idx="39">
                  <c:v>4.0233333333333334</c:v>
                </c:pt>
                <c:pt idx="40">
                  <c:v>14.790322580645164</c:v>
                </c:pt>
                <c:pt idx="41">
                  <c:v>19.029999999999998</c:v>
                </c:pt>
                <c:pt idx="42">
                  <c:v>23.296774193548391</c:v>
                </c:pt>
                <c:pt idx="43">
                  <c:v>23.283870967741933</c:v>
                </c:pt>
                <c:pt idx="44">
                  <c:v>19.446666666666669</c:v>
                </c:pt>
                <c:pt idx="45">
                  <c:v>10.645161290322582</c:v>
                </c:pt>
                <c:pt idx="46">
                  <c:v>2.9200000000000004</c:v>
                </c:pt>
                <c:pt idx="47">
                  <c:v>1.3548387096774193</c:v>
                </c:pt>
                <c:pt idx="48">
                  <c:v>-4.580645161290323</c:v>
                </c:pt>
                <c:pt idx="49">
                  <c:v>-2.4178571428571423</c:v>
                </c:pt>
                <c:pt idx="50">
                  <c:v>4.8387096774193415E-2</c:v>
                </c:pt>
                <c:pt idx="51">
                  <c:v>6.2700000000000005</c:v>
                </c:pt>
                <c:pt idx="52">
                  <c:v>11.058064516129033</c:v>
                </c:pt>
                <c:pt idx="53">
                  <c:v>17.306666666666668</c:v>
                </c:pt>
                <c:pt idx="54">
                  <c:v>22.92258064516129</c:v>
                </c:pt>
                <c:pt idx="55">
                  <c:v>21.267741935483876</c:v>
                </c:pt>
                <c:pt idx="56">
                  <c:v>18.453333333333333</c:v>
                </c:pt>
                <c:pt idx="57">
                  <c:v>12.125806451612904</c:v>
                </c:pt>
                <c:pt idx="58">
                  <c:v>2.5333333333333332</c:v>
                </c:pt>
                <c:pt idx="59">
                  <c:v>1.2129032258064516</c:v>
                </c:pt>
                <c:pt idx="60">
                  <c:v>0.20000000000000021</c:v>
                </c:pt>
                <c:pt idx="61">
                  <c:v>-1.3517241379310343</c:v>
                </c:pt>
                <c:pt idx="62">
                  <c:v>3.8064516129032264</c:v>
                </c:pt>
                <c:pt idx="63">
                  <c:v>5.9666666666666659</c:v>
                </c:pt>
                <c:pt idx="64">
                  <c:v>11.177419354838708</c:v>
                </c:pt>
                <c:pt idx="65">
                  <c:v>19.97666666666667</c:v>
                </c:pt>
                <c:pt idx="66">
                  <c:v>24.532258064516125</c:v>
                </c:pt>
                <c:pt idx="67">
                  <c:v>21.920967741935485</c:v>
                </c:pt>
                <c:pt idx="68">
                  <c:v>17.376666666666665</c:v>
                </c:pt>
                <c:pt idx="69">
                  <c:v>10.483870967741934</c:v>
                </c:pt>
                <c:pt idx="70">
                  <c:v>8.1366666666666667</c:v>
                </c:pt>
                <c:pt idx="71">
                  <c:v>1.4806451612903222</c:v>
                </c:pt>
                <c:pt idx="72">
                  <c:v>-0.8999999999999998</c:v>
                </c:pt>
                <c:pt idx="73">
                  <c:v>-3.7500000000000004</c:v>
                </c:pt>
                <c:pt idx="74">
                  <c:v>3.5161290322580645</c:v>
                </c:pt>
                <c:pt idx="75">
                  <c:v>6.7766666666666673</c:v>
                </c:pt>
                <c:pt idx="76">
                  <c:v>13.167741935483869</c:v>
                </c:pt>
                <c:pt idx="77">
                  <c:v>20.980000000000004</c:v>
                </c:pt>
                <c:pt idx="78">
                  <c:v>21.56451612903226</c:v>
                </c:pt>
                <c:pt idx="79">
                  <c:v>23.651612903225807</c:v>
                </c:pt>
                <c:pt idx="80">
                  <c:v>18.350000000000001</c:v>
                </c:pt>
                <c:pt idx="81">
                  <c:v>14.590322580645163</c:v>
                </c:pt>
                <c:pt idx="82">
                  <c:v>5.8999999999999995</c:v>
                </c:pt>
                <c:pt idx="83">
                  <c:v>3.0161290322580654</c:v>
                </c:pt>
                <c:pt idx="84">
                  <c:v>-6.1354838709677422</c:v>
                </c:pt>
                <c:pt idx="85">
                  <c:v>-2.596428571428572</c:v>
                </c:pt>
                <c:pt idx="86">
                  <c:v>2.0096774193548388</c:v>
                </c:pt>
                <c:pt idx="87">
                  <c:v>6.2133333333333338</c:v>
                </c:pt>
                <c:pt idx="88">
                  <c:v>13.738709677419356</c:v>
                </c:pt>
                <c:pt idx="89">
                  <c:v>19.150000000000002</c:v>
                </c:pt>
                <c:pt idx="90">
                  <c:v>22.409677419354836</c:v>
                </c:pt>
                <c:pt idx="91">
                  <c:v>22.274193548387096</c:v>
                </c:pt>
                <c:pt idx="92">
                  <c:v>18.266666666666666</c:v>
                </c:pt>
                <c:pt idx="93">
                  <c:v>10.525806451612901</c:v>
                </c:pt>
                <c:pt idx="94">
                  <c:v>6.7566666666666659</c:v>
                </c:pt>
                <c:pt idx="95">
                  <c:v>1.1451612903225807</c:v>
                </c:pt>
                <c:pt idx="96">
                  <c:v>0.59354838709677415</c:v>
                </c:pt>
                <c:pt idx="97">
                  <c:v>0.43214285714285683</c:v>
                </c:pt>
                <c:pt idx="98">
                  <c:v>1.9870967741935488</c:v>
                </c:pt>
                <c:pt idx="99">
                  <c:v>8.5733333333333324</c:v>
                </c:pt>
                <c:pt idx="100">
                  <c:v>13.1</c:v>
                </c:pt>
                <c:pt idx="101">
                  <c:v>19.133333333333336</c:v>
                </c:pt>
                <c:pt idx="102">
                  <c:v>22.693548387096783</c:v>
                </c:pt>
                <c:pt idx="103">
                  <c:v>20.251612903225805</c:v>
                </c:pt>
                <c:pt idx="104">
                  <c:v>18.68666666666666</c:v>
                </c:pt>
                <c:pt idx="105">
                  <c:v>13.283870967741938</c:v>
                </c:pt>
                <c:pt idx="106">
                  <c:v>5.5299999999999994</c:v>
                </c:pt>
                <c:pt idx="107">
                  <c:v>3.7032258064516133</c:v>
                </c:pt>
                <c:pt idx="108">
                  <c:v>-0.91612903225806464</c:v>
                </c:pt>
                <c:pt idx="109">
                  <c:v>1.1344827586206896</c:v>
                </c:pt>
                <c:pt idx="110">
                  <c:v>4.1451612903225818</c:v>
                </c:pt>
                <c:pt idx="111">
                  <c:v>8.1766666666666676</c:v>
                </c:pt>
                <c:pt idx="112">
                  <c:v>14.935483870967746</c:v>
                </c:pt>
                <c:pt idx="113">
                  <c:v>19.479999999999997</c:v>
                </c:pt>
                <c:pt idx="114">
                  <c:v>22.445161290322577</c:v>
                </c:pt>
                <c:pt idx="115">
                  <c:v>21.751612903225805</c:v>
                </c:pt>
                <c:pt idx="116">
                  <c:v>18.926666666666669</c:v>
                </c:pt>
                <c:pt idx="117">
                  <c:v>13.748387096774191</c:v>
                </c:pt>
                <c:pt idx="118">
                  <c:v>7.8566666666666674</c:v>
                </c:pt>
                <c:pt idx="119">
                  <c:v>1.0709677419354837</c:v>
                </c:pt>
              </c:numCache>
            </c:numRef>
          </c:xVal>
          <c:yVal>
            <c:numRef>
              <c:f>Weather!$DS$194:$DS$313</c:f>
              <c:numCache>
                <c:formatCode>_(* #,##0_);_(* \(#,##0\);_(* "-"??_);_(@_)</c:formatCode>
                <c:ptCount val="120"/>
                <c:pt idx="0">
                  <c:v>47664698.783181474</c:v>
                </c:pt>
                <c:pt idx="1">
                  <c:v>49438406.375291631</c:v>
                </c:pt>
                <c:pt idx="2">
                  <c:v>44739989.548626125</c:v>
                </c:pt>
                <c:pt idx="3">
                  <c:v>39542688.374511294</c:v>
                </c:pt>
                <c:pt idx="4">
                  <c:v>42113350.057732366</c:v>
                </c:pt>
                <c:pt idx="5">
                  <c:v>45080586.379520513</c:v>
                </c:pt>
                <c:pt idx="6">
                  <c:v>59170784.851638734</c:v>
                </c:pt>
                <c:pt idx="7">
                  <c:v>55837112.830778569</c:v>
                </c:pt>
                <c:pt idx="8">
                  <c:v>52944090.594164625</c:v>
                </c:pt>
                <c:pt idx="9">
                  <c:v>38494401.389301017</c:v>
                </c:pt>
                <c:pt idx="10">
                  <c:v>39407024.158652812</c:v>
                </c:pt>
                <c:pt idx="11">
                  <c:v>40732575.453201719</c:v>
                </c:pt>
                <c:pt idx="12">
                  <c:v>45362695.498291075</c:v>
                </c:pt>
                <c:pt idx="13">
                  <c:v>43902349.609883279</c:v>
                </c:pt>
                <c:pt idx="14">
                  <c:v>41871524.722427607</c:v>
                </c:pt>
                <c:pt idx="15">
                  <c:v>41071795.718142152</c:v>
                </c:pt>
                <c:pt idx="16">
                  <c:v>43679266.376997568</c:v>
                </c:pt>
                <c:pt idx="17">
                  <c:v>51286177.695237309</c:v>
                </c:pt>
                <c:pt idx="18">
                  <c:v>62251019.818281464</c:v>
                </c:pt>
                <c:pt idx="19">
                  <c:v>64717157.307397321</c:v>
                </c:pt>
                <c:pt idx="20">
                  <c:v>52944090.594164625</c:v>
                </c:pt>
                <c:pt idx="21">
                  <c:v>41986676.68511764</c:v>
                </c:pt>
                <c:pt idx="22">
                  <c:v>38995425.925878838</c:v>
                </c:pt>
                <c:pt idx="23">
                  <c:v>44036934.444165707</c:v>
                </c:pt>
                <c:pt idx="24">
                  <c:v>44229772.41567485</c:v>
                </c:pt>
                <c:pt idx="25">
                  <c:v>42514317.960791416</c:v>
                </c:pt>
                <c:pt idx="26">
                  <c:v>43679380.705325834</c:v>
                </c:pt>
                <c:pt idx="27">
                  <c:v>38906786.941533357</c:v>
                </c:pt>
                <c:pt idx="28">
                  <c:v>40194096.649366662</c:v>
                </c:pt>
                <c:pt idx="29">
                  <c:v>50807362.062463231</c:v>
                </c:pt>
                <c:pt idx="30">
                  <c:v>58449464.005019873</c:v>
                </c:pt>
                <c:pt idx="31">
                  <c:v>55008568.615067706</c:v>
                </c:pt>
                <c:pt idx="32">
                  <c:v>49261874.251731962</c:v>
                </c:pt>
                <c:pt idx="33">
                  <c:v>42871716.220032409</c:v>
                </c:pt>
                <c:pt idx="34">
                  <c:v>40680348.502584659</c:v>
                </c:pt>
                <c:pt idx="35">
                  <c:v>45848807.884803705</c:v>
                </c:pt>
                <c:pt idx="36">
                  <c:v>46473522.563338533</c:v>
                </c:pt>
                <c:pt idx="37">
                  <c:v>43335888.068575166</c:v>
                </c:pt>
                <c:pt idx="38">
                  <c:v>43532743.497824088</c:v>
                </c:pt>
                <c:pt idx="39">
                  <c:v>41311089.367729157</c:v>
                </c:pt>
                <c:pt idx="40">
                  <c:v>43624056.195722789</c:v>
                </c:pt>
                <c:pt idx="41">
                  <c:v>50078598.431046955</c:v>
                </c:pt>
                <c:pt idx="42">
                  <c:v>63391486.562259942</c:v>
                </c:pt>
                <c:pt idx="43">
                  <c:v>63352496.24622649</c:v>
                </c:pt>
                <c:pt idx="44">
                  <c:v>51461634.117387846</c:v>
                </c:pt>
                <c:pt idx="45">
                  <c:v>40762102.24589774</c:v>
                </c:pt>
                <c:pt idx="46">
                  <c:v>41975978.623661727</c:v>
                </c:pt>
                <c:pt idx="47">
                  <c:v>43173181.03011433</c:v>
                </c:pt>
                <c:pt idx="48">
                  <c:v>46869242.150706261</c:v>
                </c:pt>
                <c:pt idx="49">
                  <c:v>44533090.47502777</c:v>
                </c:pt>
                <c:pt idx="50">
                  <c:v>43986716.222418532</c:v>
                </c:pt>
                <c:pt idx="51">
                  <c:v>39957206.109425366</c:v>
                </c:pt>
                <c:pt idx="52">
                  <c:v>38847345.539718971</c:v>
                </c:pt>
                <c:pt idx="53">
                  <c:v>45485839.783096761</c:v>
                </c:pt>
                <c:pt idx="54">
                  <c:v>62260767.397289827</c:v>
                </c:pt>
                <c:pt idx="55">
                  <c:v>57260259.365999579</c:v>
                </c:pt>
                <c:pt idx="56">
                  <c:v>48356998.338965409</c:v>
                </c:pt>
                <c:pt idx="57">
                  <c:v>38347044.594081894</c:v>
                </c:pt>
                <c:pt idx="58">
                  <c:v>42208991.172568604</c:v>
                </c:pt>
                <c:pt idx="59">
                  <c:v>43261565.100389354</c:v>
                </c:pt>
                <c:pt idx="60">
                  <c:v>43892305.965533845</c:v>
                </c:pt>
                <c:pt idx="61">
                  <c:v>44241824.788894169</c:v>
                </c:pt>
                <c:pt idx="62">
                  <c:v>41646547.08900027</c:v>
                </c:pt>
                <c:pt idx="63">
                  <c:v>40140000.436585084</c:v>
                </c:pt>
                <c:pt idx="64">
                  <c:v>41183065.686574399</c:v>
                </c:pt>
                <c:pt idx="65">
                  <c:v>53140818.56637831</c:v>
                </c:pt>
                <c:pt idx="66">
                  <c:v>67124809.322462991</c:v>
                </c:pt>
                <c:pt idx="67">
                  <c:v>59234144.115193099</c:v>
                </c:pt>
                <c:pt idx="68">
                  <c:v>45972690.331350379</c:v>
                </c:pt>
                <c:pt idx="69">
                  <c:v>38393714.034959592</c:v>
                </c:pt>
                <c:pt idx="70">
                  <c:v>39855116.727696449</c:v>
                </c:pt>
                <c:pt idx="71">
                  <c:v>43094840.60418874</c:v>
                </c:pt>
                <c:pt idx="72">
                  <c:v>44577282.510165289</c:v>
                </c:pt>
                <c:pt idx="73">
                  <c:v>45282346.343495592</c:v>
                </c:pt>
                <c:pt idx="74">
                  <c:v>41827332.687290095</c:v>
                </c:pt>
                <c:pt idx="75">
                  <c:v>39651879.321202561</c:v>
                </c:pt>
                <c:pt idx="76">
                  <c:v>42118596.93133042</c:v>
                </c:pt>
                <c:pt idx="77">
                  <c:v>55710394.30366984</c:v>
                </c:pt>
                <c:pt idx="78">
                  <c:v>58157036.634768978</c:v>
                </c:pt>
                <c:pt idx="79">
                  <c:v>64463720.253179878</c:v>
                </c:pt>
                <c:pt idx="80">
                  <c:v>48101848.621219151</c:v>
                </c:pt>
                <c:pt idx="81">
                  <c:v>42702285.984491535</c:v>
                </c:pt>
                <c:pt idx="82">
                  <c:v>40180175.013982818</c:v>
                </c:pt>
                <c:pt idx="83">
                  <c:v>42138685.662122563</c:v>
                </c:pt>
                <c:pt idx="84">
                  <c:v>47837449.465991758</c:v>
                </c:pt>
                <c:pt idx="85">
                  <c:v>44633526.91852212</c:v>
                </c:pt>
                <c:pt idx="86">
                  <c:v>42765409.069527283</c:v>
                </c:pt>
                <c:pt idx="87">
                  <c:v>39991354.500213444</c:v>
                </c:pt>
                <c:pt idx="88">
                  <c:v>42550724.54920318</c:v>
                </c:pt>
                <c:pt idx="89">
                  <c:v>50358973.428078525</c:v>
                </c:pt>
                <c:pt idx="90">
                  <c:v>60710902.334960103</c:v>
                </c:pt>
                <c:pt idx="91">
                  <c:v>60301504.016608849</c:v>
                </c:pt>
                <c:pt idx="92">
                  <c:v>48739882.23687882</c:v>
                </c:pt>
                <c:pt idx="93">
                  <c:v>38908390.722050563</c:v>
                </c:pt>
                <c:pt idx="94">
                  <c:v>40792537.250733875</c:v>
                </c:pt>
                <c:pt idx="95">
                  <c:v>43303748.406656981</c:v>
                </c:pt>
                <c:pt idx="96">
                  <c:v>43647241.043407641</c:v>
                </c:pt>
                <c:pt idx="97">
                  <c:v>42930124.836858012</c:v>
                </c:pt>
                <c:pt idx="98">
                  <c:v>42779470.171616495</c:v>
                </c:pt>
                <c:pt idx="99">
                  <c:v>40461940.028731756</c:v>
                </c:pt>
                <c:pt idx="100">
                  <c:v>41267300.838851042</c:v>
                </c:pt>
                <c:pt idx="101">
                  <c:v>50310235.533036709</c:v>
                </c:pt>
                <c:pt idx="102">
                  <c:v>61568689.287696056</c:v>
                </c:pt>
                <c:pt idx="103">
                  <c:v>54189771.978365213</c:v>
                </c:pt>
                <c:pt idx="104">
                  <c:v>49004059.945916072</c:v>
                </c:pt>
                <c:pt idx="105">
                  <c:v>42257896.233822994</c:v>
                </c:pt>
                <c:pt idx="106">
                  <c:v>40403143.918540269</c:v>
                </c:pt>
                <c:pt idx="107">
                  <c:v>41710826.412836649</c:v>
                </c:pt>
                <c:pt idx="108">
                  <c:v>44587326.154514715</c:v>
                </c:pt>
                <c:pt idx="109">
                  <c:v>42793531.273705699</c:v>
                </c:pt>
                <c:pt idx="110">
                  <c:v>41435630.557662144</c:v>
                </c:pt>
                <c:pt idx="111">
                  <c:v>38937532.582510799</c:v>
                </c:pt>
                <c:pt idx="112">
                  <c:v>41652654.136057884</c:v>
                </c:pt>
                <c:pt idx="113">
                  <c:v>51323983.74990648</c:v>
                </c:pt>
                <c:pt idx="114">
                  <c:v>60818125.704052091</c:v>
                </c:pt>
                <c:pt idx="115">
                  <c:v>58722396.217254043</c:v>
                </c:pt>
                <c:pt idx="116">
                  <c:v>49752910.866031207</c:v>
                </c:pt>
                <c:pt idx="117">
                  <c:v>41028134.646299273</c:v>
                </c:pt>
                <c:pt idx="118">
                  <c:v>40164925.647305943</c:v>
                </c:pt>
                <c:pt idx="119">
                  <c:v>43349949.170664378</c:v>
                </c:pt>
              </c:numCache>
            </c:numRef>
          </c:yVal>
          <c:smooth val="0"/>
          <c:extLst>
            <c:ext xmlns:c16="http://schemas.microsoft.com/office/drawing/2014/chart" uri="{C3380CC4-5D6E-409C-BE32-E72D297353CC}">
              <c16:uniqueId val="{00000001-67E3-46FD-8B6A-AB48D1FFCD7F}"/>
            </c:ext>
          </c:extLst>
        </c:ser>
        <c:dLbls>
          <c:showLegendKey val="0"/>
          <c:showVal val="0"/>
          <c:showCatName val="0"/>
          <c:showSerName val="0"/>
          <c:showPercent val="0"/>
          <c:showBubbleSize val="0"/>
        </c:dLbls>
        <c:axId val="1096257311"/>
        <c:axId val="1096240031"/>
      </c:scatterChart>
      <c:valAx>
        <c:axId val="109625731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CA"/>
                  <a:t>Average Tempurature (°C)</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96240031"/>
        <c:crosses val="autoZero"/>
        <c:crossBetween val="midCat"/>
      </c:valAx>
      <c:valAx>
        <c:axId val="1096240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CA"/>
                  <a:t>Monthly Consumption (kWh)</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9625731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CA"/>
              <a:t>GS &lt;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0973040367518006"/>
          <c:y val="0.15406616862326575"/>
          <c:w val="0.76454487038084917"/>
          <c:h val="0.65210968159396299"/>
        </c:manualLayout>
      </c:layout>
      <c:scatterChart>
        <c:scatterStyle val="lineMarker"/>
        <c:varyColors val="0"/>
        <c:ser>
          <c:idx val="0"/>
          <c:order val="0"/>
          <c:tx>
            <c:strRef>
              <c:f>Weather!$D$1</c:f>
              <c:strCache>
                <c:ptCount val="1"/>
                <c:pt idx="0">
                  <c:v>MeanTemp</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Weather!$D$194:$D$313</c:f>
              <c:numCache>
                <c:formatCode>0.0</c:formatCode>
                <c:ptCount val="120"/>
                <c:pt idx="0">
                  <c:v>-5.8580645161290343</c:v>
                </c:pt>
                <c:pt idx="1">
                  <c:v>-11.139285714285718</c:v>
                </c:pt>
                <c:pt idx="2">
                  <c:v>-1.1612903225806448</c:v>
                </c:pt>
                <c:pt idx="3">
                  <c:v>7.2700000000000022</c:v>
                </c:pt>
                <c:pt idx="4">
                  <c:v>14.535483870967743</c:v>
                </c:pt>
                <c:pt idx="5">
                  <c:v>16.886666666666663</c:v>
                </c:pt>
                <c:pt idx="6">
                  <c:v>21.899999999999995</c:v>
                </c:pt>
                <c:pt idx="7">
                  <c:v>20.796774193548384</c:v>
                </c:pt>
                <c:pt idx="8">
                  <c:v>20.030000000000005</c:v>
                </c:pt>
                <c:pt idx="9">
                  <c:v>11.587096774193544</c:v>
                </c:pt>
                <c:pt idx="10">
                  <c:v>7.9633333333333329</c:v>
                </c:pt>
                <c:pt idx="11">
                  <c:v>5.2741935483870979</c:v>
                </c:pt>
                <c:pt idx="12">
                  <c:v>-2.1612903225806446</c:v>
                </c:pt>
                <c:pt idx="13">
                  <c:v>-0.76896551724137929</c:v>
                </c:pt>
                <c:pt idx="14">
                  <c:v>3.4451612903225803</c:v>
                </c:pt>
                <c:pt idx="15">
                  <c:v>4.9666666666666659</c:v>
                </c:pt>
                <c:pt idx="16">
                  <c:v>13.870967741935482</c:v>
                </c:pt>
                <c:pt idx="17">
                  <c:v>19.386666666666663</c:v>
                </c:pt>
                <c:pt idx="18">
                  <c:v>22.919354838709673</c:v>
                </c:pt>
                <c:pt idx="19">
                  <c:v>23.735483870967741</c:v>
                </c:pt>
                <c:pt idx="20">
                  <c:v>20.029999999999998</c:v>
                </c:pt>
                <c:pt idx="21">
                  <c:v>13.20967741935484</c:v>
                </c:pt>
                <c:pt idx="22">
                  <c:v>8.2366666666666628</c:v>
                </c:pt>
                <c:pt idx="23">
                  <c:v>-3.2258064516129135E-2</c:v>
                </c:pt>
                <c:pt idx="24">
                  <c:v>-0.34193548387096795</c:v>
                </c:pt>
                <c:pt idx="25">
                  <c:v>1.1714285714285715</c:v>
                </c:pt>
                <c:pt idx="26">
                  <c:v>0.54193548387096779</c:v>
                </c:pt>
                <c:pt idx="27">
                  <c:v>8.9300000000000015</c:v>
                </c:pt>
                <c:pt idx="28">
                  <c:v>11.783870967741937</c:v>
                </c:pt>
                <c:pt idx="29">
                  <c:v>19.303333333333331</c:v>
                </c:pt>
                <c:pt idx="30">
                  <c:v>21.661290322580644</c:v>
                </c:pt>
                <c:pt idx="31">
                  <c:v>20.522580645161295</c:v>
                </c:pt>
                <c:pt idx="32">
                  <c:v>18.610000000000003</c:v>
                </c:pt>
                <c:pt idx="33">
                  <c:v>14.658064516129036</c:v>
                </c:pt>
                <c:pt idx="34">
                  <c:v>5.0699999999999994</c:v>
                </c:pt>
                <c:pt idx="35">
                  <c:v>-2.9419354838709673</c:v>
                </c:pt>
                <c:pt idx="36">
                  <c:v>-3.9451612903225803</c:v>
                </c:pt>
                <c:pt idx="37">
                  <c:v>-0.28928571428571387</c:v>
                </c:pt>
                <c:pt idx="38">
                  <c:v>0.77741935483870972</c:v>
                </c:pt>
                <c:pt idx="39">
                  <c:v>4.0233333333333334</c:v>
                </c:pt>
                <c:pt idx="40">
                  <c:v>14.790322580645164</c:v>
                </c:pt>
                <c:pt idx="41">
                  <c:v>19.029999999999998</c:v>
                </c:pt>
                <c:pt idx="42">
                  <c:v>23.296774193548391</c:v>
                </c:pt>
                <c:pt idx="43">
                  <c:v>23.283870967741933</c:v>
                </c:pt>
                <c:pt idx="44">
                  <c:v>19.446666666666669</c:v>
                </c:pt>
                <c:pt idx="45">
                  <c:v>10.645161290322582</c:v>
                </c:pt>
                <c:pt idx="46">
                  <c:v>2.9200000000000004</c:v>
                </c:pt>
                <c:pt idx="47">
                  <c:v>1.3548387096774193</c:v>
                </c:pt>
                <c:pt idx="48">
                  <c:v>-4.580645161290323</c:v>
                </c:pt>
                <c:pt idx="49">
                  <c:v>-2.4178571428571423</c:v>
                </c:pt>
                <c:pt idx="50">
                  <c:v>4.8387096774193415E-2</c:v>
                </c:pt>
                <c:pt idx="51">
                  <c:v>6.2700000000000005</c:v>
                </c:pt>
                <c:pt idx="52">
                  <c:v>11.058064516129033</c:v>
                </c:pt>
                <c:pt idx="53">
                  <c:v>17.306666666666668</c:v>
                </c:pt>
                <c:pt idx="54">
                  <c:v>22.92258064516129</c:v>
                </c:pt>
                <c:pt idx="55">
                  <c:v>21.267741935483876</c:v>
                </c:pt>
                <c:pt idx="56">
                  <c:v>18.453333333333333</c:v>
                </c:pt>
                <c:pt idx="57">
                  <c:v>12.125806451612904</c:v>
                </c:pt>
                <c:pt idx="58">
                  <c:v>2.5333333333333332</c:v>
                </c:pt>
                <c:pt idx="59">
                  <c:v>1.2129032258064516</c:v>
                </c:pt>
                <c:pt idx="60">
                  <c:v>0.20000000000000021</c:v>
                </c:pt>
                <c:pt idx="61">
                  <c:v>-1.3517241379310343</c:v>
                </c:pt>
                <c:pt idx="62">
                  <c:v>3.8064516129032264</c:v>
                </c:pt>
                <c:pt idx="63">
                  <c:v>5.9666666666666659</c:v>
                </c:pt>
                <c:pt idx="64">
                  <c:v>11.177419354838708</c:v>
                </c:pt>
                <c:pt idx="65">
                  <c:v>19.97666666666667</c:v>
                </c:pt>
                <c:pt idx="66">
                  <c:v>24.532258064516125</c:v>
                </c:pt>
                <c:pt idx="67">
                  <c:v>21.920967741935485</c:v>
                </c:pt>
                <c:pt idx="68">
                  <c:v>17.376666666666665</c:v>
                </c:pt>
                <c:pt idx="69">
                  <c:v>10.483870967741934</c:v>
                </c:pt>
                <c:pt idx="70">
                  <c:v>8.1366666666666667</c:v>
                </c:pt>
                <c:pt idx="71">
                  <c:v>1.4806451612903222</c:v>
                </c:pt>
                <c:pt idx="72">
                  <c:v>-0.8999999999999998</c:v>
                </c:pt>
                <c:pt idx="73">
                  <c:v>-3.7500000000000004</c:v>
                </c:pt>
                <c:pt idx="74">
                  <c:v>3.5161290322580645</c:v>
                </c:pt>
                <c:pt idx="75">
                  <c:v>6.7766666666666673</c:v>
                </c:pt>
                <c:pt idx="76">
                  <c:v>13.167741935483869</c:v>
                </c:pt>
                <c:pt idx="77">
                  <c:v>20.980000000000004</c:v>
                </c:pt>
                <c:pt idx="78">
                  <c:v>21.56451612903226</c:v>
                </c:pt>
                <c:pt idx="79">
                  <c:v>23.651612903225807</c:v>
                </c:pt>
                <c:pt idx="80">
                  <c:v>18.350000000000001</c:v>
                </c:pt>
                <c:pt idx="81">
                  <c:v>14.590322580645163</c:v>
                </c:pt>
                <c:pt idx="82">
                  <c:v>5.8999999999999995</c:v>
                </c:pt>
                <c:pt idx="83">
                  <c:v>3.0161290322580654</c:v>
                </c:pt>
                <c:pt idx="84">
                  <c:v>-6.1354838709677422</c:v>
                </c:pt>
                <c:pt idx="85">
                  <c:v>-2.596428571428572</c:v>
                </c:pt>
                <c:pt idx="86">
                  <c:v>2.0096774193548388</c:v>
                </c:pt>
                <c:pt idx="87">
                  <c:v>6.2133333333333338</c:v>
                </c:pt>
                <c:pt idx="88">
                  <c:v>13.738709677419356</c:v>
                </c:pt>
                <c:pt idx="89">
                  <c:v>19.150000000000002</c:v>
                </c:pt>
                <c:pt idx="90">
                  <c:v>22.409677419354836</c:v>
                </c:pt>
                <c:pt idx="91">
                  <c:v>22.274193548387096</c:v>
                </c:pt>
                <c:pt idx="92">
                  <c:v>18.266666666666666</c:v>
                </c:pt>
                <c:pt idx="93">
                  <c:v>10.525806451612901</c:v>
                </c:pt>
                <c:pt idx="94">
                  <c:v>6.7566666666666659</c:v>
                </c:pt>
                <c:pt idx="95">
                  <c:v>1.1451612903225807</c:v>
                </c:pt>
                <c:pt idx="96">
                  <c:v>0.59354838709677415</c:v>
                </c:pt>
                <c:pt idx="97">
                  <c:v>0.43214285714285683</c:v>
                </c:pt>
                <c:pt idx="98">
                  <c:v>1.9870967741935488</c:v>
                </c:pt>
                <c:pt idx="99">
                  <c:v>8.5733333333333324</c:v>
                </c:pt>
                <c:pt idx="100">
                  <c:v>13.1</c:v>
                </c:pt>
                <c:pt idx="101">
                  <c:v>19.133333333333336</c:v>
                </c:pt>
                <c:pt idx="102">
                  <c:v>22.693548387096783</c:v>
                </c:pt>
                <c:pt idx="103">
                  <c:v>20.251612903225805</c:v>
                </c:pt>
                <c:pt idx="104">
                  <c:v>18.68666666666666</c:v>
                </c:pt>
                <c:pt idx="105">
                  <c:v>13.283870967741938</c:v>
                </c:pt>
                <c:pt idx="106">
                  <c:v>5.5299999999999994</c:v>
                </c:pt>
                <c:pt idx="107">
                  <c:v>3.7032258064516133</c:v>
                </c:pt>
                <c:pt idx="108">
                  <c:v>-0.91612903225806464</c:v>
                </c:pt>
                <c:pt idx="109">
                  <c:v>1.1344827586206896</c:v>
                </c:pt>
                <c:pt idx="110">
                  <c:v>4.1451612903225818</c:v>
                </c:pt>
                <c:pt idx="111">
                  <c:v>8.1766666666666676</c:v>
                </c:pt>
                <c:pt idx="112">
                  <c:v>14.935483870967746</c:v>
                </c:pt>
                <c:pt idx="113">
                  <c:v>19.479999999999997</c:v>
                </c:pt>
                <c:pt idx="114">
                  <c:v>22.445161290322577</c:v>
                </c:pt>
                <c:pt idx="115">
                  <c:v>21.751612903225805</c:v>
                </c:pt>
                <c:pt idx="116">
                  <c:v>18.926666666666669</c:v>
                </c:pt>
                <c:pt idx="117">
                  <c:v>13.748387096774191</c:v>
                </c:pt>
                <c:pt idx="118">
                  <c:v>7.8566666666666674</c:v>
                </c:pt>
                <c:pt idx="119">
                  <c:v>1.0709677419354837</c:v>
                </c:pt>
              </c:numCache>
            </c:numRef>
          </c:xVal>
          <c:yVal>
            <c:numRef>
              <c:f>Weather!$DQ$194:$DQ$313</c:f>
              <c:numCache>
                <c:formatCode>_(* #,##0_);_(* \(#,##0\);_(* "-"??_);_(@_)</c:formatCode>
                <c:ptCount val="120"/>
                <c:pt idx="0">
                  <c:v>15817525.215486044</c:v>
                </c:pt>
                <c:pt idx="1">
                  <c:v>14777649.244217517</c:v>
                </c:pt>
                <c:pt idx="2">
                  <c:v>15200272.27294899</c:v>
                </c:pt>
                <c:pt idx="3">
                  <c:v>13384863.301680462</c:v>
                </c:pt>
                <c:pt idx="4">
                  <c:v>13530179.330411935</c:v>
                </c:pt>
                <c:pt idx="5">
                  <c:v>13858885.359143406</c:v>
                </c:pt>
                <c:pt idx="6">
                  <c:v>15331961.387874879</c:v>
                </c:pt>
                <c:pt idx="7">
                  <c:v>15575294.416606352</c:v>
                </c:pt>
                <c:pt idx="8">
                  <c:v>14205506.445337825</c:v>
                </c:pt>
                <c:pt idx="9">
                  <c:v>13170519.474069297</c:v>
                </c:pt>
                <c:pt idx="10">
                  <c:v>13225827.50280077</c:v>
                </c:pt>
                <c:pt idx="11">
                  <c:v>14139805.531532243</c:v>
                </c:pt>
                <c:pt idx="12">
                  <c:v>15123271.889639981</c:v>
                </c:pt>
                <c:pt idx="13">
                  <c:v>14350816.425124092</c:v>
                </c:pt>
                <c:pt idx="14">
                  <c:v>14493124.960608203</c:v>
                </c:pt>
                <c:pt idx="15">
                  <c:v>13407795.496092316</c:v>
                </c:pt>
                <c:pt idx="16">
                  <c:v>13731027.031576427</c:v>
                </c:pt>
                <c:pt idx="17">
                  <c:v>14550745.567060538</c:v>
                </c:pt>
                <c:pt idx="18">
                  <c:v>16348284.10254465</c:v>
                </c:pt>
                <c:pt idx="19">
                  <c:v>16739654.638028761</c:v>
                </c:pt>
                <c:pt idx="20">
                  <c:v>14440145.173512874</c:v>
                </c:pt>
                <c:pt idx="21">
                  <c:v>13350527.708996985</c:v>
                </c:pt>
                <c:pt idx="22">
                  <c:v>13437723.244481096</c:v>
                </c:pt>
                <c:pt idx="23">
                  <c:v>14912204.779965209</c:v>
                </c:pt>
                <c:pt idx="24">
                  <c:v>15552205.778870873</c:v>
                </c:pt>
                <c:pt idx="25">
                  <c:v>13871440.371413311</c:v>
                </c:pt>
                <c:pt idx="26">
                  <c:v>14837407.963955749</c:v>
                </c:pt>
                <c:pt idx="27">
                  <c:v>13390657.556498185</c:v>
                </c:pt>
                <c:pt idx="28">
                  <c:v>13605380.149040623</c:v>
                </c:pt>
                <c:pt idx="29">
                  <c:v>14207511.74158306</c:v>
                </c:pt>
                <c:pt idx="30">
                  <c:v>15533752.334125496</c:v>
                </c:pt>
                <c:pt idx="31">
                  <c:v>15160539.926667934</c:v>
                </c:pt>
                <c:pt idx="32">
                  <c:v>14204164.519210372</c:v>
                </c:pt>
                <c:pt idx="33">
                  <c:v>13926867.111752808</c:v>
                </c:pt>
                <c:pt idx="34">
                  <c:v>13988763.704295246</c:v>
                </c:pt>
                <c:pt idx="35">
                  <c:v>15562822.296837684</c:v>
                </c:pt>
                <c:pt idx="36">
                  <c:v>16341548.767871764</c:v>
                </c:pt>
                <c:pt idx="37">
                  <c:v>14352800.598540761</c:v>
                </c:pt>
                <c:pt idx="38">
                  <c:v>15228033.429209759</c:v>
                </c:pt>
                <c:pt idx="39">
                  <c:v>14186658.259878756</c:v>
                </c:pt>
                <c:pt idx="40">
                  <c:v>14557839.090547755</c:v>
                </c:pt>
                <c:pt idx="41">
                  <c:v>15372235.921216752</c:v>
                </c:pt>
                <c:pt idx="42">
                  <c:v>17119387.751885749</c:v>
                </c:pt>
                <c:pt idx="43">
                  <c:v>16940976.582554746</c:v>
                </c:pt>
                <c:pt idx="44">
                  <c:v>15120534.413223745</c:v>
                </c:pt>
                <c:pt idx="45">
                  <c:v>14207629.243892744</c:v>
                </c:pt>
                <c:pt idx="46">
                  <c:v>14691641.074561741</c:v>
                </c:pt>
                <c:pt idx="47">
                  <c:v>15557414.90523074</c:v>
                </c:pt>
                <c:pt idx="48">
                  <c:v>16535161.594954573</c:v>
                </c:pt>
                <c:pt idx="49">
                  <c:v>15287128.896075014</c:v>
                </c:pt>
                <c:pt idx="50">
                  <c:v>16050310.197195457</c:v>
                </c:pt>
                <c:pt idx="51">
                  <c:v>14274222.498315901</c:v>
                </c:pt>
                <c:pt idx="52">
                  <c:v>14029473.799436344</c:v>
                </c:pt>
                <c:pt idx="53">
                  <c:v>14575779.100556785</c:v>
                </c:pt>
                <c:pt idx="54">
                  <c:v>17103909.401677229</c:v>
                </c:pt>
                <c:pt idx="55">
                  <c:v>16383214.702797672</c:v>
                </c:pt>
                <c:pt idx="56">
                  <c:v>14536936.003918113</c:v>
                </c:pt>
                <c:pt idx="57">
                  <c:v>13867496.305038556</c:v>
                </c:pt>
                <c:pt idx="58">
                  <c:v>14353293.606159</c:v>
                </c:pt>
                <c:pt idx="59">
                  <c:v>15207078.907279443</c:v>
                </c:pt>
                <c:pt idx="60">
                  <c:v>15460614.932394793</c:v>
                </c:pt>
                <c:pt idx="61">
                  <c:v>14562080.289898498</c:v>
                </c:pt>
                <c:pt idx="62">
                  <c:v>13828647.647402203</c:v>
                </c:pt>
                <c:pt idx="63">
                  <c:v>11361907.004905907</c:v>
                </c:pt>
                <c:pt idx="64">
                  <c:v>11649396.362409612</c:v>
                </c:pt>
                <c:pt idx="65">
                  <c:v>13516522.719913317</c:v>
                </c:pt>
                <c:pt idx="66">
                  <c:v>15828746.077417022</c:v>
                </c:pt>
                <c:pt idx="67">
                  <c:v>15475786.434920726</c:v>
                </c:pt>
                <c:pt idx="68">
                  <c:v>13348828.792424431</c:v>
                </c:pt>
                <c:pt idx="69">
                  <c:v>12958296.149928138</c:v>
                </c:pt>
                <c:pt idx="70">
                  <c:v>13270098.507431842</c:v>
                </c:pt>
                <c:pt idx="71">
                  <c:v>14143324.864935547</c:v>
                </c:pt>
                <c:pt idx="72">
                  <c:v>14381534.39165709</c:v>
                </c:pt>
                <c:pt idx="73">
                  <c:v>13667119.590722678</c:v>
                </c:pt>
                <c:pt idx="74">
                  <c:v>14309991.789788269</c:v>
                </c:pt>
                <c:pt idx="75">
                  <c:v>12572792.988853857</c:v>
                </c:pt>
                <c:pt idx="76">
                  <c:v>13147250.187919445</c:v>
                </c:pt>
                <c:pt idx="77">
                  <c:v>13511808.386985036</c:v>
                </c:pt>
                <c:pt idx="78">
                  <c:v>15349955.586050624</c:v>
                </c:pt>
                <c:pt idx="79">
                  <c:v>16375542.785116214</c:v>
                </c:pt>
                <c:pt idx="80">
                  <c:v>14161395.984181803</c:v>
                </c:pt>
                <c:pt idx="81">
                  <c:v>13417367.183247393</c:v>
                </c:pt>
                <c:pt idx="82">
                  <c:v>13769731.382312981</c:v>
                </c:pt>
                <c:pt idx="83">
                  <c:v>14754878.581378572</c:v>
                </c:pt>
                <c:pt idx="84">
                  <c:v>15788558.386490077</c:v>
                </c:pt>
                <c:pt idx="85">
                  <c:v>14751049.03981971</c:v>
                </c:pt>
                <c:pt idx="86">
                  <c:v>15389914.693149343</c:v>
                </c:pt>
                <c:pt idx="87">
                  <c:v>13876561.346478976</c:v>
                </c:pt>
                <c:pt idx="88">
                  <c:v>14211702.999808609</c:v>
                </c:pt>
                <c:pt idx="89">
                  <c:v>15055174.653138243</c:v>
                </c:pt>
                <c:pt idx="90">
                  <c:v>16754433.306467874</c:v>
                </c:pt>
                <c:pt idx="91">
                  <c:v>16753992.959797507</c:v>
                </c:pt>
                <c:pt idx="92">
                  <c:v>14523776.61312714</c:v>
                </c:pt>
                <c:pt idx="93">
                  <c:v>13812237.266456774</c:v>
                </c:pt>
                <c:pt idx="94">
                  <c:v>14497454.919786407</c:v>
                </c:pt>
                <c:pt idx="95">
                  <c:v>15707320.57311604</c:v>
                </c:pt>
                <c:pt idx="96">
                  <c:v>16124970.659739304</c:v>
                </c:pt>
                <c:pt idx="97">
                  <c:v>14767925.683730803</c:v>
                </c:pt>
                <c:pt idx="98">
                  <c:v>15713742.707722303</c:v>
                </c:pt>
                <c:pt idx="99">
                  <c:v>14335711.731713802</c:v>
                </c:pt>
                <c:pt idx="100">
                  <c:v>14570433.755705301</c:v>
                </c:pt>
                <c:pt idx="101">
                  <c:v>15207184.779696802</c:v>
                </c:pt>
                <c:pt idx="102">
                  <c:v>17067649.803688299</c:v>
                </c:pt>
                <c:pt idx="103">
                  <c:v>16466173.8276798</c:v>
                </c:pt>
                <c:pt idx="104">
                  <c:v>14997289.851671299</c:v>
                </c:pt>
                <c:pt idx="105">
                  <c:v>14525201.875662798</c:v>
                </c:pt>
                <c:pt idx="106">
                  <c:v>14789580.899654299</c:v>
                </c:pt>
                <c:pt idx="107">
                  <c:v>15248929.923645798</c:v>
                </c:pt>
                <c:pt idx="108">
                  <c:v>15984916.162170708</c:v>
                </c:pt>
                <c:pt idx="109">
                  <c:v>14775433.758234465</c:v>
                </c:pt>
                <c:pt idx="110">
                  <c:v>15102644.794298219</c:v>
                </c:pt>
                <c:pt idx="111">
                  <c:v>14096177.490361972</c:v>
                </c:pt>
                <c:pt idx="112">
                  <c:v>14561726.336425725</c:v>
                </c:pt>
                <c:pt idx="113">
                  <c:v>15556106.23248948</c:v>
                </c:pt>
                <c:pt idx="114">
                  <c:v>17398173.568553235</c:v>
                </c:pt>
                <c:pt idx="115">
                  <c:v>16751789.404616991</c:v>
                </c:pt>
                <c:pt idx="116">
                  <c:v>15120870.800680745</c:v>
                </c:pt>
                <c:pt idx="117">
                  <c:v>14429502.936744498</c:v>
                </c:pt>
                <c:pt idx="118">
                  <c:v>14351434.502808254</c:v>
                </c:pt>
                <c:pt idx="119">
                  <c:v>16012677.658872008</c:v>
                </c:pt>
              </c:numCache>
            </c:numRef>
          </c:yVal>
          <c:smooth val="0"/>
          <c:extLst>
            <c:ext xmlns:c16="http://schemas.microsoft.com/office/drawing/2014/chart" uri="{C3380CC4-5D6E-409C-BE32-E72D297353CC}">
              <c16:uniqueId val="{00000000-249A-4CD0-AC49-1E833B7BC0F3}"/>
            </c:ext>
          </c:extLst>
        </c:ser>
        <c:ser>
          <c:idx val="1"/>
          <c:order val="1"/>
          <c:spPr>
            <a:ln w="25400" cap="rnd">
              <a:noFill/>
              <a:round/>
            </a:ln>
            <a:effectLst/>
          </c:spPr>
          <c:marker>
            <c:symbol val="circle"/>
            <c:size val="5"/>
            <c:spPr>
              <a:solidFill>
                <a:schemeClr val="accent2"/>
              </a:solidFill>
              <a:ln w="9525">
                <a:solidFill>
                  <a:schemeClr val="accent2"/>
                </a:solidFill>
              </a:ln>
              <a:effectLst/>
            </c:spPr>
          </c:marker>
          <c:xVal>
            <c:numRef>
              <c:f>Weather!$D$194:$D$313</c:f>
              <c:numCache>
                <c:formatCode>0.0</c:formatCode>
                <c:ptCount val="120"/>
                <c:pt idx="0">
                  <c:v>-5.8580645161290343</c:v>
                </c:pt>
                <c:pt idx="1">
                  <c:v>-11.139285714285718</c:v>
                </c:pt>
                <c:pt idx="2">
                  <c:v>-1.1612903225806448</c:v>
                </c:pt>
                <c:pt idx="3">
                  <c:v>7.2700000000000022</c:v>
                </c:pt>
                <c:pt idx="4">
                  <c:v>14.535483870967743</c:v>
                </c:pt>
                <c:pt idx="5">
                  <c:v>16.886666666666663</c:v>
                </c:pt>
                <c:pt idx="6">
                  <c:v>21.899999999999995</c:v>
                </c:pt>
                <c:pt idx="7">
                  <c:v>20.796774193548384</c:v>
                </c:pt>
                <c:pt idx="8">
                  <c:v>20.030000000000005</c:v>
                </c:pt>
                <c:pt idx="9">
                  <c:v>11.587096774193544</c:v>
                </c:pt>
                <c:pt idx="10">
                  <c:v>7.9633333333333329</c:v>
                </c:pt>
                <c:pt idx="11">
                  <c:v>5.2741935483870979</c:v>
                </c:pt>
                <c:pt idx="12">
                  <c:v>-2.1612903225806446</c:v>
                </c:pt>
                <c:pt idx="13">
                  <c:v>-0.76896551724137929</c:v>
                </c:pt>
                <c:pt idx="14">
                  <c:v>3.4451612903225803</c:v>
                </c:pt>
                <c:pt idx="15">
                  <c:v>4.9666666666666659</c:v>
                </c:pt>
                <c:pt idx="16">
                  <c:v>13.870967741935482</c:v>
                </c:pt>
                <c:pt idx="17">
                  <c:v>19.386666666666663</c:v>
                </c:pt>
                <c:pt idx="18">
                  <c:v>22.919354838709673</c:v>
                </c:pt>
                <c:pt idx="19">
                  <c:v>23.735483870967741</c:v>
                </c:pt>
                <c:pt idx="20">
                  <c:v>20.029999999999998</c:v>
                </c:pt>
                <c:pt idx="21">
                  <c:v>13.20967741935484</c:v>
                </c:pt>
                <c:pt idx="22">
                  <c:v>8.2366666666666628</c:v>
                </c:pt>
                <c:pt idx="23">
                  <c:v>-3.2258064516129135E-2</c:v>
                </c:pt>
                <c:pt idx="24">
                  <c:v>-0.34193548387096795</c:v>
                </c:pt>
                <c:pt idx="25">
                  <c:v>1.1714285714285715</c:v>
                </c:pt>
                <c:pt idx="26">
                  <c:v>0.54193548387096779</c:v>
                </c:pt>
                <c:pt idx="27">
                  <c:v>8.9300000000000015</c:v>
                </c:pt>
                <c:pt idx="28">
                  <c:v>11.783870967741937</c:v>
                </c:pt>
                <c:pt idx="29">
                  <c:v>19.303333333333331</c:v>
                </c:pt>
                <c:pt idx="30">
                  <c:v>21.661290322580644</c:v>
                </c:pt>
                <c:pt idx="31">
                  <c:v>20.522580645161295</c:v>
                </c:pt>
                <c:pt idx="32">
                  <c:v>18.610000000000003</c:v>
                </c:pt>
                <c:pt idx="33">
                  <c:v>14.658064516129036</c:v>
                </c:pt>
                <c:pt idx="34">
                  <c:v>5.0699999999999994</c:v>
                </c:pt>
                <c:pt idx="35">
                  <c:v>-2.9419354838709673</c:v>
                </c:pt>
                <c:pt idx="36">
                  <c:v>-3.9451612903225803</c:v>
                </c:pt>
                <c:pt idx="37">
                  <c:v>-0.28928571428571387</c:v>
                </c:pt>
                <c:pt idx="38">
                  <c:v>0.77741935483870972</c:v>
                </c:pt>
                <c:pt idx="39">
                  <c:v>4.0233333333333334</c:v>
                </c:pt>
                <c:pt idx="40">
                  <c:v>14.790322580645164</c:v>
                </c:pt>
                <c:pt idx="41">
                  <c:v>19.029999999999998</c:v>
                </c:pt>
                <c:pt idx="42">
                  <c:v>23.296774193548391</c:v>
                </c:pt>
                <c:pt idx="43">
                  <c:v>23.283870967741933</c:v>
                </c:pt>
                <c:pt idx="44">
                  <c:v>19.446666666666669</c:v>
                </c:pt>
                <c:pt idx="45">
                  <c:v>10.645161290322582</c:v>
                </c:pt>
                <c:pt idx="46">
                  <c:v>2.9200000000000004</c:v>
                </c:pt>
                <c:pt idx="47">
                  <c:v>1.3548387096774193</c:v>
                </c:pt>
                <c:pt idx="48">
                  <c:v>-4.580645161290323</c:v>
                </c:pt>
                <c:pt idx="49">
                  <c:v>-2.4178571428571423</c:v>
                </c:pt>
                <c:pt idx="50">
                  <c:v>4.8387096774193415E-2</c:v>
                </c:pt>
                <c:pt idx="51">
                  <c:v>6.2700000000000005</c:v>
                </c:pt>
                <c:pt idx="52">
                  <c:v>11.058064516129033</c:v>
                </c:pt>
                <c:pt idx="53">
                  <c:v>17.306666666666668</c:v>
                </c:pt>
                <c:pt idx="54">
                  <c:v>22.92258064516129</c:v>
                </c:pt>
                <c:pt idx="55">
                  <c:v>21.267741935483876</c:v>
                </c:pt>
                <c:pt idx="56">
                  <c:v>18.453333333333333</c:v>
                </c:pt>
                <c:pt idx="57">
                  <c:v>12.125806451612904</c:v>
                </c:pt>
                <c:pt idx="58">
                  <c:v>2.5333333333333332</c:v>
                </c:pt>
                <c:pt idx="59">
                  <c:v>1.2129032258064516</c:v>
                </c:pt>
                <c:pt idx="60">
                  <c:v>0.20000000000000021</c:v>
                </c:pt>
                <c:pt idx="61">
                  <c:v>-1.3517241379310343</c:v>
                </c:pt>
                <c:pt idx="62">
                  <c:v>3.8064516129032264</c:v>
                </c:pt>
                <c:pt idx="63">
                  <c:v>5.9666666666666659</c:v>
                </c:pt>
                <c:pt idx="64">
                  <c:v>11.177419354838708</c:v>
                </c:pt>
                <c:pt idx="65">
                  <c:v>19.97666666666667</c:v>
                </c:pt>
                <c:pt idx="66">
                  <c:v>24.532258064516125</c:v>
                </c:pt>
                <c:pt idx="67">
                  <c:v>21.920967741935485</c:v>
                </c:pt>
                <c:pt idx="68">
                  <c:v>17.376666666666665</c:v>
                </c:pt>
                <c:pt idx="69">
                  <c:v>10.483870967741934</c:v>
                </c:pt>
                <c:pt idx="70">
                  <c:v>8.1366666666666667</c:v>
                </c:pt>
                <c:pt idx="71">
                  <c:v>1.4806451612903222</c:v>
                </c:pt>
                <c:pt idx="72">
                  <c:v>-0.8999999999999998</c:v>
                </c:pt>
                <c:pt idx="73">
                  <c:v>-3.7500000000000004</c:v>
                </c:pt>
                <c:pt idx="74">
                  <c:v>3.5161290322580645</c:v>
                </c:pt>
                <c:pt idx="75">
                  <c:v>6.7766666666666673</c:v>
                </c:pt>
                <c:pt idx="76">
                  <c:v>13.167741935483869</c:v>
                </c:pt>
                <c:pt idx="77">
                  <c:v>20.980000000000004</c:v>
                </c:pt>
                <c:pt idx="78">
                  <c:v>21.56451612903226</c:v>
                </c:pt>
                <c:pt idx="79">
                  <c:v>23.651612903225807</c:v>
                </c:pt>
                <c:pt idx="80">
                  <c:v>18.350000000000001</c:v>
                </c:pt>
                <c:pt idx="81">
                  <c:v>14.590322580645163</c:v>
                </c:pt>
                <c:pt idx="82">
                  <c:v>5.8999999999999995</c:v>
                </c:pt>
                <c:pt idx="83">
                  <c:v>3.0161290322580654</c:v>
                </c:pt>
                <c:pt idx="84">
                  <c:v>-6.1354838709677422</c:v>
                </c:pt>
                <c:pt idx="85">
                  <c:v>-2.596428571428572</c:v>
                </c:pt>
                <c:pt idx="86">
                  <c:v>2.0096774193548388</c:v>
                </c:pt>
                <c:pt idx="87">
                  <c:v>6.2133333333333338</c:v>
                </c:pt>
                <c:pt idx="88">
                  <c:v>13.738709677419356</c:v>
                </c:pt>
                <c:pt idx="89">
                  <c:v>19.150000000000002</c:v>
                </c:pt>
                <c:pt idx="90">
                  <c:v>22.409677419354836</c:v>
                </c:pt>
                <c:pt idx="91">
                  <c:v>22.274193548387096</c:v>
                </c:pt>
                <c:pt idx="92">
                  <c:v>18.266666666666666</c:v>
                </c:pt>
                <c:pt idx="93">
                  <c:v>10.525806451612901</c:v>
                </c:pt>
                <c:pt idx="94">
                  <c:v>6.7566666666666659</c:v>
                </c:pt>
                <c:pt idx="95">
                  <c:v>1.1451612903225807</c:v>
                </c:pt>
                <c:pt idx="96">
                  <c:v>0.59354838709677415</c:v>
                </c:pt>
                <c:pt idx="97">
                  <c:v>0.43214285714285683</c:v>
                </c:pt>
                <c:pt idx="98">
                  <c:v>1.9870967741935488</c:v>
                </c:pt>
                <c:pt idx="99">
                  <c:v>8.5733333333333324</c:v>
                </c:pt>
                <c:pt idx="100">
                  <c:v>13.1</c:v>
                </c:pt>
                <c:pt idx="101">
                  <c:v>19.133333333333336</c:v>
                </c:pt>
                <c:pt idx="102">
                  <c:v>22.693548387096783</c:v>
                </c:pt>
                <c:pt idx="103">
                  <c:v>20.251612903225805</c:v>
                </c:pt>
                <c:pt idx="104">
                  <c:v>18.68666666666666</c:v>
                </c:pt>
                <c:pt idx="105">
                  <c:v>13.283870967741938</c:v>
                </c:pt>
                <c:pt idx="106">
                  <c:v>5.5299999999999994</c:v>
                </c:pt>
                <c:pt idx="107">
                  <c:v>3.7032258064516133</c:v>
                </c:pt>
                <c:pt idx="108">
                  <c:v>-0.91612903225806464</c:v>
                </c:pt>
                <c:pt idx="109">
                  <c:v>1.1344827586206896</c:v>
                </c:pt>
                <c:pt idx="110">
                  <c:v>4.1451612903225818</c:v>
                </c:pt>
                <c:pt idx="111">
                  <c:v>8.1766666666666676</c:v>
                </c:pt>
                <c:pt idx="112">
                  <c:v>14.935483870967746</c:v>
                </c:pt>
                <c:pt idx="113">
                  <c:v>19.479999999999997</c:v>
                </c:pt>
                <c:pt idx="114">
                  <c:v>22.445161290322577</c:v>
                </c:pt>
                <c:pt idx="115">
                  <c:v>21.751612903225805</c:v>
                </c:pt>
                <c:pt idx="116">
                  <c:v>18.926666666666669</c:v>
                </c:pt>
                <c:pt idx="117">
                  <c:v>13.748387096774191</c:v>
                </c:pt>
                <c:pt idx="118">
                  <c:v>7.8566666666666674</c:v>
                </c:pt>
                <c:pt idx="119">
                  <c:v>1.0709677419354837</c:v>
                </c:pt>
              </c:numCache>
            </c:numRef>
          </c:xVal>
          <c:yVal>
            <c:numRef>
              <c:f>Weather!$DT$194:$DT$313</c:f>
              <c:numCache>
                <c:formatCode>_(* #,##0_);_(* \(#,##0\);_(* "-"??_);_(@_)</c:formatCode>
                <c:ptCount val="120"/>
                <c:pt idx="0">
                  <c:v>16031614.49866542</c:v>
                </c:pt>
                <c:pt idx="1">
                  <c:v>16511997.803459667</c:v>
                </c:pt>
                <c:pt idx="2">
                  <c:v>15239498.879435044</c:v>
                </c:pt>
                <c:pt idx="3">
                  <c:v>13811275.397972308</c:v>
                </c:pt>
                <c:pt idx="4">
                  <c:v>13744973.927791564</c:v>
                </c:pt>
                <c:pt idx="5">
                  <c:v>14069451.053103447</c:v>
                </c:pt>
                <c:pt idx="6">
                  <c:v>15993427.21407209</c:v>
                </c:pt>
                <c:pt idx="7">
                  <c:v>15531064.585560312</c:v>
                </c:pt>
                <c:pt idx="8">
                  <c:v>15130083.180463381</c:v>
                </c:pt>
                <c:pt idx="9">
                  <c:v>13362490.876772702</c:v>
                </c:pt>
                <c:pt idx="10">
                  <c:v>13743619.374909416</c:v>
                </c:pt>
                <c:pt idx="11">
                  <c:v>14154148.151162654</c:v>
                </c:pt>
                <c:pt idx="12">
                  <c:v>15408149.86979316</c:v>
                </c:pt>
                <c:pt idx="13">
                  <c:v>15012636.095630739</c:v>
                </c:pt>
                <c:pt idx="14">
                  <c:v>14462616.252882175</c:v>
                </c:pt>
                <c:pt idx="15">
                  <c:v>14209955.571391515</c:v>
                </c:pt>
                <c:pt idx="16">
                  <c:v>14042850.581439368</c:v>
                </c:pt>
                <c:pt idx="17">
                  <c:v>14905182.727279283</c:v>
                </c:pt>
                <c:pt idx="18">
                  <c:v>16420639.467316886</c:v>
                </c:pt>
                <c:pt idx="19">
                  <c:v>16762679.657414781</c:v>
                </c:pt>
                <c:pt idx="20">
                  <c:v>15130083.180463381</c:v>
                </c:pt>
                <c:pt idx="21">
                  <c:v>13814998.688873304</c:v>
                </c:pt>
                <c:pt idx="22">
                  <c:v>13659193.035558665</c:v>
                </c:pt>
                <c:pt idx="23">
                  <c:v>15049086.470966205</c:v>
                </c:pt>
                <c:pt idx="24">
                  <c:v>15101313.874431944</c:v>
                </c:pt>
                <c:pt idx="25">
                  <c:v>14636707.597767971</c:v>
                </c:pt>
                <c:pt idx="26">
                  <c:v>14952248.160373479</c:v>
                </c:pt>
                <c:pt idx="27">
                  <c:v>13599120.904347919</c:v>
                </c:pt>
                <c:pt idx="28">
                  <c:v>13623180.523424499</c:v>
                </c:pt>
                <c:pt idx="29">
                  <c:v>14833464.830261845</c:v>
                </c:pt>
                <c:pt idx="30">
                  <c:v>15893383.838312231</c:v>
                </c:pt>
                <c:pt idx="31">
                  <c:v>15416149.897187503</c:v>
                </c:pt>
                <c:pt idx="32">
                  <c:v>14629996.719610523</c:v>
                </c:pt>
                <c:pt idx="33">
                  <c:v>13858914.660961965</c:v>
                </c:pt>
                <c:pt idx="34">
                  <c:v>14140003.229390683</c:v>
                </c:pt>
                <c:pt idx="35">
                  <c:v>15539806.449363045</c:v>
                </c:pt>
                <c:pt idx="36">
                  <c:v>15709001.475173928</c:v>
                </c:pt>
                <c:pt idx="37">
                  <c:v>14859218.097950131</c:v>
                </c:pt>
                <c:pt idx="38">
                  <c:v>14912533.572321406</c:v>
                </c:pt>
                <c:pt idx="39">
                  <c:v>14310830.361559872</c:v>
                </c:pt>
                <c:pt idx="40">
                  <c:v>13971223.28777406</c:v>
                </c:pt>
                <c:pt idx="41">
                  <c:v>14733981.792198058</c:v>
                </c:pt>
                <c:pt idx="42">
                  <c:v>16578816.156018283</c:v>
                </c:pt>
                <c:pt idx="43">
                  <c:v>16573408.40597721</c:v>
                </c:pt>
                <c:pt idx="44">
                  <c:v>14929517.602464113</c:v>
                </c:pt>
                <c:pt idx="45">
                  <c:v>13792473.362695204</c:v>
                </c:pt>
                <c:pt idx="46">
                  <c:v>14490906.096426118</c:v>
                </c:pt>
                <c:pt idx="47">
                  <c:v>14815151.226275913</c:v>
                </c:pt>
                <c:pt idx="48">
                  <c:v>15816176.459369248</c:v>
                </c:pt>
                <c:pt idx="49">
                  <c:v>15183463.22779993</c:v>
                </c:pt>
                <c:pt idx="50">
                  <c:v>15035485.584647</c:v>
                </c:pt>
                <c:pt idx="51">
                  <c:v>13944150.46639416</c:v>
                </c:pt>
                <c:pt idx="52">
                  <c:v>13455504.636952747</c:v>
                </c:pt>
                <c:pt idx="53">
                  <c:v>14107077.071984708</c:v>
                </c:pt>
                <c:pt idx="54">
                  <c:v>16421991.404827155</c:v>
                </c:pt>
                <c:pt idx="55">
                  <c:v>15728447.462059492</c:v>
                </c:pt>
                <c:pt idx="56">
                  <c:v>14494408.684032526</c:v>
                </c:pt>
                <c:pt idx="57">
                  <c:v>13301972.52356901</c:v>
                </c:pt>
                <c:pt idx="58">
                  <c:v>14554014.208947219</c:v>
                </c:pt>
                <c:pt idx="59">
                  <c:v>14839088.786197711</c:v>
                </c:pt>
                <c:pt idx="60">
                  <c:v>15009915.9183669</c:v>
                </c:pt>
                <c:pt idx="61">
                  <c:v>15104578.087148551</c:v>
                </c:pt>
                <c:pt idx="62">
                  <c:v>14401684.282172145</c:v>
                </c:pt>
                <c:pt idx="63">
                  <c:v>13993657.692596059</c:v>
                </c:pt>
                <c:pt idx="64">
                  <c:v>13824049.782622799</c:v>
                </c:pt>
                <c:pt idx="65">
                  <c:v>15165331.369190179</c:v>
                </c:pt>
                <c:pt idx="66">
                  <c:v>17096608.222451061</c:v>
                </c:pt>
                <c:pt idx="67">
                  <c:v>16002214.807888832</c:v>
                </c:pt>
                <c:pt idx="68">
                  <c:v>14180971.110813217</c:v>
                </c:pt>
                <c:pt idx="69">
                  <c:v>13421520.813095953</c:v>
                </c:pt>
                <c:pt idx="70">
                  <c:v>13804440.260628188</c:v>
                </c:pt>
                <c:pt idx="71">
                  <c:v>14793933.843617957</c:v>
                </c:pt>
                <c:pt idx="72">
                  <c:v>15195432.007760826</c:v>
                </c:pt>
                <c:pt idx="73">
                  <c:v>15386388.451682435</c:v>
                </c:pt>
                <c:pt idx="74">
                  <c:v>14450647.472921276</c:v>
                </c:pt>
                <c:pt idx="75">
                  <c:v>13861457.077573407</c:v>
                </c:pt>
                <c:pt idx="76">
                  <c:v>13839134.906426618</c:v>
                </c:pt>
                <c:pt idx="77">
                  <c:v>15513489.397926824</c:v>
                </c:pt>
                <c:pt idx="78">
                  <c:v>15852825.713004179</c:v>
                </c:pt>
                <c:pt idx="79">
                  <c:v>16727529.282147802</c:v>
                </c:pt>
                <c:pt idx="80">
                  <c:v>14460082.513066351</c:v>
                </c:pt>
                <c:pt idx="81">
                  <c:v>13836211.892135438</c:v>
                </c:pt>
                <c:pt idx="82">
                  <c:v>14004538.401651422</c:v>
                </c:pt>
                <c:pt idx="83">
                  <c:v>14534972.968100335</c:v>
                </c:pt>
                <c:pt idx="84">
                  <c:v>16078401.547603479</c:v>
                </c:pt>
                <c:pt idx="85">
                  <c:v>15210665.000438334</c:v>
                </c:pt>
                <c:pt idx="86">
                  <c:v>14704712.029363986</c:v>
                </c:pt>
                <c:pt idx="87">
                  <c:v>13953399.069091218</c:v>
                </c:pt>
                <c:pt idx="88">
                  <c:v>13869870.819810105</c:v>
                </c:pt>
                <c:pt idx="89">
                  <c:v>14771275.704789499</c:v>
                </c:pt>
                <c:pt idx="90">
                  <c:v>16207033.340694487</c:v>
                </c:pt>
                <c:pt idx="91">
                  <c:v>16150251.965263218</c:v>
                </c:pt>
                <c:pt idx="92">
                  <c:v>14568482.047537377</c:v>
                </c:pt>
                <c:pt idx="93">
                  <c:v>13501663.108509647</c:v>
                </c:pt>
                <c:pt idx="94">
                  <c:v>14046734.694741517</c:v>
                </c:pt>
                <c:pt idx="95">
                  <c:v>14850513.530705841</c:v>
                </c:pt>
                <c:pt idx="96">
                  <c:v>14943543.59312919</c:v>
                </c:pt>
                <c:pt idx="97">
                  <c:v>14749322.936490972</c:v>
                </c:pt>
                <c:pt idx="98">
                  <c:v>14708520.277533364</c:v>
                </c:pt>
                <c:pt idx="99">
                  <c:v>13873473.615580263</c:v>
                </c:pt>
                <c:pt idx="100">
                  <c:v>13706465.705743978</c:v>
                </c:pt>
                <c:pt idx="101">
                  <c:v>14764516.017238157</c:v>
                </c:pt>
                <c:pt idx="102">
                  <c:v>16326003.841598103</c:v>
                </c:pt>
                <c:pt idx="103">
                  <c:v>15302587.146324962</c:v>
                </c:pt>
                <c:pt idx="104">
                  <c:v>14583356.3908622</c:v>
                </c:pt>
                <c:pt idx="105">
                  <c:v>13853677.143461622</c:v>
                </c:pt>
                <c:pt idx="106">
                  <c:v>14064926.336908683</c:v>
                </c:pt>
                <c:pt idx="107">
                  <c:v>14419093.416660726</c:v>
                </c:pt>
                <c:pt idx="108">
                  <c:v>15198152.185024668</c:v>
                </c:pt>
                <c:pt idx="109">
                  <c:v>14712328.525702741</c:v>
                </c:pt>
                <c:pt idx="110">
                  <c:v>14344560.559631495</c:v>
                </c:pt>
                <c:pt idx="111">
                  <c:v>13653817.890004199</c:v>
                </c:pt>
                <c:pt idx="112">
                  <c:v>13643386.018313659</c:v>
                </c:pt>
                <c:pt idx="113">
                  <c:v>14905117.518306067</c:v>
                </c:pt>
                <c:pt idx="114">
                  <c:v>16221904.65330744</c:v>
                </c:pt>
                <c:pt idx="115">
                  <c:v>15931238.088599745</c:v>
                </c:pt>
                <c:pt idx="116">
                  <c:v>14688279.783453666</c:v>
                </c:pt>
                <c:pt idx="117">
                  <c:v>13623658.201220097</c:v>
                </c:pt>
                <c:pt idx="118">
                  <c:v>13872890.914217148</c:v>
                </c:pt>
                <c:pt idx="119">
                  <c:v>14863026.346119508</c:v>
                </c:pt>
              </c:numCache>
            </c:numRef>
          </c:yVal>
          <c:smooth val="0"/>
          <c:extLst>
            <c:ext xmlns:c16="http://schemas.microsoft.com/office/drawing/2014/chart" uri="{C3380CC4-5D6E-409C-BE32-E72D297353CC}">
              <c16:uniqueId val="{00000001-249A-4CD0-AC49-1E833B7BC0F3}"/>
            </c:ext>
          </c:extLst>
        </c:ser>
        <c:dLbls>
          <c:showLegendKey val="0"/>
          <c:showVal val="0"/>
          <c:showCatName val="0"/>
          <c:showSerName val="0"/>
          <c:showPercent val="0"/>
          <c:showBubbleSize val="0"/>
        </c:dLbls>
        <c:axId val="1096257311"/>
        <c:axId val="1096240031"/>
      </c:scatterChart>
      <c:valAx>
        <c:axId val="109625731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CA"/>
                  <a:t>Average Tempurature (°C)</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96240031"/>
        <c:crosses val="autoZero"/>
        <c:crossBetween val="midCat"/>
      </c:valAx>
      <c:valAx>
        <c:axId val="1096240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CA"/>
                  <a:t>Monthly Consumption (kWh)</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9625731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CA"/>
              <a:t>GS &gt; 50</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lineMarker"/>
        <c:varyColors val="0"/>
        <c:ser>
          <c:idx val="0"/>
          <c:order val="0"/>
          <c:tx>
            <c:strRef>
              <c:f>Weather!$D$1</c:f>
              <c:strCache>
                <c:ptCount val="1"/>
                <c:pt idx="0">
                  <c:v>MeanTemp</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Weather!$D$194:$D$313</c:f>
              <c:numCache>
                <c:formatCode>0.0</c:formatCode>
                <c:ptCount val="120"/>
                <c:pt idx="0">
                  <c:v>-5.8580645161290343</c:v>
                </c:pt>
                <c:pt idx="1">
                  <c:v>-11.139285714285718</c:v>
                </c:pt>
                <c:pt idx="2">
                  <c:v>-1.1612903225806448</c:v>
                </c:pt>
                <c:pt idx="3">
                  <c:v>7.2700000000000022</c:v>
                </c:pt>
                <c:pt idx="4">
                  <c:v>14.535483870967743</c:v>
                </c:pt>
                <c:pt idx="5">
                  <c:v>16.886666666666663</c:v>
                </c:pt>
                <c:pt idx="6">
                  <c:v>21.899999999999995</c:v>
                </c:pt>
                <c:pt idx="7">
                  <c:v>20.796774193548384</c:v>
                </c:pt>
                <c:pt idx="8">
                  <c:v>20.030000000000005</c:v>
                </c:pt>
                <c:pt idx="9">
                  <c:v>11.587096774193544</c:v>
                </c:pt>
                <c:pt idx="10">
                  <c:v>7.9633333333333329</c:v>
                </c:pt>
                <c:pt idx="11">
                  <c:v>5.2741935483870979</c:v>
                </c:pt>
                <c:pt idx="12">
                  <c:v>-2.1612903225806446</c:v>
                </c:pt>
                <c:pt idx="13">
                  <c:v>-0.76896551724137929</c:v>
                </c:pt>
                <c:pt idx="14">
                  <c:v>3.4451612903225803</c:v>
                </c:pt>
                <c:pt idx="15">
                  <c:v>4.9666666666666659</c:v>
                </c:pt>
                <c:pt idx="16">
                  <c:v>13.870967741935482</c:v>
                </c:pt>
                <c:pt idx="17">
                  <c:v>19.386666666666663</c:v>
                </c:pt>
                <c:pt idx="18">
                  <c:v>22.919354838709673</c:v>
                </c:pt>
                <c:pt idx="19">
                  <c:v>23.735483870967741</c:v>
                </c:pt>
                <c:pt idx="20">
                  <c:v>20.029999999999998</c:v>
                </c:pt>
                <c:pt idx="21">
                  <c:v>13.20967741935484</c:v>
                </c:pt>
                <c:pt idx="22">
                  <c:v>8.2366666666666628</c:v>
                </c:pt>
                <c:pt idx="23">
                  <c:v>-3.2258064516129135E-2</c:v>
                </c:pt>
                <c:pt idx="24">
                  <c:v>-0.34193548387096795</c:v>
                </c:pt>
                <c:pt idx="25">
                  <c:v>1.1714285714285715</c:v>
                </c:pt>
                <c:pt idx="26">
                  <c:v>0.54193548387096779</c:v>
                </c:pt>
                <c:pt idx="27">
                  <c:v>8.9300000000000015</c:v>
                </c:pt>
                <c:pt idx="28">
                  <c:v>11.783870967741937</c:v>
                </c:pt>
                <c:pt idx="29">
                  <c:v>19.303333333333331</c:v>
                </c:pt>
                <c:pt idx="30">
                  <c:v>21.661290322580644</c:v>
                </c:pt>
                <c:pt idx="31">
                  <c:v>20.522580645161295</c:v>
                </c:pt>
                <c:pt idx="32">
                  <c:v>18.610000000000003</c:v>
                </c:pt>
                <c:pt idx="33">
                  <c:v>14.658064516129036</c:v>
                </c:pt>
                <c:pt idx="34">
                  <c:v>5.0699999999999994</c:v>
                </c:pt>
                <c:pt idx="35">
                  <c:v>-2.9419354838709673</c:v>
                </c:pt>
                <c:pt idx="36">
                  <c:v>-3.9451612903225803</c:v>
                </c:pt>
                <c:pt idx="37">
                  <c:v>-0.28928571428571387</c:v>
                </c:pt>
                <c:pt idx="38">
                  <c:v>0.77741935483870972</c:v>
                </c:pt>
                <c:pt idx="39">
                  <c:v>4.0233333333333334</c:v>
                </c:pt>
                <c:pt idx="40">
                  <c:v>14.790322580645164</c:v>
                </c:pt>
                <c:pt idx="41">
                  <c:v>19.029999999999998</c:v>
                </c:pt>
                <c:pt idx="42">
                  <c:v>23.296774193548391</c:v>
                </c:pt>
                <c:pt idx="43">
                  <c:v>23.283870967741933</c:v>
                </c:pt>
                <c:pt idx="44">
                  <c:v>19.446666666666669</c:v>
                </c:pt>
                <c:pt idx="45">
                  <c:v>10.645161290322582</c:v>
                </c:pt>
                <c:pt idx="46">
                  <c:v>2.9200000000000004</c:v>
                </c:pt>
                <c:pt idx="47">
                  <c:v>1.3548387096774193</c:v>
                </c:pt>
                <c:pt idx="48">
                  <c:v>-4.580645161290323</c:v>
                </c:pt>
                <c:pt idx="49">
                  <c:v>-2.4178571428571423</c:v>
                </c:pt>
                <c:pt idx="50">
                  <c:v>4.8387096774193415E-2</c:v>
                </c:pt>
                <c:pt idx="51">
                  <c:v>6.2700000000000005</c:v>
                </c:pt>
                <c:pt idx="52">
                  <c:v>11.058064516129033</c:v>
                </c:pt>
                <c:pt idx="53">
                  <c:v>17.306666666666668</c:v>
                </c:pt>
                <c:pt idx="54">
                  <c:v>22.92258064516129</c:v>
                </c:pt>
                <c:pt idx="55">
                  <c:v>21.267741935483876</c:v>
                </c:pt>
                <c:pt idx="56">
                  <c:v>18.453333333333333</c:v>
                </c:pt>
                <c:pt idx="57">
                  <c:v>12.125806451612904</c:v>
                </c:pt>
                <c:pt idx="58">
                  <c:v>2.5333333333333332</c:v>
                </c:pt>
                <c:pt idx="59">
                  <c:v>1.2129032258064516</c:v>
                </c:pt>
                <c:pt idx="60">
                  <c:v>0.20000000000000021</c:v>
                </c:pt>
                <c:pt idx="61">
                  <c:v>-1.3517241379310343</c:v>
                </c:pt>
                <c:pt idx="62">
                  <c:v>3.8064516129032264</c:v>
                </c:pt>
                <c:pt idx="63">
                  <c:v>5.9666666666666659</c:v>
                </c:pt>
                <c:pt idx="64">
                  <c:v>11.177419354838708</c:v>
                </c:pt>
                <c:pt idx="65">
                  <c:v>19.97666666666667</c:v>
                </c:pt>
                <c:pt idx="66">
                  <c:v>24.532258064516125</c:v>
                </c:pt>
                <c:pt idx="67">
                  <c:v>21.920967741935485</c:v>
                </c:pt>
                <c:pt idx="68">
                  <c:v>17.376666666666665</c:v>
                </c:pt>
                <c:pt idx="69">
                  <c:v>10.483870967741934</c:v>
                </c:pt>
                <c:pt idx="70">
                  <c:v>8.1366666666666667</c:v>
                </c:pt>
                <c:pt idx="71">
                  <c:v>1.4806451612903222</c:v>
                </c:pt>
                <c:pt idx="72">
                  <c:v>-0.8999999999999998</c:v>
                </c:pt>
                <c:pt idx="73">
                  <c:v>-3.7500000000000004</c:v>
                </c:pt>
                <c:pt idx="74">
                  <c:v>3.5161290322580645</c:v>
                </c:pt>
                <c:pt idx="75">
                  <c:v>6.7766666666666673</c:v>
                </c:pt>
                <c:pt idx="76">
                  <c:v>13.167741935483869</c:v>
                </c:pt>
                <c:pt idx="77">
                  <c:v>20.980000000000004</c:v>
                </c:pt>
                <c:pt idx="78">
                  <c:v>21.56451612903226</c:v>
                </c:pt>
                <c:pt idx="79">
                  <c:v>23.651612903225807</c:v>
                </c:pt>
                <c:pt idx="80">
                  <c:v>18.350000000000001</c:v>
                </c:pt>
                <c:pt idx="81">
                  <c:v>14.590322580645163</c:v>
                </c:pt>
                <c:pt idx="82">
                  <c:v>5.8999999999999995</c:v>
                </c:pt>
                <c:pt idx="83">
                  <c:v>3.0161290322580654</c:v>
                </c:pt>
                <c:pt idx="84">
                  <c:v>-6.1354838709677422</c:v>
                </c:pt>
                <c:pt idx="85">
                  <c:v>-2.596428571428572</c:v>
                </c:pt>
                <c:pt idx="86">
                  <c:v>2.0096774193548388</c:v>
                </c:pt>
                <c:pt idx="87">
                  <c:v>6.2133333333333338</c:v>
                </c:pt>
                <c:pt idx="88">
                  <c:v>13.738709677419356</c:v>
                </c:pt>
                <c:pt idx="89">
                  <c:v>19.150000000000002</c:v>
                </c:pt>
                <c:pt idx="90">
                  <c:v>22.409677419354836</c:v>
                </c:pt>
                <c:pt idx="91">
                  <c:v>22.274193548387096</c:v>
                </c:pt>
                <c:pt idx="92">
                  <c:v>18.266666666666666</c:v>
                </c:pt>
                <c:pt idx="93">
                  <c:v>10.525806451612901</c:v>
                </c:pt>
                <c:pt idx="94">
                  <c:v>6.7566666666666659</c:v>
                </c:pt>
                <c:pt idx="95">
                  <c:v>1.1451612903225807</c:v>
                </c:pt>
                <c:pt idx="96">
                  <c:v>0.59354838709677415</c:v>
                </c:pt>
                <c:pt idx="97">
                  <c:v>0.43214285714285683</c:v>
                </c:pt>
                <c:pt idx="98">
                  <c:v>1.9870967741935488</c:v>
                </c:pt>
                <c:pt idx="99">
                  <c:v>8.5733333333333324</c:v>
                </c:pt>
                <c:pt idx="100">
                  <c:v>13.1</c:v>
                </c:pt>
                <c:pt idx="101">
                  <c:v>19.133333333333336</c:v>
                </c:pt>
                <c:pt idx="102">
                  <c:v>22.693548387096783</c:v>
                </c:pt>
                <c:pt idx="103">
                  <c:v>20.251612903225805</c:v>
                </c:pt>
                <c:pt idx="104">
                  <c:v>18.68666666666666</c:v>
                </c:pt>
                <c:pt idx="105">
                  <c:v>13.283870967741938</c:v>
                </c:pt>
                <c:pt idx="106">
                  <c:v>5.5299999999999994</c:v>
                </c:pt>
                <c:pt idx="107">
                  <c:v>3.7032258064516133</c:v>
                </c:pt>
                <c:pt idx="108">
                  <c:v>-0.91612903225806464</c:v>
                </c:pt>
                <c:pt idx="109">
                  <c:v>1.1344827586206896</c:v>
                </c:pt>
                <c:pt idx="110">
                  <c:v>4.1451612903225818</c:v>
                </c:pt>
                <c:pt idx="111">
                  <c:v>8.1766666666666676</c:v>
                </c:pt>
                <c:pt idx="112">
                  <c:v>14.935483870967746</c:v>
                </c:pt>
                <c:pt idx="113">
                  <c:v>19.479999999999997</c:v>
                </c:pt>
                <c:pt idx="114">
                  <c:v>22.445161290322577</c:v>
                </c:pt>
                <c:pt idx="115">
                  <c:v>21.751612903225805</c:v>
                </c:pt>
                <c:pt idx="116">
                  <c:v>18.926666666666669</c:v>
                </c:pt>
                <c:pt idx="117">
                  <c:v>13.748387096774191</c:v>
                </c:pt>
                <c:pt idx="118">
                  <c:v>7.8566666666666674</c:v>
                </c:pt>
                <c:pt idx="119">
                  <c:v>1.0709677419354837</c:v>
                </c:pt>
              </c:numCache>
            </c:numRef>
          </c:xVal>
          <c:yVal>
            <c:numRef>
              <c:f>Weather!$DR$194:$DR$313</c:f>
              <c:numCache>
                <c:formatCode>_(* #,##0_);_(* \(#,##0\);_(* "-"??_);_(@_)</c:formatCode>
                <c:ptCount val="120"/>
                <c:pt idx="0">
                  <c:v>79694681.694532961</c:v>
                </c:pt>
                <c:pt idx="1">
                  <c:v>74376312.853804022</c:v>
                </c:pt>
                <c:pt idx="2">
                  <c:v>77468239.013075083</c:v>
                </c:pt>
                <c:pt idx="3">
                  <c:v>70027916.172346145</c:v>
                </c:pt>
                <c:pt idx="4">
                  <c:v>73743857.331617206</c:v>
                </c:pt>
                <c:pt idx="5">
                  <c:v>75664536.490888268</c:v>
                </c:pt>
                <c:pt idx="6">
                  <c:v>82284876.650159329</c:v>
                </c:pt>
                <c:pt idx="7">
                  <c:v>81168529.809430391</c:v>
                </c:pt>
                <c:pt idx="8">
                  <c:v>78691834.968701452</c:v>
                </c:pt>
                <c:pt idx="9">
                  <c:v>73009956.127972499</c:v>
                </c:pt>
                <c:pt idx="10">
                  <c:v>71846695.28724356</c:v>
                </c:pt>
                <c:pt idx="11">
                  <c:v>72643978.446514621</c:v>
                </c:pt>
                <c:pt idx="12">
                  <c:v>78763477.389551774</c:v>
                </c:pt>
                <c:pt idx="13">
                  <c:v>74636760.565422177</c:v>
                </c:pt>
                <c:pt idx="14">
                  <c:v>77047328.741292581</c:v>
                </c:pt>
                <c:pt idx="15">
                  <c:v>73374646.91716297</c:v>
                </c:pt>
                <c:pt idx="16">
                  <c:v>75400761.093033373</c:v>
                </c:pt>
                <c:pt idx="17">
                  <c:v>78871885.268903777</c:v>
                </c:pt>
                <c:pt idx="18">
                  <c:v>85038422.444774166</c:v>
                </c:pt>
                <c:pt idx="19">
                  <c:v>88248238.620644569</c:v>
                </c:pt>
                <c:pt idx="20">
                  <c:v>78975239.796514973</c:v>
                </c:pt>
                <c:pt idx="21">
                  <c:v>74338761.972385362</c:v>
                </c:pt>
                <c:pt idx="22">
                  <c:v>72857624.148255765</c:v>
                </c:pt>
                <c:pt idx="23">
                  <c:v>75276873.324126154</c:v>
                </c:pt>
                <c:pt idx="24">
                  <c:v>77812185.537604213</c:v>
                </c:pt>
                <c:pt idx="25">
                  <c:v>69707884.42837292</c:v>
                </c:pt>
                <c:pt idx="26">
                  <c:v>76997412.319141626</c:v>
                </c:pt>
                <c:pt idx="27">
                  <c:v>69695820.209910318</c:v>
                </c:pt>
                <c:pt idx="28">
                  <c:v>73710670.100679025</c:v>
                </c:pt>
                <c:pt idx="29">
                  <c:v>76943218.991447717</c:v>
                </c:pt>
                <c:pt idx="30">
                  <c:v>80788009.882216424</c:v>
                </c:pt>
                <c:pt idx="31">
                  <c:v>80742066.772985116</c:v>
                </c:pt>
                <c:pt idx="32">
                  <c:v>76743976.663753822</c:v>
                </c:pt>
                <c:pt idx="33">
                  <c:v>74943627.554522514</c:v>
                </c:pt>
                <c:pt idx="34">
                  <c:v>73430363.445291221</c:v>
                </c:pt>
                <c:pt idx="35">
                  <c:v>74717172.336059913</c:v>
                </c:pt>
                <c:pt idx="36">
                  <c:v>79618055.13230744</c:v>
                </c:pt>
                <c:pt idx="37">
                  <c:v>70553686.891704157</c:v>
                </c:pt>
                <c:pt idx="38">
                  <c:v>76019363.651100874</c:v>
                </c:pt>
                <c:pt idx="39">
                  <c:v>72504561.410497591</c:v>
                </c:pt>
                <c:pt idx="40">
                  <c:v>75108611.169894308</c:v>
                </c:pt>
                <c:pt idx="41">
                  <c:v>76769190.929291025</c:v>
                </c:pt>
                <c:pt idx="42">
                  <c:v>82170576.688687727</c:v>
                </c:pt>
                <c:pt idx="43">
                  <c:v>82374458.448084444</c:v>
                </c:pt>
                <c:pt idx="44">
                  <c:v>74890624.207481161</c:v>
                </c:pt>
                <c:pt idx="45">
                  <c:v>71126370.966877878</c:v>
                </c:pt>
                <c:pt idx="46">
                  <c:v>70890027.726274595</c:v>
                </c:pt>
                <c:pt idx="47">
                  <c:v>70258464.485671312</c:v>
                </c:pt>
                <c:pt idx="48">
                  <c:v>77017720.98365432</c:v>
                </c:pt>
                <c:pt idx="49">
                  <c:v>69584021.673609644</c:v>
                </c:pt>
                <c:pt idx="50">
                  <c:v>74426627.363564968</c:v>
                </c:pt>
                <c:pt idx="51">
                  <c:v>68208973.053520292</c:v>
                </c:pt>
                <c:pt idx="52">
                  <c:v>69285910.743475616</c:v>
                </c:pt>
                <c:pt idx="53">
                  <c:v>70340791.43343094</c:v>
                </c:pt>
                <c:pt idx="54">
                  <c:v>81692876.123386264</c:v>
                </c:pt>
                <c:pt idx="55">
                  <c:v>78330561.813341588</c:v>
                </c:pt>
                <c:pt idx="56">
                  <c:v>71728053.503296927</c:v>
                </c:pt>
                <c:pt idx="57">
                  <c:v>69595229.193252251</c:v>
                </c:pt>
                <c:pt idx="58">
                  <c:v>70061546.883207574</c:v>
                </c:pt>
                <c:pt idx="59">
                  <c:v>70940575.573162898</c:v>
                </c:pt>
                <c:pt idx="60">
                  <c:v>76432025.257973492</c:v>
                </c:pt>
                <c:pt idx="61">
                  <c:v>71230216.188582152</c:v>
                </c:pt>
                <c:pt idx="62">
                  <c:v>71001661.119190797</c:v>
                </c:pt>
                <c:pt idx="63">
                  <c:v>60883665.04979945</c:v>
                </c:pt>
                <c:pt idx="64">
                  <c:v>63891673.980408102</c:v>
                </c:pt>
                <c:pt idx="65">
                  <c:v>70683945.911016747</c:v>
                </c:pt>
                <c:pt idx="66">
                  <c:v>75739065.841625407</c:v>
                </c:pt>
                <c:pt idx="67">
                  <c:v>75530851.772234052</c:v>
                </c:pt>
                <c:pt idx="68">
                  <c:v>65350821.702842705</c:v>
                </c:pt>
                <c:pt idx="69">
                  <c:v>63677703.633451357</c:v>
                </c:pt>
                <c:pt idx="70">
                  <c:v>63426058.56406001</c:v>
                </c:pt>
                <c:pt idx="71">
                  <c:v>66367198.494668663</c:v>
                </c:pt>
                <c:pt idx="72">
                  <c:v>66761890.620358296</c:v>
                </c:pt>
                <c:pt idx="73">
                  <c:v>63358967.919563264</c:v>
                </c:pt>
                <c:pt idx="74">
                  <c:v>67520952.218768224</c:v>
                </c:pt>
                <c:pt idx="75">
                  <c:v>60994721.517973185</c:v>
                </c:pt>
                <c:pt idx="76">
                  <c:v>64228014.817178145</c:v>
                </c:pt>
                <c:pt idx="77">
                  <c:v>73762071.116383106</c:v>
                </c:pt>
                <c:pt idx="78">
                  <c:v>76779118.415588066</c:v>
                </c:pt>
                <c:pt idx="79">
                  <c:v>82287571.714793041</c:v>
                </c:pt>
                <c:pt idx="80">
                  <c:v>71607496.013998002</c:v>
                </c:pt>
                <c:pt idx="81">
                  <c:v>69158586.313202962</c:v>
                </c:pt>
                <c:pt idx="82">
                  <c:v>69469437.612407923</c:v>
                </c:pt>
                <c:pt idx="83">
                  <c:v>71198021.911612883</c:v>
                </c:pt>
                <c:pt idx="84">
                  <c:v>74478066.188207835</c:v>
                </c:pt>
                <c:pt idx="85">
                  <c:v>67971284.977837473</c:v>
                </c:pt>
                <c:pt idx="86">
                  <c:v>72988414.767467111</c:v>
                </c:pt>
                <c:pt idx="87">
                  <c:v>66254711.557096742</c:v>
                </c:pt>
                <c:pt idx="88">
                  <c:v>70028259.346726373</c:v>
                </c:pt>
                <c:pt idx="89">
                  <c:v>73412523.136356011</c:v>
                </c:pt>
                <c:pt idx="90">
                  <c:v>77789632.925985634</c:v>
                </c:pt>
                <c:pt idx="91">
                  <c:v>79678316.715615273</c:v>
                </c:pt>
                <c:pt idx="92">
                  <c:v>70692856.505244911</c:v>
                </c:pt>
                <c:pt idx="93">
                  <c:v>66086004.294874541</c:v>
                </c:pt>
                <c:pt idx="94">
                  <c:v>67580147.084504172</c:v>
                </c:pt>
                <c:pt idx="95">
                  <c:v>69037463.87413381</c:v>
                </c:pt>
                <c:pt idx="96">
                  <c:v>71676689.947135583</c:v>
                </c:pt>
                <c:pt idx="97">
                  <c:v>65932492.269264214</c:v>
                </c:pt>
                <c:pt idx="98">
                  <c:v>71645382.591392845</c:v>
                </c:pt>
                <c:pt idx="99">
                  <c:v>64673302.913521484</c:v>
                </c:pt>
                <c:pt idx="100">
                  <c:v>67530760.235650122</c:v>
                </c:pt>
                <c:pt idx="101">
                  <c:v>70478423.557778746</c:v>
                </c:pt>
                <c:pt idx="102">
                  <c:v>76112982.879907385</c:v>
                </c:pt>
                <c:pt idx="103">
                  <c:v>74128294.202036023</c:v>
                </c:pt>
                <c:pt idx="104">
                  <c:v>70137255.524164647</c:v>
                </c:pt>
                <c:pt idx="105">
                  <c:v>68045049.846293285</c:v>
                </c:pt>
                <c:pt idx="106">
                  <c:v>67535164.168421924</c:v>
                </c:pt>
                <c:pt idx="107">
                  <c:v>67172872.490550563</c:v>
                </c:pt>
                <c:pt idx="108">
                  <c:v>73612400.277207389</c:v>
                </c:pt>
                <c:pt idx="109">
                  <c:v>67426409.722989291</c:v>
                </c:pt>
                <c:pt idx="110">
                  <c:v>69526387.418771222</c:v>
                </c:pt>
                <c:pt idx="111">
                  <c:v>66433277.094553113</c:v>
                </c:pt>
                <c:pt idx="112">
                  <c:v>69679780.220335022</c:v>
                </c:pt>
                <c:pt idx="113">
                  <c:v>72525274.106116936</c:v>
                </c:pt>
                <c:pt idx="114">
                  <c:v>79765425.231898844</c:v>
                </c:pt>
                <c:pt idx="115">
                  <c:v>77761792.017680764</c:v>
                </c:pt>
                <c:pt idx="116">
                  <c:v>71569012.573462665</c:v>
                </c:pt>
                <c:pt idx="117">
                  <c:v>68521516.309244588</c:v>
                </c:pt>
                <c:pt idx="118">
                  <c:v>66855346.295026518</c:v>
                </c:pt>
                <c:pt idx="119">
                  <c:v>69388792.820808396</c:v>
                </c:pt>
              </c:numCache>
            </c:numRef>
          </c:yVal>
          <c:smooth val="0"/>
          <c:extLst>
            <c:ext xmlns:c16="http://schemas.microsoft.com/office/drawing/2014/chart" uri="{C3380CC4-5D6E-409C-BE32-E72D297353CC}">
              <c16:uniqueId val="{00000000-5FDF-44A9-B151-4EB8849D4CED}"/>
            </c:ext>
          </c:extLst>
        </c:ser>
        <c:ser>
          <c:idx val="1"/>
          <c:order val="1"/>
          <c:spPr>
            <a:ln w="25400" cap="rnd">
              <a:noFill/>
              <a:round/>
            </a:ln>
            <a:effectLst/>
          </c:spPr>
          <c:marker>
            <c:symbol val="circle"/>
            <c:size val="5"/>
            <c:spPr>
              <a:solidFill>
                <a:schemeClr val="accent2"/>
              </a:solidFill>
              <a:ln w="9525">
                <a:solidFill>
                  <a:schemeClr val="accent2"/>
                </a:solidFill>
              </a:ln>
              <a:effectLst/>
            </c:spPr>
          </c:marker>
          <c:xVal>
            <c:numRef>
              <c:f>Weather!$D$194:$D$313</c:f>
              <c:numCache>
                <c:formatCode>0.0</c:formatCode>
                <c:ptCount val="120"/>
                <c:pt idx="0">
                  <c:v>-5.8580645161290343</c:v>
                </c:pt>
                <c:pt idx="1">
                  <c:v>-11.139285714285718</c:v>
                </c:pt>
                <c:pt idx="2">
                  <c:v>-1.1612903225806448</c:v>
                </c:pt>
                <c:pt idx="3">
                  <c:v>7.2700000000000022</c:v>
                </c:pt>
                <c:pt idx="4">
                  <c:v>14.535483870967743</c:v>
                </c:pt>
                <c:pt idx="5">
                  <c:v>16.886666666666663</c:v>
                </c:pt>
                <c:pt idx="6">
                  <c:v>21.899999999999995</c:v>
                </c:pt>
                <c:pt idx="7">
                  <c:v>20.796774193548384</c:v>
                </c:pt>
                <c:pt idx="8">
                  <c:v>20.030000000000005</c:v>
                </c:pt>
                <c:pt idx="9">
                  <c:v>11.587096774193544</c:v>
                </c:pt>
                <c:pt idx="10">
                  <c:v>7.9633333333333329</c:v>
                </c:pt>
                <c:pt idx="11">
                  <c:v>5.2741935483870979</c:v>
                </c:pt>
                <c:pt idx="12">
                  <c:v>-2.1612903225806446</c:v>
                </c:pt>
                <c:pt idx="13">
                  <c:v>-0.76896551724137929</c:v>
                </c:pt>
                <c:pt idx="14">
                  <c:v>3.4451612903225803</c:v>
                </c:pt>
                <c:pt idx="15">
                  <c:v>4.9666666666666659</c:v>
                </c:pt>
                <c:pt idx="16">
                  <c:v>13.870967741935482</c:v>
                </c:pt>
                <c:pt idx="17">
                  <c:v>19.386666666666663</c:v>
                </c:pt>
                <c:pt idx="18">
                  <c:v>22.919354838709673</c:v>
                </c:pt>
                <c:pt idx="19">
                  <c:v>23.735483870967741</c:v>
                </c:pt>
                <c:pt idx="20">
                  <c:v>20.029999999999998</c:v>
                </c:pt>
                <c:pt idx="21">
                  <c:v>13.20967741935484</c:v>
                </c:pt>
                <c:pt idx="22">
                  <c:v>8.2366666666666628</c:v>
                </c:pt>
                <c:pt idx="23">
                  <c:v>-3.2258064516129135E-2</c:v>
                </c:pt>
                <c:pt idx="24">
                  <c:v>-0.34193548387096795</c:v>
                </c:pt>
                <c:pt idx="25">
                  <c:v>1.1714285714285715</c:v>
                </c:pt>
                <c:pt idx="26">
                  <c:v>0.54193548387096779</c:v>
                </c:pt>
                <c:pt idx="27">
                  <c:v>8.9300000000000015</c:v>
                </c:pt>
                <c:pt idx="28">
                  <c:v>11.783870967741937</c:v>
                </c:pt>
                <c:pt idx="29">
                  <c:v>19.303333333333331</c:v>
                </c:pt>
                <c:pt idx="30">
                  <c:v>21.661290322580644</c:v>
                </c:pt>
                <c:pt idx="31">
                  <c:v>20.522580645161295</c:v>
                </c:pt>
                <c:pt idx="32">
                  <c:v>18.610000000000003</c:v>
                </c:pt>
                <c:pt idx="33">
                  <c:v>14.658064516129036</c:v>
                </c:pt>
                <c:pt idx="34">
                  <c:v>5.0699999999999994</c:v>
                </c:pt>
                <c:pt idx="35">
                  <c:v>-2.9419354838709673</c:v>
                </c:pt>
                <c:pt idx="36">
                  <c:v>-3.9451612903225803</c:v>
                </c:pt>
                <c:pt idx="37">
                  <c:v>-0.28928571428571387</c:v>
                </c:pt>
                <c:pt idx="38">
                  <c:v>0.77741935483870972</c:v>
                </c:pt>
                <c:pt idx="39">
                  <c:v>4.0233333333333334</c:v>
                </c:pt>
                <c:pt idx="40">
                  <c:v>14.790322580645164</c:v>
                </c:pt>
                <c:pt idx="41">
                  <c:v>19.029999999999998</c:v>
                </c:pt>
                <c:pt idx="42">
                  <c:v>23.296774193548391</c:v>
                </c:pt>
                <c:pt idx="43">
                  <c:v>23.283870967741933</c:v>
                </c:pt>
                <c:pt idx="44">
                  <c:v>19.446666666666669</c:v>
                </c:pt>
                <c:pt idx="45">
                  <c:v>10.645161290322582</c:v>
                </c:pt>
                <c:pt idx="46">
                  <c:v>2.9200000000000004</c:v>
                </c:pt>
                <c:pt idx="47">
                  <c:v>1.3548387096774193</c:v>
                </c:pt>
                <c:pt idx="48">
                  <c:v>-4.580645161290323</c:v>
                </c:pt>
                <c:pt idx="49">
                  <c:v>-2.4178571428571423</c:v>
                </c:pt>
                <c:pt idx="50">
                  <c:v>4.8387096774193415E-2</c:v>
                </c:pt>
                <c:pt idx="51">
                  <c:v>6.2700000000000005</c:v>
                </c:pt>
                <c:pt idx="52">
                  <c:v>11.058064516129033</c:v>
                </c:pt>
                <c:pt idx="53">
                  <c:v>17.306666666666668</c:v>
                </c:pt>
                <c:pt idx="54">
                  <c:v>22.92258064516129</c:v>
                </c:pt>
                <c:pt idx="55">
                  <c:v>21.267741935483876</c:v>
                </c:pt>
                <c:pt idx="56">
                  <c:v>18.453333333333333</c:v>
                </c:pt>
                <c:pt idx="57">
                  <c:v>12.125806451612904</c:v>
                </c:pt>
                <c:pt idx="58">
                  <c:v>2.5333333333333332</c:v>
                </c:pt>
                <c:pt idx="59">
                  <c:v>1.2129032258064516</c:v>
                </c:pt>
                <c:pt idx="60">
                  <c:v>0.20000000000000021</c:v>
                </c:pt>
                <c:pt idx="61">
                  <c:v>-1.3517241379310343</c:v>
                </c:pt>
                <c:pt idx="62">
                  <c:v>3.8064516129032264</c:v>
                </c:pt>
                <c:pt idx="63">
                  <c:v>5.9666666666666659</c:v>
                </c:pt>
                <c:pt idx="64">
                  <c:v>11.177419354838708</c:v>
                </c:pt>
                <c:pt idx="65">
                  <c:v>19.97666666666667</c:v>
                </c:pt>
                <c:pt idx="66">
                  <c:v>24.532258064516125</c:v>
                </c:pt>
                <c:pt idx="67">
                  <c:v>21.920967741935485</c:v>
                </c:pt>
                <c:pt idx="68">
                  <c:v>17.376666666666665</c:v>
                </c:pt>
                <c:pt idx="69">
                  <c:v>10.483870967741934</c:v>
                </c:pt>
                <c:pt idx="70">
                  <c:v>8.1366666666666667</c:v>
                </c:pt>
                <c:pt idx="71">
                  <c:v>1.4806451612903222</c:v>
                </c:pt>
                <c:pt idx="72">
                  <c:v>-0.8999999999999998</c:v>
                </c:pt>
                <c:pt idx="73">
                  <c:v>-3.7500000000000004</c:v>
                </c:pt>
                <c:pt idx="74">
                  <c:v>3.5161290322580645</c:v>
                </c:pt>
                <c:pt idx="75">
                  <c:v>6.7766666666666673</c:v>
                </c:pt>
                <c:pt idx="76">
                  <c:v>13.167741935483869</c:v>
                </c:pt>
                <c:pt idx="77">
                  <c:v>20.980000000000004</c:v>
                </c:pt>
                <c:pt idx="78">
                  <c:v>21.56451612903226</c:v>
                </c:pt>
                <c:pt idx="79">
                  <c:v>23.651612903225807</c:v>
                </c:pt>
                <c:pt idx="80">
                  <c:v>18.350000000000001</c:v>
                </c:pt>
                <c:pt idx="81">
                  <c:v>14.590322580645163</c:v>
                </c:pt>
                <c:pt idx="82">
                  <c:v>5.8999999999999995</c:v>
                </c:pt>
                <c:pt idx="83">
                  <c:v>3.0161290322580654</c:v>
                </c:pt>
                <c:pt idx="84">
                  <c:v>-6.1354838709677422</c:v>
                </c:pt>
                <c:pt idx="85">
                  <c:v>-2.596428571428572</c:v>
                </c:pt>
                <c:pt idx="86">
                  <c:v>2.0096774193548388</c:v>
                </c:pt>
                <c:pt idx="87">
                  <c:v>6.2133333333333338</c:v>
                </c:pt>
                <c:pt idx="88">
                  <c:v>13.738709677419356</c:v>
                </c:pt>
                <c:pt idx="89">
                  <c:v>19.150000000000002</c:v>
                </c:pt>
                <c:pt idx="90">
                  <c:v>22.409677419354836</c:v>
                </c:pt>
                <c:pt idx="91">
                  <c:v>22.274193548387096</c:v>
                </c:pt>
                <c:pt idx="92">
                  <c:v>18.266666666666666</c:v>
                </c:pt>
                <c:pt idx="93">
                  <c:v>10.525806451612901</c:v>
                </c:pt>
                <c:pt idx="94">
                  <c:v>6.7566666666666659</c:v>
                </c:pt>
                <c:pt idx="95">
                  <c:v>1.1451612903225807</c:v>
                </c:pt>
                <c:pt idx="96">
                  <c:v>0.59354838709677415</c:v>
                </c:pt>
                <c:pt idx="97">
                  <c:v>0.43214285714285683</c:v>
                </c:pt>
                <c:pt idx="98">
                  <c:v>1.9870967741935488</c:v>
                </c:pt>
                <c:pt idx="99">
                  <c:v>8.5733333333333324</c:v>
                </c:pt>
                <c:pt idx="100">
                  <c:v>13.1</c:v>
                </c:pt>
                <c:pt idx="101">
                  <c:v>19.133333333333336</c:v>
                </c:pt>
                <c:pt idx="102">
                  <c:v>22.693548387096783</c:v>
                </c:pt>
                <c:pt idx="103">
                  <c:v>20.251612903225805</c:v>
                </c:pt>
                <c:pt idx="104">
                  <c:v>18.68666666666666</c:v>
                </c:pt>
                <c:pt idx="105">
                  <c:v>13.283870967741938</c:v>
                </c:pt>
                <c:pt idx="106">
                  <c:v>5.5299999999999994</c:v>
                </c:pt>
                <c:pt idx="107">
                  <c:v>3.7032258064516133</c:v>
                </c:pt>
                <c:pt idx="108">
                  <c:v>-0.91612903225806464</c:v>
                </c:pt>
                <c:pt idx="109">
                  <c:v>1.1344827586206896</c:v>
                </c:pt>
                <c:pt idx="110">
                  <c:v>4.1451612903225818</c:v>
                </c:pt>
                <c:pt idx="111">
                  <c:v>8.1766666666666676</c:v>
                </c:pt>
                <c:pt idx="112">
                  <c:v>14.935483870967746</c:v>
                </c:pt>
                <c:pt idx="113">
                  <c:v>19.479999999999997</c:v>
                </c:pt>
                <c:pt idx="114">
                  <c:v>22.445161290322577</c:v>
                </c:pt>
                <c:pt idx="115">
                  <c:v>21.751612903225805</c:v>
                </c:pt>
                <c:pt idx="116">
                  <c:v>18.926666666666669</c:v>
                </c:pt>
                <c:pt idx="117">
                  <c:v>13.748387096774191</c:v>
                </c:pt>
                <c:pt idx="118">
                  <c:v>7.8566666666666674</c:v>
                </c:pt>
                <c:pt idx="119">
                  <c:v>1.0709677419354837</c:v>
                </c:pt>
              </c:numCache>
            </c:numRef>
          </c:xVal>
          <c:yVal>
            <c:numRef>
              <c:f>Weather!$DU$194:$DU$313</c:f>
              <c:numCache>
                <c:formatCode>_(* #,##0_);_(* \(#,##0\);_(* "-"??_);_(@_)</c:formatCode>
                <c:ptCount val="120"/>
                <c:pt idx="0">
                  <c:v>75613807.959624097</c:v>
                </c:pt>
                <c:pt idx="1">
                  <c:v>77443322.072743356</c:v>
                </c:pt>
                <c:pt idx="2">
                  <c:v>72958002.826322362</c:v>
                </c:pt>
                <c:pt idx="3">
                  <c:v>68596640.54947415</c:v>
                </c:pt>
                <c:pt idx="4">
                  <c:v>69777562.033644363</c:v>
                </c:pt>
                <c:pt idx="5">
                  <c:v>71557840.215968788</c:v>
                </c:pt>
                <c:pt idx="6">
                  <c:v>78919362.966169804</c:v>
                </c:pt>
                <c:pt idx="7">
                  <c:v>77205516.280963033</c:v>
                </c:pt>
                <c:pt idx="8">
                  <c:v>75717175.738546625</c:v>
                </c:pt>
                <c:pt idx="9">
                  <c:v>67859104.502231017</c:v>
                </c:pt>
                <c:pt idx="10">
                  <c:v>68492553.327875271</c:v>
                </c:pt>
                <c:pt idx="11">
                  <c:v>69346399.69174993</c:v>
                </c:pt>
                <c:pt idx="12">
                  <c:v>73523455.842341274</c:v>
                </c:pt>
                <c:pt idx="13">
                  <c:v>72346948.760624498</c:v>
                </c:pt>
                <c:pt idx="14">
                  <c:v>70449945.093980387</c:v>
                </c:pt>
                <c:pt idx="15">
                  <c:v>69754848.797153905</c:v>
                </c:pt>
                <c:pt idx="16">
                  <c:v>70500317.632534638</c:v>
                </c:pt>
                <c:pt idx="17">
                  <c:v>74845218.653090551</c:v>
                </c:pt>
                <c:pt idx="18">
                  <c:v>80502917.213319927</c:v>
                </c:pt>
                <c:pt idx="19">
                  <c:v>81770762.860563532</c:v>
                </c:pt>
                <c:pt idx="20">
                  <c:v>75717175.738546625</c:v>
                </c:pt>
                <c:pt idx="21">
                  <c:v>69772940.213796422</c:v>
                </c:pt>
                <c:pt idx="22">
                  <c:v>68128303.165730044</c:v>
                </c:pt>
                <c:pt idx="23">
                  <c:v>72319588.13081713</c:v>
                </c:pt>
                <c:pt idx="24">
                  <c:v>72494696.161584273</c:v>
                </c:pt>
                <c:pt idx="25">
                  <c:v>71164969.55294624</c:v>
                </c:pt>
                <c:pt idx="26">
                  <c:v>71998556.741077363</c:v>
                </c:pt>
                <c:pt idx="27">
                  <c:v>68082565.816331714</c:v>
                </c:pt>
                <c:pt idx="28">
                  <c:v>68613959.37910749</c:v>
                </c:pt>
                <c:pt idx="29">
                  <c:v>74619712.510300189</c:v>
                </c:pt>
                <c:pt idx="30">
                  <c:v>78548530.642470092</c:v>
                </c:pt>
                <c:pt idx="31">
                  <c:v>76779560.233470127</c:v>
                </c:pt>
                <c:pt idx="32">
                  <c:v>73782834.158167049</c:v>
                </c:pt>
                <c:pt idx="33">
                  <c:v>70273811.847502545</c:v>
                </c:pt>
                <c:pt idx="34">
                  <c:v>69415713.287261933</c:v>
                </c:pt>
                <c:pt idx="35">
                  <c:v>73964874.003233463</c:v>
                </c:pt>
                <c:pt idx="36">
                  <c:v>74535799.145213842</c:v>
                </c:pt>
                <c:pt idx="37">
                  <c:v>71909178.683706626</c:v>
                </c:pt>
                <c:pt idx="38">
                  <c:v>71861753.592040524</c:v>
                </c:pt>
                <c:pt idx="39">
                  <c:v>69944685.463537693</c:v>
                </c:pt>
                <c:pt idx="40">
                  <c:v>70531112.161043033</c:v>
                </c:pt>
                <c:pt idx="41">
                  <c:v>74238857.691365346</c:v>
                </c:pt>
                <c:pt idx="42">
                  <c:v>81089233.184574872</c:v>
                </c:pt>
                <c:pt idx="43">
                  <c:v>81069188.194104612</c:v>
                </c:pt>
                <c:pt idx="44">
                  <c:v>74935421.110206693</c:v>
                </c:pt>
                <c:pt idx="45">
                  <c:v>69000714.69455038</c:v>
                </c:pt>
                <c:pt idx="46">
                  <c:v>70552091.445261225</c:v>
                </c:pt>
                <c:pt idx="47">
                  <c:v>71535250.076339275</c:v>
                </c:pt>
                <c:pt idx="48">
                  <c:v>74891487.33270961</c:v>
                </c:pt>
                <c:pt idx="49">
                  <c:v>72989011.540104032</c:v>
                </c:pt>
                <c:pt idx="50">
                  <c:v>72273987.081138179</c:v>
                </c:pt>
                <c:pt idx="51">
                  <c:v>68775474.549769551</c:v>
                </c:pt>
                <c:pt idx="52">
                  <c:v>67982217.60066992</c:v>
                </c:pt>
                <c:pt idx="53">
                  <c:v>71838470.082552359</c:v>
                </c:pt>
                <c:pt idx="54">
                  <c:v>80507928.460937485</c:v>
                </c:pt>
                <c:pt idx="55">
                  <c:v>77937158.433127329</c:v>
                </c:pt>
                <c:pt idx="56">
                  <c:v>73356878.110674143</c:v>
                </c:pt>
                <c:pt idx="57">
                  <c:v>67638317.536230996</c:v>
                </c:pt>
                <c:pt idx="58">
                  <c:v>70732671.60198985</c:v>
                </c:pt>
                <c:pt idx="59">
                  <c:v>71615507.923774227</c:v>
                </c:pt>
                <c:pt idx="60">
                  <c:v>72188257.107741773</c:v>
                </c:pt>
                <c:pt idx="61">
                  <c:v>72651563.772479847</c:v>
                </c:pt>
                <c:pt idx="62">
                  <c:v>70209171.551675573</c:v>
                </c:pt>
                <c:pt idx="63">
                  <c:v>68857556.439191639</c:v>
                </c:pt>
                <c:pt idx="64">
                  <c:v>69288601.786305621</c:v>
                </c:pt>
                <c:pt idx="65">
                  <c:v>75787333.205192521</c:v>
                </c:pt>
                <c:pt idx="66">
                  <c:v>83008541.02210176</c:v>
                </c:pt>
                <c:pt idx="67">
                  <c:v>78951936.075683966</c:v>
                </c:pt>
                <c:pt idx="68">
                  <c:v>72063976.225342721</c:v>
                </c:pt>
                <c:pt idx="69">
                  <c:v>67753180.202236131</c:v>
                </c:pt>
                <c:pt idx="70">
                  <c:v>68828404.275194436</c:v>
                </c:pt>
                <c:pt idx="71">
                  <c:v>71464112.438840121</c:v>
                </c:pt>
                <c:pt idx="72">
                  <c:v>72810255.425362572</c:v>
                </c:pt>
                <c:pt idx="73">
                  <c:v>73669379.201313898</c:v>
                </c:pt>
                <c:pt idx="74">
                  <c:v>70437176.800070286</c:v>
                </c:pt>
                <c:pt idx="75">
                  <c:v>68478155.70586282</c:v>
                </c:pt>
                <c:pt idx="76">
                  <c:v>69684886.377291977</c:v>
                </c:pt>
                <c:pt idx="77">
                  <c:v>77140370.06193471</c:v>
                </c:pt>
                <c:pt idx="78">
                  <c:v>78398193.213943183</c:v>
                </c:pt>
                <c:pt idx="79">
                  <c:v>81640470.422506869</c:v>
                </c:pt>
                <c:pt idx="80">
                  <c:v>73221574.424999923</c:v>
                </c:pt>
                <c:pt idx="81">
                  <c:v>70117943.878848702</c:v>
                </c:pt>
                <c:pt idx="82">
                  <c:v>69054552.973804682</c:v>
                </c:pt>
                <c:pt idx="83">
                  <c:v>70621405.040773228</c:v>
                </c:pt>
                <c:pt idx="84">
                  <c:v>75770675.570519671</c:v>
                </c:pt>
                <c:pt idx="85">
                  <c:v>73080213.639461935</c:v>
                </c:pt>
                <c:pt idx="86">
                  <c:v>71168617.636920556</c:v>
                </c:pt>
                <c:pt idx="87">
                  <c:v>68770002.423808068</c:v>
                </c:pt>
                <c:pt idx="88">
                  <c:v>69916669.574400753</c:v>
                </c:pt>
                <c:pt idx="89">
                  <c:v>74389195.119892254</c:v>
                </c:pt>
                <c:pt idx="90">
                  <c:v>79711140.089744866</c:v>
                </c:pt>
                <c:pt idx="91">
                  <c:v>79500667.689807191</c:v>
                </c:pt>
                <c:pt idx="92">
                  <c:v>73472136.805878103</c:v>
                </c:pt>
                <c:pt idx="93">
                  <c:v>67894319.535273328</c:v>
                </c:pt>
                <c:pt idx="94">
                  <c:v>69500975.947334796</c:v>
                </c:pt>
                <c:pt idx="95">
                  <c:v>71668405.141401798</c:v>
                </c:pt>
                <c:pt idx="96">
                  <c:v>71965723.985308513</c:v>
                </c:pt>
                <c:pt idx="97">
                  <c:v>71533426.034352124</c:v>
                </c:pt>
                <c:pt idx="98">
                  <c:v>71177737.846856356</c:v>
                </c:pt>
                <c:pt idx="99">
                  <c:v>68976703.476460904</c:v>
                </c:pt>
                <c:pt idx="100">
                  <c:v>69336864.314125985</c:v>
                </c:pt>
                <c:pt idx="101">
                  <c:v>74364138.881804436</c:v>
                </c:pt>
                <c:pt idx="102">
                  <c:v>80152129.880090475</c:v>
                </c:pt>
                <c:pt idx="103">
                  <c:v>76358615.433594778</c:v>
                </c:pt>
                <c:pt idx="104">
                  <c:v>73692631.701050907</c:v>
                </c:pt>
                <c:pt idx="105">
                  <c:v>69753200.330562234</c:v>
                </c:pt>
                <c:pt idx="106">
                  <c:v>69162171.451046988</c:v>
                </c:pt>
                <c:pt idx="107">
                  <c:v>70207347.509688407</c:v>
                </c:pt>
                <c:pt idx="108">
                  <c:v>72819375.635298356</c:v>
                </c:pt>
                <c:pt idx="109">
                  <c:v>71336429.499739081</c:v>
                </c:pt>
                <c:pt idx="110">
                  <c:v>70021295.226998314</c:v>
                </c:pt>
                <c:pt idx="111">
                  <c:v>67991538.959470153</c:v>
                </c:pt>
                <c:pt idx="112">
                  <c:v>69636286.400887802</c:v>
                </c:pt>
                <c:pt idx="113">
                  <c:v>74885308.634031057</c:v>
                </c:pt>
                <c:pt idx="114">
                  <c:v>79766263.81353806</c:v>
                </c:pt>
                <c:pt idx="115">
                  <c:v>78688845.575761884</c:v>
                </c:pt>
                <c:pt idx="116">
                  <c:v>74073486.51998575</c:v>
                </c:pt>
                <c:pt idx="117">
                  <c:v>69179016.532377139</c:v>
                </c:pt>
                <c:pt idx="118">
                  <c:v>68797337.147247314</c:v>
                </c:pt>
                <c:pt idx="119">
                  <c:v>71695765.771209165</c:v>
                </c:pt>
              </c:numCache>
            </c:numRef>
          </c:yVal>
          <c:smooth val="0"/>
          <c:extLst>
            <c:ext xmlns:c16="http://schemas.microsoft.com/office/drawing/2014/chart" uri="{C3380CC4-5D6E-409C-BE32-E72D297353CC}">
              <c16:uniqueId val="{00000001-5FDF-44A9-B151-4EB8849D4CED}"/>
            </c:ext>
          </c:extLst>
        </c:ser>
        <c:dLbls>
          <c:showLegendKey val="0"/>
          <c:showVal val="0"/>
          <c:showCatName val="0"/>
          <c:showSerName val="0"/>
          <c:showPercent val="0"/>
          <c:showBubbleSize val="0"/>
        </c:dLbls>
        <c:axId val="1096257311"/>
        <c:axId val="1096240031"/>
      </c:scatterChart>
      <c:valAx>
        <c:axId val="109625731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CA"/>
                  <a:t>Average Tempurature (°C)</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96240031"/>
        <c:crosses val="autoZero"/>
        <c:crossBetween val="midCat"/>
      </c:valAx>
      <c:valAx>
        <c:axId val="1096240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CA"/>
                  <a:t>Monthly Consumption (kWh)</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9625731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r>
              <a:rPr lang="en-US" baseline="0"/>
              <a:t> Predicted Monthly</a:t>
            </a:r>
            <a:endParaRPr lang="en-US"/>
          </a:p>
        </c:rich>
      </c:tx>
      <c:overlay val="0"/>
      <c:spPr>
        <a:noFill/>
        <a:ln>
          <a:noFill/>
        </a:ln>
        <a:effectLst/>
      </c:spPr>
    </c:title>
    <c:autoTitleDeleted val="0"/>
    <c:plotArea>
      <c:layout/>
      <c:lineChart>
        <c:grouping val="standard"/>
        <c:varyColors val="0"/>
        <c:ser>
          <c:idx val="0"/>
          <c:order val="0"/>
          <c:tx>
            <c:strRef>
              <c:f>'Res Predicted Monthly'!$D$1</c:f>
              <c:strCache>
                <c:ptCount val="1"/>
                <c:pt idx="0">
                  <c:v> Res_NoCDM </c:v>
                </c:pt>
              </c:strCache>
            </c:strRef>
          </c:tx>
          <c:spPr>
            <a:ln w="28575" cap="rnd">
              <a:solidFill>
                <a:schemeClr val="accent1"/>
              </a:solidFill>
              <a:round/>
            </a:ln>
            <a:effectLst/>
          </c:spPr>
          <c:marker>
            <c:symbol val="none"/>
          </c:marker>
          <c:cat>
            <c:numRef>
              <c:f>'Res Predicted Monthly'!$A$2:$A$139</c:f>
              <c:numCache>
                <c:formatCode>m/d/yyyy</c:formatCode>
                <c:ptCount val="138"/>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numCache>
            </c:numRef>
          </c:cat>
          <c:val>
            <c:numRef>
              <c:f>'Res Predicted Monthly'!$D$2:$D$139</c:f>
              <c:numCache>
                <c:formatCode>_(* #,##0_);_(* \(#,##0\);_(* "-"??_);_(@_)</c:formatCode>
                <c:ptCount val="138"/>
                <c:pt idx="0">
                  <c:v>49127092.146981061</c:v>
                </c:pt>
                <c:pt idx="1">
                  <c:v>42235859.033245198</c:v>
                </c:pt>
                <c:pt idx="2">
                  <c:v>42686019.919509344</c:v>
                </c:pt>
                <c:pt idx="3">
                  <c:v>37892574.805773482</c:v>
                </c:pt>
                <c:pt idx="4">
                  <c:v>40054347.692037627</c:v>
                </c:pt>
                <c:pt idx="5">
                  <c:v>45422610.578301765</c:v>
                </c:pt>
                <c:pt idx="6">
                  <c:v>53739568.464565903</c:v>
                </c:pt>
                <c:pt idx="7">
                  <c:v>54462241.350830048</c:v>
                </c:pt>
                <c:pt idx="8">
                  <c:v>47137858.237094186</c:v>
                </c:pt>
                <c:pt idx="9">
                  <c:v>41235519.123358332</c:v>
                </c:pt>
                <c:pt idx="10">
                  <c:v>37717263.00962247</c:v>
                </c:pt>
                <c:pt idx="11">
                  <c:v>41179905.895886615</c:v>
                </c:pt>
                <c:pt idx="12">
                  <c:v>45255473.713757403</c:v>
                </c:pt>
                <c:pt idx="13">
                  <c:v>39790337.472733878</c:v>
                </c:pt>
                <c:pt idx="14">
                  <c:v>39893155.231710352</c:v>
                </c:pt>
                <c:pt idx="15">
                  <c:v>37464228.990686826</c:v>
                </c:pt>
                <c:pt idx="16">
                  <c:v>41966514.749663308</c:v>
                </c:pt>
                <c:pt idx="17">
                  <c:v>51191605.508639783</c:v>
                </c:pt>
                <c:pt idx="18">
                  <c:v>62342093.267616257</c:v>
                </c:pt>
                <c:pt idx="19">
                  <c:v>60905685.026592731</c:v>
                </c:pt>
                <c:pt idx="20">
                  <c:v>50436740.785569206</c:v>
                </c:pt>
                <c:pt idx="21">
                  <c:v>41879541.544545688</c:v>
                </c:pt>
                <c:pt idx="22">
                  <c:v>37972992.303522162</c:v>
                </c:pt>
                <c:pt idx="23">
                  <c:v>43646992.062498637</c:v>
                </c:pt>
                <c:pt idx="24">
                  <c:v>44428210.437605619</c:v>
                </c:pt>
                <c:pt idx="25">
                  <c:v>38008250.644202635</c:v>
                </c:pt>
                <c:pt idx="26">
                  <c:v>39754350.85079965</c:v>
                </c:pt>
                <c:pt idx="27">
                  <c:v>35550881.057396658</c:v>
                </c:pt>
                <c:pt idx="28">
                  <c:v>38527675.263993673</c:v>
                </c:pt>
                <c:pt idx="29">
                  <c:v>46993946.470590688</c:v>
                </c:pt>
                <c:pt idx="30">
                  <c:v>55250414.677187696</c:v>
                </c:pt>
                <c:pt idx="31">
                  <c:v>52000413.883784711</c:v>
                </c:pt>
                <c:pt idx="32">
                  <c:v>45504410.090381727</c:v>
                </c:pt>
                <c:pt idx="33">
                  <c:v>40966849.296978742</c:v>
                </c:pt>
                <c:pt idx="34">
                  <c:v>39001404.503575757</c:v>
                </c:pt>
                <c:pt idx="35">
                  <c:v>47108304.710172765</c:v>
                </c:pt>
                <c:pt idx="36">
                  <c:v>47709598.683987916</c:v>
                </c:pt>
                <c:pt idx="37">
                  <c:v>39687279.898667745</c:v>
                </c:pt>
                <c:pt idx="38">
                  <c:v>41074250.113347575</c:v>
                </c:pt>
                <c:pt idx="39">
                  <c:v>38168978.328027405</c:v>
                </c:pt>
                <c:pt idx="40">
                  <c:v>41244600.542707235</c:v>
                </c:pt>
                <c:pt idx="41">
                  <c:v>52144868.757387064</c:v>
                </c:pt>
                <c:pt idx="42">
                  <c:v>64966905.972066894</c:v>
                </c:pt>
                <c:pt idx="43">
                  <c:v>63232261.186746724</c:v>
                </c:pt>
                <c:pt idx="44">
                  <c:v>50855019.401426554</c:v>
                </c:pt>
                <c:pt idx="45">
                  <c:v>40650132.616106384</c:v>
                </c:pt>
                <c:pt idx="46">
                  <c:v>40817846.830786213</c:v>
                </c:pt>
                <c:pt idx="47">
                  <c:v>45902493.045466043</c:v>
                </c:pt>
                <c:pt idx="48">
                  <c:v>47310902.790742546</c:v>
                </c:pt>
                <c:pt idx="49">
                  <c:v>42211303.114211284</c:v>
                </c:pt>
                <c:pt idx="50">
                  <c:v>42541593.437680028</c:v>
                </c:pt>
                <c:pt idx="51">
                  <c:v>37536349.761148773</c:v>
                </c:pt>
                <c:pt idx="52">
                  <c:v>38099337.08461751</c:v>
                </c:pt>
                <c:pt idx="53">
                  <c:v>45232822.408086255</c:v>
                </c:pt>
                <c:pt idx="54">
                  <c:v>63142023.731554992</c:v>
                </c:pt>
                <c:pt idx="55">
                  <c:v>58238131.055023737</c:v>
                </c:pt>
                <c:pt idx="56">
                  <c:v>44304376.378492482</c:v>
                </c:pt>
                <c:pt idx="57">
                  <c:v>39423259.701961219</c:v>
                </c:pt>
                <c:pt idx="58">
                  <c:v>40460397.025429964</c:v>
                </c:pt>
                <c:pt idx="59">
                  <c:v>45553447.348898709</c:v>
                </c:pt>
                <c:pt idx="60">
                  <c:v>44911593.71344091</c:v>
                </c:pt>
                <c:pt idx="61">
                  <c:v>40905172.199256942</c:v>
                </c:pt>
                <c:pt idx="62">
                  <c:v>42164842.685072981</c:v>
                </c:pt>
                <c:pt idx="63">
                  <c:v>40550697.17088902</c:v>
                </c:pt>
                <c:pt idx="64">
                  <c:v>45655296.656705059</c:v>
                </c:pt>
                <c:pt idx="65">
                  <c:v>59532998.142521091</c:v>
                </c:pt>
                <c:pt idx="66">
                  <c:v>72305754.62833713</c:v>
                </c:pt>
                <c:pt idx="67">
                  <c:v>63879386.114153169</c:v>
                </c:pt>
                <c:pt idx="68">
                  <c:v>46969020.599969208</c:v>
                </c:pt>
                <c:pt idx="69">
                  <c:v>40798366.08578524</c:v>
                </c:pt>
                <c:pt idx="70">
                  <c:v>41142966.571601279</c:v>
                </c:pt>
                <c:pt idx="71">
                  <c:v>47931193.057417318</c:v>
                </c:pt>
                <c:pt idx="72">
                  <c:v>49036599.020043381</c:v>
                </c:pt>
                <c:pt idx="73">
                  <c:v>44239591.50465861</c:v>
                </c:pt>
                <c:pt idx="74">
                  <c:v>43218533.989273846</c:v>
                </c:pt>
                <c:pt idx="75">
                  <c:v>39165169.473889083</c:v>
                </c:pt>
                <c:pt idx="76">
                  <c:v>47117065.958504319</c:v>
                </c:pt>
                <c:pt idx="77">
                  <c:v>54507390.443119556</c:v>
                </c:pt>
                <c:pt idx="78">
                  <c:v>61736270.927734792</c:v>
                </c:pt>
                <c:pt idx="79">
                  <c:v>64473872.412350029</c:v>
                </c:pt>
                <c:pt idx="80">
                  <c:v>49910611.896965258</c:v>
                </c:pt>
                <c:pt idx="81">
                  <c:v>41149312.381580494</c:v>
                </c:pt>
                <c:pt idx="82">
                  <c:v>40886298.866195731</c:v>
                </c:pt>
                <c:pt idx="83">
                  <c:v>46938659.350810967</c:v>
                </c:pt>
                <c:pt idx="84">
                  <c:v>50264546.652802087</c:v>
                </c:pt>
                <c:pt idx="85">
                  <c:v>43857792.181785412</c:v>
                </c:pt>
                <c:pt idx="86">
                  <c:v>43860485.710768737</c:v>
                </c:pt>
                <c:pt idx="87">
                  <c:v>39331597.239752054</c:v>
                </c:pt>
                <c:pt idx="88">
                  <c:v>43290007.768735379</c:v>
                </c:pt>
                <c:pt idx="89">
                  <c:v>52900848.297718704</c:v>
                </c:pt>
                <c:pt idx="90">
                  <c:v>63898027.826702021</c:v>
                </c:pt>
                <c:pt idx="91">
                  <c:v>62500468.355685346</c:v>
                </c:pt>
                <c:pt idx="92">
                  <c:v>48263159.884668671</c:v>
                </c:pt>
                <c:pt idx="93">
                  <c:v>39368582.413651988</c:v>
                </c:pt>
                <c:pt idx="94">
                  <c:v>40432823.942635313</c:v>
                </c:pt>
                <c:pt idx="95">
                  <c:v>46713356.471618637</c:v>
                </c:pt>
                <c:pt idx="96">
                  <c:v>46583116.519168116</c:v>
                </c:pt>
                <c:pt idx="97">
                  <c:v>40876786.046762481</c:v>
                </c:pt>
                <c:pt idx="98">
                  <c:v>42680536.574356854</c:v>
                </c:pt>
                <c:pt idx="99">
                  <c:v>38703114.101951219</c:v>
                </c:pt>
                <c:pt idx="100">
                  <c:v>41884572.629545584</c:v>
                </c:pt>
                <c:pt idx="101">
                  <c:v>49966785.15713995</c:v>
                </c:pt>
                <c:pt idx="102">
                  <c:v>60709456.684734322</c:v>
                </c:pt>
                <c:pt idx="103">
                  <c:v>56519900.212328687</c:v>
                </c:pt>
                <c:pt idx="104">
                  <c:v>46714488.739923052</c:v>
                </c:pt>
                <c:pt idx="105">
                  <c:v>40824035.267517418</c:v>
                </c:pt>
                <c:pt idx="106">
                  <c:v>40771078.79511179</c:v>
                </c:pt>
                <c:pt idx="107">
                  <c:v>46228650.322706155</c:v>
                </c:pt>
                <c:pt idx="108">
                  <c:v>47520942.166132875</c:v>
                </c:pt>
                <c:pt idx="109">
                  <c:v>42009232.734825648</c:v>
                </c:pt>
                <c:pt idx="110">
                  <c:v>42133800.273518406</c:v>
                </c:pt>
                <c:pt idx="111">
                  <c:v>38836355.502211168</c:v>
                </c:pt>
                <c:pt idx="112">
                  <c:v>43725998.02090393</c:v>
                </c:pt>
                <c:pt idx="113">
                  <c:v>54316624.359596707</c:v>
                </c:pt>
                <c:pt idx="114">
                  <c:v>64592396.868289471</c:v>
                </c:pt>
                <c:pt idx="115">
                  <c:v>60459871.106982246</c:v>
                </c:pt>
                <c:pt idx="116">
                  <c:v>48481511.215674996</c:v>
                </c:pt>
                <c:pt idx="117">
                  <c:v>41352177.60436777</c:v>
                </c:pt>
                <c:pt idx="118">
                  <c:v>40782399.333060533</c:v>
                </c:pt>
                <c:pt idx="119">
                  <c:v>48660834.701753296</c:v>
                </c:pt>
              </c:numCache>
            </c:numRef>
          </c:val>
          <c:smooth val="0"/>
          <c:extLst>
            <c:ext xmlns:c16="http://schemas.microsoft.com/office/drawing/2014/chart" uri="{C3380CC4-5D6E-409C-BE32-E72D297353CC}">
              <c16:uniqueId val="{00000000-250E-45FF-B359-C8A24C015BBE}"/>
            </c:ext>
          </c:extLst>
        </c:ser>
        <c:ser>
          <c:idx val="1"/>
          <c:order val="1"/>
          <c:tx>
            <c:strRef>
              <c:f>'Res Predicted Monthly'!$Q$1</c:f>
              <c:strCache>
                <c:ptCount val="1"/>
                <c:pt idx="0">
                  <c:v>Predicted</c:v>
                </c:pt>
              </c:strCache>
            </c:strRef>
          </c:tx>
          <c:spPr>
            <a:ln w="28575" cap="rnd">
              <a:solidFill>
                <a:schemeClr val="accent2"/>
              </a:solidFill>
              <a:round/>
            </a:ln>
            <a:effectLst/>
          </c:spPr>
          <c:marker>
            <c:symbol val="none"/>
          </c:marker>
          <c:cat>
            <c:numRef>
              <c:f>'Res Predicted Monthly'!$A$2:$A$139</c:f>
              <c:numCache>
                <c:formatCode>m/d/yyyy</c:formatCode>
                <c:ptCount val="138"/>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numCache>
            </c:numRef>
          </c:cat>
          <c:val>
            <c:numRef>
              <c:f>'Res Predicted Monthly'!$Q$2:$Q$139</c:f>
              <c:numCache>
                <c:formatCode>_(* #,##0_);_(* \(#,##0\);_(* "-"??_);_(@_)</c:formatCode>
                <c:ptCount val="138"/>
                <c:pt idx="0">
                  <c:v>46937401.051584095</c:v>
                </c:pt>
                <c:pt idx="1">
                  <c:v>43459595.214700289</c:v>
                </c:pt>
                <c:pt idx="2">
                  <c:v>42107135.891566038</c:v>
                </c:pt>
                <c:pt idx="3">
                  <c:v>37158210.485451952</c:v>
                </c:pt>
                <c:pt idx="4">
                  <c:v>41287020.181531794</c:v>
                </c:pt>
                <c:pt idx="5">
                  <c:v>45096469.519088939</c:v>
                </c:pt>
                <c:pt idx="6">
                  <c:v>58419007.474258877</c:v>
                </c:pt>
                <c:pt idx="7">
                  <c:v>55676720.269838423</c:v>
                </c:pt>
                <c:pt idx="8">
                  <c:v>48896940.366311967</c:v>
                </c:pt>
                <c:pt idx="9">
                  <c:v>38392966.531688549</c:v>
                </c:pt>
                <c:pt idx="10">
                  <c:v>37309442.080628924</c:v>
                </c:pt>
                <c:pt idx="11">
                  <c:v>42557171.027424529</c:v>
                </c:pt>
                <c:pt idx="12">
                  <c:v>45742587.564020872</c:v>
                </c:pt>
                <c:pt idx="13">
                  <c:v>41623442.281528339</c:v>
                </c:pt>
                <c:pt idx="14">
                  <c:v>40526380.063747883</c:v>
                </c:pt>
                <c:pt idx="15">
                  <c:v>38556281.819365904</c:v>
                </c:pt>
                <c:pt idx="16">
                  <c:v>42828605.154605225</c:v>
                </c:pt>
                <c:pt idx="17">
                  <c:v>50567613.798626699</c:v>
                </c:pt>
                <c:pt idx="18">
                  <c:v>61281626.071632728</c:v>
                </c:pt>
                <c:pt idx="19">
                  <c:v>63310277.13221278</c:v>
                </c:pt>
                <c:pt idx="20">
                  <c:v>49225749.733870432</c:v>
                </c:pt>
                <c:pt idx="21">
                  <c:v>41697814.108476788</c:v>
                </c:pt>
                <c:pt idx="22">
                  <c:v>37398128.695004039</c:v>
                </c:pt>
                <c:pt idx="23">
                  <c:v>45206538.771848381</c:v>
                </c:pt>
                <c:pt idx="24">
                  <c:v>45443190.60116148</c:v>
                </c:pt>
                <c:pt idx="25">
                  <c:v>39588144.179090388</c:v>
                </c:pt>
                <c:pt idx="26">
                  <c:v>42230598.654552393</c:v>
                </c:pt>
                <c:pt idx="27">
                  <c:v>37430776.817715868</c:v>
                </c:pt>
                <c:pt idx="28">
                  <c:v>40216980.424162269</c:v>
                </c:pt>
                <c:pt idx="29">
                  <c:v>50502810.582021713</c:v>
                </c:pt>
                <c:pt idx="30">
                  <c:v>58465590.57108248</c:v>
                </c:pt>
                <c:pt idx="31">
                  <c:v>55635101.146636799</c:v>
                </c:pt>
                <c:pt idx="32">
                  <c:v>46496531.3622372</c:v>
                </c:pt>
                <c:pt idx="33">
                  <c:v>42655441.553382285</c:v>
                </c:pt>
                <c:pt idx="34">
                  <c:v>38665240.884625033</c:v>
                </c:pt>
                <c:pt idx="35">
                  <c:v>46586311.144691102</c:v>
                </c:pt>
                <c:pt idx="36">
                  <c:v>47228521.778682202</c:v>
                </c:pt>
                <c:pt idx="37">
                  <c:v>40404513.736396596</c:v>
                </c:pt>
                <c:pt idx="38">
                  <c:v>42387307.899791658</c:v>
                </c:pt>
                <c:pt idx="39">
                  <c:v>39463480.262022465</c:v>
                </c:pt>
                <c:pt idx="40">
                  <c:v>43634306.649151266</c:v>
                </c:pt>
                <c:pt idx="41">
                  <c:v>50360951.890801072</c:v>
                </c:pt>
                <c:pt idx="42">
                  <c:v>62883918.701044053</c:v>
                </c:pt>
                <c:pt idx="43">
                  <c:v>62851845.166489422</c:v>
                </c:pt>
                <c:pt idx="44">
                  <c:v>48665026.837250724</c:v>
                </c:pt>
                <c:pt idx="45">
                  <c:v>41177025.640401632</c:v>
                </c:pt>
                <c:pt idx="46">
                  <c:v>40046733.257172227</c:v>
                </c:pt>
                <c:pt idx="47">
                  <c:v>45262101.3658766</c:v>
                </c:pt>
                <c:pt idx="48">
                  <c:v>47933453.940049492</c:v>
                </c:pt>
                <c:pt idx="49">
                  <c:v>41655513.251528844</c:v>
                </c:pt>
                <c:pt idx="50">
                  <c:v>43131929.167071693</c:v>
                </c:pt>
                <c:pt idx="51">
                  <c:v>38928452.367374599</c:v>
                </c:pt>
                <c:pt idx="52">
                  <c:v>39935434.793821655</c:v>
                </c:pt>
                <c:pt idx="53">
                  <c:v>46959554.212887585</c:v>
                </c:pt>
                <c:pt idx="54">
                  <c:v>62510059.18799942</c:v>
                </c:pt>
                <c:pt idx="55">
                  <c:v>58396628.381368734</c:v>
                </c:pt>
                <c:pt idx="56">
                  <c:v>46672242.95250947</c:v>
                </c:pt>
                <c:pt idx="57">
                  <c:v>39895734.969209932</c:v>
                </c:pt>
                <c:pt idx="58">
                  <c:v>40744527.389150023</c:v>
                </c:pt>
                <c:pt idx="59">
                  <c:v>45861357.028002068</c:v>
                </c:pt>
                <c:pt idx="60">
                  <c:v>46311983.174421996</c:v>
                </c:pt>
                <c:pt idx="61">
                  <c:v>43425937.35494256</c:v>
                </c:pt>
                <c:pt idx="62">
                  <c:v>41944301.386766233</c:v>
                </c:pt>
                <c:pt idx="63">
                  <c:v>39468744.977966689</c:v>
                </c:pt>
                <c:pt idx="64">
                  <c:v>42224877.469485909</c:v>
                </c:pt>
                <c:pt idx="65">
                  <c:v>53675999.785398595</c:v>
                </c:pt>
                <c:pt idx="66">
                  <c:v>66821257.256885737</c:v>
                </c:pt>
                <c:pt idx="67">
                  <c:v>60330375.701393455</c:v>
                </c:pt>
                <c:pt idx="68">
                  <c:v>45002482.947771855</c:v>
                </c:pt>
                <c:pt idx="69">
                  <c:v>40038281.767410338</c:v>
                </c:pt>
                <c:pt idx="70">
                  <c:v>39485647.890620723</c:v>
                </c:pt>
                <c:pt idx="71">
                  <c:v>45972817.429949395</c:v>
                </c:pt>
                <c:pt idx="72">
                  <c:v>46767233.140039407</c:v>
                </c:pt>
                <c:pt idx="73">
                  <c:v>42561337.498135656</c:v>
                </c:pt>
                <c:pt idx="74">
                  <c:v>42056035.29775957</c:v>
                </c:pt>
                <c:pt idx="75">
                  <c:v>37221531.158516578</c:v>
                </c:pt>
                <c:pt idx="76">
                  <c:v>41202401.139824867</c:v>
                </c:pt>
                <c:pt idx="77">
                  <c:v>53883890.598506421</c:v>
                </c:pt>
                <c:pt idx="78">
                  <c:v>58810751.670292825</c:v>
                </c:pt>
                <c:pt idx="79">
                  <c:v>63998645.884503454</c:v>
                </c:pt>
                <c:pt idx="80">
                  <c:v>46137652.947869688</c:v>
                </c:pt>
                <c:pt idx="81">
                  <c:v>43481214.686841436</c:v>
                </c:pt>
                <c:pt idx="82">
                  <c:v>39290460.279096864</c:v>
                </c:pt>
                <c:pt idx="83">
                  <c:v>45024523.944384992</c:v>
                </c:pt>
                <c:pt idx="84">
                  <c:v>49150248.048738696</c:v>
                </c:pt>
                <c:pt idx="85">
                  <c:v>42281076.541104116</c:v>
                </c:pt>
                <c:pt idx="86">
                  <c:v>42856960.329385459</c:v>
                </c:pt>
                <c:pt idx="87">
                  <c:v>39288810.644389011</c:v>
                </c:pt>
                <c:pt idx="88">
                  <c:v>43425075.758809522</c:v>
                </c:pt>
                <c:pt idx="89">
                  <c:v>51317785.780575387</c:v>
                </c:pt>
                <c:pt idx="90">
                  <c:v>61721473.344657347</c:v>
                </c:pt>
                <c:pt idx="91">
                  <c:v>61384701.231833786</c:v>
                </c:pt>
                <c:pt idx="92">
                  <c:v>47451121.530268587</c:v>
                </c:pt>
                <c:pt idx="93">
                  <c:v>40968775.429795921</c:v>
                </c:pt>
                <c:pt idx="94">
                  <c:v>40653211.403409444</c:v>
                </c:pt>
                <c:pt idx="95">
                  <c:v>46631635.324950054</c:v>
                </c:pt>
                <c:pt idx="96">
                  <c:v>46996143.491338946</c:v>
                </c:pt>
                <c:pt idx="97">
                  <c:v>41821286.229220688</c:v>
                </c:pt>
                <c:pt idx="98">
                  <c:v>43567314.346998371</c:v>
                </c:pt>
                <c:pt idx="99">
                  <c:v>40770445.862561531</c:v>
                </c:pt>
                <c:pt idx="100">
                  <c:v>43293013.445984676</c:v>
                </c:pt>
                <c:pt idx="101">
                  <c:v>52216987.967636809</c:v>
                </c:pt>
                <c:pt idx="102">
                  <c:v>63066288.557704881</c:v>
                </c:pt>
                <c:pt idx="103">
                  <c:v>56996372.143242046</c:v>
                </c:pt>
                <c:pt idx="104">
                  <c:v>48330903.494772308</c:v>
                </c:pt>
                <c:pt idx="105">
                  <c:v>44105183.988220647</c:v>
                </c:pt>
                <c:pt idx="106">
                  <c:v>40516470.326168075</c:v>
                </c:pt>
                <c:pt idx="107">
                  <c:v>45807110.877120748</c:v>
                </c:pt>
                <c:pt idx="108">
                  <c:v>47931996.191554077</c:v>
                </c:pt>
                <c:pt idx="109">
                  <c:v>43585664.992457576</c:v>
                </c:pt>
                <c:pt idx="110">
                  <c:v>42947080.377462238</c:v>
                </c:pt>
                <c:pt idx="111">
                  <c:v>39790811.605886228</c:v>
                </c:pt>
                <c:pt idx="112">
                  <c:v>44000141.945636638</c:v>
                </c:pt>
                <c:pt idx="113">
                  <c:v>53316449.440811083</c:v>
                </c:pt>
                <c:pt idx="114">
                  <c:v>62730491.000493944</c:v>
                </c:pt>
                <c:pt idx="115">
                  <c:v>61006538.518182829</c:v>
                </c:pt>
                <c:pt idx="116">
                  <c:v>49227392.993712023</c:v>
                </c:pt>
                <c:pt idx="117">
                  <c:v>43492806.738804474</c:v>
                </c:pt>
                <c:pt idx="118">
                  <c:v>40826162.550923869</c:v>
                </c:pt>
                <c:pt idx="119">
                  <c:v>47259537.772219524</c:v>
                </c:pt>
              </c:numCache>
            </c:numRef>
          </c:val>
          <c:smooth val="0"/>
          <c:extLst>
            <c:ext xmlns:c16="http://schemas.microsoft.com/office/drawing/2014/chart" uri="{C3380CC4-5D6E-409C-BE32-E72D297353CC}">
              <c16:uniqueId val="{00000001-250E-45FF-B359-C8A24C015BBE}"/>
            </c:ext>
          </c:extLst>
        </c:ser>
        <c:dLbls>
          <c:showLegendKey val="0"/>
          <c:showVal val="0"/>
          <c:showCatName val="0"/>
          <c:showSerName val="0"/>
          <c:showPercent val="0"/>
          <c:showBubbleSize val="0"/>
        </c:dLbls>
        <c:smooth val="0"/>
        <c:axId val="175769856"/>
        <c:axId val="175784320"/>
      </c:lineChart>
      <c:dateAx>
        <c:axId val="175769856"/>
        <c:scaling>
          <c:orientation val="minMax"/>
        </c:scaling>
        <c:delete val="0"/>
        <c:axPos val="b"/>
        <c:title>
          <c:tx>
            <c:rich>
              <a:bodyPr/>
              <a:lstStyle/>
              <a:p>
                <a:pPr>
                  <a:defRPr/>
                </a:pPr>
                <a:r>
                  <a:rPr lang="en-US"/>
                  <a:t>Month</a:t>
                </a:r>
              </a:p>
            </c:rich>
          </c:tx>
          <c:overlay val="0"/>
        </c:title>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784320"/>
        <c:crosses val="autoZero"/>
        <c:auto val="1"/>
        <c:lblOffset val="100"/>
        <c:baseTimeUnit val="months"/>
      </c:dateAx>
      <c:valAx>
        <c:axId val="175784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t>Monthly Consumption (kWh)</a:t>
                </a:r>
              </a:p>
            </c:rich>
          </c:tx>
          <c:overlay val="0"/>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769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 kW Predicted Monthly</a:t>
            </a:r>
          </a:p>
        </c:rich>
      </c:tx>
      <c:overlay val="0"/>
      <c:spPr>
        <a:noFill/>
        <a:ln>
          <a:noFill/>
        </a:ln>
        <a:effectLst/>
      </c:spPr>
    </c:title>
    <c:autoTitleDeleted val="0"/>
    <c:plotArea>
      <c:layout/>
      <c:lineChart>
        <c:grouping val="standard"/>
        <c:varyColors val="0"/>
        <c:ser>
          <c:idx val="0"/>
          <c:order val="0"/>
          <c:tx>
            <c:strRef>
              <c:f>'GS&lt;50 Predicted Monthly'!$D$1</c:f>
              <c:strCache>
                <c:ptCount val="1"/>
                <c:pt idx="0">
                  <c:v> GS_lt_50_NoCDM </c:v>
                </c:pt>
              </c:strCache>
            </c:strRef>
          </c:tx>
          <c:spPr>
            <a:ln w="28575" cap="rnd">
              <a:solidFill>
                <a:schemeClr val="accent1"/>
              </a:solidFill>
              <a:round/>
            </a:ln>
            <a:effectLst/>
          </c:spPr>
          <c:marker>
            <c:symbol val="none"/>
          </c:marker>
          <c:cat>
            <c:numRef>
              <c:f>'GS&lt;50 Predicted Monthly'!$A$2:$A$141</c:f>
              <c:numCache>
                <c:formatCode>m/d/yyyy</c:formatCode>
                <c:ptCount val="140"/>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numCache>
            </c:numRef>
          </c:cat>
          <c:val>
            <c:numRef>
              <c:f>'GS&lt;50 Predicted Monthly'!$D$2:$D$141</c:f>
              <c:numCache>
                <c:formatCode>_(* #,##0_);_(* \(#,##0\);_(* "-"??_);_(@_)</c:formatCode>
                <c:ptCount val="140"/>
                <c:pt idx="0">
                  <c:v>15817525.215486044</c:v>
                </c:pt>
                <c:pt idx="1">
                  <c:v>14777649.244217517</c:v>
                </c:pt>
                <c:pt idx="2">
                  <c:v>15200272.27294899</c:v>
                </c:pt>
                <c:pt idx="3">
                  <c:v>13384863.301680462</c:v>
                </c:pt>
                <c:pt idx="4">
                  <c:v>13530179.330411935</c:v>
                </c:pt>
                <c:pt idx="5">
                  <c:v>13858885.359143406</c:v>
                </c:pt>
                <c:pt idx="6">
                  <c:v>15331961.387874879</c:v>
                </c:pt>
                <c:pt idx="7">
                  <c:v>15575294.416606352</c:v>
                </c:pt>
                <c:pt idx="8">
                  <c:v>14205506.445337825</c:v>
                </c:pt>
                <c:pt idx="9">
                  <c:v>13170519.474069297</c:v>
                </c:pt>
                <c:pt idx="10">
                  <c:v>13225827.50280077</c:v>
                </c:pt>
                <c:pt idx="11">
                  <c:v>14139805.531532243</c:v>
                </c:pt>
                <c:pt idx="12">
                  <c:v>15123271.889639981</c:v>
                </c:pt>
                <c:pt idx="13">
                  <c:v>14350816.425124092</c:v>
                </c:pt>
                <c:pt idx="14">
                  <c:v>14493124.960608203</c:v>
                </c:pt>
                <c:pt idx="15">
                  <c:v>13407795.496092316</c:v>
                </c:pt>
                <c:pt idx="16">
                  <c:v>13731027.031576427</c:v>
                </c:pt>
                <c:pt idx="17">
                  <c:v>14550745.567060538</c:v>
                </c:pt>
                <c:pt idx="18">
                  <c:v>16348284.10254465</c:v>
                </c:pt>
                <c:pt idx="19">
                  <c:v>16739654.638028761</c:v>
                </c:pt>
                <c:pt idx="20">
                  <c:v>14440145.173512874</c:v>
                </c:pt>
                <c:pt idx="21">
                  <c:v>13350527.708996985</c:v>
                </c:pt>
                <c:pt idx="22">
                  <c:v>13437723.244481096</c:v>
                </c:pt>
                <c:pt idx="23">
                  <c:v>14912204.779965209</c:v>
                </c:pt>
                <c:pt idx="24">
                  <c:v>15552205.778870873</c:v>
                </c:pt>
                <c:pt idx="25">
                  <c:v>13871440.371413311</c:v>
                </c:pt>
                <c:pt idx="26">
                  <c:v>14837407.963955749</c:v>
                </c:pt>
                <c:pt idx="27">
                  <c:v>13390657.556498185</c:v>
                </c:pt>
                <c:pt idx="28">
                  <c:v>13605380.149040623</c:v>
                </c:pt>
                <c:pt idx="29">
                  <c:v>14207511.74158306</c:v>
                </c:pt>
                <c:pt idx="30">
                  <c:v>15533752.334125496</c:v>
                </c:pt>
                <c:pt idx="31">
                  <c:v>15160539.926667934</c:v>
                </c:pt>
                <c:pt idx="32">
                  <c:v>14204164.519210372</c:v>
                </c:pt>
                <c:pt idx="33">
                  <c:v>13926867.111752808</c:v>
                </c:pt>
                <c:pt idx="34">
                  <c:v>13988763.704295246</c:v>
                </c:pt>
                <c:pt idx="35">
                  <c:v>15562822.296837684</c:v>
                </c:pt>
                <c:pt idx="36">
                  <c:v>16341548.767871764</c:v>
                </c:pt>
                <c:pt idx="37">
                  <c:v>14352800.598540761</c:v>
                </c:pt>
                <c:pt idx="38">
                  <c:v>15228033.429209759</c:v>
                </c:pt>
                <c:pt idx="39">
                  <c:v>14186658.259878756</c:v>
                </c:pt>
                <c:pt idx="40">
                  <c:v>14557839.090547755</c:v>
                </c:pt>
                <c:pt idx="41">
                  <c:v>15372235.921216752</c:v>
                </c:pt>
                <c:pt idx="42">
                  <c:v>17119387.751885749</c:v>
                </c:pt>
                <c:pt idx="43">
                  <c:v>16940976.582554746</c:v>
                </c:pt>
                <c:pt idx="44">
                  <c:v>15120534.413223745</c:v>
                </c:pt>
                <c:pt idx="45">
                  <c:v>14207629.243892744</c:v>
                </c:pt>
                <c:pt idx="46">
                  <c:v>14691641.074561741</c:v>
                </c:pt>
                <c:pt idx="47">
                  <c:v>15557414.90523074</c:v>
                </c:pt>
                <c:pt idx="48">
                  <c:v>16535161.594954573</c:v>
                </c:pt>
                <c:pt idx="49">
                  <c:v>15287128.896075014</c:v>
                </c:pt>
                <c:pt idx="50">
                  <c:v>16050310.197195457</c:v>
                </c:pt>
                <c:pt idx="51">
                  <c:v>14274222.498315901</c:v>
                </c:pt>
                <c:pt idx="52">
                  <c:v>14029473.799436344</c:v>
                </c:pt>
                <c:pt idx="53">
                  <c:v>14575779.100556785</c:v>
                </c:pt>
                <c:pt idx="54">
                  <c:v>17103909.401677229</c:v>
                </c:pt>
                <c:pt idx="55">
                  <c:v>16383214.702797672</c:v>
                </c:pt>
                <c:pt idx="56">
                  <c:v>14536936.003918113</c:v>
                </c:pt>
                <c:pt idx="57">
                  <c:v>13867496.305038556</c:v>
                </c:pt>
                <c:pt idx="58">
                  <c:v>14353293.606159</c:v>
                </c:pt>
                <c:pt idx="59">
                  <c:v>15207078.907279443</c:v>
                </c:pt>
                <c:pt idx="60">
                  <c:v>15460614.932394793</c:v>
                </c:pt>
                <c:pt idx="61">
                  <c:v>14562080.289898498</c:v>
                </c:pt>
                <c:pt idx="62">
                  <c:v>13828647.647402203</c:v>
                </c:pt>
                <c:pt idx="63">
                  <c:v>11361907.004905907</c:v>
                </c:pt>
                <c:pt idx="64">
                  <c:v>11649396.362409612</c:v>
                </c:pt>
                <c:pt idx="65">
                  <c:v>13516522.719913317</c:v>
                </c:pt>
                <c:pt idx="66">
                  <c:v>15828746.077417022</c:v>
                </c:pt>
                <c:pt idx="67">
                  <c:v>15475786.434920726</c:v>
                </c:pt>
                <c:pt idx="68">
                  <c:v>13348828.792424431</c:v>
                </c:pt>
                <c:pt idx="69">
                  <c:v>12958296.149928138</c:v>
                </c:pt>
                <c:pt idx="70">
                  <c:v>13270098.507431842</c:v>
                </c:pt>
                <c:pt idx="71">
                  <c:v>14143324.864935547</c:v>
                </c:pt>
                <c:pt idx="72">
                  <c:v>14381534.39165709</c:v>
                </c:pt>
                <c:pt idx="73">
                  <c:v>13667119.590722678</c:v>
                </c:pt>
                <c:pt idx="74">
                  <c:v>14309991.789788269</c:v>
                </c:pt>
                <c:pt idx="75">
                  <c:v>12572792.988853857</c:v>
                </c:pt>
                <c:pt idx="76">
                  <c:v>13147250.187919445</c:v>
                </c:pt>
                <c:pt idx="77">
                  <c:v>13511808.386985036</c:v>
                </c:pt>
                <c:pt idx="78">
                  <c:v>15349955.586050624</c:v>
                </c:pt>
                <c:pt idx="79">
                  <c:v>16375542.785116214</c:v>
                </c:pt>
                <c:pt idx="80">
                  <c:v>14161395.984181803</c:v>
                </c:pt>
                <c:pt idx="81">
                  <c:v>13417367.183247393</c:v>
                </c:pt>
                <c:pt idx="82">
                  <c:v>13769731.382312981</c:v>
                </c:pt>
                <c:pt idx="83">
                  <c:v>14754878.581378572</c:v>
                </c:pt>
                <c:pt idx="84">
                  <c:v>15788558.386490077</c:v>
                </c:pt>
                <c:pt idx="85">
                  <c:v>14751049.03981971</c:v>
                </c:pt>
                <c:pt idx="86">
                  <c:v>15389914.693149343</c:v>
                </c:pt>
                <c:pt idx="87">
                  <c:v>13876561.346478976</c:v>
                </c:pt>
                <c:pt idx="88">
                  <c:v>14211702.999808609</c:v>
                </c:pt>
                <c:pt idx="89">
                  <c:v>15055174.653138243</c:v>
                </c:pt>
                <c:pt idx="90">
                  <c:v>16754433.306467874</c:v>
                </c:pt>
                <c:pt idx="91">
                  <c:v>16753992.959797507</c:v>
                </c:pt>
                <c:pt idx="92">
                  <c:v>14523776.61312714</c:v>
                </c:pt>
                <c:pt idx="93">
                  <c:v>13812237.266456774</c:v>
                </c:pt>
                <c:pt idx="94">
                  <c:v>14497454.919786407</c:v>
                </c:pt>
                <c:pt idx="95">
                  <c:v>15707320.57311604</c:v>
                </c:pt>
                <c:pt idx="96">
                  <c:v>16124970.659739304</c:v>
                </c:pt>
                <c:pt idx="97">
                  <c:v>14767925.683730803</c:v>
                </c:pt>
                <c:pt idx="98">
                  <c:v>15713742.707722303</c:v>
                </c:pt>
                <c:pt idx="99">
                  <c:v>14335711.731713802</c:v>
                </c:pt>
                <c:pt idx="100">
                  <c:v>14570433.755705301</c:v>
                </c:pt>
                <c:pt idx="101">
                  <c:v>15207184.779696802</c:v>
                </c:pt>
                <c:pt idx="102">
                  <c:v>17067649.803688299</c:v>
                </c:pt>
                <c:pt idx="103">
                  <c:v>16466173.8276798</c:v>
                </c:pt>
                <c:pt idx="104">
                  <c:v>14997289.851671299</c:v>
                </c:pt>
                <c:pt idx="105">
                  <c:v>14525201.875662798</c:v>
                </c:pt>
                <c:pt idx="106">
                  <c:v>14789580.899654299</c:v>
                </c:pt>
                <c:pt idx="107">
                  <c:v>15248929.923645798</c:v>
                </c:pt>
                <c:pt idx="108">
                  <c:v>15984916.162170708</c:v>
                </c:pt>
                <c:pt idx="109">
                  <c:v>14775433.758234465</c:v>
                </c:pt>
                <c:pt idx="110">
                  <c:v>15102644.794298219</c:v>
                </c:pt>
                <c:pt idx="111">
                  <c:v>14096177.490361972</c:v>
                </c:pt>
                <c:pt idx="112">
                  <c:v>14561726.336425725</c:v>
                </c:pt>
                <c:pt idx="113">
                  <c:v>15556106.23248948</c:v>
                </c:pt>
                <c:pt idx="114">
                  <c:v>17398173.568553235</c:v>
                </c:pt>
                <c:pt idx="115">
                  <c:v>16751789.404616991</c:v>
                </c:pt>
                <c:pt idx="116">
                  <c:v>15120870.800680745</c:v>
                </c:pt>
                <c:pt idx="117">
                  <c:v>14429502.936744498</c:v>
                </c:pt>
                <c:pt idx="118">
                  <c:v>14351434.502808254</c:v>
                </c:pt>
                <c:pt idx="119">
                  <c:v>16012677.658872008</c:v>
                </c:pt>
              </c:numCache>
            </c:numRef>
          </c:val>
          <c:smooth val="0"/>
          <c:extLst>
            <c:ext xmlns:c16="http://schemas.microsoft.com/office/drawing/2014/chart" uri="{C3380CC4-5D6E-409C-BE32-E72D297353CC}">
              <c16:uniqueId val="{00000000-72B5-4C03-A1C2-4F4A0569D7D6}"/>
            </c:ext>
          </c:extLst>
        </c:ser>
        <c:ser>
          <c:idx val="1"/>
          <c:order val="1"/>
          <c:tx>
            <c:strRef>
              <c:f>'GS&lt;50 Predicted Monthly'!$S$1</c:f>
              <c:strCache>
                <c:ptCount val="1"/>
                <c:pt idx="0">
                  <c:v>Predicted</c:v>
                </c:pt>
              </c:strCache>
            </c:strRef>
          </c:tx>
          <c:spPr>
            <a:ln w="28575" cap="rnd">
              <a:solidFill>
                <a:schemeClr val="accent2"/>
              </a:solidFill>
              <a:round/>
            </a:ln>
            <a:effectLst/>
          </c:spPr>
          <c:marker>
            <c:symbol val="none"/>
          </c:marker>
          <c:cat>
            <c:numRef>
              <c:f>'GS&lt;50 Predicted Monthly'!$A$2:$A$141</c:f>
              <c:numCache>
                <c:formatCode>m/d/yyyy</c:formatCode>
                <c:ptCount val="140"/>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numCache>
            </c:numRef>
          </c:cat>
          <c:val>
            <c:numRef>
              <c:f>'GS&lt;50 Predicted Monthly'!$S$2:$S$141</c:f>
              <c:numCache>
                <c:formatCode>_(* #,##0_);_(* \(#,##0\);_(* "-"??_);_(@_)</c:formatCode>
                <c:ptCount val="140"/>
                <c:pt idx="0">
                  <c:v>15675548.186488783</c:v>
                </c:pt>
                <c:pt idx="1">
                  <c:v>14998740.182878038</c:v>
                </c:pt>
                <c:pt idx="2">
                  <c:v>14798276.603229219</c:v>
                </c:pt>
                <c:pt idx="3">
                  <c:v>13218527.810646545</c:v>
                </c:pt>
                <c:pt idx="4">
                  <c:v>13544694.552698405</c:v>
                </c:pt>
                <c:pt idx="5">
                  <c:v>13638858.429916129</c:v>
                </c:pt>
                <c:pt idx="6">
                  <c:v>15657518.73757736</c:v>
                </c:pt>
                <c:pt idx="7">
                  <c:v>15269786.429508369</c:v>
                </c:pt>
                <c:pt idx="8">
                  <c:v>14344975.146433368</c:v>
                </c:pt>
                <c:pt idx="9">
                  <c:v>13221587.449224237</c:v>
                </c:pt>
                <c:pt idx="10">
                  <c:v>13171676.547860874</c:v>
                </c:pt>
                <c:pt idx="11">
                  <c:v>14104402.902596163</c:v>
                </c:pt>
                <c:pt idx="12">
                  <c:v>15192008.267509043</c:v>
                </c:pt>
                <c:pt idx="13">
                  <c:v>14154910.586574528</c:v>
                </c:pt>
                <c:pt idx="14">
                  <c:v>14211562.314296581</c:v>
                </c:pt>
                <c:pt idx="15">
                  <c:v>13567633.646175306</c:v>
                </c:pt>
                <c:pt idx="16">
                  <c:v>13829295.542228919</c:v>
                </c:pt>
                <c:pt idx="17">
                  <c:v>14341676.428284941</c:v>
                </c:pt>
                <c:pt idx="18">
                  <c:v>16059068.617163356</c:v>
                </c:pt>
                <c:pt idx="19">
                  <c:v>16347680.095172161</c:v>
                </c:pt>
                <c:pt idx="20">
                  <c:v>14407396.465111628</c:v>
                </c:pt>
                <c:pt idx="21">
                  <c:v>13614841.824378427</c:v>
                </c:pt>
                <c:pt idx="22">
                  <c:v>13158122.180654714</c:v>
                </c:pt>
                <c:pt idx="23">
                  <c:v>14929464.392670296</c:v>
                </c:pt>
                <c:pt idx="24">
                  <c:v>15072044.059542995</c:v>
                </c:pt>
                <c:pt idx="25">
                  <c:v>13639898.676703323</c:v>
                </c:pt>
                <c:pt idx="26">
                  <c:v>14812970.703450255</c:v>
                </c:pt>
                <c:pt idx="27">
                  <c:v>13254035.218220785</c:v>
                </c:pt>
                <c:pt idx="28">
                  <c:v>13632168.186068133</c:v>
                </c:pt>
                <c:pt idx="29">
                  <c:v>14492281.792296927</c:v>
                </c:pt>
                <c:pt idx="30">
                  <c:v>15709484.69304619</c:v>
                </c:pt>
                <c:pt idx="31">
                  <c:v>15314611.410458293</c:v>
                </c:pt>
                <c:pt idx="32">
                  <c:v>14084994.212491304</c:v>
                </c:pt>
                <c:pt idx="33">
                  <c:v>13836520.076323356</c:v>
                </c:pt>
                <c:pt idx="34">
                  <c:v>13729281.816823965</c:v>
                </c:pt>
                <c:pt idx="35">
                  <c:v>15516337.839137968</c:v>
                </c:pt>
                <c:pt idx="36">
                  <c:v>15690664.732702842</c:v>
                </c:pt>
                <c:pt idx="37">
                  <c:v>13858094.510792814</c:v>
                </c:pt>
                <c:pt idx="38">
                  <c:v>14830042.463207504</c:v>
                </c:pt>
                <c:pt idx="39">
                  <c:v>13915216.336912617</c:v>
                </c:pt>
                <c:pt idx="40">
                  <c:v>13965104.6008357</c:v>
                </c:pt>
                <c:pt idx="41">
                  <c:v>14571999.074508958</c:v>
                </c:pt>
                <c:pt idx="42">
                  <c:v>16552701.935562605</c:v>
                </c:pt>
                <c:pt idx="43">
                  <c:v>16590774.070258357</c:v>
                </c:pt>
                <c:pt idx="44">
                  <c:v>14616824.770300679</c:v>
                </c:pt>
                <c:pt idx="45">
                  <c:v>13999745.845924491</c:v>
                </c:pt>
                <c:pt idx="46">
                  <c:v>14292451.06792848</c:v>
                </c:pt>
                <c:pt idx="47">
                  <c:v>15138691.144189555</c:v>
                </c:pt>
                <c:pt idx="48">
                  <c:v>15984725.375560433</c:v>
                </c:pt>
                <c:pt idx="49">
                  <c:v>14351295.885809422</c:v>
                </c:pt>
                <c:pt idx="50">
                  <c:v>15108067.424337927</c:v>
                </c:pt>
                <c:pt idx="51">
                  <c:v>13821753.459339544</c:v>
                </c:pt>
                <c:pt idx="52">
                  <c:v>13750050.468699116</c:v>
                </c:pt>
                <c:pt idx="53">
                  <c:v>14136200.203372544</c:v>
                </c:pt>
                <c:pt idx="54">
                  <c:v>16477225.166105717</c:v>
                </c:pt>
                <c:pt idx="55">
                  <c:v>15878920.411813186</c:v>
                </c:pt>
                <c:pt idx="56">
                  <c:v>14262569.51088495</c:v>
                </c:pt>
                <c:pt idx="57">
                  <c:v>13594635.989456577</c:v>
                </c:pt>
                <c:pt idx="58">
                  <c:v>14242340.665620444</c:v>
                </c:pt>
                <c:pt idx="59">
                  <c:v>15065792.879806111</c:v>
                </c:pt>
                <c:pt idx="60">
                  <c:v>15186640.439907216</c:v>
                </c:pt>
                <c:pt idx="61">
                  <c:v>14531387.464649284</c:v>
                </c:pt>
                <c:pt idx="62">
                  <c:v>14474198.48026743</c:v>
                </c:pt>
                <c:pt idx="63">
                  <c:v>13192224.050345536</c:v>
                </c:pt>
                <c:pt idx="64">
                  <c:v>13404803.217843451</c:v>
                </c:pt>
                <c:pt idx="65">
                  <c:v>14384853.199943002</c:v>
                </c:pt>
                <c:pt idx="66">
                  <c:v>17525018.497327365</c:v>
                </c:pt>
                <c:pt idx="67">
                  <c:v>16591553.535463782</c:v>
                </c:pt>
                <c:pt idx="68">
                  <c:v>14555429.054899044</c:v>
                </c:pt>
                <c:pt idx="69">
                  <c:v>13887230.054357776</c:v>
                </c:pt>
                <c:pt idx="70">
                  <c:v>13859381.245180761</c:v>
                </c:pt>
                <c:pt idx="71">
                  <c:v>15333254.338187594</c:v>
                </c:pt>
                <c:pt idx="72">
                  <c:v>15664249.597422883</c:v>
                </c:pt>
                <c:pt idx="73">
                  <c:v>14751620.692602862</c:v>
                </c:pt>
                <c:pt idx="74">
                  <c:v>14846533.740866778</c:v>
                </c:pt>
                <c:pt idx="75">
                  <c:v>13851651.401888546</c:v>
                </c:pt>
                <c:pt idx="76">
                  <c:v>14220487.444130382</c:v>
                </c:pt>
                <c:pt idx="77">
                  <c:v>15476557.090401761</c:v>
                </c:pt>
                <c:pt idx="78">
                  <c:v>16297688.325975439</c:v>
                </c:pt>
                <c:pt idx="79">
                  <c:v>17052677.059499025</c:v>
                </c:pt>
                <c:pt idx="80">
                  <c:v>14551294.670169532</c:v>
                </c:pt>
                <c:pt idx="81">
                  <c:v>14392653.412554618</c:v>
                </c:pt>
                <c:pt idx="82">
                  <c:v>14191186.550768666</c:v>
                </c:pt>
                <c:pt idx="83">
                  <c:v>15227143.639688358</c:v>
                </c:pt>
                <c:pt idx="84">
                  <c:v>16514785.020633463</c:v>
                </c:pt>
                <c:pt idx="85">
                  <c:v>14659240.642797088</c:v>
                </c:pt>
                <c:pt idx="86">
                  <c:v>15139384.394140517</c:v>
                </c:pt>
                <c:pt idx="87">
                  <c:v>14133891.409941304</c:v>
                </c:pt>
                <c:pt idx="88">
                  <c:v>14439399.153985888</c:v>
                </c:pt>
                <c:pt idx="89">
                  <c:v>15028128.878171291</c:v>
                </c:pt>
                <c:pt idx="90">
                  <c:v>16579874.193427995</c:v>
                </c:pt>
                <c:pt idx="91">
                  <c:v>16574039.958477115</c:v>
                </c:pt>
                <c:pt idx="92">
                  <c:v>14649855.725979</c:v>
                </c:pt>
                <c:pt idx="93">
                  <c:v>14075550.912225921</c:v>
                </c:pt>
                <c:pt idx="94">
                  <c:v>14197994.967878615</c:v>
                </c:pt>
                <c:pt idx="95">
                  <c:v>15488885.801580433</c:v>
                </c:pt>
                <c:pt idx="96">
                  <c:v>15648262.807177827</c:v>
                </c:pt>
                <c:pt idx="97">
                  <c:v>14379759.175791577</c:v>
                </c:pt>
                <c:pt idx="98">
                  <c:v>15242348.134212729</c:v>
                </c:pt>
                <c:pt idx="99">
                  <c:v>14120154.562964007</c:v>
                </c:pt>
                <c:pt idx="100">
                  <c:v>14337646.505233202</c:v>
                </c:pt>
                <c:pt idx="101">
                  <c:v>15106316.815648381</c:v>
                </c:pt>
                <c:pt idx="102">
                  <c:v>16767142.089636786</c:v>
                </c:pt>
                <c:pt idx="103">
                  <c:v>15899906.007795377</c:v>
                </c:pt>
                <c:pt idx="104">
                  <c:v>14690103.522590648</c:v>
                </c:pt>
                <c:pt idx="105">
                  <c:v>14461848.692151653</c:v>
                </c:pt>
                <c:pt idx="106">
                  <c:v>14288476.12776494</c:v>
                </c:pt>
                <c:pt idx="107">
                  <c:v>15123506.338898683</c:v>
                </c:pt>
                <c:pt idx="108">
                  <c:v>15835225.146349078</c:v>
                </c:pt>
                <c:pt idx="109">
                  <c:v>14680929.245120134</c:v>
                </c:pt>
                <c:pt idx="110">
                  <c:v>14906565.802599922</c:v>
                </c:pt>
                <c:pt idx="111">
                  <c:v>13923291.911445156</c:v>
                </c:pt>
                <c:pt idx="112">
                  <c:v>14294335.650607107</c:v>
                </c:pt>
                <c:pt idx="113">
                  <c:v>15204546.564705772</c:v>
                </c:pt>
                <c:pt idx="114">
                  <c:v>16694075.912781408</c:v>
                </c:pt>
                <c:pt idx="115">
                  <c:v>16440089.530980874</c:v>
                </c:pt>
                <c:pt idx="116">
                  <c:v>14853246.894319871</c:v>
                </c:pt>
                <c:pt idx="117">
                  <c:v>14331644.817431726</c:v>
                </c:pt>
                <c:pt idx="118">
                  <c:v>14156843.292373328</c:v>
                </c:pt>
                <c:pt idx="119">
                  <c:v>15614751.689054638</c:v>
                </c:pt>
              </c:numCache>
            </c:numRef>
          </c:val>
          <c:smooth val="0"/>
          <c:extLst>
            <c:ext xmlns:c16="http://schemas.microsoft.com/office/drawing/2014/chart" uri="{C3380CC4-5D6E-409C-BE32-E72D297353CC}">
              <c16:uniqueId val="{00000001-72B5-4C03-A1C2-4F4A0569D7D6}"/>
            </c:ext>
          </c:extLst>
        </c:ser>
        <c:dLbls>
          <c:showLegendKey val="0"/>
          <c:showVal val="0"/>
          <c:showCatName val="0"/>
          <c:showSerName val="0"/>
          <c:showPercent val="0"/>
          <c:showBubbleSize val="0"/>
        </c:dLbls>
        <c:smooth val="0"/>
        <c:axId val="175301760"/>
        <c:axId val="175303680"/>
      </c:lineChart>
      <c:dateAx>
        <c:axId val="175301760"/>
        <c:scaling>
          <c:orientation val="minMax"/>
        </c:scaling>
        <c:delete val="0"/>
        <c:axPos val="b"/>
        <c:title>
          <c:tx>
            <c:rich>
              <a:bodyPr/>
              <a:lstStyle/>
              <a:p>
                <a:pPr>
                  <a:defRPr/>
                </a:pPr>
                <a:r>
                  <a:rPr lang="en-US"/>
                  <a:t>Month</a:t>
                </a:r>
              </a:p>
            </c:rich>
          </c:tx>
          <c:overlay val="0"/>
        </c:title>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303680"/>
        <c:crosses val="autoZero"/>
        <c:auto val="1"/>
        <c:lblOffset val="100"/>
        <c:baseTimeUnit val="months"/>
      </c:dateAx>
      <c:valAx>
        <c:axId val="175303680"/>
        <c:scaling>
          <c:orientation val="minMax"/>
          <c:min val="800000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t>Monthly Consumption (kWh)</a:t>
                </a:r>
              </a:p>
            </c:rich>
          </c:tx>
          <c:overlay val="0"/>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301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27.xml"/><Relationship Id="rId3" Type="http://schemas.openxmlformats.org/officeDocument/2006/relationships/chart" Target="../charts/chart22.xml"/><Relationship Id="rId7" Type="http://schemas.openxmlformats.org/officeDocument/2006/relationships/chart" Target="../charts/chart26.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10" Type="http://schemas.openxmlformats.org/officeDocument/2006/relationships/chart" Target="../charts/chart29.xml"/><Relationship Id="rId4" Type="http://schemas.openxmlformats.org/officeDocument/2006/relationships/chart" Target="../charts/chart23.xml"/><Relationship Id="rId9" Type="http://schemas.openxmlformats.org/officeDocument/2006/relationships/chart" Target="../charts/chart28.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25</xdr:col>
      <xdr:colOff>250507</xdr:colOff>
      <xdr:row>195</xdr:row>
      <xdr:rowOff>24765</xdr:rowOff>
    </xdr:from>
    <xdr:to>
      <xdr:col>33</xdr:col>
      <xdr:colOff>896302</xdr:colOff>
      <xdr:row>212</xdr:row>
      <xdr:rowOff>15240</xdr:rowOff>
    </xdr:to>
    <xdr:graphicFrame macro="">
      <xdr:nvGraphicFramePr>
        <xdr:cNvPr id="8" name="Chart 7">
          <a:extLst>
            <a:ext uri="{FF2B5EF4-FFF2-40B4-BE49-F238E27FC236}">
              <a16:creationId xmlns:a16="http://schemas.microsoft.com/office/drawing/2014/main" id="{6182FF06-B730-40FE-A759-8412C69312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421005</xdr:colOff>
      <xdr:row>212</xdr:row>
      <xdr:rowOff>161925</xdr:rowOff>
    </xdr:from>
    <xdr:to>
      <xdr:col>33</xdr:col>
      <xdr:colOff>1055370</xdr:colOff>
      <xdr:row>229</xdr:row>
      <xdr:rowOff>152400</xdr:rowOff>
    </xdr:to>
    <xdr:graphicFrame macro="">
      <xdr:nvGraphicFramePr>
        <xdr:cNvPr id="9" name="Chart 8">
          <a:extLst>
            <a:ext uri="{FF2B5EF4-FFF2-40B4-BE49-F238E27FC236}">
              <a16:creationId xmlns:a16="http://schemas.microsoft.com/office/drawing/2014/main" id="{3C43F0D0-B4ED-499A-896E-B8C006B48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344805</xdr:colOff>
      <xdr:row>231</xdr:row>
      <xdr:rowOff>91440</xdr:rowOff>
    </xdr:from>
    <xdr:to>
      <xdr:col>33</xdr:col>
      <xdr:colOff>986790</xdr:colOff>
      <xdr:row>248</xdr:row>
      <xdr:rowOff>91440</xdr:rowOff>
    </xdr:to>
    <xdr:graphicFrame macro="">
      <xdr:nvGraphicFramePr>
        <xdr:cNvPr id="10" name="Chart 9">
          <a:extLst>
            <a:ext uri="{FF2B5EF4-FFF2-40B4-BE49-F238E27FC236}">
              <a16:creationId xmlns:a16="http://schemas.microsoft.com/office/drawing/2014/main" id="{DB8B8257-E742-406A-B896-CC5DEDF513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38</xdr:col>
      <xdr:colOff>400685</xdr:colOff>
      <xdr:row>213</xdr:row>
      <xdr:rowOff>55880</xdr:rowOff>
    </xdr:from>
    <xdr:to>
      <xdr:col>48</xdr:col>
      <xdr:colOff>312420</xdr:colOff>
      <xdr:row>234</xdr:row>
      <xdr:rowOff>91440</xdr:rowOff>
    </xdr:to>
    <xdr:graphicFrame macro="">
      <xdr:nvGraphicFramePr>
        <xdr:cNvPr id="7" name="Chart 6">
          <a:extLst>
            <a:ext uri="{FF2B5EF4-FFF2-40B4-BE49-F238E27FC236}">
              <a16:creationId xmlns:a16="http://schemas.microsoft.com/office/drawing/2014/main" id="{A0DD0EDB-12CF-4CD6-B77E-9B2C6A5B89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123</xdr:col>
      <xdr:colOff>390525</xdr:colOff>
      <xdr:row>8</xdr:row>
      <xdr:rowOff>152400</xdr:rowOff>
    </xdr:from>
    <xdr:to>
      <xdr:col>132</xdr:col>
      <xdr:colOff>560388</xdr:colOff>
      <xdr:row>27</xdr:row>
      <xdr:rowOff>134938</xdr:rowOff>
    </xdr:to>
    <xdr:graphicFrame macro="">
      <xdr:nvGraphicFramePr>
        <xdr:cNvPr id="3" name="Chart 2">
          <a:extLst>
            <a:ext uri="{FF2B5EF4-FFF2-40B4-BE49-F238E27FC236}">
              <a16:creationId xmlns:a16="http://schemas.microsoft.com/office/drawing/2014/main" id="{FE6A5DF1-FCD2-4801-A04B-106D0AC40B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123</xdr:col>
      <xdr:colOff>379413</xdr:colOff>
      <xdr:row>29</xdr:row>
      <xdr:rowOff>36513</xdr:rowOff>
    </xdr:from>
    <xdr:to>
      <xdr:col>132</xdr:col>
      <xdr:colOff>534988</xdr:colOff>
      <xdr:row>47</xdr:row>
      <xdr:rowOff>96838</xdr:rowOff>
    </xdr:to>
    <xdr:graphicFrame macro="">
      <xdr:nvGraphicFramePr>
        <xdr:cNvPr id="4" name="Chart 3">
          <a:extLst>
            <a:ext uri="{FF2B5EF4-FFF2-40B4-BE49-F238E27FC236}">
              <a16:creationId xmlns:a16="http://schemas.microsoft.com/office/drawing/2014/main" id="{45E5D7D2-22EC-469C-976A-68FB4A7E43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123</xdr:col>
      <xdr:colOff>447674</xdr:colOff>
      <xdr:row>49</xdr:row>
      <xdr:rowOff>166689</xdr:rowOff>
    </xdr:from>
    <xdr:to>
      <xdr:col>133</xdr:col>
      <xdr:colOff>19049</xdr:colOff>
      <xdr:row>68</xdr:row>
      <xdr:rowOff>65089</xdr:rowOff>
    </xdr:to>
    <xdr:graphicFrame macro="">
      <xdr:nvGraphicFramePr>
        <xdr:cNvPr id="11" name="Chart 10">
          <a:extLst>
            <a:ext uri="{FF2B5EF4-FFF2-40B4-BE49-F238E27FC236}">
              <a16:creationId xmlns:a16="http://schemas.microsoft.com/office/drawing/2014/main" id="{77EAD0FA-8407-4128-88F0-4F38EE3EB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22</xdr:col>
      <xdr:colOff>91755</xdr:colOff>
      <xdr:row>2</xdr:row>
      <xdr:rowOff>152400</xdr:rowOff>
    </xdr:from>
    <xdr:to>
      <xdr:col>36</xdr:col>
      <xdr:colOff>546734</xdr:colOff>
      <xdr:row>27</xdr:row>
      <xdr:rowOff>160655</xdr:rowOff>
    </xdr:to>
    <xdr:graphicFrame macro="">
      <xdr:nvGraphicFramePr>
        <xdr:cNvPr id="2" name="Chart 1">
          <a:extLst>
            <a:ext uri="{FF2B5EF4-FFF2-40B4-BE49-F238E27FC236}">
              <a16:creationId xmlns:a16="http://schemas.microsoft.com/office/drawing/2014/main" id="{1169C4AB-0AAA-490A-85DF-1F82CBBBA3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86676</xdr:colOff>
      <xdr:row>2</xdr:row>
      <xdr:rowOff>49530</xdr:rowOff>
    </xdr:from>
    <xdr:to>
      <xdr:col>35</xdr:col>
      <xdr:colOff>268604</xdr:colOff>
      <xdr:row>27</xdr:row>
      <xdr:rowOff>53340</xdr:rowOff>
    </xdr:to>
    <xdr:graphicFrame macro="">
      <xdr:nvGraphicFramePr>
        <xdr:cNvPr id="2" name="Chart 1">
          <a:extLst>
            <a:ext uri="{FF2B5EF4-FFF2-40B4-BE49-F238E27FC236}">
              <a16:creationId xmlns:a16="http://schemas.microsoft.com/office/drawing/2014/main" id="{CE1ED790-0326-418E-9571-FE68985A45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122236</xdr:colOff>
      <xdr:row>18</xdr:row>
      <xdr:rowOff>104774</xdr:rowOff>
    </xdr:from>
    <xdr:to>
      <xdr:col>10</xdr:col>
      <xdr:colOff>781050</xdr:colOff>
      <xdr:row>40</xdr:row>
      <xdr:rowOff>31749</xdr:rowOff>
    </xdr:to>
    <xdr:graphicFrame macro="">
      <xdr:nvGraphicFramePr>
        <xdr:cNvPr id="2" name="Chart 1">
          <a:extLst>
            <a:ext uri="{FF2B5EF4-FFF2-40B4-BE49-F238E27FC236}">
              <a16:creationId xmlns:a16="http://schemas.microsoft.com/office/drawing/2014/main" id="{77EC5470-2573-4812-8C56-A375D48556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228600</xdr:colOff>
      <xdr:row>18</xdr:row>
      <xdr:rowOff>63500</xdr:rowOff>
    </xdr:from>
    <xdr:to>
      <xdr:col>22</xdr:col>
      <xdr:colOff>196850</xdr:colOff>
      <xdr:row>39</xdr:row>
      <xdr:rowOff>142875</xdr:rowOff>
    </xdr:to>
    <xdr:graphicFrame macro="">
      <xdr:nvGraphicFramePr>
        <xdr:cNvPr id="3" name="Chart 2">
          <a:extLst>
            <a:ext uri="{FF2B5EF4-FFF2-40B4-BE49-F238E27FC236}">
              <a16:creationId xmlns:a16="http://schemas.microsoft.com/office/drawing/2014/main" id="{B207334A-4535-49F6-B963-9DF4E61F93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122235</xdr:colOff>
      <xdr:row>18</xdr:row>
      <xdr:rowOff>104774</xdr:rowOff>
    </xdr:from>
    <xdr:to>
      <xdr:col>33</xdr:col>
      <xdr:colOff>31749</xdr:colOff>
      <xdr:row>38</xdr:row>
      <xdr:rowOff>133349</xdr:rowOff>
    </xdr:to>
    <xdr:graphicFrame macro="">
      <xdr:nvGraphicFramePr>
        <xdr:cNvPr id="4" name="Chart 3">
          <a:extLst>
            <a:ext uri="{FF2B5EF4-FFF2-40B4-BE49-F238E27FC236}">
              <a16:creationId xmlns:a16="http://schemas.microsoft.com/office/drawing/2014/main" id="{C179CB86-EF05-4293-9BF9-C3CE5E30A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177800</xdr:colOff>
      <xdr:row>18</xdr:row>
      <xdr:rowOff>76200</xdr:rowOff>
    </xdr:from>
    <xdr:to>
      <xdr:col>40</xdr:col>
      <xdr:colOff>171450</xdr:colOff>
      <xdr:row>36</xdr:row>
      <xdr:rowOff>38100</xdr:rowOff>
    </xdr:to>
    <xdr:graphicFrame macro="">
      <xdr:nvGraphicFramePr>
        <xdr:cNvPr id="5" name="Chart 4">
          <a:extLst>
            <a:ext uri="{FF2B5EF4-FFF2-40B4-BE49-F238E27FC236}">
              <a16:creationId xmlns:a16="http://schemas.microsoft.com/office/drawing/2014/main" id="{C1D7B650-B93B-4A6B-BC1A-C8DC8DAAC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126998</xdr:colOff>
      <xdr:row>37</xdr:row>
      <xdr:rowOff>95250</xdr:rowOff>
    </xdr:from>
    <xdr:to>
      <xdr:col>40</xdr:col>
      <xdr:colOff>266699</xdr:colOff>
      <xdr:row>53</xdr:row>
      <xdr:rowOff>9525</xdr:rowOff>
    </xdr:to>
    <xdr:graphicFrame macro="">
      <xdr:nvGraphicFramePr>
        <xdr:cNvPr id="6" name="Chart 5">
          <a:extLst>
            <a:ext uri="{FF2B5EF4-FFF2-40B4-BE49-F238E27FC236}">
              <a16:creationId xmlns:a16="http://schemas.microsoft.com/office/drawing/2014/main" id="{AD65ED44-DEA9-4369-A6E4-F18A7F7798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41</xdr:col>
      <xdr:colOff>76200</xdr:colOff>
      <xdr:row>17</xdr:row>
      <xdr:rowOff>120650</xdr:rowOff>
    </xdr:from>
    <xdr:to>
      <xdr:col>48</xdr:col>
      <xdr:colOff>301625</xdr:colOff>
      <xdr:row>35</xdr:row>
      <xdr:rowOff>149225</xdr:rowOff>
    </xdr:to>
    <xdr:graphicFrame macro="">
      <xdr:nvGraphicFramePr>
        <xdr:cNvPr id="7" name="Chart 6">
          <a:extLst>
            <a:ext uri="{FF2B5EF4-FFF2-40B4-BE49-F238E27FC236}">
              <a16:creationId xmlns:a16="http://schemas.microsoft.com/office/drawing/2014/main" id="{44E4D4AA-714F-4FCE-BEC7-D02D6565B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41</xdr:col>
      <xdr:colOff>139700</xdr:colOff>
      <xdr:row>37</xdr:row>
      <xdr:rowOff>66675</xdr:rowOff>
    </xdr:from>
    <xdr:to>
      <xdr:col>48</xdr:col>
      <xdr:colOff>438150</xdr:colOff>
      <xdr:row>53</xdr:row>
      <xdr:rowOff>66675</xdr:rowOff>
    </xdr:to>
    <xdr:graphicFrame macro="">
      <xdr:nvGraphicFramePr>
        <xdr:cNvPr id="8" name="Chart 7">
          <a:extLst>
            <a:ext uri="{FF2B5EF4-FFF2-40B4-BE49-F238E27FC236}">
              <a16:creationId xmlns:a16="http://schemas.microsoft.com/office/drawing/2014/main" id="{E7106142-F296-4EFA-ACBE-ABB7D55E1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122236</xdr:colOff>
      <xdr:row>61</xdr:row>
      <xdr:rowOff>104774</xdr:rowOff>
    </xdr:from>
    <xdr:to>
      <xdr:col>10</xdr:col>
      <xdr:colOff>781050</xdr:colOff>
      <xdr:row>83</xdr:row>
      <xdr:rowOff>31749</xdr:rowOff>
    </xdr:to>
    <xdr:graphicFrame macro="">
      <xdr:nvGraphicFramePr>
        <xdr:cNvPr id="9" name="Chart 8">
          <a:extLst>
            <a:ext uri="{FF2B5EF4-FFF2-40B4-BE49-F238E27FC236}">
              <a16:creationId xmlns:a16="http://schemas.microsoft.com/office/drawing/2014/main" id="{39ACA521-3A13-442F-BB11-8D015FE586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228600</xdr:colOff>
      <xdr:row>61</xdr:row>
      <xdr:rowOff>63500</xdr:rowOff>
    </xdr:from>
    <xdr:to>
      <xdr:col>22</xdr:col>
      <xdr:colOff>196850</xdr:colOff>
      <xdr:row>82</xdr:row>
      <xdr:rowOff>142875</xdr:rowOff>
    </xdr:to>
    <xdr:graphicFrame macro="">
      <xdr:nvGraphicFramePr>
        <xdr:cNvPr id="10" name="Chart 9">
          <a:extLst>
            <a:ext uri="{FF2B5EF4-FFF2-40B4-BE49-F238E27FC236}">
              <a16:creationId xmlns:a16="http://schemas.microsoft.com/office/drawing/2014/main" id="{18F3309F-B253-4BF7-AF29-430166367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122235</xdr:colOff>
      <xdr:row>61</xdr:row>
      <xdr:rowOff>104774</xdr:rowOff>
    </xdr:from>
    <xdr:to>
      <xdr:col>33</xdr:col>
      <xdr:colOff>31749</xdr:colOff>
      <xdr:row>81</xdr:row>
      <xdr:rowOff>133349</xdr:rowOff>
    </xdr:to>
    <xdr:graphicFrame macro="">
      <xdr:nvGraphicFramePr>
        <xdr:cNvPr id="11" name="Chart 10">
          <a:extLst>
            <a:ext uri="{FF2B5EF4-FFF2-40B4-BE49-F238E27FC236}">
              <a16:creationId xmlns:a16="http://schemas.microsoft.com/office/drawing/2014/main" id="{6E27C60D-1488-456F-A928-ABF86B42A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147637</xdr:colOff>
      <xdr:row>28</xdr:row>
      <xdr:rowOff>128587</xdr:rowOff>
    </xdr:from>
    <xdr:to>
      <xdr:col>8</xdr:col>
      <xdr:colOff>395287</xdr:colOff>
      <xdr:row>45</xdr:row>
      <xdr:rowOff>119062</xdr:rowOff>
    </xdr:to>
    <xdr:graphicFrame macro="">
      <xdr:nvGraphicFramePr>
        <xdr:cNvPr id="2" name="Chart 1">
          <a:extLst>
            <a:ext uri="{FF2B5EF4-FFF2-40B4-BE49-F238E27FC236}">
              <a16:creationId xmlns:a16="http://schemas.microsoft.com/office/drawing/2014/main" id="{45864834-8FA9-40BB-B627-5873514A76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238125</xdr:colOff>
      <xdr:row>28</xdr:row>
      <xdr:rowOff>114300</xdr:rowOff>
    </xdr:from>
    <xdr:to>
      <xdr:col>16</xdr:col>
      <xdr:colOff>352425</xdr:colOff>
      <xdr:row>45</xdr:row>
      <xdr:rowOff>104775</xdr:rowOff>
    </xdr:to>
    <xdr:graphicFrame macro="">
      <xdr:nvGraphicFramePr>
        <xdr:cNvPr id="3" name="Chart 2">
          <a:extLst>
            <a:ext uri="{FF2B5EF4-FFF2-40B4-BE49-F238E27FC236}">
              <a16:creationId xmlns:a16="http://schemas.microsoft.com/office/drawing/2014/main" id="{FC1B1688-285F-41BE-B46D-6BD238C811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147637</xdr:colOff>
      <xdr:row>37</xdr:row>
      <xdr:rowOff>128587</xdr:rowOff>
    </xdr:from>
    <xdr:to>
      <xdr:col>8</xdr:col>
      <xdr:colOff>395287</xdr:colOff>
      <xdr:row>54</xdr:row>
      <xdr:rowOff>119062</xdr:rowOff>
    </xdr:to>
    <xdr:graphicFrame macro="">
      <xdr:nvGraphicFramePr>
        <xdr:cNvPr id="2" name="Chart 1">
          <a:extLst>
            <a:ext uri="{FF2B5EF4-FFF2-40B4-BE49-F238E27FC236}">
              <a16:creationId xmlns:a16="http://schemas.microsoft.com/office/drawing/2014/main" id="{1AD5ACD0-B008-4FED-9485-281759ECE6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238125</xdr:colOff>
      <xdr:row>37</xdr:row>
      <xdr:rowOff>114300</xdr:rowOff>
    </xdr:from>
    <xdr:to>
      <xdr:col>16</xdr:col>
      <xdr:colOff>352425</xdr:colOff>
      <xdr:row>54</xdr:row>
      <xdr:rowOff>104775</xdr:rowOff>
    </xdr:to>
    <xdr:graphicFrame macro="">
      <xdr:nvGraphicFramePr>
        <xdr:cNvPr id="3" name="Chart 2">
          <a:extLst>
            <a:ext uri="{FF2B5EF4-FFF2-40B4-BE49-F238E27FC236}">
              <a16:creationId xmlns:a16="http://schemas.microsoft.com/office/drawing/2014/main" id="{28E99C93-317F-43A6-BFF7-D169D5EDA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24</xdr:col>
      <xdr:colOff>296861</xdr:colOff>
      <xdr:row>1</xdr:row>
      <xdr:rowOff>158750</xdr:rowOff>
    </xdr:from>
    <xdr:to>
      <xdr:col>34</xdr:col>
      <xdr:colOff>238124</xdr:colOff>
      <xdr:row>20</xdr:row>
      <xdr:rowOff>66675</xdr:rowOff>
    </xdr:to>
    <xdr:graphicFrame macro="">
      <xdr:nvGraphicFramePr>
        <xdr:cNvPr id="2" name="Chart 1">
          <a:extLst>
            <a:ext uri="{FF2B5EF4-FFF2-40B4-BE49-F238E27FC236}">
              <a16:creationId xmlns:a16="http://schemas.microsoft.com/office/drawing/2014/main" id="{F22CAA7B-3B25-ECDC-622A-B2CE23FA90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19</xdr:col>
      <xdr:colOff>817561</xdr:colOff>
      <xdr:row>28</xdr:row>
      <xdr:rowOff>38100</xdr:rowOff>
    </xdr:from>
    <xdr:to>
      <xdr:col>33</xdr:col>
      <xdr:colOff>31749</xdr:colOff>
      <xdr:row>55</xdr:row>
      <xdr:rowOff>95250</xdr:rowOff>
    </xdr:to>
    <xdr:graphicFrame macro="">
      <xdr:nvGraphicFramePr>
        <xdr:cNvPr id="2" name="Chart 1">
          <a:extLst>
            <a:ext uri="{FF2B5EF4-FFF2-40B4-BE49-F238E27FC236}">
              <a16:creationId xmlns:a16="http://schemas.microsoft.com/office/drawing/2014/main" id="{5A9C5335-E387-4EA7-94A6-7F0B39647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22</xdr:col>
      <xdr:colOff>417511</xdr:colOff>
      <xdr:row>27</xdr:row>
      <xdr:rowOff>15875</xdr:rowOff>
    </xdr:from>
    <xdr:to>
      <xdr:col>36</xdr:col>
      <xdr:colOff>3174</xdr:colOff>
      <xdr:row>52</xdr:row>
      <xdr:rowOff>28575</xdr:rowOff>
    </xdr:to>
    <xdr:graphicFrame macro="">
      <xdr:nvGraphicFramePr>
        <xdr:cNvPr id="2" name="Chart 1">
          <a:extLst>
            <a:ext uri="{FF2B5EF4-FFF2-40B4-BE49-F238E27FC236}">
              <a16:creationId xmlns:a16="http://schemas.microsoft.com/office/drawing/2014/main" id="{142A0542-330B-41E3-BBDD-1231783A3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255586</xdr:colOff>
      <xdr:row>28</xdr:row>
      <xdr:rowOff>6350</xdr:rowOff>
    </xdr:from>
    <xdr:to>
      <xdr:col>34</xdr:col>
      <xdr:colOff>488949</xdr:colOff>
      <xdr:row>53</xdr:row>
      <xdr:rowOff>15875</xdr:rowOff>
    </xdr:to>
    <xdr:graphicFrame macro="">
      <xdr:nvGraphicFramePr>
        <xdr:cNvPr id="2" name="Chart 1">
          <a:extLst>
            <a:ext uri="{FF2B5EF4-FFF2-40B4-BE49-F238E27FC236}">
              <a16:creationId xmlns:a16="http://schemas.microsoft.com/office/drawing/2014/main" id="{523750A9-72AD-4F95-9416-A81CF6D566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57151</xdr:colOff>
      <xdr:row>18</xdr:row>
      <xdr:rowOff>19050</xdr:rowOff>
    </xdr:from>
    <xdr:to>
      <xdr:col>5</xdr:col>
      <xdr:colOff>1162050</xdr:colOff>
      <xdr:row>37</xdr:row>
      <xdr:rowOff>66674</xdr:rowOff>
    </xdr:to>
    <xdr:graphicFrame macro="">
      <xdr:nvGraphicFramePr>
        <xdr:cNvPr id="5" name="Chart 4">
          <a:extLst>
            <a:ext uri="{FF2B5EF4-FFF2-40B4-BE49-F238E27FC236}">
              <a16:creationId xmlns:a16="http://schemas.microsoft.com/office/drawing/2014/main" id="{67590AFF-BB6F-4DED-9880-DF110456E8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171449</xdr:colOff>
      <xdr:row>18</xdr:row>
      <xdr:rowOff>1</xdr:rowOff>
    </xdr:from>
    <xdr:to>
      <xdr:col>11</xdr:col>
      <xdr:colOff>1038225</xdr:colOff>
      <xdr:row>37</xdr:row>
      <xdr:rowOff>133350</xdr:rowOff>
    </xdr:to>
    <xdr:graphicFrame macro="">
      <xdr:nvGraphicFramePr>
        <xdr:cNvPr id="6" name="Chart 5">
          <a:extLst>
            <a:ext uri="{FF2B5EF4-FFF2-40B4-BE49-F238E27FC236}">
              <a16:creationId xmlns:a16="http://schemas.microsoft.com/office/drawing/2014/main" id="{2D0E956E-CA50-4E8E-9AC9-5C37805A2F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47625</xdr:colOff>
      <xdr:row>18</xdr:row>
      <xdr:rowOff>0</xdr:rowOff>
    </xdr:from>
    <xdr:to>
      <xdr:col>17</xdr:col>
      <xdr:colOff>1257300</xdr:colOff>
      <xdr:row>37</xdr:row>
      <xdr:rowOff>85725</xdr:rowOff>
    </xdr:to>
    <xdr:graphicFrame macro="">
      <xdr:nvGraphicFramePr>
        <xdr:cNvPr id="7" name="Chart 6">
          <a:extLst>
            <a:ext uri="{FF2B5EF4-FFF2-40B4-BE49-F238E27FC236}">
              <a16:creationId xmlns:a16="http://schemas.microsoft.com/office/drawing/2014/main" id="{93C8B755-117E-4AC4-8DC7-99FA99E08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17</xdr:col>
      <xdr:colOff>507681</xdr:colOff>
      <xdr:row>4</xdr:row>
      <xdr:rowOff>30480</xdr:rowOff>
    </xdr:from>
    <xdr:to>
      <xdr:col>31</xdr:col>
      <xdr:colOff>335279</xdr:colOff>
      <xdr:row>29</xdr:row>
      <xdr:rowOff>34290</xdr:rowOff>
    </xdr:to>
    <xdr:graphicFrame macro="">
      <xdr:nvGraphicFramePr>
        <xdr:cNvPr id="2" name="Chart 1">
          <a:extLst>
            <a:ext uri="{FF2B5EF4-FFF2-40B4-BE49-F238E27FC236}">
              <a16:creationId xmlns:a16="http://schemas.microsoft.com/office/drawing/2014/main" id="{42F9CC11-B6D9-4D70-863D-8AAC06517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20</xdr:col>
      <xdr:colOff>72705</xdr:colOff>
      <xdr:row>3</xdr:row>
      <xdr:rowOff>133350</xdr:rowOff>
    </xdr:from>
    <xdr:to>
      <xdr:col>34</xdr:col>
      <xdr:colOff>527684</xdr:colOff>
      <xdr:row>28</xdr:row>
      <xdr:rowOff>141605</xdr:rowOff>
    </xdr:to>
    <xdr:graphicFrame macro="">
      <xdr:nvGraphicFramePr>
        <xdr:cNvPr id="2" name="Chart 1">
          <a:extLst>
            <a:ext uri="{FF2B5EF4-FFF2-40B4-BE49-F238E27FC236}">
              <a16:creationId xmlns:a16="http://schemas.microsoft.com/office/drawing/2014/main" id="{E34FA056-E3C1-4B9E-BDD3-ABE97F8A0E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19</xdr:col>
      <xdr:colOff>216216</xdr:colOff>
      <xdr:row>2</xdr:row>
      <xdr:rowOff>59055</xdr:rowOff>
    </xdr:from>
    <xdr:to>
      <xdr:col>32</xdr:col>
      <xdr:colOff>403859</xdr:colOff>
      <xdr:row>27</xdr:row>
      <xdr:rowOff>64770</xdr:rowOff>
    </xdr:to>
    <xdr:graphicFrame macro="">
      <xdr:nvGraphicFramePr>
        <xdr:cNvPr id="2" name="Chart 1">
          <a:extLst>
            <a:ext uri="{FF2B5EF4-FFF2-40B4-BE49-F238E27FC236}">
              <a16:creationId xmlns:a16="http://schemas.microsoft.com/office/drawing/2014/main" id="{84B3CE61-437C-44EB-9BA7-86F666E600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19</xdr:col>
      <xdr:colOff>555306</xdr:colOff>
      <xdr:row>3</xdr:row>
      <xdr:rowOff>125730</xdr:rowOff>
    </xdr:from>
    <xdr:to>
      <xdr:col>33</xdr:col>
      <xdr:colOff>382904</xdr:colOff>
      <xdr:row>28</xdr:row>
      <xdr:rowOff>129540</xdr:rowOff>
    </xdr:to>
    <xdr:graphicFrame macro="">
      <xdr:nvGraphicFramePr>
        <xdr:cNvPr id="2" name="Chart 1">
          <a:extLst>
            <a:ext uri="{FF2B5EF4-FFF2-40B4-BE49-F238E27FC236}">
              <a16:creationId xmlns:a16="http://schemas.microsoft.com/office/drawing/2014/main" id="{61C2FF30-F7B1-4067-BF48-D6F16D114F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oee.nrcan.gc.ca/pml-lmp/index.cfm?language_langue=en&amp;action=app.search-recherche&amp;appliance=ASHP1_GH&amp;_gl=1*22c7uc*_ga*MTkyNTkxMzczNi4xNjg5MDg1ODA2*_ga_C2N57Y7DX5*MTcxNTM1MDU3Ni40My4xLjE3MTUzNTA1ODAuMC4wLjA."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hyperlink" Target="https://council.cleanairpartnership.org/wp-content/uploads/2021/11/2-21-050-EV-Charging-Performance-Requirements-in-GTH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4362D-F7BD-4647-97DB-2B0F4E55DEC6}">
  <sheetPr codeName="Sheet2">
    <tabColor theme="7" tint="0.79998168889431442"/>
    <pageSetUpPr fitToPage="1"/>
  </sheetPr>
  <dimension ref="A1:DL122"/>
  <sheetViews>
    <sheetView workbookViewId="0">
      <pane xSplit="1" ySplit="1" topLeftCell="B2" activePane="bottomRight" state="frozen"/>
      <selection activeCell="AE20" sqref="A1:XFD1048576"/>
      <selection pane="topRight" activeCell="AE20" sqref="A1:XFD1048576"/>
      <selection pane="bottomLeft" activeCell="AE20" sqref="A1:XFD1048576"/>
      <selection pane="bottomRight" activeCell="H20" sqref="H20"/>
    </sheetView>
  </sheetViews>
  <sheetFormatPr defaultColWidth="8.83203125" defaultRowHeight="12.75" x14ac:dyDescent="0.2"/>
  <cols>
    <col min="1" max="1" width="11.83203125" style="3" bestFit="1" customWidth="1"/>
    <col min="2" max="3" width="10.33203125" style="1" customWidth="1"/>
    <col min="4" max="4" width="13.5" style="2" customWidth="1"/>
    <col min="5" max="5" width="14.1640625" style="2" customWidth="1"/>
    <col min="6" max="6" width="13.1640625" style="2" customWidth="1"/>
    <col min="7" max="7" width="9.83203125" style="5" customWidth="1"/>
    <col min="8" max="8" width="15.5" style="59" customWidth="1"/>
    <col min="9" max="11" width="13.1640625" style="1" customWidth="1"/>
    <col min="12" max="13" width="14.33203125" style="5" customWidth="1"/>
    <col min="14" max="14" width="15.83203125" style="5" customWidth="1"/>
    <col min="15" max="16" width="13.83203125" style="5" customWidth="1"/>
    <col min="17" max="17" width="19.5" style="5" bestFit="1" customWidth="1"/>
    <col min="18" max="18" width="18.33203125" style="5" customWidth="1"/>
    <col min="19" max="19" width="20" style="5" bestFit="1" customWidth="1"/>
    <col min="20" max="20" width="12.33203125" style="5" bestFit="1" customWidth="1"/>
    <col min="21" max="21" width="15.5" style="1" bestFit="1" customWidth="1"/>
    <col min="22" max="22" width="18.33203125" style="1" bestFit="1" customWidth="1"/>
    <col min="23" max="23" width="12.33203125" style="26" bestFit="1" customWidth="1"/>
    <col min="24" max="28" width="12.33203125" style="26" customWidth="1"/>
    <col min="29" max="32" width="10.1640625" style="26" bestFit="1" customWidth="1"/>
    <col min="33" max="34" width="8.83203125" style="26" bestFit="1" customWidth="1"/>
    <col min="35" max="40" width="8.83203125" style="26" customWidth="1"/>
    <col min="41" max="55" width="8.83203125" style="27"/>
    <col min="56" max="73" width="8.83203125" style="1"/>
    <col min="74" max="74" width="8.33203125" style="1" bestFit="1" customWidth="1"/>
    <col min="75" max="75" width="12.33203125" style="1" bestFit="1" customWidth="1"/>
    <col min="76" max="76" width="13.6640625" style="1" bestFit="1" customWidth="1"/>
    <col min="77" max="77" width="12.33203125" style="1" bestFit="1" customWidth="1"/>
    <col min="78" max="105" width="10.1640625" style="1" customWidth="1"/>
    <col min="106" max="106" width="10.6640625" style="1" customWidth="1"/>
    <col min="107" max="107" width="8.83203125" style="1"/>
    <col min="108" max="108" width="12.83203125" style="1" customWidth="1"/>
    <col min="109" max="109" width="10.83203125" style="1" bestFit="1" customWidth="1"/>
    <col min="110" max="110" width="8.83203125" style="1"/>
    <col min="111" max="112" width="12" style="1" bestFit="1" customWidth="1"/>
    <col min="113" max="114" width="10.83203125" style="1" bestFit="1" customWidth="1"/>
    <col min="115" max="116" width="14" style="1" bestFit="1" customWidth="1"/>
    <col min="117" max="16384" width="8.83203125" style="1"/>
  </cols>
  <sheetData>
    <row r="1" spans="1:116" x14ac:dyDescent="0.2">
      <c r="A1" s="3" t="s">
        <v>15</v>
      </c>
      <c r="B1" s="1" t="s">
        <v>0</v>
      </c>
      <c r="C1" s="1" t="s">
        <v>28</v>
      </c>
      <c r="D1" s="2" t="s">
        <v>1</v>
      </c>
      <c r="E1" s="2" t="s">
        <v>43</v>
      </c>
      <c r="F1" s="2" t="s">
        <v>45</v>
      </c>
      <c r="G1" s="5" t="s">
        <v>9</v>
      </c>
      <c r="H1" s="59" t="s">
        <v>2</v>
      </c>
      <c r="I1" s="2" t="s">
        <v>3</v>
      </c>
      <c r="J1" s="2" t="s">
        <v>44</v>
      </c>
      <c r="K1" s="2" t="s">
        <v>199</v>
      </c>
      <c r="L1" s="7" t="s">
        <v>4</v>
      </c>
      <c r="M1" s="7" t="s">
        <v>46</v>
      </c>
      <c r="N1" s="7" t="s">
        <v>47</v>
      </c>
      <c r="O1" s="7" t="s">
        <v>5</v>
      </c>
      <c r="P1" s="7" t="s">
        <v>10</v>
      </c>
      <c r="Q1" s="7" t="s">
        <v>6</v>
      </c>
      <c r="R1" s="7" t="s">
        <v>7</v>
      </c>
      <c r="S1" s="7" t="s">
        <v>12</v>
      </c>
      <c r="T1" s="7" t="s">
        <v>8</v>
      </c>
      <c r="U1" s="2" t="s">
        <v>11</v>
      </c>
      <c r="V1" s="1" t="s">
        <v>13</v>
      </c>
      <c r="W1" s="26" t="s">
        <v>200</v>
      </c>
      <c r="X1" s="26" t="s">
        <v>201</v>
      </c>
      <c r="Y1" s="26" t="s">
        <v>202</v>
      </c>
      <c r="Z1" s="26" t="s">
        <v>206</v>
      </c>
      <c r="AA1" s="26" t="s">
        <v>207</v>
      </c>
      <c r="AB1" s="26" t="s">
        <v>208</v>
      </c>
      <c r="AC1" s="26" t="s">
        <v>17</v>
      </c>
      <c r="AD1" s="26" t="s">
        <v>20</v>
      </c>
      <c r="AE1" s="26" t="s">
        <v>18</v>
      </c>
      <c r="AF1" s="26" t="s">
        <v>21</v>
      </c>
      <c r="AG1" s="26" t="s">
        <v>19</v>
      </c>
      <c r="AH1" s="26" t="s">
        <v>22</v>
      </c>
      <c r="AI1" s="26" t="s">
        <v>464</v>
      </c>
      <c r="AJ1" s="26" t="s">
        <v>465</v>
      </c>
      <c r="AK1" s="26" t="s">
        <v>466</v>
      </c>
      <c r="AL1" s="26" t="s">
        <v>467</v>
      </c>
      <c r="AM1" s="26" t="s">
        <v>468</v>
      </c>
      <c r="AN1" s="26" t="s">
        <v>469</v>
      </c>
      <c r="AO1" s="27" t="s">
        <v>30</v>
      </c>
      <c r="AP1" s="27" t="s">
        <v>151</v>
      </c>
      <c r="AQ1" s="27" t="s">
        <v>152</v>
      </c>
      <c r="AR1" s="27" t="s">
        <v>31</v>
      </c>
      <c r="AS1" s="27" t="s">
        <v>32</v>
      </c>
      <c r="AT1" s="27" t="s">
        <v>33</v>
      </c>
      <c r="AU1" s="27" t="s">
        <v>34</v>
      </c>
      <c r="AV1" s="27" t="s">
        <v>35</v>
      </c>
      <c r="AW1" s="27" t="s">
        <v>36</v>
      </c>
      <c r="AX1" s="27" t="s">
        <v>37</v>
      </c>
      <c r="AY1" s="27" t="s">
        <v>38</v>
      </c>
      <c r="AZ1" s="27" t="s">
        <v>153</v>
      </c>
      <c r="BA1" s="27" t="s">
        <v>154</v>
      </c>
      <c r="BB1" s="27" t="s">
        <v>155</v>
      </c>
      <c r="BC1" s="27" t="s">
        <v>156</v>
      </c>
      <c r="BD1" s="29" t="s">
        <v>50</v>
      </c>
      <c r="BE1" s="29" t="s">
        <v>51</v>
      </c>
      <c r="BF1" s="29" t="s">
        <v>52</v>
      </c>
      <c r="BG1" s="29" t="s">
        <v>53</v>
      </c>
      <c r="BH1" s="29" t="s">
        <v>54</v>
      </c>
      <c r="BI1" s="29" t="s">
        <v>55</v>
      </c>
      <c r="BJ1" s="29" t="s">
        <v>56</v>
      </c>
      <c r="BK1" s="29" t="s">
        <v>57</v>
      </c>
      <c r="BL1" s="29" t="s">
        <v>58</v>
      </c>
      <c r="BM1" s="29" t="s">
        <v>59</v>
      </c>
      <c r="BN1" s="29" t="s">
        <v>60</v>
      </c>
      <c r="BO1" s="29" t="s">
        <v>61</v>
      </c>
      <c r="BP1" s="29" t="s">
        <v>62</v>
      </c>
      <c r="BQ1" s="29" t="s">
        <v>63</v>
      </c>
      <c r="BR1" s="29" t="s">
        <v>64</v>
      </c>
      <c r="BS1" s="1" t="s">
        <v>65</v>
      </c>
      <c r="BT1" s="29" t="s">
        <v>66</v>
      </c>
      <c r="BU1" s="29" t="s">
        <v>67</v>
      </c>
      <c r="BV1" s="115" t="s">
        <v>209</v>
      </c>
      <c r="BW1" s="115" t="s">
        <v>210</v>
      </c>
      <c r="BX1" s="115" t="s">
        <v>211</v>
      </c>
      <c r="BY1" s="115" t="s">
        <v>212</v>
      </c>
      <c r="BZ1" s="115" t="s">
        <v>434</v>
      </c>
      <c r="CA1" s="115" t="s">
        <v>435</v>
      </c>
      <c r="CB1" s="115" t="s">
        <v>436</v>
      </c>
      <c r="CC1" s="115" t="s">
        <v>437</v>
      </c>
      <c r="CD1" s="115" t="s">
        <v>438</v>
      </c>
      <c r="CE1" s="115" t="s">
        <v>439</v>
      </c>
      <c r="CF1" s="115" t="s">
        <v>440</v>
      </c>
      <c r="CG1" s="115" t="s">
        <v>441</v>
      </c>
      <c r="CH1" s="115" t="s">
        <v>442</v>
      </c>
      <c r="CI1" s="115" t="s">
        <v>443</v>
      </c>
      <c r="CJ1" s="115" t="s">
        <v>444</v>
      </c>
      <c r="CK1" s="115" t="s">
        <v>445</v>
      </c>
      <c r="CL1" s="115" t="s">
        <v>446</v>
      </c>
      <c r="CM1" s="115" t="s">
        <v>447</v>
      </c>
      <c r="CN1" s="115" t="s">
        <v>448</v>
      </c>
      <c r="CO1" s="115" t="s">
        <v>449</v>
      </c>
      <c r="CP1" s="115" t="s">
        <v>450</v>
      </c>
      <c r="CQ1" s="115" t="s">
        <v>451</v>
      </c>
      <c r="CR1" s="115" t="s">
        <v>452</v>
      </c>
      <c r="CS1" s="115" t="s">
        <v>453</v>
      </c>
      <c r="CT1" s="115" t="s">
        <v>454</v>
      </c>
      <c r="CU1" s="115" t="s">
        <v>455</v>
      </c>
      <c r="CV1" s="115" t="s">
        <v>456</v>
      </c>
      <c r="CW1" s="115" t="s">
        <v>457</v>
      </c>
      <c r="CX1" s="115" t="s">
        <v>458</v>
      </c>
      <c r="CY1" s="115" t="s">
        <v>459</v>
      </c>
      <c r="CZ1" s="115" t="s">
        <v>460</v>
      </c>
      <c r="DA1" s="115" t="s">
        <v>461</v>
      </c>
      <c r="DB1" s="1" t="s">
        <v>166</v>
      </c>
      <c r="DC1" s="1" t="s">
        <v>167</v>
      </c>
      <c r="DD1" s="1" t="s">
        <v>173</v>
      </c>
      <c r="DE1" s="1" t="s">
        <v>168</v>
      </c>
      <c r="DF1" s="1" t="s">
        <v>169</v>
      </c>
      <c r="DG1" s="1" t="s">
        <v>174</v>
      </c>
      <c r="DH1" s="1" t="s">
        <v>170</v>
      </c>
      <c r="DI1" s="1" t="s">
        <v>171</v>
      </c>
      <c r="DJ1" s="1" t="s">
        <v>172</v>
      </c>
      <c r="DK1" s="1" t="s">
        <v>175</v>
      </c>
      <c r="DL1" s="1" t="s">
        <v>176</v>
      </c>
    </row>
    <row r="2" spans="1:116" x14ac:dyDescent="0.2">
      <c r="A2" s="96">
        <v>42005</v>
      </c>
      <c r="B2" s="4">
        <f t="shared" ref="B2:B53" si="0">YEAR(A2)</f>
        <v>2015</v>
      </c>
      <c r="C2" s="4">
        <f t="shared" ref="C2:C53" si="1">MONTH(A2)</f>
        <v>1</v>
      </c>
      <c r="D2" s="59">
        <v>49036178</v>
      </c>
      <c r="E2" s="59">
        <f>IFERROR(VLOOKUP($B2-1,CDM!$I$7:$N$18,2,FALSE)/12,0)+IFERROR(VLOOKUP($B2,CDM!$I$36:$L$46,2,FALSE)/24,0)+IFERROR(VLOOKUP($B2,CDM!$I$36:$L$46,2,FALSE)/2*$C2/78,0)</f>
        <v>90914.146981058788</v>
      </c>
      <c r="F2" s="59">
        <f t="shared" ref="F2:F53" si="2">D2+E2</f>
        <v>49127092.146981061</v>
      </c>
      <c r="G2" s="468">
        <v>60019</v>
      </c>
      <c r="H2" s="59">
        <v>15722680</v>
      </c>
      <c r="I2" s="59">
        <f>IFERROR(VLOOKUP($B2-1,CDM!$I$7:$N$18,3,FALSE)/12,0)+IFERROR(VLOOKUP($B2,CDM!$I$36:$L$46,3,FALSE)/24,0)+IFERROR(VLOOKUP($B2,CDM!$I$36:$L$46,3,FALSE)/2*$C2/78,0)</f>
        <v>94845.21548604421</v>
      </c>
      <c r="J2" s="59">
        <f t="shared" ref="J2:J53" si="3">H2+I2</f>
        <v>15817525.215486044</v>
      </c>
      <c r="K2" s="59">
        <v>5230</v>
      </c>
      <c r="L2" s="5">
        <v>79523058</v>
      </c>
      <c r="M2" s="2">
        <f>IFERROR(VLOOKUP($B2-1,CDM!$I$7:$N$18,4,FALSE)/12,0)+IFERROR(VLOOKUP($B2,CDM!$I$36:$L$46,4,FALSE)/24,0)+IFERROR(VLOOKUP($B2,CDM!$I$36:$L$46,4,FALSE)/2*$C2/78,0)</f>
        <v>171623.69453295719</v>
      </c>
      <c r="N2" s="59">
        <f t="shared" ref="N2:N53" si="4">L2+M2</f>
        <v>79694681.694532961</v>
      </c>
      <c r="O2" s="5">
        <v>190064</v>
      </c>
      <c r="P2" s="6">
        <v>1028</v>
      </c>
      <c r="Q2" s="5">
        <v>1045146</v>
      </c>
      <c r="R2" s="5">
        <v>2305</v>
      </c>
      <c r="S2" s="6">
        <v>15225</v>
      </c>
      <c r="T2" s="5">
        <v>257164</v>
      </c>
      <c r="U2" s="1">
        <v>24</v>
      </c>
      <c r="V2" s="1">
        <v>566</v>
      </c>
      <c r="W2" s="114">
        <f>Economic!J64</f>
        <v>708787.6</v>
      </c>
      <c r="X2" s="114">
        <f>Economic!K64</f>
        <v>544049.6</v>
      </c>
      <c r="Y2" s="114">
        <f>Economic!L64</f>
        <v>47639.4</v>
      </c>
      <c r="Z2" s="114">
        <f>Economic!M64</f>
        <v>699057</v>
      </c>
      <c r="AA2" s="114">
        <f>Economic!N64</f>
        <v>536675</v>
      </c>
      <c r="AB2" s="114">
        <f>Economic!O64</f>
        <v>27142</v>
      </c>
      <c r="AC2" s="114">
        <f>Economic!D64</f>
        <v>6812.5</v>
      </c>
      <c r="AD2" s="114">
        <f>Economic!E64</f>
        <v>6770.4</v>
      </c>
      <c r="AE2" s="114">
        <f>Economic!F64</f>
        <v>3085.3</v>
      </c>
      <c r="AF2" s="114">
        <f>Economic!G64</f>
        <v>3073.2</v>
      </c>
      <c r="AG2" s="114">
        <f>Economic!H64</f>
        <v>370.5</v>
      </c>
      <c r="AH2" s="114">
        <f>Economic!I64</f>
        <v>371.9</v>
      </c>
      <c r="AI2" s="114">
        <f>Economic!P76</f>
        <v>38.600000000000364</v>
      </c>
      <c r="AJ2" s="114">
        <f>Economic!Q76</f>
        <v>39.300000000000182</v>
      </c>
      <c r="AK2" s="114">
        <f>Economic!R76</f>
        <v>-34.200000000000273</v>
      </c>
      <c r="AL2" s="114">
        <f>Economic!S76</f>
        <v>-35.699999999999818</v>
      </c>
      <c r="AM2" s="114">
        <f>Economic!T76</f>
        <v>18822</v>
      </c>
      <c r="AN2" s="114">
        <f>Economic!U76</f>
        <v>1611</v>
      </c>
      <c r="AO2" s="28">
        <f>Weather!D194</f>
        <v>-5.8580645161290343</v>
      </c>
      <c r="AP2" s="28">
        <f>Weather!E194</f>
        <v>801.5999999999998</v>
      </c>
      <c r="AQ2" s="28">
        <f>Weather!F194</f>
        <v>0</v>
      </c>
      <c r="AR2" s="28">
        <f>Weather!G194</f>
        <v>739.5999999999998</v>
      </c>
      <c r="AS2" s="28">
        <f>Weather!H194</f>
        <v>0</v>
      </c>
      <c r="AT2" s="28">
        <f>Weather!I194</f>
        <v>677.59999999999968</v>
      </c>
      <c r="AU2" s="28">
        <f>Weather!J194</f>
        <v>0</v>
      </c>
      <c r="AV2" s="28">
        <f>Weather!K194</f>
        <v>615.5999999999998</v>
      </c>
      <c r="AW2" s="28">
        <f>Weather!L194</f>
        <v>0</v>
      </c>
      <c r="AX2" s="28">
        <f>Weather!M194</f>
        <v>553.59999999999991</v>
      </c>
      <c r="AY2" s="28">
        <f>Weather!N194</f>
        <v>0</v>
      </c>
      <c r="AZ2" s="28">
        <f>Weather!O194</f>
        <v>491.59999999999997</v>
      </c>
      <c r="BA2" s="28">
        <f>Weather!P194</f>
        <v>0</v>
      </c>
      <c r="BB2" s="28">
        <f>Weather!Q194</f>
        <v>429.59999999999997</v>
      </c>
      <c r="BC2" s="28">
        <f>Weather!R194</f>
        <v>0</v>
      </c>
      <c r="BD2">
        <v>1</v>
      </c>
      <c r="BE2">
        <v>0</v>
      </c>
      <c r="BF2">
        <v>0</v>
      </c>
      <c r="BG2">
        <v>0</v>
      </c>
      <c r="BH2">
        <v>0</v>
      </c>
      <c r="BI2">
        <v>0</v>
      </c>
      <c r="BJ2">
        <v>0</v>
      </c>
      <c r="BK2">
        <v>0</v>
      </c>
      <c r="BL2">
        <v>0</v>
      </c>
      <c r="BM2">
        <v>0</v>
      </c>
      <c r="BN2">
        <v>0</v>
      </c>
      <c r="BO2">
        <v>0</v>
      </c>
      <c r="BP2">
        <v>0</v>
      </c>
      <c r="BQ2">
        <v>0</v>
      </c>
      <c r="BR2">
        <v>0</v>
      </c>
      <c r="BS2" s="1">
        <v>1</v>
      </c>
      <c r="BT2">
        <v>31</v>
      </c>
      <c r="BU2">
        <v>21</v>
      </c>
      <c r="BV2">
        <v>0</v>
      </c>
      <c r="BW2">
        <v>0</v>
      </c>
      <c r="BX2">
        <v>0</v>
      </c>
      <c r="BY2">
        <v>0</v>
      </c>
      <c r="BZ2">
        <f t="shared" ref="BZ2:CM8" si="5">$BW2*AP2</f>
        <v>0</v>
      </c>
      <c r="CA2">
        <f t="shared" si="5"/>
        <v>0</v>
      </c>
      <c r="CB2">
        <f t="shared" si="5"/>
        <v>0</v>
      </c>
      <c r="CC2">
        <f t="shared" si="5"/>
        <v>0</v>
      </c>
      <c r="CD2">
        <f t="shared" si="5"/>
        <v>0</v>
      </c>
      <c r="CE2">
        <f t="shared" si="5"/>
        <v>0</v>
      </c>
      <c r="CF2">
        <f t="shared" si="5"/>
        <v>0</v>
      </c>
      <c r="CG2">
        <f t="shared" si="5"/>
        <v>0</v>
      </c>
      <c r="CH2">
        <f t="shared" si="5"/>
        <v>0</v>
      </c>
      <c r="CI2">
        <f t="shared" si="5"/>
        <v>0</v>
      </c>
      <c r="CJ2">
        <f t="shared" si="5"/>
        <v>0</v>
      </c>
      <c r="CK2">
        <f t="shared" si="5"/>
        <v>0</v>
      </c>
      <c r="CL2">
        <f t="shared" si="5"/>
        <v>0</v>
      </c>
      <c r="CM2">
        <f t="shared" si="5"/>
        <v>0</v>
      </c>
      <c r="CN2">
        <f t="shared" ref="CN2:DA8" si="6">$BX2*AP2</f>
        <v>0</v>
      </c>
      <c r="CO2">
        <f t="shared" si="6"/>
        <v>0</v>
      </c>
      <c r="CP2">
        <f t="shared" si="6"/>
        <v>0</v>
      </c>
      <c r="CQ2">
        <f t="shared" si="6"/>
        <v>0</v>
      </c>
      <c r="CR2">
        <f t="shared" si="6"/>
        <v>0</v>
      </c>
      <c r="CS2">
        <f t="shared" si="6"/>
        <v>0</v>
      </c>
      <c r="CT2">
        <f t="shared" si="6"/>
        <v>0</v>
      </c>
      <c r="CU2">
        <f t="shared" si="6"/>
        <v>0</v>
      </c>
      <c r="CV2">
        <f t="shared" si="6"/>
        <v>0</v>
      </c>
      <c r="CW2">
        <f t="shared" si="6"/>
        <v>0</v>
      </c>
      <c r="CX2">
        <f t="shared" si="6"/>
        <v>0</v>
      </c>
      <c r="CY2">
        <f t="shared" si="6"/>
        <v>0</v>
      </c>
      <c r="CZ2">
        <f t="shared" si="6"/>
        <v>0</v>
      </c>
      <c r="DA2">
        <f t="shared" si="6"/>
        <v>0</v>
      </c>
      <c r="DB2" s="74">
        <f t="shared" ref="DB2:DB53" si="7">F2/G2</f>
        <v>818.52566932106595</v>
      </c>
      <c r="DC2" s="74">
        <f t="shared" ref="DC2:DC53" si="8">DB2/BT2</f>
        <v>26.404053849066642</v>
      </c>
      <c r="DD2" s="73">
        <f t="shared" ref="DD2:DD53" si="9">F2/BT2</f>
        <v>1584744.9079671309</v>
      </c>
      <c r="DE2" s="74">
        <f t="shared" ref="DE2:DE53" si="10">J2/K2</f>
        <v>3024.3834064026851</v>
      </c>
      <c r="DF2" s="74">
        <f t="shared" ref="DF2:DF53" si="11">DE2/BT2</f>
        <v>97.560755045247902</v>
      </c>
      <c r="DG2" s="74">
        <f t="shared" ref="DG2:DG53" si="12">J2/BT2</f>
        <v>510242.74888664659</v>
      </c>
      <c r="DH2" s="74">
        <f t="shared" ref="DH2:DH53" si="13">N2/P2</f>
        <v>77524.009430479535</v>
      </c>
      <c r="DI2" s="74">
        <f t="shared" ref="DI2:DI53" si="14">DH2/BT2</f>
        <v>2500.7744977574043</v>
      </c>
      <c r="DJ2" s="74">
        <f t="shared" ref="DJ2:DJ53" si="15">DH2/BU2</f>
        <v>3691.6194966895018</v>
      </c>
      <c r="DK2" s="74">
        <f t="shared" ref="DK2:DK53" si="16">N2/BT2</f>
        <v>2570796.1836946118</v>
      </c>
      <c r="DL2" s="74">
        <f t="shared" ref="DL2:DL53" si="17">N2/BU2</f>
        <v>3794984.8425968075</v>
      </c>
    </row>
    <row r="3" spans="1:116" x14ac:dyDescent="0.2">
      <c r="A3" s="96">
        <v>42036</v>
      </c>
      <c r="B3" s="4">
        <f t="shared" si="0"/>
        <v>2015</v>
      </c>
      <c r="C3" s="4">
        <f t="shared" si="1"/>
        <v>2</v>
      </c>
      <c r="D3" s="59">
        <v>42132823</v>
      </c>
      <c r="E3" s="59">
        <f>IFERROR(VLOOKUP($B3-1,CDM!$I$7:$N$18,2,FALSE)/12,0)+IFERROR(VLOOKUP($B3,CDM!$I$36:$L$46,2,FALSE)/24,0)+IFERROR(VLOOKUP($B3,CDM!$I$36:$L$46,2,FALSE)/2*$C3/78,0)</f>
        <v>103036.03324519996</v>
      </c>
      <c r="F3" s="59">
        <f t="shared" si="2"/>
        <v>42235859.033245198</v>
      </c>
      <c r="G3" s="73">
        <v>60029</v>
      </c>
      <c r="H3" s="59">
        <v>14670158</v>
      </c>
      <c r="I3" s="59">
        <f>IFERROR(VLOOKUP($B3-1,CDM!$I$7:$N$18,3,FALSE)/12,0)+IFERROR(VLOOKUP($B3,CDM!$I$36:$L$46,3,FALSE)/24,0)+IFERROR(VLOOKUP($B3,CDM!$I$36:$L$46,3,FALSE)/2*$C3/78,0)</f>
        <v>107491.24421751677</v>
      </c>
      <c r="J3" s="59">
        <f t="shared" si="3"/>
        <v>14777649.244217517</v>
      </c>
      <c r="K3" s="59">
        <v>5234</v>
      </c>
      <c r="L3" s="5">
        <v>74181806</v>
      </c>
      <c r="M3" s="2">
        <f>IFERROR(VLOOKUP($B3-1,CDM!$I$7:$N$18,4,FALSE)/12,0)+IFERROR(VLOOKUP($B3,CDM!$I$36:$L$46,4,FALSE)/24,0)+IFERROR(VLOOKUP($B3,CDM!$I$36:$L$46,4,FALSE)/2*$C3/78,0)</f>
        <v>194506.85380401814</v>
      </c>
      <c r="N3" s="59">
        <f t="shared" si="4"/>
        <v>74376312.853804022</v>
      </c>
      <c r="O3" s="5">
        <v>194654</v>
      </c>
      <c r="P3" s="5">
        <v>1027</v>
      </c>
      <c r="Q3" s="5">
        <v>873453</v>
      </c>
      <c r="R3" s="5">
        <v>2305</v>
      </c>
      <c r="S3" s="6">
        <v>15225</v>
      </c>
      <c r="T3" s="5">
        <v>256037</v>
      </c>
      <c r="U3" s="1">
        <v>24</v>
      </c>
      <c r="V3" s="1">
        <v>553</v>
      </c>
      <c r="W3" s="114">
        <f>Economic!J65</f>
        <v>708787.6</v>
      </c>
      <c r="X3" s="114">
        <f>Economic!K65</f>
        <v>544049.6</v>
      </c>
      <c r="Y3" s="114">
        <f>Economic!L65</f>
        <v>47639.4</v>
      </c>
      <c r="Z3" s="114">
        <f>Economic!M65</f>
        <v>699057</v>
      </c>
      <c r="AA3" s="114">
        <f>Economic!N65</f>
        <v>536675</v>
      </c>
      <c r="AB3" s="114">
        <f>Economic!O65</f>
        <v>27142</v>
      </c>
      <c r="AC3" s="114">
        <f>Economic!D65</f>
        <v>6810.3</v>
      </c>
      <c r="AD3" s="114">
        <f>Economic!E65</f>
        <v>6732.3</v>
      </c>
      <c r="AE3" s="114">
        <f>Economic!F65</f>
        <v>3086.4</v>
      </c>
      <c r="AF3" s="114">
        <f>Economic!G65</f>
        <v>3059.5</v>
      </c>
      <c r="AG3" s="114">
        <f>Economic!H65</f>
        <v>375.6</v>
      </c>
      <c r="AH3" s="114">
        <f>Economic!I65</f>
        <v>376.9</v>
      </c>
      <c r="AI3" s="114">
        <f>Economic!P77</f>
        <v>48.899999999999636</v>
      </c>
      <c r="AJ3" s="114">
        <f>Economic!Q77</f>
        <v>50.399999999999636</v>
      </c>
      <c r="AK3" s="114">
        <f>Economic!R77</f>
        <v>-26.700000000000273</v>
      </c>
      <c r="AL3" s="114">
        <f>Economic!S77</f>
        <v>-29.5</v>
      </c>
      <c r="AM3" s="114">
        <f>Economic!T77</f>
        <v>18822</v>
      </c>
      <c r="AN3" s="114">
        <f>Economic!U77</f>
        <v>1611</v>
      </c>
      <c r="AO3" s="28">
        <f>Weather!D195</f>
        <v>-11.139285714285718</v>
      </c>
      <c r="AP3" s="28">
        <f>Weather!E195</f>
        <v>871.89999999999975</v>
      </c>
      <c r="AQ3" s="28">
        <f>Weather!F195</f>
        <v>0</v>
      </c>
      <c r="AR3" s="28">
        <f>Weather!G195</f>
        <v>815.89999999999975</v>
      </c>
      <c r="AS3" s="28">
        <f>Weather!H195</f>
        <v>0</v>
      </c>
      <c r="AT3" s="28">
        <f>Weather!I195</f>
        <v>759.89999999999986</v>
      </c>
      <c r="AU3" s="28">
        <f>Weather!J195</f>
        <v>0</v>
      </c>
      <c r="AV3" s="28">
        <f>Weather!K195</f>
        <v>703.89999999999986</v>
      </c>
      <c r="AW3" s="28">
        <f>Weather!L195</f>
        <v>0</v>
      </c>
      <c r="AX3" s="28">
        <f>Weather!M195</f>
        <v>647.9</v>
      </c>
      <c r="AY3" s="28">
        <f>Weather!N195</f>
        <v>0</v>
      </c>
      <c r="AZ3" s="28">
        <f>Weather!O195</f>
        <v>591.9</v>
      </c>
      <c r="BA3" s="28">
        <f>Weather!P195</f>
        <v>0</v>
      </c>
      <c r="BB3" s="28">
        <f>Weather!Q195</f>
        <v>535.9</v>
      </c>
      <c r="BC3" s="28">
        <f>Weather!R195</f>
        <v>0</v>
      </c>
      <c r="BD3">
        <v>0</v>
      </c>
      <c r="BE3">
        <v>1</v>
      </c>
      <c r="BF3">
        <v>0</v>
      </c>
      <c r="BG3">
        <v>0</v>
      </c>
      <c r="BH3">
        <v>0</v>
      </c>
      <c r="BI3">
        <v>0</v>
      </c>
      <c r="BJ3">
        <v>0</v>
      </c>
      <c r="BK3">
        <v>0</v>
      </c>
      <c r="BL3">
        <v>0</v>
      </c>
      <c r="BM3">
        <v>0</v>
      </c>
      <c r="BN3">
        <v>0</v>
      </c>
      <c r="BO3">
        <v>0</v>
      </c>
      <c r="BP3">
        <v>0</v>
      </c>
      <c r="BQ3">
        <v>0</v>
      </c>
      <c r="BR3">
        <v>0</v>
      </c>
      <c r="BS3" s="1">
        <f t="shared" ref="BS3:BS53" si="18">1+BS2</f>
        <v>2</v>
      </c>
      <c r="BT3">
        <v>28</v>
      </c>
      <c r="BU3">
        <v>19</v>
      </c>
      <c r="BV3">
        <v>0</v>
      </c>
      <c r="BW3">
        <v>0</v>
      </c>
      <c r="BX3">
        <v>0</v>
      </c>
      <c r="BY3">
        <v>0</v>
      </c>
      <c r="BZ3">
        <f t="shared" si="5"/>
        <v>0</v>
      </c>
      <c r="CA3">
        <f t="shared" si="5"/>
        <v>0</v>
      </c>
      <c r="CB3">
        <f t="shared" si="5"/>
        <v>0</v>
      </c>
      <c r="CC3">
        <f t="shared" si="5"/>
        <v>0</v>
      </c>
      <c r="CD3">
        <f t="shared" si="5"/>
        <v>0</v>
      </c>
      <c r="CE3">
        <f t="shared" si="5"/>
        <v>0</v>
      </c>
      <c r="CF3">
        <f t="shared" si="5"/>
        <v>0</v>
      </c>
      <c r="CG3">
        <f t="shared" si="5"/>
        <v>0</v>
      </c>
      <c r="CH3">
        <f t="shared" si="5"/>
        <v>0</v>
      </c>
      <c r="CI3">
        <f t="shared" si="5"/>
        <v>0</v>
      </c>
      <c r="CJ3">
        <f t="shared" si="5"/>
        <v>0</v>
      </c>
      <c r="CK3">
        <f t="shared" si="5"/>
        <v>0</v>
      </c>
      <c r="CL3">
        <f t="shared" si="5"/>
        <v>0</v>
      </c>
      <c r="CM3">
        <f t="shared" si="5"/>
        <v>0</v>
      </c>
      <c r="CN3">
        <f t="shared" si="6"/>
        <v>0</v>
      </c>
      <c r="CO3">
        <f t="shared" si="6"/>
        <v>0</v>
      </c>
      <c r="CP3">
        <f t="shared" si="6"/>
        <v>0</v>
      </c>
      <c r="CQ3">
        <f t="shared" si="6"/>
        <v>0</v>
      </c>
      <c r="CR3">
        <f t="shared" si="6"/>
        <v>0</v>
      </c>
      <c r="CS3">
        <f t="shared" si="6"/>
        <v>0</v>
      </c>
      <c r="CT3">
        <f t="shared" si="6"/>
        <v>0</v>
      </c>
      <c r="CU3">
        <f t="shared" si="6"/>
        <v>0</v>
      </c>
      <c r="CV3">
        <f t="shared" si="6"/>
        <v>0</v>
      </c>
      <c r="CW3">
        <f t="shared" si="6"/>
        <v>0</v>
      </c>
      <c r="CX3">
        <f t="shared" si="6"/>
        <v>0</v>
      </c>
      <c r="CY3">
        <f t="shared" si="6"/>
        <v>0</v>
      </c>
      <c r="CZ3">
        <f t="shared" si="6"/>
        <v>0</v>
      </c>
      <c r="DA3">
        <f t="shared" si="6"/>
        <v>0</v>
      </c>
      <c r="DB3" s="74">
        <f t="shared" si="7"/>
        <v>703.59091494519646</v>
      </c>
      <c r="DC3" s="74">
        <f t="shared" si="8"/>
        <v>25.128246962328443</v>
      </c>
      <c r="DD3" s="73">
        <f t="shared" si="9"/>
        <v>1508423.5369016142</v>
      </c>
      <c r="DE3" s="74">
        <f t="shared" si="10"/>
        <v>2823.3949645046841</v>
      </c>
      <c r="DF3" s="74">
        <f t="shared" si="11"/>
        <v>100.83553444659586</v>
      </c>
      <c r="DG3" s="74">
        <f t="shared" si="12"/>
        <v>527773.18729348271</v>
      </c>
      <c r="DH3" s="74">
        <f t="shared" si="13"/>
        <v>72420.947277316474</v>
      </c>
      <c r="DI3" s="74">
        <f t="shared" si="14"/>
        <v>2586.4624027613027</v>
      </c>
      <c r="DJ3" s="74">
        <f t="shared" si="15"/>
        <v>3811.628804069288</v>
      </c>
      <c r="DK3" s="74">
        <f t="shared" si="16"/>
        <v>2656296.8876358578</v>
      </c>
      <c r="DL3" s="74">
        <f t="shared" si="17"/>
        <v>3914542.7817791589</v>
      </c>
    </row>
    <row r="4" spans="1:116" x14ac:dyDescent="0.2">
      <c r="A4" s="96">
        <v>42064</v>
      </c>
      <c r="B4" s="4">
        <f t="shared" si="0"/>
        <v>2015</v>
      </c>
      <c r="C4" s="4">
        <f t="shared" si="1"/>
        <v>3</v>
      </c>
      <c r="D4" s="59">
        <v>42570862</v>
      </c>
      <c r="E4" s="59">
        <f>IFERROR(VLOOKUP($B4-1,CDM!$I$7:$N$18,2,FALSE)/12,0)+IFERROR(VLOOKUP($B4,CDM!$I$36:$L$46,2,FALSE)/24,0)+IFERROR(VLOOKUP($B4,CDM!$I$36:$L$46,2,FALSE)/2*$C4/78,0)</f>
        <v>115157.91950934113</v>
      </c>
      <c r="F4" s="59">
        <f t="shared" si="2"/>
        <v>42686019.919509344</v>
      </c>
      <c r="G4" s="468">
        <v>60053</v>
      </c>
      <c r="H4" s="59">
        <v>15080135</v>
      </c>
      <c r="I4" s="59">
        <f>IFERROR(VLOOKUP($B4-1,CDM!$I$7:$N$18,3,FALSE)/12,0)+IFERROR(VLOOKUP($B4,CDM!$I$36:$L$46,3,FALSE)/24,0)+IFERROR(VLOOKUP($B4,CDM!$I$36:$L$46,3,FALSE)/2*$C4/78,0)</f>
        <v>120137.27294898934</v>
      </c>
      <c r="J4" s="59">
        <f t="shared" si="3"/>
        <v>15200272.27294899</v>
      </c>
      <c r="K4" s="59">
        <v>5236</v>
      </c>
      <c r="L4" s="5">
        <v>77250849</v>
      </c>
      <c r="M4" s="2">
        <f>IFERROR(VLOOKUP($B4-1,CDM!$I$7:$N$18,4,FALSE)/12,0)+IFERROR(VLOOKUP($B4,CDM!$I$36:$L$46,4,FALSE)/24,0)+IFERROR(VLOOKUP($B4,CDM!$I$36:$L$46,4,FALSE)/2*$C4/78,0)</f>
        <v>217390.01307507913</v>
      </c>
      <c r="N4" s="59">
        <f t="shared" si="4"/>
        <v>77468239.013075083</v>
      </c>
      <c r="O4" s="5">
        <v>196634</v>
      </c>
      <c r="P4" s="6">
        <v>1030</v>
      </c>
      <c r="Q4" s="5">
        <v>862804</v>
      </c>
      <c r="R4" s="5">
        <v>2305</v>
      </c>
      <c r="S4" s="5">
        <v>15225</v>
      </c>
      <c r="T4" s="5">
        <v>257839</v>
      </c>
      <c r="U4" s="1">
        <v>24</v>
      </c>
      <c r="V4" s="1">
        <v>553</v>
      </c>
      <c r="W4" s="114">
        <f>Economic!J66</f>
        <v>708787.6</v>
      </c>
      <c r="X4" s="114">
        <f>Economic!K66</f>
        <v>544049.6</v>
      </c>
      <c r="Y4" s="114">
        <f>Economic!L66</f>
        <v>47639.4</v>
      </c>
      <c r="Z4" s="114">
        <f>Economic!M66</f>
        <v>699057</v>
      </c>
      <c r="AA4" s="114">
        <f>Economic!N66</f>
        <v>536675</v>
      </c>
      <c r="AB4" s="114">
        <f>Economic!O66</f>
        <v>27142</v>
      </c>
      <c r="AC4" s="114">
        <f>Economic!D66</f>
        <v>6810.9</v>
      </c>
      <c r="AD4" s="114">
        <f>Economic!E66</f>
        <v>6704.5</v>
      </c>
      <c r="AE4" s="114">
        <f>Economic!F66</f>
        <v>3087.1</v>
      </c>
      <c r="AF4" s="114">
        <f>Economic!G66</f>
        <v>3043</v>
      </c>
      <c r="AG4" s="114">
        <f>Economic!H66</f>
        <v>379.1</v>
      </c>
      <c r="AH4" s="114">
        <f>Economic!I66</f>
        <v>376.9</v>
      </c>
      <c r="AI4" s="114">
        <f>Economic!P78</f>
        <v>59.100000000000364</v>
      </c>
      <c r="AJ4" s="114">
        <f>Economic!Q78</f>
        <v>57.300000000000182</v>
      </c>
      <c r="AK4" s="114">
        <f>Economic!R78</f>
        <v>-7.9000000000000909</v>
      </c>
      <c r="AL4" s="114">
        <f>Economic!S78</f>
        <v>-9.9000000000000909</v>
      </c>
      <c r="AM4" s="114">
        <f>Economic!T78</f>
        <v>18822</v>
      </c>
      <c r="AN4" s="114">
        <f>Economic!U78</f>
        <v>1611</v>
      </c>
      <c r="AO4" s="28">
        <f>Weather!D196</f>
        <v>-1.1612903225806448</v>
      </c>
      <c r="AP4" s="28">
        <f>Weather!E196</f>
        <v>655.99999999999989</v>
      </c>
      <c r="AQ4" s="28">
        <f>Weather!F196</f>
        <v>0</v>
      </c>
      <c r="AR4" s="28">
        <f>Weather!G196</f>
        <v>593.99999999999989</v>
      </c>
      <c r="AS4" s="28">
        <f>Weather!H196</f>
        <v>0</v>
      </c>
      <c r="AT4" s="28">
        <f>Weather!I196</f>
        <v>531.99999999999989</v>
      </c>
      <c r="AU4" s="28">
        <f>Weather!J196</f>
        <v>0</v>
      </c>
      <c r="AV4" s="28">
        <f>Weather!K196</f>
        <v>469.99999999999994</v>
      </c>
      <c r="AW4" s="28">
        <f>Weather!L196</f>
        <v>0</v>
      </c>
      <c r="AX4" s="28">
        <f>Weather!M196</f>
        <v>408</v>
      </c>
      <c r="AY4" s="28">
        <f>Weather!N196</f>
        <v>0</v>
      </c>
      <c r="AZ4" s="28">
        <f>Weather!O196</f>
        <v>346</v>
      </c>
      <c r="BA4" s="28">
        <f>Weather!P196</f>
        <v>0</v>
      </c>
      <c r="BB4" s="28">
        <f>Weather!Q196</f>
        <v>284</v>
      </c>
      <c r="BC4" s="28">
        <f>Weather!R196</f>
        <v>0</v>
      </c>
      <c r="BD4">
        <v>0</v>
      </c>
      <c r="BE4">
        <v>0</v>
      </c>
      <c r="BF4">
        <v>1</v>
      </c>
      <c r="BG4">
        <v>0</v>
      </c>
      <c r="BH4">
        <v>0</v>
      </c>
      <c r="BI4">
        <v>0</v>
      </c>
      <c r="BJ4">
        <v>0</v>
      </c>
      <c r="BK4">
        <v>0</v>
      </c>
      <c r="BL4">
        <v>0</v>
      </c>
      <c r="BM4">
        <v>0</v>
      </c>
      <c r="BN4">
        <v>0</v>
      </c>
      <c r="BO4">
        <v>0</v>
      </c>
      <c r="BP4">
        <v>1</v>
      </c>
      <c r="BQ4">
        <v>0</v>
      </c>
      <c r="BR4">
        <v>1</v>
      </c>
      <c r="BS4" s="1">
        <f t="shared" si="18"/>
        <v>3</v>
      </c>
      <c r="BT4">
        <v>31</v>
      </c>
      <c r="BU4">
        <v>22</v>
      </c>
      <c r="BV4">
        <v>0</v>
      </c>
      <c r="BW4">
        <v>0</v>
      </c>
      <c r="BX4">
        <v>0</v>
      </c>
      <c r="BY4">
        <v>0</v>
      </c>
      <c r="BZ4">
        <f t="shared" si="5"/>
        <v>0</v>
      </c>
      <c r="CA4">
        <f t="shared" si="5"/>
        <v>0</v>
      </c>
      <c r="CB4">
        <f t="shared" si="5"/>
        <v>0</v>
      </c>
      <c r="CC4">
        <f t="shared" si="5"/>
        <v>0</v>
      </c>
      <c r="CD4">
        <f t="shared" si="5"/>
        <v>0</v>
      </c>
      <c r="CE4">
        <f t="shared" si="5"/>
        <v>0</v>
      </c>
      <c r="CF4">
        <f t="shared" si="5"/>
        <v>0</v>
      </c>
      <c r="CG4">
        <f t="shared" si="5"/>
        <v>0</v>
      </c>
      <c r="CH4">
        <f t="shared" si="5"/>
        <v>0</v>
      </c>
      <c r="CI4">
        <f t="shared" si="5"/>
        <v>0</v>
      </c>
      <c r="CJ4">
        <f t="shared" si="5"/>
        <v>0</v>
      </c>
      <c r="CK4">
        <f t="shared" si="5"/>
        <v>0</v>
      </c>
      <c r="CL4">
        <f t="shared" si="5"/>
        <v>0</v>
      </c>
      <c r="CM4">
        <f t="shared" si="5"/>
        <v>0</v>
      </c>
      <c r="CN4">
        <f t="shared" si="6"/>
        <v>0</v>
      </c>
      <c r="CO4">
        <f t="shared" si="6"/>
        <v>0</v>
      </c>
      <c r="CP4">
        <f t="shared" si="6"/>
        <v>0</v>
      </c>
      <c r="CQ4">
        <f t="shared" si="6"/>
        <v>0</v>
      </c>
      <c r="CR4">
        <f t="shared" si="6"/>
        <v>0</v>
      </c>
      <c r="CS4">
        <f t="shared" si="6"/>
        <v>0</v>
      </c>
      <c r="CT4">
        <f t="shared" si="6"/>
        <v>0</v>
      </c>
      <c r="CU4">
        <f t="shared" si="6"/>
        <v>0</v>
      </c>
      <c r="CV4">
        <f t="shared" si="6"/>
        <v>0</v>
      </c>
      <c r="CW4">
        <f t="shared" si="6"/>
        <v>0</v>
      </c>
      <c r="CX4">
        <f t="shared" si="6"/>
        <v>0</v>
      </c>
      <c r="CY4">
        <f t="shared" si="6"/>
        <v>0</v>
      </c>
      <c r="CZ4">
        <f t="shared" si="6"/>
        <v>0</v>
      </c>
      <c r="DA4">
        <f t="shared" si="6"/>
        <v>0</v>
      </c>
      <c r="DB4" s="74">
        <f t="shared" si="7"/>
        <v>710.80578688007836</v>
      </c>
      <c r="DC4" s="74">
        <f t="shared" si="8"/>
        <v>22.929218931615431</v>
      </c>
      <c r="DD4" s="73">
        <f t="shared" si="9"/>
        <v>1376968.3845003014</v>
      </c>
      <c r="DE4" s="74">
        <f t="shared" si="10"/>
        <v>2903.0313737488523</v>
      </c>
      <c r="DF4" s="74">
        <f t="shared" si="11"/>
        <v>93.646173346737172</v>
      </c>
      <c r="DG4" s="74">
        <f t="shared" si="12"/>
        <v>490331.3636435158</v>
      </c>
      <c r="DH4" s="74">
        <f t="shared" si="13"/>
        <v>75211.882536966106</v>
      </c>
      <c r="DI4" s="74">
        <f t="shared" si="14"/>
        <v>2426.1897592569712</v>
      </c>
      <c r="DJ4" s="74">
        <f t="shared" si="15"/>
        <v>3418.7219334984593</v>
      </c>
      <c r="DK4" s="74">
        <f t="shared" si="16"/>
        <v>2498975.4520346802</v>
      </c>
      <c r="DL4" s="74">
        <f t="shared" si="17"/>
        <v>3521283.5915034129</v>
      </c>
    </row>
    <row r="5" spans="1:116" x14ac:dyDescent="0.2">
      <c r="A5" s="96">
        <v>42095</v>
      </c>
      <c r="B5" s="4">
        <f t="shared" si="0"/>
        <v>2015</v>
      </c>
      <c r="C5" s="4">
        <f t="shared" si="1"/>
        <v>4</v>
      </c>
      <c r="D5" s="59">
        <v>37765295</v>
      </c>
      <c r="E5" s="59">
        <f>IFERROR(VLOOKUP($B5-1,CDM!$I$7:$N$18,2,FALSE)/12,0)+IFERROR(VLOOKUP($B5,CDM!$I$36:$L$46,2,FALSE)/24,0)+IFERROR(VLOOKUP($B5,CDM!$I$36:$L$46,2,FALSE)/2*$C5/78,0)</f>
        <v>127279.80577348231</v>
      </c>
      <c r="F5" s="59">
        <f t="shared" si="2"/>
        <v>37892574.805773482</v>
      </c>
      <c r="G5" s="468">
        <v>60058</v>
      </c>
      <c r="H5" s="59">
        <v>13252080</v>
      </c>
      <c r="I5" s="59">
        <f>IFERROR(VLOOKUP($B5-1,CDM!$I$7:$N$18,3,FALSE)/12,0)+IFERROR(VLOOKUP($B5,CDM!$I$36:$L$46,3,FALSE)/24,0)+IFERROR(VLOOKUP($B5,CDM!$I$36:$L$46,3,FALSE)/2*$C5/78,0)</f>
        <v>132783.30168046191</v>
      </c>
      <c r="J5" s="59">
        <f t="shared" si="3"/>
        <v>13384863.301680462</v>
      </c>
      <c r="K5" s="59">
        <v>5236</v>
      </c>
      <c r="L5" s="5">
        <v>69787643</v>
      </c>
      <c r="M5" s="2">
        <f>IFERROR(VLOOKUP($B5-1,CDM!$I$7:$N$18,4,FALSE)/12,0)+IFERROR(VLOOKUP($B5,CDM!$I$36:$L$46,4,FALSE)/24,0)+IFERROR(VLOOKUP($B5,CDM!$I$36:$L$46,4,FALSE)/2*$C5/78,0)</f>
        <v>240273.17234614008</v>
      </c>
      <c r="N5" s="59">
        <f t="shared" si="4"/>
        <v>70027916.172346145</v>
      </c>
      <c r="O5" s="5">
        <v>192074</v>
      </c>
      <c r="P5" s="6">
        <v>1028</v>
      </c>
      <c r="Q5" s="5">
        <v>732535</v>
      </c>
      <c r="R5" s="5">
        <v>2305</v>
      </c>
      <c r="S5" s="6">
        <v>15225</v>
      </c>
      <c r="T5" s="5">
        <v>256901</v>
      </c>
      <c r="U5" s="1">
        <v>24</v>
      </c>
      <c r="V5" s="1">
        <v>553</v>
      </c>
      <c r="W5" s="114">
        <f>Economic!J67</f>
        <v>708787.6</v>
      </c>
      <c r="X5" s="114">
        <f>Economic!K67</f>
        <v>544049.6</v>
      </c>
      <c r="Y5" s="114">
        <f>Economic!L67</f>
        <v>47639.4</v>
      </c>
      <c r="Z5" s="114">
        <f>Economic!M67</f>
        <v>705966</v>
      </c>
      <c r="AA5" s="114">
        <f>Economic!N67</f>
        <v>541346</v>
      </c>
      <c r="AB5" s="114">
        <f>Economic!O67</f>
        <v>27915</v>
      </c>
      <c r="AC5" s="114">
        <f>Economic!D67</f>
        <v>6819.5</v>
      </c>
      <c r="AD5" s="114">
        <f>Economic!E67</f>
        <v>6732.1</v>
      </c>
      <c r="AE5" s="114">
        <f>Economic!F67</f>
        <v>3093.9</v>
      </c>
      <c r="AF5" s="114">
        <f>Economic!G67</f>
        <v>3061.5</v>
      </c>
      <c r="AG5" s="114">
        <f>Economic!H67</f>
        <v>378.3</v>
      </c>
      <c r="AH5" s="114">
        <f>Economic!I67</f>
        <v>376.4</v>
      </c>
      <c r="AI5" s="114">
        <f>Economic!P79</f>
        <v>57.300000000000182</v>
      </c>
      <c r="AJ5" s="114">
        <f>Economic!Q79</f>
        <v>54.299999999999272</v>
      </c>
      <c r="AK5" s="114">
        <f>Economic!R79</f>
        <v>-3.5999999999999091</v>
      </c>
      <c r="AL5" s="114">
        <f>Economic!S79</f>
        <v>-5.6999999999998181</v>
      </c>
      <c r="AM5" s="114">
        <f>Economic!T79</f>
        <v>18822</v>
      </c>
      <c r="AN5" s="114">
        <f>Economic!U79</f>
        <v>5139</v>
      </c>
      <c r="AO5" s="28">
        <f>Weather!D197</f>
        <v>7.2700000000000022</v>
      </c>
      <c r="AP5" s="28">
        <f>Weather!E197</f>
        <v>381.90000000000003</v>
      </c>
      <c r="AQ5" s="28">
        <f>Weather!F197</f>
        <v>0</v>
      </c>
      <c r="AR5" s="28">
        <f>Weather!G197</f>
        <v>321.90000000000009</v>
      </c>
      <c r="AS5" s="28">
        <f>Weather!H197</f>
        <v>0</v>
      </c>
      <c r="AT5" s="28">
        <f>Weather!I197</f>
        <v>261.89999999999998</v>
      </c>
      <c r="AU5" s="28">
        <f>Weather!J197</f>
        <v>0</v>
      </c>
      <c r="AV5" s="28">
        <f>Weather!K197</f>
        <v>203.49999999999991</v>
      </c>
      <c r="AW5" s="28">
        <f>Weather!L197</f>
        <v>1.5999999999999996</v>
      </c>
      <c r="AX5" s="28">
        <f>Weather!M197</f>
        <v>149.69999999999996</v>
      </c>
      <c r="AY5" s="28">
        <f>Weather!N197</f>
        <v>7.8000000000000007</v>
      </c>
      <c r="AZ5" s="28">
        <f>Weather!O197</f>
        <v>102.5</v>
      </c>
      <c r="BA5" s="28">
        <f>Weather!P197</f>
        <v>20.6</v>
      </c>
      <c r="BB5" s="28">
        <f>Weather!Q197</f>
        <v>61.70000000000001</v>
      </c>
      <c r="BC5" s="28">
        <f>Weather!R197</f>
        <v>39.799999999999997</v>
      </c>
      <c r="BD5">
        <v>0</v>
      </c>
      <c r="BE5">
        <v>0</v>
      </c>
      <c r="BF5">
        <v>0</v>
      </c>
      <c r="BG5">
        <v>1</v>
      </c>
      <c r="BH5">
        <v>0</v>
      </c>
      <c r="BI5">
        <v>0</v>
      </c>
      <c r="BJ5">
        <v>0</v>
      </c>
      <c r="BK5">
        <v>0</v>
      </c>
      <c r="BL5">
        <v>0</v>
      </c>
      <c r="BM5">
        <v>0</v>
      </c>
      <c r="BN5">
        <v>0</v>
      </c>
      <c r="BO5">
        <v>0</v>
      </c>
      <c r="BP5">
        <v>1</v>
      </c>
      <c r="BQ5">
        <v>0</v>
      </c>
      <c r="BR5">
        <v>1</v>
      </c>
      <c r="BS5" s="1">
        <f t="shared" si="18"/>
        <v>4</v>
      </c>
      <c r="BT5">
        <v>30</v>
      </c>
      <c r="BU5">
        <v>20</v>
      </c>
      <c r="BV5">
        <v>0</v>
      </c>
      <c r="BW5">
        <v>0</v>
      </c>
      <c r="BX5">
        <v>0</v>
      </c>
      <c r="BY5">
        <v>0</v>
      </c>
      <c r="BZ5">
        <f t="shared" si="5"/>
        <v>0</v>
      </c>
      <c r="CA5">
        <f t="shared" si="5"/>
        <v>0</v>
      </c>
      <c r="CB5">
        <f t="shared" si="5"/>
        <v>0</v>
      </c>
      <c r="CC5">
        <f t="shared" si="5"/>
        <v>0</v>
      </c>
      <c r="CD5">
        <f t="shared" si="5"/>
        <v>0</v>
      </c>
      <c r="CE5">
        <f t="shared" si="5"/>
        <v>0</v>
      </c>
      <c r="CF5">
        <f t="shared" si="5"/>
        <v>0</v>
      </c>
      <c r="CG5">
        <f t="shared" si="5"/>
        <v>0</v>
      </c>
      <c r="CH5">
        <f t="shared" si="5"/>
        <v>0</v>
      </c>
      <c r="CI5">
        <f t="shared" si="5"/>
        <v>0</v>
      </c>
      <c r="CJ5">
        <f t="shared" si="5"/>
        <v>0</v>
      </c>
      <c r="CK5">
        <f t="shared" si="5"/>
        <v>0</v>
      </c>
      <c r="CL5">
        <f t="shared" si="5"/>
        <v>0</v>
      </c>
      <c r="CM5">
        <f t="shared" si="5"/>
        <v>0</v>
      </c>
      <c r="CN5">
        <f t="shared" si="6"/>
        <v>0</v>
      </c>
      <c r="CO5">
        <f t="shared" si="6"/>
        <v>0</v>
      </c>
      <c r="CP5">
        <f t="shared" si="6"/>
        <v>0</v>
      </c>
      <c r="CQ5">
        <f t="shared" si="6"/>
        <v>0</v>
      </c>
      <c r="CR5">
        <f t="shared" si="6"/>
        <v>0</v>
      </c>
      <c r="CS5">
        <f t="shared" si="6"/>
        <v>0</v>
      </c>
      <c r="CT5">
        <f t="shared" si="6"/>
        <v>0</v>
      </c>
      <c r="CU5">
        <f t="shared" si="6"/>
        <v>0</v>
      </c>
      <c r="CV5">
        <f t="shared" si="6"/>
        <v>0</v>
      </c>
      <c r="CW5">
        <f t="shared" si="6"/>
        <v>0</v>
      </c>
      <c r="CX5">
        <f t="shared" si="6"/>
        <v>0</v>
      </c>
      <c r="CY5">
        <f t="shared" si="6"/>
        <v>0</v>
      </c>
      <c r="CZ5">
        <f t="shared" si="6"/>
        <v>0</v>
      </c>
      <c r="DA5">
        <f t="shared" si="6"/>
        <v>0</v>
      </c>
      <c r="DB5" s="74">
        <f t="shared" si="7"/>
        <v>630.93301151842354</v>
      </c>
      <c r="DC5" s="74">
        <f t="shared" si="8"/>
        <v>21.03110038394745</v>
      </c>
      <c r="DD5" s="73">
        <f t="shared" si="9"/>
        <v>1263085.8268591161</v>
      </c>
      <c r="DE5" s="74">
        <f t="shared" si="10"/>
        <v>2556.3146107105545</v>
      </c>
      <c r="DF5" s="74">
        <f t="shared" si="11"/>
        <v>85.210487023685147</v>
      </c>
      <c r="DG5" s="74">
        <f t="shared" si="12"/>
        <v>446162.11005601543</v>
      </c>
      <c r="DH5" s="74">
        <f t="shared" si="13"/>
        <v>68120.541023683021</v>
      </c>
      <c r="DI5" s="74">
        <f t="shared" si="14"/>
        <v>2270.6847007894339</v>
      </c>
      <c r="DJ5" s="74">
        <f t="shared" si="15"/>
        <v>3406.0270511841509</v>
      </c>
      <c r="DK5" s="74">
        <f t="shared" si="16"/>
        <v>2334263.8724115384</v>
      </c>
      <c r="DL5" s="74">
        <f t="shared" si="17"/>
        <v>3501395.8086173073</v>
      </c>
    </row>
    <row r="6" spans="1:116" x14ac:dyDescent="0.2">
      <c r="A6" s="96">
        <v>42125</v>
      </c>
      <c r="B6" s="4">
        <f t="shared" si="0"/>
        <v>2015</v>
      </c>
      <c r="C6" s="4">
        <f t="shared" si="1"/>
        <v>5</v>
      </c>
      <c r="D6" s="59">
        <v>39914946</v>
      </c>
      <c r="E6" s="59">
        <f>IFERROR(VLOOKUP($B6-1,CDM!$I$7:$N$18,2,FALSE)/12,0)+IFERROR(VLOOKUP($B6,CDM!$I$36:$L$46,2,FALSE)/24,0)+IFERROR(VLOOKUP($B6,CDM!$I$36:$L$46,2,FALSE)/2*$C6/78,0)</f>
        <v>139401.69203762349</v>
      </c>
      <c r="F6" s="59">
        <f t="shared" si="2"/>
        <v>40054347.692037627</v>
      </c>
      <c r="G6" s="73">
        <v>60068</v>
      </c>
      <c r="H6" s="59">
        <v>13384750</v>
      </c>
      <c r="I6" s="59">
        <f>IFERROR(VLOOKUP($B6-1,CDM!$I$7:$N$18,3,FALSE)/12,0)+IFERROR(VLOOKUP($B6,CDM!$I$36:$L$46,3,FALSE)/24,0)+IFERROR(VLOOKUP($B6,CDM!$I$36:$L$46,3,FALSE)/2*$C6/78,0)</f>
        <v>145429.33041193447</v>
      </c>
      <c r="J6" s="59">
        <f t="shared" si="3"/>
        <v>13530179.330411935</v>
      </c>
      <c r="K6" s="59">
        <v>5250</v>
      </c>
      <c r="L6" s="5">
        <v>73480701</v>
      </c>
      <c r="M6" s="2">
        <f>IFERROR(VLOOKUP($B6-1,CDM!$I$7:$N$18,4,FALSE)/12,0)+IFERROR(VLOOKUP($B6,CDM!$I$36:$L$46,4,FALSE)/24,0)+IFERROR(VLOOKUP($B6,CDM!$I$36:$L$46,4,FALSE)/2*$C6/78,0)</f>
        <v>263156.33161720104</v>
      </c>
      <c r="N6" s="59">
        <f t="shared" si="4"/>
        <v>73743857.331617206</v>
      </c>
      <c r="O6" s="5">
        <v>187740</v>
      </c>
      <c r="P6" s="5">
        <v>1028</v>
      </c>
      <c r="Q6" s="5">
        <v>666655</v>
      </c>
      <c r="R6" s="5">
        <v>2305</v>
      </c>
      <c r="S6" s="6">
        <v>15225</v>
      </c>
      <c r="T6" s="5">
        <v>266757</v>
      </c>
      <c r="U6" s="1">
        <v>24</v>
      </c>
      <c r="V6" s="1">
        <v>556</v>
      </c>
      <c r="W6" s="114">
        <f>Economic!J68</f>
        <v>708787.6</v>
      </c>
      <c r="X6" s="114">
        <f>Economic!K68</f>
        <v>544049.6</v>
      </c>
      <c r="Y6" s="114">
        <f>Economic!L68</f>
        <v>47639.4</v>
      </c>
      <c r="Z6" s="114">
        <f>Economic!M68</f>
        <v>705966</v>
      </c>
      <c r="AA6" s="114">
        <f>Economic!N68</f>
        <v>541346</v>
      </c>
      <c r="AB6" s="114">
        <f>Economic!O68</f>
        <v>27915</v>
      </c>
      <c r="AC6" s="114">
        <f>Economic!D68</f>
        <v>6821.5</v>
      </c>
      <c r="AD6" s="114">
        <f>Economic!E68</f>
        <v>6790.3</v>
      </c>
      <c r="AE6" s="114">
        <f>Economic!F68</f>
        <v>3081.2</v>
      </c>
      <c r="AF6" s="114">
        <f>Economic!G68</f>
        <v>3069</v>
      </c>
      <c r="AG6" s="114">
        <f>Economic!H68</f>
        <v>376.1</v>
      </c>
      <c r="AH6" s="114">
        <f>Economic!I68</f>
        <v>374</v>
      </c>
      <c r="AI6" s="114">
        <f>Economic!P80</f>
        <v>61.800000000000182</v>
      </c>
      <c r="AJ6" s="114">
        <f>Economic!Q80</f>
        <v>57.800000000000182</v>
      </c>
      <c r="AK6" s="114">
        <f>Economic!R80</f>
        <v>22.5</v>
      </c>
      <c r="AL6" s="114">
        <f>Economic!S80</f>
        <v>24.900000000000091</v>
      </c>
      <c r="AM6" s="114">
        <f>Economic!T80</f>
        <v>18822</v>
      </c>
      <c r="AN6" s="114">
        <f>Economic!U80</f>
        <v>5139</v>
      </c>
      <c r="AO6" s="28">
        <f>Weather!D198</f>
        <v>14.535483870967743</v>
      </c>
      <c r="AP6" s="28">
        <f>Weather!E198</f>
        <v>175.50000000000003</v>
      </c>
      <c r="AQ6" s="28">
        <f>Weather!F198</f>
        <v>6.1000000000000014</v>
      </c>
      <c r="AR6" s="28">
        <f>Weather!G198</f>
        <v>123.90000000000002</v>
      </c>
      <c r="AS6" s="28">
        <f>Weather!H198</f>
        <v>16.5</v>
      </c>
      <c r="AT6" s="28">
        <f>Weather!I198</f>
        <v>80.5</v>
      </c>
      <c r="AU6" s="28">
        <f>Weather!J198</f>
        <v>35.1</v>
      </c>
      <c r="AV6" s="28">
        <f>Weather!K198</f>
        <v>44.20000000000001</v>
      </c>
      <c r="AW6" s="28">
        <f>Weather!L198</f>
        <v>60.8</v>
      </c>
      <c r="AX6" s="28">
        <f>Weather!M198</f>
        <v>18.3</v>
      </c>
      <c r="AY6" s="28">
        <f>Weather!N198</f>
        <v>96.90000000000002</v>
      </c>
      <c r="AZ6" s="28">
        <f>Weather!O198</f>
        <v>4.5999999999999996</v>
      </c>
      <c r="BA6" s="28">
        <f>Weather!P198</f>
        <v>145.20000000000002</v>
      </c>
      <c r="BB6" s="28">
        <f>Weather!Q198</f>
        <v>0.5</v>
      </c>
      <c r="BC6" s="28">
        <f>Weather!R198</f>
        <v>203.09999999999997</v>
      </c>
      <c r="BD6">
        <v>0</v>
      </c>
      <c r="BE6">
        <v>0</v>
      </c>
      <c r="BF6">
        <v>0</v>
      </c>
      <c r="BG6">
        <v>0</v>
      </c>
      <c r="BH6">
        <v>1</v>
      </c>
      <c r="BI6">
        <v>0</v>
      </c>
      <c r="BJ6">
        <v>0</v>
      </c>
      <c r="BK6">
        <v>0</v>
      </c>
      <c r="BL6">
        <v>0</v>
      </c>
      <c r="BM6">
        <v>0</v>
      </c>
      <c r="BN6">
        <v>0</v>
      </c>
      <c r="BO6">
        <v>0</v>
      </c>
      <c r="BP6">
        <v>1</v>
      </c>
      <c r="BQ6">
        <v>0</v>
      </c>
      <c r="BR6">
        <v>1</v>
      </c>
      <c r="BS6" s="1">
        <f t="shared" si="18"/>
        <v>5</v>
      </c>
      <c r="BT6">
        <v>31</v>
      </c>
      <c r="BU6">
        <v>20</v>
      </c>
      <c r="BV6">
        <v>0</v>
      </c>
      <c r="BW6">
        <v>0</v>
      </c>
      <c r="BX6">
        <v>0</v>
      </c>
      <c r="BY6">
        <v>0</v>
      </c>
      <c r="BZ6">
        <f t="shared" si="5"/>
        <v>0</v>
      </c>
      <c r="CA6">
        <f t="shared" si="5"/>
        <v>0</v>
      </c>
      <c r="CB6">
        <f t="shared" si="5"/>
        <v>0</v>
      </c>
      <c r="CC6">
        <f t="shared" si="5"/>
        <v>0</v>
      </c>
      <c r="CD6">
        <f t="shared" si="5"/>
        <v>0</v>
      </c>
      <c r="CE6">
        <f t="shared" si="5"/>
        <v>0</v>
      </c>
      <c r="CF6">
        <f t="shared" si="5"/>
        <v>0</v>
      </c>
      <c r="CG6">
        <f t="shared" si="5"/>
        <v>0</v>
      </c>
      <c r="CH6">
        <f t="shared" si="5"/>
        <v>0</v>
      </c>
      <c r="CI6">
        <f t="shared" si="5"/>
        <v>0</v>
      </c>
      <c r="CJ6">
        <f t="shared" si="5"/>
        <v>0</v>
      </c>
      <c r="CK6">
        <f t="shared" si="5"/>
        <v>0</v>
      </c>
      <c r="CL6">
        <f t="shared" si="5"/>
        <v>0</v>
      </c>
      <c r="CM6">
        <f t="shared" si="5"/>
        <v>0</v>
      </c>
      <c r="CN6">
        <f t="shared" si="6"/>
        <v>0</v>
      </c>
      <c r="CO6">
        <f t="shared" si="6"/>
        <v>0</v>
      </c>
      <c r="CP6">
        <f t="shared" si="6"/>
        <v>0</v>
      </c>
      <c r="CQ6">
        <f t="shared" si="6"/>
        <v>0</v>
      </c>
      <c r="CR6">
        <f t="shared" si="6"/>
        <v>0</v>
      </c>
      <c r="CS6">
        <f t="shared" si="6"/>
        <v>0</v>
      </c>
      <c r="CT6">
        <f t="shared" si="6"/>
        <v>0</v>
      </c>
      <c r="CU6">
        <f t="shared" si="6"/>
        <v>0</v>
      </c>
      <c r="CV6">
        <f t="shared" si="6"/>
        <v>0</v>
      </c>
      <c r="CW6">
        <f t="shared" si="6"/>
        <v>0</v>
      </c>
      <c r="CX6">
        <f t="shared" si="6"/>
        <v>0</v>
      </c>
      <c r="CY6">
        <f t="shared" si="6"/>
        <v>0</v>
      </c>
      <c r="CZ6">
        <f t="shared" si="6"/>
        <v>0</v>
      </c>
      <c r="DA6">
        <f t="shared" si="6"/>
        <v>0</v>
      </c>
      <c r="DB6" s="74">
        <f t="shared" si="7"/>
        <v>666.81673589994057</v>
      </c>
      <c r="DC6" s="74">
        <f t="shared" si="8"/>
        <v>21.510217287094857</v>
      </c>
      <c r="DD6" s="73">
        <f t="shared" si="9"/>
        <v>1292075.7320012138</v>
      </c>
      <c r="DE6" s="74">
        <f t="shared" si="10"/>
        <v>2577.1770153165589</v>
      </c>
      <c r="DF6" s="74">
        <f t="shared" si="11"/>
        <v>83.134742429566415</v>
      </c>
      <c r="DG6" s="74">
        <f t="shared" si="12"/>
        <v>436457.39775522373</v>
      </c>
      <c r="DH6" s="74">
        <f t="shared" si="13"/>
        <v>71735.269777837748</v>
      </c>
      <c r="DI6" s="74">
        <f t="shared" si="14"/>
        <v>2314.0409605754112</v>
      </c>
      <c r="DJ6" s="74">
        <f t="shared" si="15"/>
        <v>3586.7634888918874</v>
      </c>
      <c r="DK6" s="74">
        <f t="shared" si="16"/>
        <v>2378834.1074715229</v>
      </c>
      <c r="DL6" s="74">
        <f t="shared" si="17"/>
        <v>3687192.8665808602</v>
      </c>
    </row>
    <row r="7" spans="1:116" x14ac:dyDescent="0.2">
      <c r="A7" s="96">
        <v>42156</v>
      </c>
      <c r="B7" s="4">
        <f t="shared" si="0"/>
        <v>2015</v>
      </c>
      <c r="C7" s="4">
        <f t="shared" si="1"/>
        <v>6</v>
      </c>
      <c r="D7" s="59">
        <v>45271087</v>
      </c>
      <c r="E7" s="59">
        <f>IFERROR(VLOOKUP($B7-1,CDM!$I$7:$N$18,2,FALSE)/12,0)+IFERROR(VLOOKUP($B7,CDM!$I$36:$L$46,2,FALSE)/24,0)+IFERROR(VLOOKUP($B7,CDM!$I$36:$L$46,2,FALSE)/2*$C7/78,0)</f>
        <v>151523.57830176465</v>
      </c>
      <c r="F7" s="59">
        <f t="shared" si="2"/>
        <v>45422610.578301765</v>
      </c>
      <c r="G7" s="468">
        <v>60094</v>
      </c>
      <c r="H7" s="59">
        <v>13700810</v>
      </c>
      <c r="I7" s="59">
        <f>IFERROR(VLOOKUP($B7-1,CDM!$I$7:$N$18,3,FALSE)/12,0)+IFERROR(VLOOKUP($B7,CDM!$I$36:$L$46,3,FALSE)/24,0)+IFERROR(VLOOKUP($B7,CDM!$I$36:$L$46,3,FALSE)/2*$C7/78,0)</f>
        <v>158075.35914340703</v>
      </c>
      <c r="J7" s="59">
        <f t="shared" si="3"/>
        <v>13858885.359143406</v>
      </c>
      <c r="K7" s="59">
        <v>5241</v>
      </c>
      <c r="L7" s="5">
        <v>75378497</v>
      </c>
      <c r="M7" s="2">
        <f>IFERROR(VLOOKUP($B7-1,CDM!$I$7:$N$18,4,FALSE)/12,0)+IFERROR(VLOOKUP($B7,CDM!$I$36:$L$46,4,FALSE)/24,0)+IFERROR(VLOOKUP($B7,CDM!$I$36:$L$46,4,FALSE)/2*$C7/78,0)</f>
        <v>286039.49088826199</v>
      </c>
      <c r="N7" s="59">
        <f t="shared" si="4"/>
        <v>75664536.490888268</v>
      </c>
      <c r="O7" s="5">
        <v>203725</v>
      </c>
      <c r="P7" s="6">
        <v>1027</v>
      </c>
      <c r="Q7" s="5">
        <v>599971</v>
      </c>
      <c r="R7" s="5">
        <v>2305</v>
      </c>
      <c r="S7" s="5">
        <v>15225</v>
      </c>
      <c r="T7" s="5">
        <v>266425</v>
      </c>
      <c r="U7" s="1">
        <v>24</v>
      </c>
      <c r="V7" s="1">
        <v>556</v>
      </c>
      <c r="W7" s="114">
        <f>Economic!J69</f>
        <v>708787.6</v>
      </c>
      <c r="X7" s="114">
        <f>Economic!K69</f>
        <v>544049.6</v>
      </c>
      <c r="Y7" s="114">
        <f>Economic!L69</f>
        <v>47639.4</v>
      </c>
      <c r="Z7" s="114">
        <f>Economic!M69</f>
        <v>705966</v>
      </c>
      <c r="AA7" s="114">
        <f>Economic!N69</f>
        <v>541346</v>
      </c>
      <c r="AB7" s="114">
        <f>Economic!O69</f>
        <v>27915</v>
      </c>
      <c r="AC7" s="114">
        <f>Economic!D69</f>
        <v>6826.1</v>
      </c>
      <c r="AD7" s="114">
        <f>Economic!E69</f>
        <v>6875.4</v>
      </c>
      <c r="AE7" s="114">
        <f>Economic!F69</f>
        <v>3066.4</v>
      </c>
      <c r="AF7" s="114">
        <f>Economic!G69</f>
        <v>3085.3</v>
      </c>
      <c r="AG7" s="114">
        <f>Economic!H69</f>
        <v>376.9</v>
      </c>
      <c r="AH7" s="114">
        <f>Economic!I69</f>
        <v>377.5</v>
      </c>
      <c r="AI7" s="114">
        <f>Economic!P81</f>
        <v>57.5</v>
      </c>
      <c r="AJ7" s="114">
        <f>Economic!Q81</f>
        <v>54.700000000000728</v>
      </c>
      <c r="AK7" s="114">
        <f>Economic!R81</f>
        <v>46.299999999999727</v>
      </c>
      <c r="AL7" s="114">
        <f>Economic!S81</f>
        <v>49.299999999999727</v>
      </c>
      <c r="AM7" s="114">
        <f>Economic!T81</f>
        <v>18822</v>
      </c>
      <c r="AN7" s="114">
        <f>Economic!U81</f>
        <v>5139</v>
      </c>
      <c r="AO7" s="28">
        <f>Weather!D199</f>
        <v>16.886666666666663</v>
      </c>
      <c r="AP7" s="28">
        <f>Weather!E199</f>
        <v>101.39999999999998</v>
      </c>
      <c r="AQ7" s="28">
        <f>Weather!F199</f>
        <v>8</v>
      </c>
      <c r="AR7" s="28">
        <f>Weather!G199</f>
        <v>61.3</v>
      </c>
      <c r="AS7" s="28">
        <f>Weather!H199</f>
        <v>27.9</v>
      </c>
      <c r="AT7" s="28">
        <f>Weather!I199</f>
        <v>29.699999999999996</v>
      </c>
      <c r="AU7" s="28">
        <f>Weather!J199</f>
        <v>56.3</v>
      </c>
      <c r="AV7" s="28">
        <f>Weather!K199</f>
        <v>11.4</v>
      </c>
      <c r="AW7" s="28">
        <f>Weather!L199</f>
        <v>98.000000000000028</v>
      </c>
      <c r="AX7" s="28">
        <f>Weather!M199</f>
        <v>3.5</v>
      </c>
      <c r="AY7" s="28">
        <f>Weather!N199</f>
        <v>150.10000000000005</v>
      </c>
      <c r="AZ7" s="28">
        <f>Weather!O199</f>
        <v>0</v>
      </c>
      <c r="BA7" s="28">
        <f>Weather!P199</f>
        <v>206.60000000000002</v>
      </c>
      <c r="BB7" s="28">
        <f>Weather!Q199</f>
        <v>0</v>
      </c>
      <c r="BC7" s="28">
        <f>Weather!R199</f>
        <v>266.60000000000002</v>
      </c>
      <c r="BD7">
        <v>0</v>
      </c>
      <c r="BE7">
        <v>0</v>
      </c>
      <c r="BF7">
        <v>0</v>
      </c>
      <c r="BG7">
        <v>0</v>
      </c>
      <c r="BH7">
        <v>0</v>
      </c>
      <c r="BI7">
        <v>1</v>
      </c>
      <c r="BJ7">
        <v>0</v>
      </c>
      <c r="BK7">
        <v>0</v>
      </c>
      <c r="BL7">
        <v>0</v>
      </c>
      <c r="BM7">
        <v>0</v>
      </c>
      <c r="BN7">
        <v>0</v>
      </c>
      <c r="BO7">
        <v>0</v>
      </c>
      <c r="BP7">
        <v>0</v>
      </c>
      <c r="BQ7">
        <v>0</v>
      </c>
      <c r="BR7">
        <v>0</v>
      </c>
      <c r="BS7" s="1">
        <f t="shared" si="18"/>
        <v>6</v>
      </c>
      <c r="BT7">
        <v>30</v>
      </c>
      <c r="BU7">
        <v>22</v>
      </c>
      <c r="BV7">
        <v>0</v>
      </c>
      <c r="BW7">
        <v>0</v>
      </c>
      <c r="BX7">
        <v>0</v>
      </c>
      <c r="BY7">
        <v>0</v>
      </c>
      <c r="BZ7">
        <f t="shared" si="5"/>
        <v>0</v>
      </c>
      <c r="CA7">
        <f t="shared" si="5"/>
        <v>0</v>
      </c>
      <c r="CB7">
        <f t="shared" si="5"/>
        <v>0</v>
      </c>
      <c r="CC7">
        <f t="shared" si="5"/>
        <v>0</v>
      </c>
      <c r="CD7">
        <f t="shared" si="5"/>
        <v>0</v>
      </c>
      <c r="CE7">
        <f t="shared" si="5"/>
        <v>0</v>
      </c>
      <c r="CF7">
        <f t="shared" si="5"/>
        <v>0</v>
      </c>
      <c r="CG7">
        <f t="shared" si="5"/>
        <v>0</v>
      </c>
      <c r="CH7">
        <f t="shared" si="5"/>
        <v>0</v>
      </c>
      <c r="CI7">
        <f t="shared" si="5"/>
        <v>0</v>
      </c>
      <c r="CJ7">
        <f t="shared" si="5"/>
        <v>0</v>
      </c>
      <c r="CK7">
        <f t="shared" si="5"/>
        <v>0</v>
      </c>
      <c r="CL7">
        <f t="shared" si="5"/>
        <v>0</v>
      </c>
      <c r="CM7">
        <f t="shared" si="5"/>
        <v>0</v>
      </c>
      <c r="CN7">
        <f t="shared" si="6"/>
        <v>0</v>
      </c>
      <c r="CO7">
        <f t="shared" si="6"/>
        <v>0</v>
      </c>
      <c r="CP7">
        <f t="shared" si="6"/>
        <v>0</v>
      </c>
      <c r="CQ7">
        <f t="shared" si="6"/>
        <v>0</v>
      </c>
      <c r="CR7">
        <f t="shared" si="6"/>
        <v>0</v>
      </c>
      <c r="CS7">
        <f t="shared" si="6"/>
        <v>0</v>
      </c>
      <c r="CT7">
        <f t="shared" si="6"/>
        <v>0</v>
      </c>
      <c r="CU7">
        <f t="shared" si="6"/>
        <v>0</v>
      </c>
      <c r="CV7">
        <f t="shared" si="6"/>
        <v>0</v>
      </c>
      <c r="CW7">
        <f t="shared" si="6"/>
        <v>0</v>
      </c>
      <c r="CX7">
        <f t="shared" si="6"/>
        <v>0</v>
      </c>
      <c r="CY7">
        <f t="shared" si="6"/>
        <v>0</v>
      </c>
      <c r="CZ7">
        <f t="shared" si="6"/>
        <v>0</v>
      </c>
      <c r="DA7">
        <f t="shared" si="6"/>
        <v>0</v>
      </c>
      <c r="DB7" s="74">
        <f t="shared" si="7"/>
        <v>755.85933002132936</v>
      </c>
      <c r="DC7" s="74">
        <f t="shared" si="8"/>
        <v>25.19531100071098</v>
      </c>
      <c r="DD7" s="73">
        <f t="shared" si="9"/>
        <v>1514087.0192767256</v>
      </c>
      <c r="DE7" s="74">
        <f t="shared" si="10"/>
        <v>2644.320808842474</v>
      </c>
      <c r="DF7" s="74">
        <f t="shared" si="11"/>
        <v>88.144026961415804</v>
      </c>
      <c r="DG7" s="74">
        <f t="shared" si="12"/>
        <v>461962.84530478023</v>
      </c>
      <c r="DH7" s="74">
        <f t="shared" si="13"/>
        <v>73675.303301741253</v>
      </c>
      <c r="DI7" s="74">
        <f t="shared" si="14"/>
        <v>2455.8434433913749</v>
      </c>
      <c r="DJ7" s="74">
        <f t="shared" si="15"/>
        <v>3348.8774228064208</v>
      </c>
      <c r="DK7" s="74">
        <f t="shared" si="16"/>
        <v>2522151.2163629425</v>
      </c>
      <c r="DL7" s="74">
        <f t="shared" si="17"/>
        <v>3439297.1132221939</v>
      </c>
    </row>
    <row r="8" spans="1:116" x14ac:dyDescent="0.2">
      <c r="A8" s="96">
        <v>42186</v>
      </c>
      <c r="B8" s="4">
        <f t="shared" si="0"/>
        <v>2015</v>
      </c>
      <c r="C8" s="4">
        <f t="shared" si="1"/>
        <v>7</v>
      </c>
      <c r="D8" s="59">
        <v>53575923</v>
      </c>
      <c r="E8" s="59">
        <f>IFERROR(VLOOKUP($B8-1,CDM!$I$7:$N$18,2,FALSE)/12,0)+IFERROR(VLOOKUP($B8,CDM!$I$36:$L$46,2,FALSE)/24,0)+IFERROR(VLOOKUP($B8,CDM!$I$36:$L$46,2,FALSE)/2*$C8/78,0)</f>
        <v>163645.4645659058</v>
      </c>
      <c r="F8" s="59">
        <f t="shared" si="2"/>
        <v>53739568.464565903</v>
      </c>
      <c r="G8" s="468">
        <v>60096</v>
      </c>
      <c r="H8" s="59">
        <v>15161240</v>
      </c>
      <c r="I8" s="59">
        <f>IFERROR(VLOOKUP($B8-1,CDM!$I$7:$N$18,3,FALSE)/12,0)+IFERROR(VLOOKUP($B8,CDM!$I$36:$L$46,3,FALSE)/24,0)+IFERROR(VLOOKUP($B8,CDM!$I$36:$L$46,3,FALSE)/2*$C8/78,0)</f>
        <v>170721.38787487958</v>
      </c>
      <c r="J8" s="59">
        <f t="shared" si="3"/>
        <v>15331961.387874879</v>
      </c>
      <c r="K8" s="59">
        <v>5240</v>
      </c>
      <c r="L8" s="5">
        <v>81975954</v>
      </c>
      <c r="M8" s="2">
        <f>IFERROR(VLOOKUP($B8-1,CDM!$I$7:$N$18,4,FALSE)/12,0)+IFERROR(VLOOKUP($B8,CDM!$I$36:$L$46,4,FALSE)/24,0)+IFERROR(VLOOKUP($B8,CDM!$I$36:$L$46,4,FALSE)/2*$C8/78,0)</f>
        <v>308922.65015932289</v>
      </c>
      <c r="N8" s="59">
        <f t="shared" si="4"/>
        <v>82284876.650159329</v>
      </c>
      <c r="O8" s="5">
        <v>203387</v>
      </c>
      <c r="P8" s="6">
        <v>1027</v>
      </c>
      <c r="Q8" s="5">
        <v>641997</v>
      </c>
      <c r="R8" s="5">
        <v>2305</v>
      </c>
      <c r="S8" s="6">
        <v>15225</v>
      </c>
      <c r="T8" s="5">
        <v>258055</v>
      </c>
      <c r="U8" s="1">
        <v>24</v>
      </c>
      <c r="V8" s="1">
        <v>558</v>
      </c>
      <c r="W8" s="114">
        <f>Economic!J70</f>
        <v>708787.6</v>
      </c>
      <c r="X8" s="114">
        <f>Economic!K70</f>
        <v>544049.6</v>
      </c>
      <c r="Y8" s="114">
        <f>Economic!L70</f>
        <v>47639.4</v>
      </c>
      <c r="Z8" s="114">
        <f>Economic!M70</f>
        <v>713152</v>
      </c>
      <c r="AA8" s="114">
        <f>Economic!N70</f>
        <v>547090</v>
      </c>
      <c r="AB8" s="114">
        <f>Economic!O70</f>
        <v>28402</v>
      </c>
      <c r="AC8" s="114">
        <f>Economic!D70</f>
        <v>6836.5</v>
      </c>
      <c r="AD8" s="114">
        <f>Economic!E70</f>
        <v>6932</v>
      </c>
      <c r="AE8" s="114">
        <f>Economic!F70</f>
        <v>3045.3</v>
      </c>
      <c r="AF8" s="114">
        <f>Economic!G70</f>
        <v>3077.5</v>
      </c>
      <c r="AG8" s="114">
        <f>Economic!H70</f>
        <v>379.1</v>
      </c>
      <c r="AH8" s="114">
        <f>Economic!I70</f>
        <v>381.4</v>
      </c>
      <c r="AI8" s="114">
        <f>Economic!P82</f>
        <v>55.199999999999818</v>
      </c>
      <c r="AJ8" s="114">
        <f>Economic!Q82</f>
        <v>54.100000000000364</v>
      </c>
      <c r="AK8" s="114">
        <f>Economic!R82</f>
        <v>91.599999999999909</v>
      </c>
      <c r="AL8" s="114">
        <f>Economic!S82</f>
        <v>96.099999999999909</v>
      </c>
      <c r="AM8" s="114">
        <f>Economic!T82</f>
        <v>18822</v>
      </c>
      <c r="AN8" s="114">
        <f>Economic!U82</f>
        <v>6615</v>
      </c>
      <c r="AO8" s="28">
        <f>Weather!D200</f>
        <v>21.899999999999995</v>
      </c>
      <c r="AP8" s="28">
        <f>Weather!E200</f>
        <v>17.600000000000001</v>
      </c>
      <c r="AQ8" s="28">
        <f>Weather!F200</f>
        <v>76.5</v>
      </c>
      <c r="AR8" s="28">
        <f>Weather!G200</f>
        <v>4.4000000000000021</v>
      </c>
      <c r="AS8" s="28">
        <f>Weather!H200</f>
        <v>125.30000000000001</v>
      </c>
      <c r="AT8" s="28">
        <f>Weather!I200</f>
        <v>0</v>
      </c>
      <c r="AU8" s="28">
        <f>Weather!J200</f>
        <v>182.9</v>
      </c>
      <c r="AV8" s="28">
        <f>Weather!K200</f>
        <v>0</v>
      </c>
      <c r="AW8" s="28">
        <f>Weather!L200</f>
        <v>244.9</v>
      </c>
      <c r="AX8" s="28">
        <f>Weather!M200</f>
        <v>0</v>
      </c>
      <c r="AY8" s="28">
        <f>Weather!N200</f>
        <v>306.90000000000003</v>
      </c>
      <c r="AZ8" s="28">
        <f>Weather!O200</f>
        <v>0</v>
      </c>
      <c r="BA8" s="28">
        <f>Weather!P200</f>
        <v>368.90000000000003</v>
      </c>
      <c r="BB8" s="28">
        <f>Weather!Q200</f>
        <v>0</v>
      </c>
      <c r="BC8" s="28">
        <f>Weather!R200</f>
        <v>430.90000000000003</v>
      </c>
      <c r="BD8">
        <v>0</v>
      </c>
      <c r="BE8">
        <v>0</v>
      </c>
      <c r="BF8">
        <v>0</v>
      </c>
      <c r="BG8">
        <v>0</v>
      </c>
      <c r="BH8">
        <v>0</v>
      </c>
      <c r="BI8">
        <v>0</v>
      </c>
      <c r="BJ8">
        <v>1</v>
      </c>
      <c r="BK8">
        <v>0</v>
      </c>
      <c r="BL8">
        <v>0</v>
      </c>
      <c r="BM8">
        <v>0</v>
      </c>
      <c r="BN8">
        <v>0</v>
      </c>
      <c r="BO8">
        <v>0</v>
      </c>
      <c r="BP8">
        <v>0</v>
      </c>
      <c r="BQ8">
        <v>0</v>
      </c>
      <c r="BR8">
        <v>0</v>
      </c>
      <c r="BS8" s="1">
        <f t="shared" si="18"/>
        <v>7</v>
      </c>
      <c r="BT8">
        <v>31</v>
      </c>
      <c r="BU8">
        <v>22</v>
      </c>
      <c r="BV8">
        <v>0</v>
      </c>
      <c r="BW8">
        <v>0</v>
      </c>
      <c r="BX8">
        <v>0</v>
      </c>
      <c r="BY8">
        <v>0</v>
      </c>
      <c r="BZ8">
        <f t="shared" si="5"/>
        <v>0</v>
      </c>
      <c r="CA8">
        <f t="shared" si="5"/>
        <v>0</v>
      </c>
      <c r="CB8">
        <f t="shared" si="5"/>
        <v>0</v>
      </c>
      <c r="CC8">
        <f t="shared" ref="CC8:CM31" si="19">$BW8*AS8</f>
        <v>0</v>
      </c>
      <c r="CD8">
        <f t="shared" si="19"/>
        <v>0</v>
      </c>
      <c r="CE8">
        <f t="shared" si="19"/>
        <v>0</v>
      </c>
      <c r="CF8">
        <f t="shared" si="19"/>
        <v>0</v>
      </c>
      <c r="CG8">
        <f t="shared" si="19"/>
        <v>0</v>
      </c>
      <c r="CH8">
        <f t="shared" si="19"/>
        <v>0</v>
      </c>
      <c r="CI8">
        <f t="shared" si="19"/>
        <v>0</v>
      </c>
      <c r="CJ8">
        <f t="shared" si="19"/>
        <v>0</v>
      </c>
      <c r="CK8">
        <f t="shared" si="19"/>
        <v>0</v>
      </c>
      <c r="CL8">
        <f t="shared" si="19"/>
        <v>0</v>
      </c>
      <c r="CM8">
        <f t="shared" si="19"/>
        <v>0</v>
      </c>
      <c r="CN8">
        <f t="shared" si="6"/>
        <v>0</v>
      </c>
      <c r="CO8">
        <f t="shared" si="6"/>
        <v>0</v>
      </c>
      <c r="CP8">
        <f t="shared" si="6"/>
        <v>0</v>
      </c>
      <c r="CQ8">
        <f t="shared" ref="CQ8:DA31" si="20">$BX8*AS8</f>
        <v>0</v>
      </c>
      <c r="CR8">
        <f t="shared" si="20"/>
        <v>0</v>
      </c>
      <c r="CS8">
        <f t="shared" si="20"/>
        <v>0</v>
      </c>
      <c r="CT8">
        <f t="shared" si="20"/>
        <v>0</v>
      </c>
      <c r="CU8">
        <f t="shared" si="20"/>
        <v>0</v>
      </c>
      <c r="CV8">
        <f t="shared" si="20"/>
        <v>0</v>
      </c>
      <c r="CW8">
        <f t="shared" si="20"/>
        <v>0</v>
      </c>
      <c r="CX8">
        <f t="shared" si="20"/>
        <v>0</v>
      </c>
      <c r="CY8">
        <f t="shared" si="20"/>
        <v>0</v>
      </c>
      <c r="CZ8">
        <f t="shared" si="20"/>
        <v>0</v>
      </c>
      <c r="DA8">
        <f t="shared" si="20"/>
        <v>0</v>
      </c>
      <c r="DB8" s="74">
        <f t="shared" si="7"/>
        <v>894.22870847587035</v>
      </c>
      <c r="DC8" s="74">
        <f t="shared" si="8"/>
        <v>28.846087370189366</v>
      </c>
      <c r="DD8" s="73">
        <f t="shared" si="9"/>
        <v>1733534.4665989</v>
      </c>
      <c r="DE8" s="74">
        <f t="shared" si="10"/>
        <v>2925.9468297471144</v>
      </c>
      <c r="DF8" s="74">
        <f t="shared" si="11"/>
        <v>94.385381604745632</v>
      </c>
      <c r="DG8" s="74">
        <f t="shared" si="12"/>
        <v>494579.39960886707</v>
      </c>
      <c r="DH8" s="74">
        <f t="shared" si="13"/>
        <v>80121.593622355722</v>
      </c>
      <c r="DI8" s="74">
        <f t="shared" si="14"/>
        <v>2584.5675362050233</v>
      </c>
      <c r="DJ8" s="74">
        <f t="shared" si="15"/>
        <v>3641.8906191979872</v>
      </c>
      <c r="DK8" s="74">
        <f t="shared" si="16"/>
        <v>2654350.859682559</v>
      </c>
      <c r="DL8" s="74">
        <f t="shared" si="17"/>
        <v>3740221.665916333</v>
      </c>
    </row>
    <row r="9" spans="1:116" x14ac:dyDescent="0.2">
      <c r="A9" s="96">
        <v>42217</v>
      </c>
      <c r="B9" s="4">
        <f t="shared" si="0"/>
        <v>2015</v>
      </c>
      <c r="C9" s="4">
        <f t="shared" si="1"/>
        <v>8</v>
      </c>
      <c r="D9" s="59">
        <v>54286474</v>
      </c>
      <c r="E9" s="59">
        <f>IFERROR(VLOOKUP($B9-1,CDM!$I$7:$N$18,2,FALSE)/12,0)+IFERROR(VLOOKUP($B9,CDM!$I$36:$L$46,2,FALSE)/24,0)+IFERROR(VLOOKUP($B9,CDM!$I$36:$L$46,2,FALSE)/2*$C9/78,0)</f>
        <v>175767.35083004698</v>
      </c>
      <c r="F9" s="59">
        <f t="shared" si="2"/>
        <v>54462241.350830048</v>
      </c>
      <c r="G9" s="73">
        <v>60131</v>
      </c>
      <c r="H9" s="59">
        <v>15391927</v>
      </c>
      <c r="I9" s="59">
        <f>IFERROR(VLOOKUP($B9-1,CDM!$I$7:$N$18,3,FALSE)/12,0)+IFERROR(VLOOKUP($B9,CDM!$I$36:$L$46,3,FALSE)/24,0)+IFERROR(VLOOKUP($B9,CDM!$I$36:$L$46,3,FALSE)/2*$C9/78,0)</f>
        <v>183367.41660635214</v>
      </c>
      <c r="J9" s="59">
        <f t="shared" si="3"/>
        <v>15575294.416606352</v>
      </c>
      <c r="K9" s="59">
        <v>5244</v>
      </c>
      <c r="L9" s="5">
        <v>80836724</v>
      </c>
      <c r="M9" s="2">
        <f>IFERROR(VLOOKUP($B9-1,CDM!$I$7:$N$18,4,FALSE)/12,0)+IFERROR(VLOOKUP($B9,CDM!$I$36:$L$46,4,FALSE)/24,0)+IFERROR(VLOOKUP($B9,CDM!$I$36:$L$46,4,FALSE)/2*$C9/78,0)</f>
        <v>331805.8094303839</v>
      </c>
      <c r="N9" s="59">
        <f t="shared" si="4"/>
        <v>81168529.809430391</v>
      </c>
      <c r="O9" s="5">
        <v>210022</v>
      </c>
      <c r="P9" s="5">
        <v>1029</v>
      </c>
      <c r="Q9" s="5">
        <v>720424</v>
      </c>
      <c r="R9" s="5">
        <v>2305</v>
      </c>
      <c r="S9" s="6">
        <v>15225</v>
      </c>
      <c r="T9" s="5">
        <v>257469</v>
      </c>
      <c r="U9" s="1">
        <v>24</v>
      </c>
      <c r="V9" s="1">
        <v>557</v>
      </c>
      <c r="W9" s="114">
        <f>Economic!J71</f>
        <v>708787.6</v>
      </c>
      <c r="X9" s="114">
        <f>Economic!K71</f>
        <v>544049.6</v>
      </c>
      <c r="Y9" s="114">
        <f>Economic!L71</f>
        <v>47639.4</v>
      </c>
      <c r="Z9" s="114">
        <f>Economic!M71</f>
        <v>713152</v>
      </c>
      <c r="AA9" s="114">
        <f>Economic!N71</f>
        <v>547090</v>
      </c>
      <c r="AB9" s="114">
        <f>Economic!O71</f>
        <v>28402</v>
      </c>
      <c r="AC9" s="114">
        <f>Economic!D71</f>
        <v>6842.5</v>
      </c>
      <c r="AD9" s="114">
        <f>Economic!E71</f>
        <v>6947.8</v>
      </c>
      <c r="AE9" s="114">
        <f>Economic!F71</f>
        <v>3037.4</v>
      </c>
      <c r="AF9" s="114">
        <f>Economic!G71</f>
        <v>3079.7</v>
      </c>
      <c r="AG9" s="114">
        <f>Economic!H71</f>
        <v>381.2</v>
      </c>
      <c r="AH9" s="114">
        <f>Economic!I71</f>
        <v>383</v>
      </c>
      <c r="AI9" s="114">
        <f>Economic!P83</f>
        <v>54.300000000000182</v>
      </c>
      <c r="AJ9" s="114">
        <f>Economic!Q83</f>
        <v>52.399999999999636</v>
      </c>
      <c r="AK9" s="114">
        <f>Economic!R83</f>
        <v>119.69999999999982</v>
      </c>
      <c r="AL9" s="114">
        <f>Economic!S83</f>
        <v>120</v>
      </c>
      <c r="AM9" s="114">
        <f>Economic!T83</f>
        <v>18822</v>
      </c>
      <c r="AN9" s="114">
        <f>Economic!U83</f>
        <v>6615</v>
      </c>
      <c r="AO9" s="28">
        <f>Weather!D201</f>
        <v>20.796774193548384</v>
      </c>
      <c r="AP9" s="28">
        <f>Weather!E201</f>
        <v>20.399999999999999</v>
      </c>
      <c r="AQ9" s="28">
        <f>Weather!F201</f>
        <v>45.100000000000009</v>
      </c>
      <c r="AR9" s="28">
        <f>Weather!G201</f>
        <v>1.8000000000000007</v>
      </c>
      <c r="AS9" s="28">
        <f>Weather!H201</f>
        <v>88.499999999999986</v>
      </c>
      <c r="AT9" s="28">
        <f>Weather!I201</f>
        <v>0</v>
      </c>
      <c r="AU9" s="28">
        <f>Weather!J201</f>
        <v>148.70000000000002</v>
      </c>
      <c r="AV9" s="28">
        <f>Weather!K201</f>
        <v>0</v>
      </c>
      <c r="AW9" s="28">
        <f>Weather!L201</f>
        <v>210.70000000000002</v>
      </c>
      <c r="AX9" s="28">
        <f>Weather!M201</f>
        <v>0</v>
      </c>
      <c r="AY9" s="28">
        <f>Weather!N201</f>
        <v>272.70000000000005</v>
      </c>
      <c r="AZ9" s="28">
        <f>Weather!O201</f>
        <v>0</v>
      </c>
      <c r="BA9" s="28">
        <f>Weather!P201</f>
        <v>334.7000000000001</v>
      </c>
      <c r="BB9" s="28">
        <f>Weather!Q201</f>
        <v>0</v>
      </c>
      <c r="BC9" s="28">
        <f>Weather!R201</f>
        <v>396.7000000000001</v>
      </c>
      <c r="BD9">
        <v>0</v>
      </c>
      <c r="BE9">
        <v>0</v>
      </c>
      <c r="BF9">
        <v>0</v>
      </c>
      <c r="BG9">
        <v>0</v>
      </c>
      <c r="BH9">
        <v>0</v>
      </c>
      <c r="BI9">
        <v>0</v>
      </c>
      <c r="BJ9">
        <v>0</v>
      </c>
      <c r="BK9">
        <v>1</v>
      </c>
      <c r="BL9">
        <v>0</v>
      </c>
      <c r="BM9">
        <v>0</v>
      </c>
      <c r="BN9">
        <v>0</v>
      </c>
      <c r="BO9">
        <v>0</v>
      </c>
      <c r="BP9">
        <v>0</v>
      </c>
      <c r="BQ9">
        <v>0</v>
      </c>
      <c r="BR9">
        <v>0</v>
      </c>
      <c r="BS9" s="1">
        <f t="shared" si="18"/>
        <v>8</v>
      </c>
      <c r="BT9">
        <v>31</v>
      </c>
      <c r="BU9">
        <v>20</v>
      </c>
      <c r="BV9">
        <v>0</v>
      </c>
      <c r="BW9">
        <v>0</v>
      </c>
      <c r="BX9">
        <v>0</v>
      </c>
      <c r="BY9">
        <v>0</v>
      </c>
      <c r="BZ9">
        <f t="shared" ref="BZ9:CG65" si="21">$BW9*AP9</f>
        <v>0</v>
      </c>
      <c r="CA9">
        <f t="shared" si="21"/>
        <v>0</v>
      </c>
      <c r="CB9">
        <f t="shared" si="21"/>
        <v>0</v>
      </c>
      <c r="CC9">
        <f t="shared" si="19"/>
        <v>0</v>
      </c>
      <c r="CD9">
        <f t="shared" si="19"/>
        <v>0</v>
      </c>
      <c r="CE9">
        <f t="shared" si="19"/>
        <v>0</v>
      </c>
      <c r="CF9">
        <f t="shared" si="19"/>
        <v>0</v>
      </c>
      <c r="CG9">
        <f t="shared" si="19"/>
        <v>0</v>
      </c>
      <c r="CH9">
        <f t="shared" si="19"/>
        <v>0</v>
      </c>
      <c r="CI9">
        <f t="shared" si="19"/>
        <v>0</v>
      </c>
      <c r="CJ9">
        <f t="shared" si="19"/>
        <v>0</v>
      </c>
      <c r="CK9">
        <f t="shared" si="19"/>
        <v>0</v>
      </c>
      <c r="CL9">
        <f t="shared" si="19"/>
        <v>0</v>
      </c>
      <c r="CM9">
        <f t="shared" si="19"/>
        <v>0</v>
      </c>
      <c r="CN9">
        <f t="shared" ref="CN9:CU65" si="22">$BX9*AP9</f>
        <v>0</v>
      </c>
      <c r="CO9">
        <f t="shared" si="22"/>
        <v>0</v>
      </c>
      <c r="CP9">
        <f t="shared" si="22"/>
        <v>0</v>
      </c>
      <c r="CQ9">
        <f t="shared" si="20"/>
        <v>0</v>
      </c>
      <c r="CR9">
        <f t="shared" si="20"/>
        <v>0</v>
      </c>
      <c r="CS9">
        <f t="shared" si="20"/>
        <v>0</v>
      </c>
      <c r="CT9">
        <f t="shared" si="20"/>
        <v>0</v>
      </c>
      <c r="CU9">
        <f t="shared" si="20"/>
        <v>0</v>
      </c>
      <c r="CV9">
        <f t="shared" si="20"/>
        <v>0</v>
      </c>
      <c r="CW9">
        <f t="shared" si="20"/>
        <v>0</v>
      </c>
      <c r="CX9">
        <f t="shared" si="20"/>
        <v>0</v>
      </c>
      <c r="CY9">
        <f t="shared" si="20"/>
        <v>0</v>
      </c>
      <c r="CZ9">
        <f t="shared" si="20"/>
        <v>0</v>
      </c>
      <c r="DA9">
        <f t="shared" si="20"/>
        <v>0</v>
      </c>
      <c r="DB9" s="74">
        <f t="shared" si="7"/>
        <v>905.72651961267979</v>
      </c>
      <c r="DC9" s="74">
        <f t="shared" si="8"/>
        <v>29.216984503634833</v>
      </c>
      <c r="DD9" s="73">
        <f t="shared" si="9"/>
        <v>1756846.495188066</v>
      </c>
      <c r="DE9" s="74">
        <f t="shared" si="10"/>
        <v>2970.1171656381298</v>
      </c>
      <c r="DF9" s="74">
        <f t="shared" si="11"/>
        <v>95.810231149617096</v>
      </c>
      <c r="DG9" s="74">
        <f t="shared" si="12"/>
        <v>502428.85214859201</v>
      </c>
      <c r="DH9" s="74">
        <f t="shared" si="13"/>
        <v>78880.981350272486</v>
      </c>
      <c r="DI9" s="74">
        <f t="shared" si="14"/>
        <v>2544.5477854926608</v>
      </c>
      <c r="DJ9" s="74">
        <f t="shared" si="15"/>
        <v>3944.0490675136243</v>
      </c>
      <c r="DK9" s="74">
        <f t="shared" si="16"/>
        <v>2618339.6712719481</v>
      </c>
      <c r="DL9" s="74">
        <f t="shared" si="17"/>
        <v>4058426.4904715195</v>
      </c>
    </row>
    <row r="10" spans="1:116" x14ac:dyDescent="0.2">
      <c r="A10" s="96">
        <v>42248</v>
      </c>
      <c r="B10" s="4">
        <f t="shared" si="0"/>
        <v>2015</v>
      </c>
      <c r="C10" s="4">
        <f t="shared" si="1"/>
        <v>9</v>
      </c>
      <c r="D10" s="59">
        <v>46949969</v>
      </c>
      <c r="E10" s="59">
        <f>IFERROR(VLOOKUP($B10-1,CDM!$I$7:$N$18,2,FALSE)/12,0)+IFERROR(VLOOKUP($B10,CDM!$I$36:$L$46,2,FALSE)/24,0)+IFERROR(VLOOKUP($B10,CDM!$I$36:$L$46,2,FALSE)/2*$C10/78,0)</f>
        <v>187889.23709418817</v>
      </c>
      <c r="F10" s="59">
        <f t="shared" si="2"/>
        <v>47137858.237094186</v>
      </c>
      <c r="G10" s="468">
        <v>60165</v>
      </c>
      <c r="H10" s="59">
        <v>14009493</v>
      </c>
      <c r="I10" s="59">
        <f>IFERROR(VLOOKUP($B10-1,CDM!$I$7:$N$18,3,FALSE)/12,0)+IFERROR(VLOOKUP($B10,CDM!$I$36:$L$46,3,FALSE)/24,0)+IFERROR(VLOOKUP($B10,CDM!$I$36:$L$46,3,FALSE)/2*$C10/78,0)</f>
        <v>196013.4453378247</v>
      </c>
      <c r="J10" s="59">
        <f t="shared" si="3"/>
        <v>14205506.445337825</v>
      </c>
      <c r="K10" s="59">
        <v>5237</v>
      </c>
      <c r="L10" s="5">
        <v>78337146</v>
      </c>
      <c r="M10" s="2">
        <f>IFERROR(VLOOKUP($B10-1,CDM!$I$7:$N$18,4,FALSE)/12,0)+IFERROR(VLOOKUP($B10,CDM!$I$36:$L$46,4,FALSE)/24,0)+IFERROR(VLOOKUP($B10,CDM!$I$36:$L$46,4,FALSE)/2*$C10/78,0)</f>
        <v>354688.96870144486</v>
      </c>
      <c r="N10" s="59">
        <f t="shared" si="4"/>
        <v>78691834.968701452</v>
      </c>
      <c r="O10" s="5">
        <v>211976</v>
      </c>
      <c r="P10" s="6">
        <v>1028</v>
      </c>
      <c r="Q10" s="5">
        <v>794773</v>
      </c>
      <c r="R10" s="5">
        <v>2305</v>
      </c>
      <c r="S10" s="5">
        <v>15225</v>
      </c>
      <c r="T10" s="5">
        <v>257589</v>
      </c>
      <c r="U10" s="1">
        <v>24</v>
      </c>
      <c r="V10" s="1">
        <v>557</v>
      </c>
      <c r="W10" s="114">
        <f>Economic!J72</f>
        <v>708787.6</v>
      </c>
      <c r="X10" s="114">
        <f>Economic!K72</f>
        <v>544049.6</v>
      </c>
      <c r="Y10" s="114">
        <f>Economic!L72</f>
        <v>47639.4</v>
      </c>
      <c r="Z10" s="114">
        <f>Economic!M72</f>
        <v>713152</v>
      </c>
      <c r="AA10" s="114">
        <f>Economic!N72</f>
        <v>547090</v>
      </c>
      <c r="AB10" s="114">
        <f>Economic!O72</f>
        <v>28402</v>
      </c>
      <c r="AC10" s="114">
        <f>Economic!D72</f>
        <v>6853.6</v>
      </c>
      <c r="AD10" s="114">
        <f>Economic!E72</f>
        <v>6917.2</v>
      </c>
      <c r="AE10" s="114">
        <f>Economic!F72</f>
        <v>3035.8</v>
      </c>
      <c r="AF10" s="114">
        <f>Economic!G72</f>
        <v>3066</v>
      </c>
      <c r="AG10" s="114">
        <f>Economic!H72</f>
        <v>379.8</v>
      </c>
      <c r="AH10" s="114">
        <f>Economic!I72</f>
        <v>381.4</v>
      </c>
      <c r="AI10" s="114">
        <f>Economic!P84</f>
        <v>39.5</v>
      </c>
      <c r="AJ10" s="114">
        <f>Economic!Q84</f>
        <v>36.5</v>
      </c>
      <c r="AK10" s="114">
        <f>Economic!R84</f>
        <v>132.19999999999982</v>
      </c>
      <c r="AL10" s="114">
        <f>Economic!S84</f>
        <v>128.09999999999991</v>
      </c>
      <c r="AM10" s="114">
        <f>Economic!T84</f>
        <v>18822</v>
      </c>
      <c r="AN10" s="114">
        <f>Economic!U84</f>
        <v>6615</v>
      </c>
      <c r="AO10" s="28">
        <f>Weather!D202</f>
        <v>20.030000000000005</v>
      </c>
      <c r="AP10" s="28">
        <f>Weather!E202</f>
        <v>50.100000000000009</v>
      </c>
      <c r="AQ10" s="28">
        <f>Weather!F202</f>
        <v>51.000000000000014</v>
      </c>
      <c r="AR10" s="28">
        <f>Weather!G202</f>
        <v>22.6</v>
      </c>
      <c r="AS10" s="28">
        <f>Weather!H202</f>
        <v>83.5</v>
      </c>
      <c r="AT10" s="28">
        <f>Weather!I202</f>
        <v>7.2000000000000011</v>
      </c>
      <c r="AU10" s="28">
        <f>Weather!J202</f>
        <v>128.10000000000002</v>
      </c>
      <c r="AV10" s="28">
        <f>Weather!K202</f>
        <v>9.9999999999999645E-2</v>
      </c>
      <c r="AW10" s="28">
        <f>Weather!L202</f>
        <v>181</v>
      </c>
      <c r="AX10" s="28">
        <f>Weather!M202</f>
        <v>0</v>
      </c>
      <c r="AY10" s="28">
        <f>Weather!N202</f>
        <v>240.9</v>
      </c>
      <c r="AZ10" s="28">
        <f>Weather!O202</f>
        <v>0</v>
      </c>
      <c r="BA10" s="28">
        <f>Weather!P202</f>
        <v>300.90000000000003</v>
      </c>
      <c r="BB10" s="28">
        <f>Weather!Q202</f>
        <v>0</v>
      </c>
      <c r="BC10" s="28">
        <f>Weather!R202</f>
        <v>360.90000000000009</v>
      </c>
      <c r="BD10">
        <v>0</v>
      </c>
      <c r="BE10">
        <v>0</v>
      </c>
      <c r="BF10">
        <v>0</v>
      </c>
      <c r="BG10">
        <v>0</v>
      </c>
      <c r="BH10">
        <v>0</v>
      </c>
      <c r="BI10">
        <v>0</v>
      </c>
      <c r="BJ10">
        <v>0</v>
      </c>
      <c r="BK10">
        <v>0</v>
      </c>
      <c r="BL10">
        <v>1</v>
      </c>
      <c r="BM10">
        <v>0</v>
      </c>
      <c r="BN10">
        <v>0</v>
      </c>
      <c r="BO10">
        <v>0</v>
      </c>
      <c r="BP10">
        <v>0</v>
      </c>
      <c r="BQ10">
        <v>1</v>
      </c>
      <c r="BR10">
        <v>1</v>
      </c>
      <c r="BS10" s="1">
        <f t="shared" si="18"/>
        <v>9</v>
      </c>
      <c r="BT10">
        <v>30</v>
      </c>
      <c r="BU10">
        <v>21</v>
      </c>
      <c r="BV10">
        <v>0</v>
      </c>
      <c r="BW10">
        <v>0</v>
      </c>
      <c r="BX10">
        <v>0</v>
      </c>
      <c r="BY10">
        <v>0</v>
      </c>
      <c r="BZ10">
        <f t="shared" si="21"/>
        <v>0</v>
      </c>
      <c r="CA10">
        <f t="shared" si="21"/>
        <v>0</v>
      </c>
      <c r="CB10">
        <f t="shared" si="21"/>
        <v>0</v>
      </c>
      <c r="CC10">
        <f t="shared" si="19"/>
        <v>0</v>
      </c>
      <c r="CD10">
        <f t="shared" si="19"/>
        <v>0</v>
      </c>
      <c r="CE10">
        <f t="shared" si="19"/>
        <v>0</v>
      </c>
      <c r="CF10">
        <f t="shared" si="19"/>
        <v>0</v>
      </c>
      <c r="CG10">
        <f t="shared" si="19"/>
        <v>0</v>
      </c>
      <c r="CH10">
        <f t="shared" si="19"/>
        <v>0</v>
      </c>
      <c r="CI10">
        <f t="shared" si="19"/>
        <v>0</v>
      </c>
      <c r="CJ10">
        <f t="shared" si="19"/>
        <v>0</v>
      </c>
      <c r="CK10">
        <f t="shared" si="19"/>
        <v>0</v>
      </c>
      <c r="CL10">
        <f t="shared" si="19"/>
        <v>0</v>
      </c>
      <c r="CM10">
        <f t="shared" si="19"/>
        <v>0</v>
      </c>
      <c r="CN10">
        <f t="shared" si="22"/>
        <v>0</v>
      </c>
      <c r="CO10">
        <f t="shared" si="22"/>
        <v>0</v>
      </c>
      <c r="CP10">
        <f t="shared" si="22"/>
        <v>0</v>
      </c>
      <c r="CQ10">
        <f t="shared" si="20"/>
        <v>0</v>
      </c>
      <c r="CR10">
        <f t="shared" si="20"/>
        <v>0</v>
      </c>
      <c r="CS10">
        <f t="shared" si="20"/>
        <v>0</v>
      </c>
      <c r="CT10">
        <f t="shared" si="20"/>
        <v>0</v>
      </c>
      <c r="CU10">
        <f t="shared" si="20"/>
        <v>0</v>
      </c>
      <c r="CV10">
        <f t="shared" si="20"/>
        <v>0</v>
      </c>
      <c r="CW10">
        <f t="shared" si="20"/>
        <v>0</v>
      </c>
      <c r="CX10">
        <f t="shared" si="20"/>
        <v>0</v>
      </c>
      <c r="CY10">
        <f t="shared" si="20"/>
        <v>0</v>
      </c>
      <c r="CZ10">
        <f t="shared" si="20"/>
        <v>0</v>
      </c>
      <c r="DA10">
        <f t="shared" si="20"/>
        <v>0</v>
      </c>
      <c r="DB10" s="74">
        <f t="shared" si="7"/>
        <v>783.47641048939056</v>
      </c>
      <c r="DC10" s="74">
        <f t="shared" si="8"/>
        <v>26.115880349646353</v>
      </c>
      <c r="DD10" s="73">
        <f t="shared" si="9"/>
        <v>1571261.9412364729</v>
      </c>
      <c r="DE10" s="74">
        <f t="shared" si="10"/>
        <v>2712.5274862207034</v>
      </c>
      <c r="DF10" s="74">
        <f t="shared" si="11"/>
        <v>90.417582874023452</v>
      </c>
      <c r="DG10" s="74">
        <f t="shared" si="12"/>
        <v>473516.88151126081</v>
      </c>
      <c r="DH10" s="74">
        <f t="shared" si="13"/>
        <v>76548.477596013079</v>
      </c>
      <c r="DI10" s="74">
        <f t="shared" si="14"/>
        <v>2551.6159198671025</v>
      </c>
      <c r="DJ10" s="74">
        <f t="shared" si="15"/>
        <v>3645.1655998101464</v>
      </c>
      <c r="DK10" s="74">
        <f t="shared" si="16"/>
        <v>2623061.1656233817</v>
      </c>
      <c r="DL10" s="74">
        <f t="shared" si="17"/>
        <v>3747230.2366048312</v>
      </c>
    </row>
    <row r="11" spans="1:116" x14ac:dyDescent="0.2">
      <c r="A11" s="96">
        <v>42278</v>
      </c>
      <c r="B11" s="4">
        <f t="shared" si="0"/>
        <v>2015</v>
      </c>
      <c r="C11" s="4">
        <f t="shared" si="1"/>
        <v>10</v>
      </c>
      <c r="D11" s="59">
        <v>41035508</v>
      </c>
      <c r="E11" s="59">
        <f>IFERROR(VLOOKUP($B11-1,CDM!$I$7:$N$18,2,FALSE)/12,0)+IFERROR(VLOOKUP($B11,CDM!$I$36:$L$46,2,FALSE)/24,0)+IFERROR(VLOOKUP($B11,CDM!$I$36:$L$46,2,FALSE)/2*$C11/78,0)</f>
        <v>200011.12335832935</v>
      </c>
      <c r="F11" s="59">
        <f t="shared" si="2"/>
        <v>41235519.123358332</v>
      </c>
      <c r="G11" s="468">
        <v>60249</v>
      </c>
      <c r="H11" s="59">
        <v>12961860</v>
      </c>
      <c r="I11" s="59">
        <f>IFERROR(VLOOKUP($B11-1,CDM!$I$7:$N$18,3,FALSE)/12,0)+IFERROR(VLOOKUP($B11,CDM!$I$36:$L$46,3,FALSE)/24,0)+IFERROR(VLOOKUP($B11,CDM!$I$36:$L$46,3,FALSE)/2*$C11/78,0)</f>
        <v>208659.47406929726</v>
      </c>
      <c r="J11" s="59">
        <f t="shared" si="3"/>
        <v>13170519.474069297</v>
      </c>
      <c r="K11" s="59">
        <v>5242</v>
      </c>
      <c r="L11" s="5">
        <v>72632384</v>
      </c>
      <c r="M11" s="2">
        <f>IFERROR(VLOOKUP($B11-1,CDM!$I$7:$N$18,4,FALSE)/12,0)+IFERROR(VLOOKUP($B11,CDM!$I$36:$L$46,4,FALSE)/24,0)+IFERROR(VLOOKUP($B11,CDM!$I$36:$L$46,4,FALSE)/2*$C11/78,0)</f>
        <v>377572.12797250581</v>
      </c>
      <c r="N11" s="59">
        <f t="shared" si="4"/>
        <v>73009956.127972499</v>
      </c>
      <c r="O11" s="5">
        <v>210663</v>
      </c>
      <c r="P11" s="6">
        <v>1024</v>
      </c>
      <c r="Q11" s="5">
        <v>927060</v>
      </c>
      <c r="R11" s="5">
        <v>2305</v>
      </c>
      <c r="S11" s="6">
        <v>15225</v>
      </c>
      <c r="T11" s="5">
        <v>257836</v>
      </c>
      <c r="U11" s="1">
        <v>24</v>
      </c>
      <c r="V11" s="1">
        <v>558</v>
      </c>
      <c r="W11" s="114">
        <f>Economic!J73</f>
        <v>708787.6</v>
      </c>
      <c r="X11" s="114">
        <f>Economic!K73</f>
        <v>544049.6</v>
      </c>
      <c r="Y11" s="114">
        <f>Economic!L73</f>
        <v>47639.4</v>
      </c>
      <c r="Z11" s="114">
        <f>Economic!M73</f>
        <v>716976</v>
      </c>
      <c r="AA11" s="114">
        <f>Economic!N73</f>
        <v>551087</v>
      </c>
      <c r="AB11" s="114">
        <f>Economic!O73</f>
        <v>28776</v>
      </c>
      <c r="AC11" s="114">
        <f>Economic!D73</f>
        <v>6856.6</v>
      </c>
      <c r="AD11" s="114">
        <f>Economic!E73</f>
        <v>6898.9</v>
      </c>
      <c r="AE11" s="114">
        <f>Economic!F73</f>
        <v>3043.5</v>
      </c>
      <c r="AF11" s="114">
        <f>Economic!G73</f>
        <v>3062.6</v>
      </c>
      <c r="AG11" s="114">
        <f>Economic!H73</f>
        <v>379.2</v>
      </c>
      <c r="AH11" s="114">
        <f>Economic!I73</f>
        <v>381.3</v>
      </c>
      <c r="AI11" s="114">
        <f>Economic!P85</f>
        <v>36.299999999999272</v>
      </c>
      <c r="AJ11" s="114">
        <f>Economic!Q85</f>
        <v>33.900000000000546</v>
      </c>
      <c r="AK11" s="114">
        <f>Economic!R85</f>
        <v>123.19999999999982</v>
      </c>
      <c r="AL11" s="114">
        <f>Economic!S85</f>
        <v>117</v>
      </c>
      <c r="AM11" s="114">
        <f>Economic!T85</f>
        <v>18822</v>
      </c>
      <c r="AN11" s="114">
        <f>Economic!U85</f>
        <v>7443</v>
      </c>
      <c r="AO11" s="28">
        <f>Weather!D203</f>
        <v>11.587096774193544</v>
      </c>
      <c r="AP11" s="28">
        <f>Weather!E203</f>
        <v>260.8</v>
      </c>
      <c r="AQ11" s="28">
        <f>Weather!F203</f>
        <v>0</v>
      </c>
      <c r="AR11" s="28">
        <f>Weather!G203</f>
        <v>200</v>
      </c>
      <c r="AS11" s="28">
        <f>Weather!H203</f>
        <v>1.1999999999999993</v>
      </c>
      <c r="AT11" s="28">
        <f>Weather!I203</f>
        <v>141.1</v>
      </c>
      <c r="AU11" s="28">
        <f>Weather!J203</f>
        <v>4.2999999999999972</v>
      </c>
      <c r="AV11" s="28">
        <f>Weather!K203</f>
        <v>89.2</v>
      </c>
      <c r="AW11" s="28">
        <f>Weather!L203</f>
        <v>14.399999999999997</v>
      </c>
      <c r="AX11" s="28">
        <f>Weather!M203</f>
        <v>51.800000000000004</v>
      </c>
      <c r="AY11" s="28">
        <f>Weather!N203</f>
        <v>38.999999999999993</v>
      </c>
      <c r="AZ11" s="28">
        <f>Weather!O203</f>
        <v>26.9</v>
      </c>
      <c r="BA11" s="28">
        <f>Weather!P203</f>
        <v>76.100000000000023</v>
      </c>
      <c r="BB11" s="28">
        <f>Weather!Q203</f>
        <v>11.299999999999999</v>
      </c>
      <c r="BC11" s="28">
        <f>Weather!R203</f>
        <v>122.50000000000003</v>
      </c>
      <c r="BD11">
        <v>0</v>
      </c>
      <c r="BE11">
        <v>0</v>
      </c>
      <c r="BF11">
        <v>0</v>
      </c>
      <c r="BG11">
        <v>0</v>
      </c>
      <c r="BH11">
        <v>0</v>
      </c>
      <c r="BI11">
        <v>0</v>
      </c>
      <c r="BJ11">
        <v>0</v>
      </c>
      <c r="BK11">
        <v>0</v>
      </c>
      <c r="BL11">
        <v>0</v>
      </c>
      <c r="BM11">
        <v>1</v>
      </c>
      <c r="BN11">
        <v>0</v>
      </c>
      <c r="BO11">
        <v>0</v>
      </c>
      <c r="BP11">
        <v>0</v>
      </c>
      <c r="BQ11">
        <v>1</v>
      </c>
      <c r="BR11">
        <v>1</v>
      </c>
      <c r="BS11" s="1">
        <f t="shared" si="18"/>
        <v>10</v>
      </c>
      <c r="BT11">
        <v>31</v>
      </c>
      <c r="BU11">
        <v>21</v>
      </c>
      <c r="BV11">
        <v>0</v>
      </c>
      <c r="BW11">
        <v>0</v>
      </c>
      <c r="BX11">
        <v>0</v>
      </c>
      <c r="BY11">
        <v>0</v>
      </c>
      <c r="BZ11">
        <f t="shared" si="21"/>
        <v>0</v>
      </c>
      <c r="CA11">
        <f t="shared" si="21"/>
        <v>0</v>
      </c>
      <c r="CB11">
        <f t="shared" si="21"/>
        <v>0</v>
      </c>
      <c r="CC11">
        <f t="shared" si="19"/>
        <v>0</v>
      </c>
      <c r="CD11">
        <f t="shared" si="19"/>
        <v>0</v>
      </c>
      <c r="CE11">
        <f t="shared" si="19"/>
        <v>0</v>
      </c>
      <c r="CF11">
        <f t="shared" si="19"/>
        <v>0</v>
      </c>
      <c r="CG11">
        <f t="shared" si="19"/>
        <v>0</v>
      </c>
      <c r="CH11">
        <f t="shared" si="19"/>
        <v>0</v>
      </c>
      <c r="CI11">
        <f t="shared" si="19"/>
        <v>0</v>
      </c>
      <c r="CJ11">
        <f t="shared" si="19"/>
        <v>0</v>
      </c>
      <c r="CK11">
        <f t="shared" si="19"/>
        <v>0</v>
      </c>
      <c r="CL11">
        <f t="shared" si="19"/>
        <v>0</v>
      </c>
      <c r="CM11">
        <f t="shared" si="19"/>
        <v>0</v>
      </c>
      <c r="CN11">
        <f t="shared" si="22"/>
        <v>0</v>
      </c>
      <c r="CO11">
        <f t="shared" si="22"/>
        <v>0</v>
      </c>
      <c r="CP11">
        <f t="shared" si="22"/>
        <v>0</v>
      </c>
      <c r="CQ11">
        <f t="shared" si="20"/>
        <v>0</v>
      </c>
      <c r="CR11">
        <f t="shared" si="20"/>
        <v>0</v>
      </c>
      <c r="CS11">
        <f t="shared" si="20"/>
        <v>0</v>
      </c>
      <c r="CT11">
        <f t="shared" si="20"/>
        <v>0</v>
      </c>
      <c r="CU11">
        <f t="shared" si="20"/>
        <v>0</v>
      </c>
      <c r="CV11">
        <f t="shared" si="20"/>
        <v>0</v>
      </c>
      <c r="CW11">
        <f t="shared" si="20"/>
        <v>0</v>
      </c>
      <c r="CX11">
        <f t="shared" si="20"/>
        <v>0</v>
      </c>
      <c r="CY11">
        <f t="shared" si="20"/>
        <v>0</v>
      </c>
      <c r="CZ11">
        <f t="shared" si="20"/>
        <v>0</v>
      </c>
      <c r="DA11">
        <f t="shared" si="20"/>
        <v>0</v>
      </c>
      <c r="DB11" s="74">
        <f t="shared" si="7"/>
        <v>684.41831604438801</v>
      </c>
      <c r="DC11" s="74">
        <f t="shared" si="8"/>
        <v>22.078010194980259</v>
      </c>
      <c r="DD11" s="73">
        <f t="shared" si="9"/>
        <v>1330178.0362373656</v>
      </c>
      <c r="DE11" s="74">
        <f t="shared" si="10"/>
        <v>2512.4989458354248</v>
      </c>
      <c r="DF11" s="74">
        <f t="shared" si="11"/>
        <v>81.048353091465316</v>
      </c>
      <c r="DG11" s="74">
        <f t="shared" si="12"/>
        <v>424855.46690546122</v>
      </c>
      <c r="DH11" s="74">
        <f t="shared" si="13"/>
        <v>71298.785281223143</v>
      </c>
      <c r="DI11" s="74">
        <f t="shared" si="14"/>
        <v>2299.9608155233273</v>
      </c>
      <c r="DJ11" s="74">
        <f t="shared" si="15"/>
        <v>3395.1802514868164</v>
      </c>
      <c r="DK11" s="74">
        <f t="shared" si="16"/>
        <v>2355159.8750958871</v>
      </c>
      <c r="DL11" s="74">
        <f t="shared" si="17"/>
        <v>3476664.5775225</v>
      </c>
    </row>
    <row r="12" spans="1:116" x14ac:dyDescent="0.2">
      <c r="A12" s="96">
        <v>42309</v>
      </c>
      <c r="B12" s="4">
        <f t="shared" si="0"/>
        <v>2015</v>
      </c>
      <c r="C12" s="4">
        <f t="shared" si="1"/>
        <v>11</v>
      </c>
      <c r="D12" s="59">
        <v>37505130</v>
      </c>
      <c r="E12" s="59">
        <f>IFERROR(VLOOKUP($B12-1,CDM!$I$7:$N$18,2,FALSE)/12,0)+IFERROR(VLOOKUP($B12,CDM!$I$36:$L$46,2,FALSE)/24,0)+IFERROR(VLOOKUP($B12,CDM!$I$36:$L$46,2,FALSE)/2*$C12/78,0)</f>
        <v>212133.00962247048</v>
      </c>
      <c r="F12" s="59">
        <f t="shared" si="2"/>
        <v>37717263.00962247</v>
      </c>
      <c r="G12" s="73">
        <v>60255</v>
      </c>
      <c r="H12" s="59">
        <v>13004522</v>
      </c>
      <c r="I12" s="59">
        <f>IFERROR(VLOOKUP($B12-1,CDM!$I$7:$N$18,3,FALSE)/12,0)+IFERROR(VLOOKUP($B12,CDM!$I$36:$L$46,3,FALSE)/24,0)+IFERROR(VLOOKUP($B12,CDM!$I$36:$L$46,3,FALSE)/2*$C12/78,0)</f>
        <v>221305.50280076984</v>
      </c>
      <c r="J12" s="59">
        <f t="shared" si="3"/>
        <v>13225827.50280077</v>
      </c>
      <c r="K12" s="59">
        <v>5234</v>
      </c>
      <c r="L12" s="5">
        <v>71446240</v>
      </c>
      <c r="M12" s="2">
        <f>IFERROR(VLOOKUP($B12-1,CDM!$I$7:$N$18,4,FALSE)/12,0)+IFERROR(VLOOKUP($B12,CDM!$I$36:$L$46,4,FALSE)/24,0)+IFERROR(VLOOKUP($B12,CDM!$I$36:$L$46,4,FALSE)/2*$C12/78,0)</f>
        <v>400455.28724356671</v>
      </c>
      <c r="N12" s="59">
        <f t="shared" si="4"/>
        <v>71846695.28724356</v>
      </c>
      <c r="O12" s="5">
        <v>195211</v>
      </c>
      <c r="P12" s="5">
        <v>1027</v>
      </c>
      <c r="Q12" s="5">
        <v>985984</v>
      </c>
      <c r="R12" s="5">
        <v>2307</v>
      </c>
      <c r="S12" s="6">
        <v>15235</v>
      </c>
      <c r="T12" s="5">
        <v>257269</v>
      </c>
      <c r="U12" s="1">
        <v>24</v>
      </c>
      <c r="V12" s="1">
        <v>557</v>
      </c>
      <c r="W12" s="114">
        <f>Economic!J74</f>
        <v>708787.6</v>
      </c>
      <c r="X12" s="114">
        <f>Economic!K74</f>
        <v>544049.6</v>
      </c>
      <c r="Y12" s="114">
        <f>Economic!L74</f>
        <v>47639.4</v>
      </c>
      <c r="Z12" s="114">
        <f>Economic!M74</f>
        <v>716976</v>
      </c>
      <c r="AA12" s="114">
        <f>Economic!N74</f>
        <v>551087</v>
      </c>
      <c r="AB12" s="114">
        <f>Economic!O74</f>
        <v>28776</v>
      </c>
      <c r="AC12" s="114">
        <f>Economic!D74</f>
        <v>6858.1</v>
      </c>
      <c r="AD12" s="114">
        <f>Economic!E74</f>
        <v>6871.1</v>
      </c>
      <c r="AE12" s="114">
        <f>Economic!F74</f>
        <v>3050.5</v>
      </c>
      <c r="AF12" s="114">
        <f>Economic!G74</f>
        <v>3053.5</v>
      </c>
      <c r="AG12" s="114">
        <f>Economic!H74</f>
        <v>375.6</v>
      </c>
      <c r="AH12" s="114">
        <f>Economic!I74</f>
        <v>378.5</v>
      </c>
      <c r="AI12" s="114">
        <f>Economic!P86</f>
        <v>28.099999999999454</v>
      </c>
      <c r="AJ12" s="114">
        <f>Economic!Q86</f>
        <v>27.099999999999454</v>
      </c>
      <c r="AK12" s="114">
        <f>Economic!R86</f>
        <v>108</v>
      </c>
      <c r="AL12" s="114">
        <f>Economic!S86</f>
        <v>102.59999999999991</v>
      </c>
      <c r="AM12" s="114">
        <f>Economic!T86</f>
        <v>18822</v>
      </c>
      <c r="AN12" s="114">
        <f>Economic!U86</f>
        <v>7443</v>
      </c>
      <c r="AO12" s="28">
        <f>Weather!D204</f>
        <v>7.9633333333333329</v>
      </c>
      <c r="AP12" s="28">
        <f>Weather!E204</f>
        <v>361.1</v>
      </c>
      <c r="AQ12" s="28">
        <f>Weather!F204</f>
        <v>0</v>
      </c>
      <c r="AR12" s="28">
        <f>Weather!G204</f>
        <v>301.10000000000008</v>
      </c>
      <c r="AS12" s="28">
        <f>Weather!H204</f>
        <v>0</v>
      </c>
      <c r="AT12" s="28">
        <f>Weather!I204</f>
        <v>241.20000000000005</v>
      </c>
      <c r="AU12" s="28">
        <f>Weather!J204</f>
        <v>0.10000000000000142</v>
      </c>
      <c r="AV12" s="28">
        <f>Weather!K204</f>
        <v>185.10000000000002</v>
      </c>
      <c r="AW12" s="28">
        <f>Weather!L204</f>
        <v>4.0000000000000018</v>
      </c>
      <c r="AX12" s="28">
        <f>Weather!M204</f>
        <v>133</v>
      </c>
      <c r="AY12" s="28">
        <f>Weather!N204</f>
        <v>11.9</v>
      </c>
      <c r="AZ12" s="28">
        <f>Weather!O204</f>
        <v>90.2</v>
      </c>
      <c r="BA12" s="28">
        <f>Weather!P204</f>
        <v>29.1</v>
      </c>
      <c r="BB12" s="28">
        <f>Weather!Q204</f>
        <v>56.800000000000004</v>
      </c>
      <c r="BC12" s="28">
        <f>Weather!R204</f>
        <v>55.70000000000001</v>
      </c>
      <c r="BD12">
        <v>0</v>
      </c>
      <c r="BE12">
        <v>0</v>
      </c>
      <c r="BF12">
        <v>0</v>
      </c>
      <c r="BG12">
        <v>0</v>
      </c>
      <c r="BH12">
        <v>0</v>
      </c>
      <c r="BI12">
        <v>0</v>
      </c>
      <c r="BJ12">
        <v>0</v>
      </c>
      <c r="BK12">
        <v>0</v>
      </c>
      <c r="BL12">
        <v>0</v>
      </c>
      <c r="BM12">
        <v>0</v>
      </c>
      <c r="BN12">
        <v>1</v>
      </c>
      <c r="BO12">
        <v>0</v>
      </c>
      <c r="BP12">
        <v>0</v>
      </c>
      <c r="BQ12">
        <v>1</v>
      </c>
      <c r="BR12">
        <v>1</v>
      </c>
      <c r="BS12" s="1">
        <f t="shared" si="18"/>
        <v>11</v>
      </c>
      <c r="BT12">
        <v>30</v>
      </c>
      <c r="BU12">
        <v>21</v>
      </c>
      <c r="BV12">
        <v>0</v>
      </c>
      <c r="BW12">
        <v>0</v>
      </c>
      <c r="BX12">
        <v>0</v>
      </c>
      <c r="BY12">
        <v>0</v>
      </c>
      <c r="BZ12">
        <f t="shared" si="21"/>
        <v>0</v>
      </c>
      <c r="CA12">
        <f t="shared" si="21"/>
        <v>0</v>
      </c>
      <c r="CB12">
        <f t="shared" si="21"/>
        <v>0</v>
      </c>
      <c r="CC12">
        <f t="shared" si="19"/>
        <v>0</v>
      </c>
      <c r="CD12">
        <f t="shared" si="19"/>
        <v>0</v>
      </c>
      <c r="CE12">
        <f t="shared" si="19"/>
        <v>0</v>
      </c>
      <c r="CF12">
        <f t="shared" si="19"/>
        <v>0</v>
      </c>
      <c r="CG12">
        <f t="shared" si="19"/>
        <v>0</v>
      </c>
      <c r="CH12">
        <f t="shared" si="19"/>
        <v>0</v>
      </c>
      <c r="CI12">
        <f t="shared" si="19"/>
        <v>0</v>
      </c>
      <c r="CJ12">
        <f t="shared" si="19"/>
        <v>0</v>
      </c>
      <c r="CK12">
        <f t="shared" si="19"/>
        <v>0</v>
      </c>
      <c r="CL12">
        <f t="shared" si="19"/>
        <v>0</v>
      </c>
      <c r="CM12">
        <f t="shared" si="19"/>
        <v>0</v>
      </c>
      <c r="CN12">
        <f t="shared" si="22"/>
        <v>0</v>
      </c>
      <c r="CO12">
        <f t="shared" si="22"/>
        <v>0</v>
      </c>
      <c r="CP12">
        <f t="shared" si="22"/>
        <v>0</v>
      </c>
      <c r="CQ12">
        <f t="shared" si="20"/>
        <v>0</v>
      </c>
      <c r="CR12">
        <f t="shared" si="20"/>
        <v>0</v>
      </c>
      <c r="CS12">
        <f t="shared" si="20"/>
        <v>0</v>
      </c>
      <c r="CT12">
        <f t="shared" si="20"/>
        <v>0</v>
      </c>
      <c r="CU12">
        <f t="shared" si="20"/>
        <v>0</v>
      </c>
      <c r="CV12">
        <f t="shared" si="20"/>
        <v>0</v>
      </c>
      <c r="CW12">
        <f t="shared" si="20"/>
        <v>0</v>
      </c>
      <c r="CX12">
        <f t="shared" si="20"/>
        <v>0</v>
      </c>
      <c r="CY12">
        <f t="shared" si="20"/>
        <v>0</v>
      </c>
      <c r="CZ12">
        <f t="shared" si="20"/>
        <v>0</v>
      </c>
      <c r="DA12">
        <f t="shared" si="20"/>
        <v>0</v>
      </c>
      <c r="DB12" s="74">
        <f t="shared" si="7"/>
        <v>625.96071711264574</v>
      </c>
      <c r="DC12" s="74">
        <f t="shared" si="8"/>
        <v>20.86535723708819</v>
      </c>
      <c r="DD12" s="73">
        <f t="shared" si="9"/>
        <v>1257242.100320749</v>
      </c>
      <c r="DE12" s="74">
        <f t="shared" si="10"/>
        <v>2526.9062863585727</v>
      </c>
      <c r="DF12" s="74">
        <f t="shared" si="11"/>
        <v>84.23020954528576</v>
      </c>
      <c r="DG12" s="74">
        <f t="shared" si="12"/>
        <v>440860.91676002566</v>
      </c>
      <c r="DH12" s="74">
        <f t="shared" si="13"/>
        <v>69957.83377531018</v>
      </c>
      <c r="DI12" s="74">
        <f t="shared" si="14"/>
        <v>2331.9277925103393</v>
      </c>
      <c r="DJ12" s="74">
        <f t="shared" si="15"/>
        <v>3331.3254178719135</v>
      </c>
      <c r="DK12" s="74">
        <f t="shared" si="16"/>
        <v>2394889.8429081189</v>
      </c>
      <c r="DL12" s="74">
        <f t="shared" si="17"/>
        <v>3421271.2041544551</v>
      </c>
    </row>
    <row r="13" spans="1:116" x14ac:dyDescent="0.2">
      <c r="A13" s="96">
        <v>42339</v>
      </c>
      <c r="B13" s="4">
        <f t="shared" si="0"/>
        <v>2015</v>
      </c>
      <c r="C13" s="4">
        <f t="shared" si="1"/>
        <v>12</v>
      </c>
      <c r="D13" s="59">
        <v>40955651</v>
      </c>
      <c r="E13" s="59">
        <f>IFERROR(VLOOKUP($B13-1,CDM!$I$7:$N$18,2,FALSE)/12,0)+IFERROR(VLOOKUP($B13,CDM!$I$36:$L$46,2,FALSE)/24,0)+IFERROR(VLOOKUP($B13,CDM!$I$36:$L$46,2,FALSE)/2*$C13/78,0)</f>
        <v>224254.89588661166</v>
      </c>
      <c r="F13" s="59">
        <f t="shared" si="2"/>
        <v>41179905.895886615</v>
      </c>
      <c r="G13" s="468">
        <v>60262</v>
      </c>
      <c r="H13" s="59">
        <v>13905854</v>
      </c>
      <c r="I13" s="59">
        <f>IFERROR(VLOOKUP($B13-1,CDM!$I$7:$N$18,3,FALSE)/12,0)+IFERROR(VLOOKUP($B13,CDM!$I$36:$L$46,3,FALSE)/24,0)+IFERROR(VLOOKUP($B13,CDM!$I$36:$L$46,3,FALSE)/2*$C13/78,0)</f>
        <v>233951.5315322424</v>
      </c>
      <c r="J13" s="59">
        <f t="shared" si="3"/>
        <v>14139805.531532243</v>
      </c>
      <c r="K13" s="59">
        <v>5238</v>
      </c>
      <c r="L13" s="5">
        <v>72220640</v>
      </c>
      <c r="M13" s="2">
        <f>IFERROR(VLOOKUP($B13-1,CDM!$I$7:$N$18,4,FALSE)/12,0)+IFERROR(VLOOKUP($B13,CDM!$I$36:$L$46,4,FALSE)/24,0)+IFERROR(VLOOKUP($B13,CDM!$I$36:$L$46,4,FALSE)/2*$C13/78,0)</f>
        <v>423338.44651462778</v>
      </c>
      <c r="N13" s="59">
        <f t="shared" si="4"/>
        <v>72643978.446514621</v>
      </c>
      <c r="O13" s="5">
        <v>177950</v>
      </c>
      <c r="P13" s="6">
        <v>1029</v>
      </c>
      <c r="Q13" s="5">
        <v>1067879</v>
      </c>
      <c r="R13" s="5">
        <v>2304</v>
      </c>
      <c r="S13" s="5">
        <v>15258</v>
      </c>
      <c r="T13" s="5">
        <v>260807</v>
      </c>
      <c r="U13" s="1">
        <v>24</v>
      </c>
      <c r="V13" s="1">
        <v>557</v>
      </c>
      <c r="W13" s="114">
        <f>Economic!J75</f>
        <v>708787.6</v>
      </c>
      <c r="X13" s="114">
        <f>Economic!K75</f>
        <v>544049.6</v>
      </c>
      <c r="Y13" s="114">
        <f>Economic!L75</f>
        <v>47639.4</v>
      </c>
      <c r="Z13" s="114">
        <f>Economic!M75</f>
        <v>716976</v>
      </c>
      <c r="AA13" s="114">
        <f>Economic!N75</f>
        <v>551087</v>
      </c>
      <c r="AB13" s="114">
        <f>Economic!O75</f>
        <v>28776</v>
      </c>
      <c r="AC13" s="114">
        <f>Economic!D75</f>
        <v>6860</v>
      </c>
      <c r="AD13" s="114">
        <f>Economic!E75</f>
        <v>6863.1</v>
      </c>
      <c r="AE13" s="114">
        <f>Economic!F75</f>
        <v>3052.8</v>
      </c>
      <c r="AF13" s="114">
        <f>Economic!G75</f>
        <v>3053.2</v>
      </c>
      <c r="AG13" s="114">
        <f>Economic!H75</f>
        <v>372.9</v>
      </c>
      <c r="AH13" s="114">
        <f>Economic!I75</f>
        <v>376.7</v>
      </c>
      <c r="AI13" s="114">
        <f>Economic!P87</f>
        <v>35.600000000000364</v>
      </c>
      <c r="AJ13" s="114">
        <f>Economic!Q87</f>
        <v>39.199999999999818</v>
      </c>
      <c r="AK13" s="114">
        <f>Economic!R87</f>
        <v>108.29999999999973</v>
      </c>
      <c r="AL13" s="114">
        <f>Economic!S87</f>
        <v>106.40000000000009</v>
      </c>
      <c r="AM13" s="114">
        <f>Economic!T87</f>
        <v>18822</v>
      </c>
      <c r="AN13" s="114">
        <f>Economic!U87</f>
        <v>7443</v>
      </c>
      <c r="AO13" s="28">
        <f>Weather!D205</f>
        <v>5.2741935483870979</v>
      </c>
      <c r="AP13" s="28">
        <f>Weather!E205</f>
        <v>456.5</v>
      </c>
      <c r="AQ13" s="28">
        <f>Weather!F205</f>
        <v>0</v>
      </c>
      <c r="AR13" s="28">
        <f>Weather!G205</f>
        <v>394.5</v>
      </c>
      <c r="AS13" s="28">
        <f>Weather!H205</f>
        <v>0</v>
      </c>
      <c r="AT13" s="28">
        <f>Weather!I205</f>
        <v>332.5</v>
      </c>
      <c r="AU13" s="28">
        <f>Weather!J205</f>
        <v>0</v>
      </c>
      <c r="AV13" s="28">
        <f>Weather!K205</f>
        <v>270.5</v>
      </c>
      <c r="AW13" s="28">
        <f>Weather!L205</f>
        <v>0</v>
      </c>
      <c r="AX13" s="28">
        <f>Weather!M205</f>
        <v>208.49999999999994</v>
      </c>
      <c r="AY13" s="28">
        <f>Weather!N205</f>
        <v>0</v>
      </c>
      <c r="AZ13" s="28">
        <f>Weather!O205</f>
        <v>148</v>
      </c>
      <c r="BA13" s="28">
        <f>Weather!P205</f>
        <v>1.5</v>
      </c>
      <c r="BB13" s="28">
        <f>Weather!Q205</f>
        <v>96.899999999999991</v>
      </c>
      <c r="BC13" s="28">
        <f>Weather!R205</f>
        <v>12.400000000000002</v>
      </c>
      <c r="BD13">
        <v>0</v>
      </c>
      <c r="BE13">
        <v>0</v>
      </c>
      <c r="BF13">
        <v>0</v>
      </c>
      <c r="BG13">
        <v>0</v>
      </c>
      <c r="BH13">
        <v>0</v>
      </c>
      <c r="BI13">
        <v>0</v>
      </c>
      <c r="BJ13">
        <v>0</v>
      </c>
      <c r="BK13">
        <v>0</v>
      </c>
      <c r="BL13">
        <v>0</v>
      </c>
      <c r="BM13">
        <v>0</v>
      </c>
      <c r="BN13">
        <v>0</v>
      </c>
      <c r="BO13">
        <v>1</v>
      </c>
      <c r="BP13">
        <v>0</v>
      </c>
      <c r="BQ13">
        <v>0</v>
      </c>
      <c r="BR13">
        <v>0</v>
      </c>
      <c r="BS13" s="1">
        <f t="shared" si="18"/>
        <v>12</v>
      </c>
      <c r="BT13">
        <v>31</v>
      </c>
      <c r="BU13">
        <v>21</v>
      </c>
      <c r="BV13">
        <v>0</v>
      </c>
      <c r="BW13">
        <v>0</v>
      </c>
      <c r="BX13">
        <v>0</v>
      </c>
      <c r="BY13">
        <v>0</v>
      </c>
      <c r="BZ13">
        <f t="shared" si="21"/>
        <v>0</v>
      </c>
      <c r="CA13">
        <f t="shared" si="21"/>
        <v>0</v>
      </c>
      <c r="CB13">
        <f t="shared" si="21"/>
        <v>0</v>
      </c>
      <c r="CC13">
        <f t="shared" si="19"/>
        <v>0</v>
      </c>
      <c r="CD13">
        <f t="shared" si="19"/>
        <v>0</v>
      </c>
      <c r="CE13">
        <f t="shared" si="19"/>
        <v>0</v>
      </c>
      <c r="CF13">
        <f t="shared" si="19"/>
        <v>0</v>
      </c>
      <c r="CG13">
        <f t="shared" si="19"/>
        <v>0</v>
      </c>
      <c r="CH13">
        <f t="shared" si="19"/>
        <v>0</v>
      </c>
      <c r="CI13">
        <f t="shared" si="19"/>
        <v>0</v>
      </c>
      <c r="CJ13">
        <f t="shared" si="19"/>
        <v>0</v>
      </c>
      <c r="CK13">
        <f t="shared" si="19"/>
        <v>0</v>
      </c>
      <c r="CL13">
        <f t="shared" si="19"/>
        <v>0</v>
      </c>
      <c r="CM13">
        <f t="shared" si="19"/>
        <v>0</v>
      </c>
      <c r="CN13">
        <f t="shared" si="22"/>
        <v>0</v>
      </c>
      <c r="CO13">
        <f t="shared" si="22"/>
        <v>0</v>
      </c>
      <c r="CP13">
        <f t="shared" si="22"/>
        <v>0</v>
      </c>
      <c r="CQ13">
        <f t="shared" si="20"/>
        <v>0</v>
      </c>
      <c r="CR13">
        <f t="shared" si="20"/>
        <v>0</v>
      </c>
      <c r="CS13">
        <f t="shared" si="20"/>
        <v>0</v>
      </c>
      <c r="CT13">
        <f t="shared" si="20"/>
        <v>0</v>
      </c>
      <c r="CU13">
        <f t="shared" si="20"/>
        <v>0</v>
      </c>
      <c r="CV13">
        <f t="shared" si="20"/>
        <v>0</v>
      </c>
      <c r="CW13">
        <f t="shared" si="20"/>
        <v>0</v>
      </c>
      <c r="CX13">
        <f t="shared" si="20"/>
        <v>0</v>
      </c>
      <c r="CY13">
        <f t="shared" si="20"/>
        <v>0</v>
      </c>
      <c r="CZ13">
        <f t="shared" si="20"/>
        <v>0</v>
      </c>
      <c r="DA13">
        <f t="shared" si="20"/>
        <v>0</v>
      </c>
      <c r="DB13" s="74">
        <f t="shared" si="7"/>
        <v>683.3478128154826</v>
      </c>
      <c r="DC13" s="74">
        <f t="shared" si="8"/>
        <v>22.043477832757503</v>
      </c>
      <c r="DD13" s="73">
        <f t="shared" si="9"/>
        <v>1328384.0611576329</v>
      </c>
      <c r="DE13" s="74">
        <f t="shared" si="10"/>
        <v>2699.4665008652619</v>
      </c>
      <c r="DF13" s="74">
        <f t="shared" si="11"/>
        <v>87.079564544040707</v>
      </c>
      <c r="DG13" s="74">
        <f t="shared" si="12"/>
        <v>456122.75908168528</v>
      </c>
      <c r="DH13" s="74">
        <f t="shared" si="13"/>
        <v>70596.674875135694</v>
      </c>
      <c r="DI13" s="74">
        <f t="shared" si="14"/>
        <v>2277.3120927463128</v>
      </c>
      <c r="DJ13" s="74">
        <f t="shared" si="15"/>
        <v>3361.7464226255092</v>
      </c>
      <c r="DK13" s="74">
        <f t="shared" si="16"/>
        <v>2343354.1434359555</v>
      </c>
      <c r="DL13" s="74">
        <f t="shared" si="17"/>
        <v>3459237.0688816486</v>
      </c>
    </row>
    <row r="14" spans="1:116" x14ac:dyDescent="0.2">
      <c r="A14" s="96">
        <v>42370</v>
      </c>
      <c r="B14" s="4">
        <f t="shared" si="0"/>
        <v>2016</v>
      </c>
      <c r="C14" s="4">
        <f t="shared" si="1"/>
        <v>1</v>
      </c>
      <c r="D14" s="59">
        <v>44822386</v>
      </c>
      <c r="E14" s="59">
        <f>IFERROR(VLOOKUP($B14-1,CDM!$I$7:$N$18,2,FALSE)/12,0)+IFERROR(VLOOKUP($B14,CDM!$I$36:$L$46,2,FALSE)/24,0)+IFERROR(VLOOKUP($B14,CDM!$I$36:$L$46,2,FALSE)/2*$C14/78,0)</f>
        <v>433087.71375740296</v>
      </c>
      <c r="F14" s="59">
        <f t="shared" si="2"/>
        <v>45255473.713757403</v>
      </c>
      <c r="G14" s="468">
        <v>60313</v>
      </c>
      <c r="H14" s="59">
        <v>14814307</v>
      </c>
      <c r="I14" s="59">
        <f>IFERROR(VLOOKUP($B14-1,CDM!$I$7:$N$18,3,FALSE)/12,0)+IFERROR(VLOOKUP($B14,CDM!$I$36:$L$46,3,FALSE)/24,0)+IFERROR(VLOOKUP($B14,CDM!$I$36:$L$46,3,FALSE)/2*$C14/78,0)</f>
        <v>308964.88963998045</v>
      </c>
      <c r="J14" s="59">
        <f t="shared" si="3"/>
        <v>15123271.889639981</v>
      </c>
      <c r="K14" s="59">
        <v>5246</v>
      </c>
      <c r="L14" s="5">
        <v>78060980</v>
      </c>
      <c r="M14" s="2">
        <f>IFERROR(VLOOKUP($B14-1,CDM!$I$7:$N$18,4,FALSE)/12,0)+IFERROR(VLOOKUP($B14,CDM!$I$36:$L$46,4,FALSE)/24,0)+IFERROR(VLOOKUP($B14,CDM!$I$36:$L$46,4,FALSE)/2*$C14/78,0)</f>
        <v>702497.3895517796</v>
      </c>
      <c r="N14" s="59">
        <f t="shared" si="4"/>
        <v>78763477.389551774</v>
      </c>
      <c r="O14" s="5">
        <v>187910</v>
      </c>
      <c r="P14" s="6">
        <v>1031</v>
      </c>
      <c r="Q14" s="5">
        <v>1044725</v>
      </c>
      <c r="R14" s="5">
        <v>2304</v>
      </c>
      <c r="S14" s="6">
        <v>15258</v>
      </c>
      <c r="T14" s="5">
        <v>258738</v>
      </c>
      <c r="U14" s="1">
        <v>24</v>
      </c>
      <c r="V14" s="1">
        <v>557</v>
      </c>
      <c r="W14" s="114">
        <f>Economic!J76</f>
        <v>727609.6</v>
      </c>
      <c r="X14" s="114">
        <f>Economic!K76</f>
        <v>557474</v>
      </c>
      <c r="Y14" s="114">
        <f>Economic!L76</f>
        <v>49299.3</v>
      </c>
      <c r="Z14" s="114">
        <f>Economic!M76</f>
        <v>718587</v>
      </c>
      <c r="AA14" s="114">
        <f>Economic!N76</f>
        <v>551679</v>
      </c>
      <c r="AB14" s="114">
        <f>Economic!O76</f>
        <v>28860</v>
      </c>
      <c r="AC14" s="114">
        <f>Economic!D76</f>
        <v>6851.1</v>
      </c>
      <c r="AD14" s="114">
        <f>Economic!E76</f>
        <v>6809.7</v>
      </c>
      <c r="AE14" s="114">
        <f>Economic!F76</f>
        <v>3051.1</v>
      </c>
      <c r="AF14" s="114">
        <f>Economic!G76</f>
        <v>3037.5</v>
      </c>
      <c r="AG14" s="114">
        <f>Economic!H76</f>
        <v>373</v>
      </c>
      <c r="AH14" s="114">
        <f>Economic!I76</f>
        <v>373.6</v>
      </c>
      <c r="AI14" s="114">
        <f>Economic!P88</f>
        <v>57.299999999999272</v>
      </c>
      <c r="AJ14" s="114">
        <f>Economic!Q88</f>
        <v>61.5</v>
      </c>
      <c r="AK14" s="114">
        <f>Economic!R88</f>
        <v>113.80000000000018</v>
      </c>
      <c r="AL14" s="114">
        <f>Economic!S88</f>
        <v>113.69999999999982</v>
      </c>
      <c r="AM14" s="114">
        <f>Economic!T88</f>
        <v>16366.599999999977</v>
      </c>
      <c r="AN14" s="114">
        <f>Economic!U88</f>
        <v>5503</v>
      </c>
      <c r="AO14" s="28">
        <f>Weather!D206</f>
        <v>-2.1612903225806446</v>
      </c>
      <c r="AP14" s="28">
        <f>Weather!E206</f>
        <v>686.99999999999989</v>
      </c>
      <c r="AQ14" s="28">
        <f>Weather!F206</f>
        <v>0</v>
      </c>
      <c r="AR14" s="28">
        <f>Weather!G206</f>
        <v>624.99999999999989</v>
      </c>
      <c r="AS14" s="28">
        <f>Weather!H206</f>
        <v>0</v>
      </c>
      <c r="AT14" s="28">
        <f>Weather!I206</f>
        <v>563</v>
      </c>
      <c r="AU14" s="28">
        <f>Weather!J206</f>
        <v>0</v>
      </c>
      <c r="AV14" s="28">
        <f>Weather!K206</f>
        <v>501</v>
      </c>
      <c r="AW14" s="28">
        <f>Weather!L206</f>
        <v>0</v>
      </c>
      <c r="AX14" s="28">
        <f>Weather!M206</f>
        <v>439</v>
      </c>
      <c r="AY14" s="28">
        <f>Weather!N206</f>
        <v>0</v>
      </c>
      <c r="AZ14" s="28">
        <f>Weather!O206</f>
        <v>377.00000000000006</v>
      </c>
      <c r="BA14" s="28">
        <f>Weather!P206</f>
        <v>0</v>
      </c>
      <c r="BB14" s="28">
        <f>Weather!Q206</f>
        <v>315</v>
      </c>
      <c r="BC14" s="28">
        <f>Weather!R206</f>
        <v>0</v>
      </c>
      <c r="BD14">
        <v>1</v>
      </c>
      <c r="BE14">
        <v>0</v>
      </c>
      <c r="BF14">
        <v>0</v>
      </c>
      <c r="BG14">
        <v>0</v>
      </c>
      <c r="BH14">
        <v>0</v>
      </c>
      <c r="BI14">
        <v>0</v>
      </c>
      <c r="BJ14">
        <v>0</v>
      </c>
      <c r="BK14">
        <v>0</v>
      </c>
      <c r="BL14">
        <v>0</v>
      </c>
      <c r="BM14">
        <v>0</v>
      </c>
      <c r="BN14">
        <v>0</v>
      </c>
      <c r="BO14">
        <v>0</v>
      </c>
      <c r="BP14">
        <v>0</v>
      </c>
      <c r="BQ14">
        <v>0</v>
      </c>
      <c r="BR14">
        <v>0</v>
      </c>
      <c r="BS14" s="1">
        <f t="shared" si="18"/>
        <v>13</v>
      </c>
      <c r="BT14">
        <v>31</v>
      </c>
      <c r="BU14">
        <v>20</v>
      </c>
      <c r="BV14">
        <v>0</v>
      </c>
      <c r="BW14">
        <v>0</v>
      </c>
      <c r="BX14">
        <v>0</v>
      </c>
      <c r="BY14">
        <v>0</v>
      </c>
      <c r="BZ14">
        <f t="shared" si="21"/>
        <v>0</v>
      </c>
      <c r="CA14">
        <f t="shared" si="21"/>
        <v>0</v>
      </c>
      <c r="CB14">
        <f t="shared" si="21"/>
        <v>0</v>
      </c>
      <c r="CC14">
        <f t="shared" si="19"/>
        <v>0</v>
      </c>
      <c r="CD14">
        <f t="shared" si="19"/>
        <v>0</v>
      </c>
      <c r="CE14">
        <f t="shared" si="19"/>
        <v>0</v>
      </c>
      <c r="CF14">
        <f t="shared" si="19"/>
        <v>0</v>
      </c>
      <c r="CG14">
        <f t="shared" si="19"/>
        <v>0</v>
      </c>
      <c r="CH14">
        <f t="shared" si="19"/>
        <v>0</v>
      </c>
      <c r="CI14">
        <f t="shared" si="19"/>
        <v>0</v>
      </c>
      <c r="CJ14">
        <f t="shared" si="19"/>
        <v>0</v>
      </c>
      <c r="CK14">
        <f t="shared" si="19"/>
        <v>0</v>
      </c>
      <c r="CL14">
        <f t="shared" si="19"/>
        <v>0</v>
      </c>
      <c r="CM14">
        <f t="shared" si="19"/>
        <v>0</v>
      </c>
      <c r="CN14">
        <f t="shared" si="22"/>
        <v>0</v>
      </c>
      <c r="CO14">
        <f t="shared" si="22"/>
        <v>0</v>
      </c>
      <c r="CP14">
        <f t="shared" si="22"/>
        <v>0</v>
      </c>
      <c r="CQ14">
        <f t="shared" si="20"/>
        <v>0</v>
      </c>
      <c r="CR14">
        <f t="shared" si="20"/>
        <v>0</v>
      </c>
      <c r="CS14">
        <f t="shared" si="20"/>
        <v>0</v>
      </c>
      <c r="CT14">
        <f t="shared" si="20"/>
        <v>0</v>
      </c>
      <c r="CU14">
        <f t="shared" si="20"/>
        <v>0</v>
      </c>
      <c r="CV14">
        <f t="shared" si="20"/>
        <v>0</v>
      </c>
      <c r="CW14">
        <f t="shared" si="20"/>
        <v>0</v>
      </c>
      <c r="CX14">
        <f t="shared" si="20"/>
        <v>0</v>
      </c>
      <c r="CY14">
        <f t="shared" si="20"/>
        <v>0</v>
      </c>
      <c r="CZ14">
        <f t="shared" si="20"/>
        <v>0</v>
      </c>
      <c r="DA14">
        <f t="shared" si="20"/>
        <v>0</v>
      </c>
      <c r="DB14" s="74">
        <f t="shared" si="7"/>
        <v>750.34360276818268</v>
      </c>
      <c r="DC14" s="74">
        <f t="shared" si="8"/>
        <v>24.204632347360732</v>
      </c>
      <c r="DD14" s="73">
        <f t="shared" si="9"/>
        <v>1459853.9907663679</v>
      </c>
      <c r="DE14" s="74">
        <f t="shared" si="10"/>
        <v>2882.8196510941634</v>
      </c>
      <c r="DF14" s="74">
        <f t="shared" si="11"/>
        <v>92.994182293360112</v>
      </c>
      <c r="DG14" s="74">
        <f t="shared" si="12"/>
        <v>487847.48031096713</v>
      </c>
      <c r="DH14" s="74">
        <f t="shared" si="13"/>
        <v>76395.225402087075</v>
      </c>
      <c r="DI14" s="74">
        <f t="shared" si="14"/>
        <v>2464.3621097447444</v>
      </c>
      <c r="DJ14" s="74">
        <f t="shared" si="15"/>
        <v>3819.7612701043536</v>
      </c>
      <c r="DK14" s="74">
        <f t="shared" si="16"/>
        <v>2540757.3351468313</v>
      </c>
      <c r="DL14" s="74">
        <f t="shared" si="17"/>
        <v>3938173.8694775887</v>
      </c>
    </row>
    <row r="15" spans="1:116" x14ac:dyDescent="0.2">
      <c r="A15" s="96">
        <v>42401</v>
      </c>
      <c r="B15" s="4">
        <f t="shared" si="0"/>
        <v>2016</v>
      </c>
      <c r="C15" s="4">
        <f t="shared" si="1"/>
        <v>2</v>
      </c>
      <c r="D15" s="59">
        <v>39320516</v>
      </c>
      <c r="E15" s="59">
        <f>IFERROR(VLOOKUP($B15-1,CDM!$I$7:$N$18,2,FALSE)/12,0)+IFERROR(VLOOKUP($B15,CDM!$I$36:$L$46,2,FALSE)/24,0)+IFERROR(VLOOKUP($B15,CDM!$I$36:$L$46,2,FALSE)/2*$C15/78,0)</f>
        <v>469821.47273387865</v>
      </c>
      <c r="F15" s="59">
        <f t="shared" si="2"/>
        <v>39790337.472733878</v>
      </c>
      <c r="G15" s="73">
        <v>60310</v>
      </c>
      <c r="H15" s="59">
        <v>14022576</v>
      </c>
      <c r="I15" s="59">
        <f>IFERROR(VLOOKUP($B15-1,CDM!$I$7:$N$18,3,FALSE)/12,0)+IFERROR(VLOOKUP($B15,CDM!$I$36:$L$46,3,FALSE)/24,0)+IFERROR(VLOOKUP($B15,CDM!$I$36:$L$46,3,FALSE)/2*$C15/78,0)</f>
        <v>328240.42512409203</v>
      </c>
      <c r="J15" s="59">
        <f t="shared" si="3"/>
        <v>14350816.425124092</v>
      </c>
      <c r="K15" s="59">
        <v>5267</v>
      </c>
      <c r="L15" s="5">
        <v>73880261</v>
      </c>
      <c r="M15" s="2">
        <f>IFERROR(VLOOKUP($B15-1,CDM!$I$7:$N$18,4,FALSE)/12,0)+IFERROR(VLOOKUP($B15,CDM!$I$36:$L$46,4,FALSE)/24,0)+IFERROR(VLOOKUP($B15,CDM!$I$36:$L$46,4,FALSE)/2*$C15/78,0)</f>
        <v>756499.5654221779</v>
      </c>
      <c r="N15" s="59">
        <f t="shared" si="4"/>
        <v>74636760.565422177</v>
      </c>
      <c r="O15" s="5">
        <v>193682</v>
      </c>
      <c r="P15" s="5">
        <v>1033</v>
      </c>
      <c r="Q15" s="5">
        <v>902902</v>
      </c>
      <c r="R15" s="5">
        <v>2304</v>
      </c>
      <c r="S15" s="6">
        <v>15252</v>
      </c>
      <c r="T15" s="5">
        <v>259398</v>
      </c>
      <c r="U15" s="1">
        <v>24</v>
      </c>
      <c r="V15" s="1">
        <v>556</v>
      </c>
      <c r="W15" s="114">
        <f>Economic!J77</f>
        <v>727609.6</v>
      </c>
      <c r="X15" s="114">
        <f>Economic!K77</f>
        <v>557474</v>
      </c>
      <c r="Y15" s="114">
        <f>Economic!L77</f>
        <v>49299.3</v>
      </c>
      <c r="Z15" s="114">
        <f>Economic!M77</f>
        <v>718587</v>
      </c>
      <c r="AA15" s="114">
        <f>Economic!N77</f>
        <v>551679</v>
      </c>
      <c r="AB15" s="114">
        <f>Economic!O77</f>
        <v>28860</v>
      </c>
      <c r="AC15" s="114">
        <f>Economic!D77</f>
        <v>6859.2</v>
      </c>
      <c r="AD15" s="114">
        <f>Economic!E77</f>
        <v>6782.7</v>
      </c>
      <c r="AE15" s="114">
        <f>Economic!F77</f>
        <v>3059.7</v>
      </c>
      <c r="AF15" s="114">
        <f>Economic!G77</f>
        <v>3030</v>
      </c>
      <c r="AG15" s="114">
        <f>Economic!H77</f>
        <v>373.1</v>
      </c>
      <c r="AH15" s="114">
        <f>Economic!I77</f>
        <v>371</v>
      </c>
      <c r="AI15" s="114">
        <f>Economic!P89</f>
        <v>63.100000000000364</v>
      </c>
      <c r="AJ15" s="114">
        <f>Economic!Q89</f>
        <v>67.699999999999818</v>
      </c>
      <c r="AK15" s="114">
        <f>Economic!R89</f>
        <v>103.30000000000018</v>
      </c>
      <c r="AL15" s="114">
        <f>Economic!S89</f>
        <v>105.80000000000018</v>
      </c>
      <c r="AM15" s="114">
        <f>Economic!T89</f>
        <v>16366.599999999977</v>
      </c>
      <c r="AN15" s="114">
        <f>Economic!U89</f>
        <v>5503</v>
      </c>
      <c r="AO15" s="28">
        <f>Weather!D207</f>
        <v>-0.76896551724137929</v>
      </c>
      <c r="AP15" s="28">
        <f>Weather!E207</f>
        <v>602.29999999999995</v>
      </c>
      <c r="AQ15" s="28">
        <f>Weather!F207</f>
        <v>0</v>
      </c>
      <c r="AR15" s="28">
        <f>Weather!G207</f>
        <v>544.29999999999984</v>
      </c>
      <c r="AS15" s="28">
        <f>Weather!H207</f>
        <v>0</v>
      </c>
      <c r="AT15" s="28">
        <f>Weather!I207</f>
        <v>486.3</v>
      </c>
      <c r="AU15" s="28">
        <f>Weather!J207</f>
        <v>0</v>
      </c>
      <c r="AV15" s="28">
        <f>Weather!K207</f>
        <v>428.29999999999995</v>
      </c>
      <c r="AW15" s="28">
        <f>Weather!L207</f>
        <v>0</v>
      </c>
      <c r="AX15" s="28">
        <f>Weather!M207</f>
        <v>370.3</v>
      </c>
      <c r="AY15" s="28">
        <f>Weather!N207</f>
        <v>0</v>
      </c>
      <c r="AZ15" s="28">
        <f>Weather!O207</f>
        <v>312.5</v>
      </c>
      <c r="BA15" s="28">
        <f>Weather!P207</f>
        <v>0.19999999999999929</v>
      </c>
      <c r="BB15" s="28">
        <f>Weather!Q207</f>
        <v>257.2</v>
      </c>
      <c r="BC15" s="28">
        <f>Weather!R207</f>
        <v>2.8999999999999986</v>
      </c>
      <c r="BD15">
        <v>0</v>
      </c>
      <c r="BE15">
        <v>1</v>
      </c>
      <c r="BF15">
        <v>0</v>
      </c>
      <c r="BG15">
        <v>0</v>
      </c>
      <c r="BH15">
        <v>0</v>
      </c>
      <c r="BI15">
        <v>0</v>
      </c>
      <c r="BJ15">
        <v>0</v>
      </c>
      <c r="BK15">
        <v>0</v>
      </c>
      <c r="BL15">
        <v>0</v>
      </c>
      <c r="BM15">
        <v>0</v>
      </c>
      <c r="BN15">
        <v>0</v>
      </c>
      <c r="BO15">
        <v>0</v>
      </c>
      <c r="BP15">
        <v>0</v>
      </c>
      <c r="BQ15">
        <v>0</v>
      </c>
      <c r="BR15">
        <v>0</v>
      </c>
      <c r="BS15" s="1">
        <f t="shared" si="18"/>
        <v>14</v>
      </c>
      <c r="BT15">
        <v>29</v>
      </c>
      <c r="BU15">
        <v>20</v>
      </c>
      <c r="BV15">
        <v>0</v>
      </c>
      <c r="BW15">
        <v>0</v>
      </c>
      <c r="BX15">
        <v>0</v>
      </c>
      <c r="BY15">
        <v>0</v>
      </c>
      <c r="BZ15">
        <f t="shared" si="21"/>
        <v>0</v>
      </c>
      <c r="CA15">
        <f t="shared" si="21"/>
        <v>0</v>
      </c>
      <c r="CB15">
        <f t="shared" si="21"/>
        <v>0</v>
      </c>
      <c r="CC15">
        <f t="shared" si="19"/>
        <v>0</v>
      </c>
      <c r="CD15">
        <f t="shared" si="19"/>
        <v>0</v>
      </c>
      <c r="CE15">
        <f t="shared" si="19"/>
        <v>0</v>
      </c>
      <c r="CF15">
        <f t="shared" si="19"/>
        <v>0</v>
      </c>
      <c r="CG15">
        <f t="shared" si="19"/>
        <v>0</v>
      </c>
      <c r="CH15">
        <f t="shared" si="19"/>
        <v>0</v>
      </c>
      <c r="CI15">
        <f t="shared" si="19"/>
        <v>0</v>
      </c>
      <c r="CJ15">
        <f t="shared" si="19"/>
        <v>0</v>
      </c>
      <c r="CK15">
        <f t="shared" si="19"/>
        <v>0</v>
      </c>
      <c r="CL15">
        <f t="shared" si="19"/>
        <v>0</v>
      </c>
      <c r="CM15">
        <f t="shared" si="19"/>
        <v>0</v>
      </c>
      <c r="CN15">
        <f t="shared" si="22"/>
        <v>0</v>
      </c>
      <c r="CO15">
        <f t="shared" si="22"/>
        <v>0</v>
      </c>
      <c r="CP15">
        <f t="shared" si="22"/>
        <v>0</v>
      </c>
      <c r="CQ15">
        <f t="shared" si="20"/>
        <v>0</v>
      </c>
      <c r="CR15">
        <f t="shared" si="20"/>
        <v>0</v>
      </c>
      <c r="CS15">
        <f t="shared" si="20"/>
        <v>0</v>
      </c>
      <c r="CT15">
        <f t="shared" si="20"/>
        <v>0</v>
      </c>
      <c r="CU15">
        <f t="shared" si="20"/>
        <v>0</v>
      </c>
      <c r="CV15">
        <f t="shared" si="20"/>
        <v>0</v>
      </c>
      <c r="CW15">
        <f t="shared" si="20"/>
        <v>0</v>
      </c>
      <c r="CX15">
        <f t="shared" si="20"/>
        <v>0</v>
      </c>
      <c r="CY15">
        <f t="shared" si="20"/>
        <v>0</v>
      </c>
      <c r="CZ15">
        <f t="shared" si="20"/>
        <v>0</v>
      </c>
      <c r="DA15">
        <f t="shared" si="20"/>
        <v>0</v>
      </c>
      <c r="DB15" s="74">
        <f t="shared" si="7"/>
        <v>659.76351306141396</v>
      </c>
      <c r="DC15" s="74">
        <f t="shared" si="8"/>
        <v>22.750465967634963</v>
      </c>
      <c r="DD15" s="73">
        <f t="shared" si="9"/>
        <v>1372080.6025080648</v>
      </c>
      <c r="DE15" s="74">
        <f t="shared" si="10"/>
        <v>2724.6661145099852</v>
      </c>
      <c r="DF15" s="74">
        <f t="shared" si="11"/>
        <v>93.954003948620183</v>
      </c>
      <c r="DG15" s="74">
        <f t="shared" si="12"/>
        <v>494855.73879738251</v>
      </c>
      <c r="DH15" s="74">
        <f t="shared" si="13"/>
        <v>72252.430363429026</v>
      </c>
      <c r="DI15" s="74">
        <f t="shared" si="14"/>
        <v>2491.4631159803112</v>
      </c>
      <c r="DJ15" s="74">
        <f t="shared" si="15"/>
        <v>3612.6215181714515</v>
      </c>
      <c r="DK15" s="74">
        <f t="shared" si="16"/>
        <v>2573681.3988076611</v>
      </c>
      <c r="DL15" s="74">
        <f t="shared" si="17"/>
        <v>3731838.0282711089</v>
      </c>
    </row>
    <row r="16" spans="1:116" x14ac:dyDescent="0.2">
      <c r="A16" s="96">
        <v>42430</v>
      </c>
      <c r="B16" s="4">
        <f t="shared" si="0"/>
        <v>2016</v>
      </c>
      <c r="C16" s="4">
        <f t="shared" si="1"/>
        <v>3</v>
      </c>
      <c r="D16" s="59">
        <v>39386600</v>
      </c>
      <c r="E16" s="59">
        <f>IFERROR(VLOOKUP($B16-1,CDM!$I$7:$N$18,2,FALSE)/12,0)+IFERROR(VLOOKUP($B16,CDM!$I$36:$L$46,2,FALSE)/24,0)+IFERROR(VLOOKUP($B16,CDM!$I$36:$L$46,2,FALSE)/2*$C16/78,0)</f>
        <v>506555.23171035433</v>
      </c>
      <c r="F16" s="59">
        <f t="shared" si="2"/>
        <v>39893155.231710352</v>
      </c>
      <c r="G16" s="468">
        <v>60323</v>
      </c>
      <c r="H16" s="59">
        <v>14145609</v>
      </c>
      <c r="I16" s="59">
        <f>IFERROR(VLOOKUP($B16-1,CDM!$I$7:$N$18,3,FALSE)/12,0)+IFERROR(VLOOKUP($B16,CDM!$I$36:$L$46,3,FALSE)/24,0)+IFERROR(VLOOKUP($B16,CDM!$I$36:$L$46,3,FALSE)/2*$C16/78,0)</f>
        <v>347515.96060820366</v>
      </c>
      <c r="J16" s="59">
        <f t="shared" si="3"/>
        <v>14493124.960608203</v>
      </c>
      <c r="K16" s="59">
        <v>5268</v>
      </c>
      <c r="L16" s="5">
        <v>76236827</v>
      </c>
      <c r="M16" s="2">
        <f>IFERROR(VLOOKUP($B16-1,CDM!$I$7:$N$18,4,FALSE)/12,0)+IFERROR(VLOOKUP($B16,CDM!$I$36:$L$46,4,FALSE)/24,0)+IFERROR(VLOOKUP($B16,CDM!$I$36:$L$46,4,FALSE)/2*$C16/78,0)</f>
        <v>810501.74129257619</v>
      </c>
      <c r="N16" s="59">
        <f t="shared" si="4"/>
        <v>77047328.741292581</v>
      </c>
      <c r="O16" s="5">
        <v>195760</v>
      </c>
      <c r="P16" s="6">
        <v>1034</v>
      </c>
      <c r="Q16" s="5">
        <v>862508</v>
      </c>
      <c r="R16" s="5">
        <v>2304</v>
      </c>
      <c r="S16" s="5">
        <v>15252</v>
      </c>
      <c r="T16" s="5">
        <v>260607</v>
      </c>
      <c r="U16" s="1">
        <v>24</v>
      </c>
      <c r="V16" s="1">
        <v>560</v>
      </c>
      <c r="W16" s="114">
        <f>Economic!J78</f>
        <v>727609.6</v>
      </c>
      <c r="X16" s="114">
        <f>Economic!K78</f>
        <v>557474</v>
      </c>
      <c r="Y16" s="114">
        <f>Economic!L78</f>
        <v>49299.3</v>
      </c>
      <c r="Z16" s="114">
        <f>Economic!M78</f>
        <v>718587</v>
      </c>
      <c r="AA16" s="114">
        <f>Economic!N78</f>
        <v>551679</v>
      </c>
      <c r="AB16" s="114">
        <f>Economic!O78</f>
        <v>28860</v>
      </c>
      <c r="AC16" s="114">
        <f>Economic!D78</f>
        <v>6870</v>
      </c>
      <c r="AD16" s="114">
        <f>Economic!E78</f>
        <v>6761.8</v>
      </c>
      <c r="AE16" s="114">
        <f>Economic!F78</f>
        <v>3079.2</v>
      </c>
      <c r="AF16" s="114">
        <f>Economic!G78</f>
        <v>3033.1</v>
      </c>
      <c r="AG16" s="114">
        <f>Economic!H78</f>
        <v>372.9</v>
      </c>
      <c r="AH16" s="114">
        <f>Economic!I78</f>
        <v>367.3</v>
      </c>
      <c r="AI16" s="114">
        <f>Economic!P90</f>
        <v>60.199999999999818</v>
      </c>
      <c r="AJ16" s="114">
        <f>Economic!Q90</f>
        <v>65.5</v>
      </c>
      <c r="AK16" s="114">
        <f>Economic!R90</f>
        <v>74.100000000000364</v>
      </c>
      <c r="AL16" s="114">
        <f>Economic!S90</f>
        <v>76.800000000000182</v>
      </c>
      <c r="AM16" s="114">
        <f>Economic!T90</f>
        <v>16366.599999999977</v>
      </c>
      <c r="AN16" s="114">
        <f>Economic!U90</f>
        <v>5503</v>
      </c>
      <c r="AO16" s="28">
        <f>Weather!D208</f>
        <v>3.4451612903225803</v>
      </c>
      <c r="AP16" s="28">
        <f>Weather!E208</f>
        <v>513.20000000000005</v>
      </c>
      <c r="AQ16" s="28">
        <f>Weather!F208</f>
        <v>0</v>
      </c>
      <c r="AR16" s="28">
        <f>Weather!G208</f>
        <v>451.2</v>
      </c>
      <c r="AS16" s="28">
        <f>Weather!H208</f>
        <v>0</v>
      </c>
      <c r="AT16" s="28">
        <f>Weather!I208</f>
        <v>389.2</v>
      </c>
      <c r="AU16" s="28">
        <f>Weather!J208</f>
        <v>0</v>
      </c>
      <c r="AV16" s="28">
        <f>Weather!K208</f>
        <v>327.2</v>
      </c>
      <c r="AW16" s="28">
        <f>Weather!L208</f>
        <v>0</v>
      </c>
      <c r="AX16" s="28">
        <f>Weather!M208</f>
        <v>267</v>
      </c>
      <c r="AY16" s="28">
        <f>Weather!N208</f>
        <v>1.8000000000000007</v>
      </c>
      <c r="AZ16" s="28">
        <f>Weather!O208</f>
        <v>208.49999999999997</v>
      </c>
      <c r="BA16" s="28">
        <f>Weather!P208</f>
        <v>5.3000000000000007</v>
      </c>
      <c r="BB16" s="28">
        <f>Weather!Q208</f>
        <v>154.29999999999998</v>
      </c>
      <c r="BC16" s="28">
        <f>Weather!R208</f>
        <v>13.100000000000001</v>
      </c>
      <c r="BD16">
        <v>0</v>
      </c>
      <c r="BE16">
        <v>0</v>
      </c>
      <c r="BF16">
        <v>1</v>
      </c>
      <c r="BG16">
        <v>0</v>
      </c>
      <c r="BH16">
        <v>0</v>
      </c>
      <c r="BI16">
        <v>0</v>
      </c>
      <c r="BJ16">
        <v>0</v>
      </c>
      <c r="BK16">
        <v>0</v>
      </c>
      <c r="BL16">
        <v>0</v>
      </c>
      <c r="BM16">
        <v>0</v>
      </c>
      <c r="BN16">
        <v>0</v>
      </c>
      <c r="BO16">
        <v>0</v>
      </c>
      <c r="BP16">
        <v>1</v>
      </c>
      <c r="BQ16">
        <v>0</v>
      </c>
      <c r="BR16">
        <v>1</v>
      </c>
      <c r="BS16" s="1">
        <f t="shared" si="18"/>
        <v>15</v>
      </c>
      <c r="BT16">
        <v>31</v>
      </c>
      <c r="BU16">
        <v>21</v>
      </c>
      <c r="BV16">
        <v>0</v>
      </c>
      <c r="BW16">
        <v>0</v>
      </c>
      <c r="BX16">
        <v>0</v>
      </c>
      <c r="BY16">
        <v>0</v>
      </c>
      <c r="BZ16">
        <f t="shared" si="21"/>
        <v>0</v>
      </c>
      <c r="CA16">
        <f t="shared" si="21"/>
        <v>0</v>
      </c>
      <c r="CB16">
        <f t="shared" si="21"/>
        <v>0</v>
      </c>
      <c r="CC16">
        <f t="shared" si="19"/>
        <v>0</v>
      </c>
      <c r="CD16">
        <f t="shared" si="19"/>
        <v>0</v>
      </c>
      <c r="CE16">
        <f t="shared" si="19"/>
        <v>0</v>
      </c>
      <c r="CF16">
        <f t="shared" si="19"/>
        <v>0</v>
      </c>
      <c r="CG16">
        <f t="shared" si="19"/>
        <v>0</v>
      </c>
      <c r="CH16">
        <f t="shared" si="19"/>
        <v>0</v>
      </c>
      <c r="CI16">
        <f t="shared" si="19"/>
        <v>0</v>
      </c>
      <c r="CJ16">
        <f t="shared" si="19"/>
        <v>0</v>
      </c>
      <c r="CK16">
        <f t="shared" si="19"/>
        <v>0</v>
      </c>
      <c r="CL16">
        <f t="shared" si="19"/>
        <v>0</v>
      </c>
      <c r="CM16">
        <f t="shared" si="19"/>
        <v>0</v>
      </c>
      <c r="CN16">
        <f t="shared" si="22"/>
        <v>0</v>
      </c>
      <c r="CO16">
        <f t="shared" si="22"/>
        <v>0</v>
      </c>
      <c r="CP16">
        <f t="shared" si="22"/>
        <v>0</v>
      </c>
      <c r="CQ16">
        <f t="shared" si="20"/>
        <v>0</v>
      </c>
      <c r="CR16">
        <f t="shared" si="20"/>
        <v>0</v>
      </c>
      <c r="CS16">
        <f t="shared" si="20"/>
        <v>0</v>
      </c>
      <c r="CT16">
        <f t="shared" si="20"/>
        <v>0</v>
      </c>
      <c r="CU16">
        <f t="shared" si="20"/>
        <v>0</v>
      </c>
      <c r="CV16">
        <f t="shared" si="20"/>
        <v>0</v>
      </c>
      <c r="CW16">
        <f t="shared" si="20"/>
        <v>0</v>
      </c>
      <c r="CX16">
        <f t="shared" si="20"/>
        <v>0</v>
      </c>
      <c r="CY16">
        <f t="shared" si="20"/>
        <v>0</v>
      </c>
      <c r="CZ16">
        <f t="shared" si="20"/>
        <v>0</v>
      </c>
      <c r="DA16">
        <f t="shared" si="20"/>
        <v>0</v>
      </c>
      <c r="DB16" s="74">
        <f t="shared" si="7"/>
        <v>661.32578339456518</v>
      </c>
      <c r="DC16" s="74">
        <f t="shared" si="8"/>
        <v>21.333089786921459</v>
      </c>
      <c r="DD16" s="73">
        <f t="shared" si="9"/>
        <v>1286875.975216463</v>
      </c>
      <c r="DE16" s="74">
        <f t="shared" si="10"/>
        <v>2751.1626728565307</v>
      </c>
      <c r="DF16" s="74">
        <f t="shared" si="11"/>
        <v>88.747182995371958</v>
      </c>
      <c r="DG16" s="74">
        <f t="shared" si="12"/>
        <v>467520.16001961945</v>
      </c>
      <c r="DH16" s="74">
        <f t="shared" si="13"/>
        <v>74513.857583455101</v>
      </c>
      <c r="DI16" s="74">
        <f t="shared" si="14"/>
        <v>2403.6728252727453</v>
      </c>
      <c r="DJ16" s="74">
        <f t="shared" si="15"/>
        <v>3548.278932545481</v>
      </c>
      <c r="DK16" s="74">
        <f t="shared" si="16"/>
        <v>2485397.7013320187</v>
      </c>
      <c r="DL16" s="74">
        <f t="shared" si="17"/>
        <v>3668920.4162520277</v>
      </c>
    </row>
    <row r="17" spans="1:116" x14ac:dyDescent="0.2">
      <c r="A17" s="96">
        <v>42461</v>
      </c>
      <c r="B17" s="4">
        <f t="shared" si="0"/>
        <v>2016</v>
      </c>
      <c r="C17" s="4">
        <f t="shared" si="1"/>
        <v>4</v>
      </c>
      <c r="D17" s="59">
        <v>36920940</v>
      </c>
      <c r="E17" s="59">
        <f>IFERROR(VLOOKUP($B17-1,CDM!$I$7:$N$18,2,FALSE)/12,0)+IFERROR(VLOOKUP($B17,CDM!$I$36:$L$46,2,FALSE)/24,0)+IFERROR(VLOOKUP($B17,CDM!$I$36:$L$46,2,FALSE)/2*$C17/78,0)</f>
        <v>543288.99068683002</v>
      </c>
      <c r="F17" s="59">
        <f t="shared" si="2"/>
        <v>37464228.990686826</v>
      </c>
      <c r="G17" s="468">
        <v>60319</v>
      </c>
      <c r="H17" s="59">
        <v>13041004</v>
      </c>
      <c r="I17" s="59">
        <f>IFERROR(VLOOKUP($B17-1,CDM!$I$7:$N$18,3,FALSE)/12,0)+IFERROR(VLOOKUP($B17,CDM!$I$36:$L$46,3,FALSE)/24,0)+IFERROR(VLOOKUP($B17,CDM!$I$36:$L$46,3,FALSE)/2*$C17/78,0)</f>
        <v>366791.4960923153</v>
      </c>
      <c r="J17" s="59">
        <f t="shared" si="3"/>
        <v>13407795.496092316</v>
      </c>
      <c r="K17" s="59">
        <v>5267</v>
      </c>
      <c r="L17" s="5">
        <v>72510143</v>
      </c>
      <c r="M17" s="2">
        <f>IFERROR(VLOOKUP($B17-1,CDM!$I$7:$N$18,4,FALSE)/12,0)+IFERROR(VLOOKUP($B17,CDM!$I$36:$L$46,4,FALSE)/24,0)+IFERROR(VLOOKUP($B17,CDM!$I$36:$L$46,4,FALSE)/2*$C17/78,0)</f>
        <v>864503.91716297448</v>
      </c>
      <c r="N17" s="59">
        <f t="shared" si="4"/>
        <v>73374646.91716297</v>
      </c>
      <c r="O17" s="5">
        <v>193410</v>
      </c>
      <c r="P17" s="6">
        <v>1035</v>
      </c>
      <c r="Q17" s="5">
        <v>732326</v>
      </c>
      <c r="R17" s="5">
        <v>2304</v>
      </c>
      <c r="S17" s="6">
        <v>15252</v>
      </c>
      <c r="T17" s="5">
        <v>259023</v>
      </c>
      <c r="U17" s="1">
        <v>24</v>
      </c>
      <c r="V17" s="1">
        <v>560</v>
      </c>
      <c r="W17" s="114">
        <f>Economic!J79</f>
        <v>727609.6</v>
      </c>
      <c r="X17" s="114">
        <f>Economic!K79</f>
        <v>557474</v>
      </c>
      <c r="Y17" s="114">
        <f>Economic!L79</f>
        <v>49299.3</v>
      </c>
      <c r="Z17" s="114">
        <f>Economic!M79</f>
        <v>723726</v>
      </c>
      <c r="AA17" s="114">
        <f>Economic!N79</f>
        <v>555651</v>
      </c>
      <c r="AB17" s="114">
        <f>Economic!O79</f>
        <v>28915</v>
      </c>
      <c r="AC17" s="114">
        <f>Economic!D79</f>
        <v>6876.8</v>
      </c>
      <c r="AD17" s="114">
        <f>Economic!E79</f>
        <v>6786.4</v>
      </c>
      <c r="AE17" s="114">
        <f>Economic!F79</f>
        <v>3090.3</v>
      </c>
      <c r="AF17" s="114">
        <f>Economic!G79</f>
        <v>3055.8</v>
      </c>
      <c r="AG17" s="114">
        <f>Economic!H79</f>
        <v>374</v>
      </c>
      <c r="AH17" s="114">
        <f>Economic!I79</f>
        <v>369.6</v>
      </c>
      <c r="AI17" s="114">
        <f>Economic!P91</f>
        <v>55.099999999999454</v>
      </c>
      <c r="AJ17" s="114">
        <f>Economic!Q91</f>
        <v>57.300000000000182</v>
      </c>
      <c r="AK17" s="114">
        <f>Economic!R91</f>
        <v>60.899999999999636</v>
      </c>
      <c r="AL17" s="114">
        <f>Economic!S91</f>
        <v>61.599999999999909</v>
      </c>
      <c r="AM17" s="114">
        <f>Economic!T91</f>
        <v>16366.599999999977</v>
      </c>
      <c r="AN17" s="114">
        <f>Economic!U91</f>
        <v>-2655</v>
      </c>
      <c r="AO17" s="28">
        <f>Weather!D209</f>
        <v>4.9666666666666659</v>
      </c>
      <c r="AP17" s="28">
        <f>Weather!E209</f>
        <v>450.99999999999983</v>
      </c>
      <c r="AQ17" s="28">
        <f>Weather!F209</f>
        <v>0</v>
      </c>
      <c r="AR17" s="28">
        <f>Weather!G209</f>
        <v>390.99999999999983</v>
      </c>
      <c r="AS17" s="28">
        <f>Weather!H209</f>
        <v>0</v>
      </c>
      <c r="AT17" s="28">
        <f>Weather!I209</f>
        <v>331.7999999999999</v>
      </c>
      <c r="AU17" s="28">
        <f>Weather!J209</f>
        <v>0.80000000000000071</v>
      </c>
      <c r="AV17" s="28">
        <f>Weather!K209</f>
        <v>273.7999999999999</v>
      </c>
      <c r="AW17" s="28">
        <f>Weather!L209</f>
        <v>2.8000000000000007</v>
      </c>
      <c r="AX17" s="28">
        <f>Weather!M209</f>
        <v>216.89999999999998</v>
      </c>
      <c r="AY17" s="28">
        <f>Weather!N209</f>
        <v>5.9</v>
      </c>
      <c r="AZ17" s="28">
        <f>Weather!O209</f>
        <v>162.69999999999999</v>
      </c>
      <c r="BA17" s="28">
        <f>Weather!P209</f>
        <v>11.700000000000001</v>
      </c>
      <c r="BB17" s="28">
        <f>Weather!Q209</f>
        <v>113.70000000000002</v>
      </c>
      <c r="BC17" s="28">
        <f>Weather!R209</f>
        <v>22.700000000000003</v>
      </c>
      <c r="BD17">
        <v>0</v>
      </c>
      <c r="BE17">
        <v>0</v>
      </c>
      <c r="BF17">
        <v>0</v>
      </c>
      <c r="BG17">
        <v>1</v>
      </c>
      <c r="BH17">
        <v>0</v>
      </c>
      <c r="BI17">
        <v>0</v>
      </c>
      <c r="BJ17">
        <v>0</v>
      </c>
      <c r="BK17">
        <v>0</v>
      </c>
      <c r="BL17">
        <v>0</v>
      </c>
      <c r="BM17">
        <v>0</v>
      </c>
      <c r="BN17">
        <v>0</v>
      </c>
      <c r="BO17">
        <v>0</v>
      </c>
      <c r="BP17">
        <v>1</v>
      </c>
      <c r="BQ17">
        <v>0</v>
      </c>
      <c r="BR17">
        <v>1</v>
      </c>
      <c r="BS17" s="1">
        <f t="shared" si="18"/>
        <v>16</v>
      </c>
      <c r="BT17">
        <v>30</v>
      </c>
      <c r="BU17">
        <v>21</v>
      </c>
      <c r="BV17">
        <v>0</v>
      </c>
      <c r="BW17">
        <v>0</v>
      </c>
      <c r="BX17">
        <v>0</v>
      </c>
      <c r="BY17">
        <v>0</v>
      </c>
      <c r="BZ17">
        <f t="shared" si="21"/>
        <v>0</v>
      </c>
      <c r="CA17">
        <f t="shared" si="21"/>
        <v>0</v>
      </c>
      <c r="CB17">
        <f t="shared" si="21"/>
        <v>0</v>
      </c>
      <c r="CC17">
        <f t="shared" si="19"/>
        <v>0</v>
      </c>
      <c r="CD17">
        <f t="shared" si="19"/>
        <v>0</v>
      </c>
      <c r="CE17">
        <f t="shared" si="19"/>
        <v>0</v>
      </c>
      <c r="CF17">
        <f t="shared" si="19"/>
        <v>0</v>
      </c>
      <c r="CG17">
        <f t="shared" si="19"/>
        <v>0</v>
      </c>
      <c r="CH17">
        <f t="shared" si="19"/>
        <v>0</v>
      </c>
      <c r="CI17">
        <f t="shared" si="19"/>
        <v>0</v>
      </c>
      <c r="CJ17">
        <f t="shared" si="19"/>
        <v>0</v>
      </c>
      <c r="CK17">
        <f t="shared" si="19"/>
        <v>0</v>
      </c>
      <c r="CL17">
        <f t="shared" si="19"/>
        <v>0</v>
      </c>
      <c r="CM17">
        <f t="shared" si="19"/>
        <v>0</v>
      </c>
      <c r="CN17">
        <f t="shared" si="22"/>
        <v>0</v>
      </c>
      <c r="CO17">
        <f t="shared" si="22"/>
        <v>0</v>
      </c>
      <c r="CP17">
        <f t="shared" si="22"/>
        <v>0</v>
      </c>
      <c r="CQ17">
        <f t="shared" si="20"/>
        <v>0</v>
      </c>
      <c r="CR17">
        <f t="shared" si="20"/>
        <v>0</v>
      </c>
      <c r="CS17">
        <f t="shared" si="20"/>
        <v>0</v>
      </c>
      <c r="CT17">
        <f t="shared" si="20"/>
        <v>0</v>
      </c>
      <c r="CU17">
        <f t="shared" si="20"/>
        <v>0</v>
      </c>
      <c r="CV17">
        <f t="shared" si="20"/>
        <v>0</v>
      </c>
      <c r="CW17">
        <f t="shared" si="20"/>
        <v>0</v>
      </c>
      <c r="CX17">
        <f t="shared" si="20"/>
        <v>0</v>
      </c>
      <c r="CY17">
        <f t="shared" si="20"/>
        <v>0</v>
      </c>
      <c r="CZ17">
        <f t="shared" si="20"/>
        <v>0</v>
      </c>
      <c r="DA17">
        <f t="shared" si="20"/>
        <v>0</v>
      </c>
      <c r="DB17" s="74">
        <f t="shared" si="7"/>
        <v>621.1016261988234</v>
      </c>
      <c r="DC17" s="74">
        <f t="shared" si="8"/>
        <v>20.703387539960779</v>
      </c>
      <c r="DD17" s="73">
        <f t="shared" si="9"/>
        <v>1248807.6330228942</v>
      </c>
      <c r="DE17" s="74">
        <f t="shared" si="10"/>
        <v>2545.6228395846433</v>
      </c>
      <c r="DF17" s="74">
        <f t="shared" si="11"/>
        <v>84.854094652821445</v>
      </c>
      <c r="DG17" s="74">
        <f t="shared" si="12"/>
        <v>446926.51653641055</v>
      </c>
      <c r="DH17" s="74">
        <f t="shared" si="13"/>
        <v>70893.37866392557</v>
      </c>
      <c r="DI17" s="74">
        <f t="shared" si="14"/>
        <v>2363.1126221308523</v>
      </c>
      <c r="DJ17" s="74">
        <f t="shared" si="15"/>
        <v>3375.875174472646</v>
      </c>
      <c r="DK17" s="74">
        <f t="shared" si="16"/>
        <v>2445821.5639054324</v>
      </c>
      <c r="DL17" s="74">
        <f t="shared" si="17"/>
        <v>3494030.8055791892</v>
      </c>
    </row>
    <row r="18" spans="1:116" x14ac:dyDescent="0.2">
      <c r="A18" s="96">
        <v>42491</v>
      </c>
      <c r="B18" s="4">
        <f t="shared" si="0"/>
        <v>2016</v>
      </c>
      <c r="C18" s="4">
        <f t="shared" si="1"/>
        <v>5</v>
      </c>
      <c r="D18" s="59">
        <v>41386492</v>
      </c>
      <c r="E18" s="59">
        <f>IFERROR(VLOOKUP($B18-1,CDM!$I$7:$N$18,2,FALSE)/12,0)+IFERROR(VLOOKUP($B18,CDM!$I$36:$L$46,2,FALSE)/24,0)+IFERROR(VLOOKUP($B18,CDM!$I$36:$L$46,2,FALSE)/2*$C18/78,0)</f>
        <v>580022.7496633057</v>
      </c>
      <c r="F18" s="59">
        <f t="shared" si="2"/>
        <v>41966514.749663308</v>
      </c>
      <c r="G18" s="73">
        <v>60305</v>
      </c>
      <c r="H18" s="59">
        <v>13344960</v>
      </c>
      <c r="I18" s="59">
        <f>IFERROR(VLOOKUP($B18-1,CDM!$I$7:$N$18,3,FALSE)/12,0)+IFERROR(VLOOKUP($B18,CDM!$I$36:$L$46,3,FALSE)/24,0)+IFERROR(VLOOKUP($B18,CDM!$I$36:$L$46,3,FALSE)/2*$C18/78,0)</f>
        <v>386067.03157642693</v>
      </c>
      <c r="J18" s="59">
        <f t="shared" si="3"/>
        <v>13731027.031576427</v>
      </c>
      <c r="K18" s="59">
        <v>5294</v>
      </c>
      <c r="L18" s="5">
        <v>74482255</v>
      </c>
      <c r="M18" s="2">
        <f>IFERROR(VLOOKUP($B18-1,CDM!$I$7:$N$18,4,FALSE)/12,0)+IFERROR(VLOOKUP($B18,CDM!$I$36:$L$46,4,FALSE)/24,0)+IFERROR(VLOOKUP($B18,CDM!$I$36:$L$46,4,FALSE)/2*$C18/78,0)</f>
        <v>918506.09303337277</v>
      </c>
      <c r="N18" s="59">
        <f t="shared" si="4"/>
        <v>75400761.093033373</v>
      </c>
      <c r="O18" s="5">
        <v>190232</v>
      </c>
      <c r="P18" s="5">
        <v>1035</v>
      </c>
      <c r="Q18" s="5">
        <v>666464</v>
      </c>
      <c r="R18" s="5">
        <v>2304</v>
      </c>
      <c r="S18" s="6">
        <v>15252</v>
      </c>
      <c r="T18" s="5">
        <v>259477</v>
      </c>
      <c r="U18" s="1">
        <v>24</v>
      </c>
      <c r="V18" s="1">
        <v>560</v>
      </c>
      <c r="W18" s="114">
        <f>Economic!J80</f>
        <v>727609.6</v>
      </c>
      <c r="X18" s="114">
        <f>Economic!K80</f>
        <v>557474</v>
      </c>
      <c r="Y18" s="114">
        <f>Economic!L80</f>
        <v>49299.3</v>
      </c>
      <c r="Z18" s="114">
        <f>Economic!M80</f>
        <v>723726</v>
      </c>
      <c r="AA18" s="114">
        <f>Economic!N80</f>
        <v>555651</v>
      </c>
      <c r="AB18" s="114">
        <f>Economic!O80</f>
        <v>28915</v>
      </c>
      <c r="AC18" s="114">
        <f>Economic!D80</f>
        <v>6883.3</v>
      </c>
      <c r="AD18" s="114">
        <f>Economic!E80</f>
        <v>6848.1</v>
      </c>
      <c r="AE18" s="114">
        <f>Economic!F80</f>
        <v>3103.7</v>
      </c>
      <c r="AF18" s="114">
        <f>Economic!G80</f>
        <v>3093.9</v>
      </c>
      <c r="AG18" s="114">
        <f>Economic!H80</f>
        <v>380.1</v>
      </c>
      <c r="AH18" s="114">
        <f>Economic!I80</f>
        <v>377.3</v>
      </c>
      <c r="AI18" s="114">
        <f>Economic!P92</f>
        <v>61.399999999999636</v>
      </c>
      <c r="AJ18" s="114">
        <f>Economic!Q92</f>
        <v>65.599999999999454</v>
      </c>
      <c r="AK18" s="114">
        <f>Economic!R92</f>
        <v>53.900000000000091</v>
      </c>
      <c r="AL18" s="114">
        <f>Economic!S92</f>
        <v>54</v>
      </c>
      <c r="AM18" s="114">
        <f>Economic!T92</f>
        <v>16366.599999999977</v>
      </c>
      <c r="AN18" s="114">
        <f>Economic!U92</f>
        <v>-2655</v>
      </c>
      <c r="AO18" s="28">
        <f>Weather!D210</f>
        <v>13.870967741935482</v>
      </c>
      <c r="AP18" s="28">
        <f>Weather!E210</f>
        <v>203.6</v>
      </c>
      <c r="AQ18" s="28">
        <f>Weather!F210</f>
        <v>13.599999999999998</v>
      </c>
      <c r="AR18" s="28">
        <f>Weather!G210</f>
        <v>156.09999999999997</v>
      </c>
      <c r="AS18" s="28">
        <f>Weather!H210</f>
        <v>28.099999999999998</v>
      </c>
      <c r="AT18" s="28">
        <f>Weather!I210</f>
        <v>113.69999999999999</v>
      </c>
      <c r="AU18" s="28">
        <f>Weather!J210</f>
        <v>47.699999999999989</v>
      </c>
      <c r="AV18" s="28">
        <f>Weather!K210</f>
        <v>74.600000000000009</v>
      </c>
      <c r="AW18" s="28">
        <f>Weather!L210</f>
        <v>70.599999999999994</v>
      </c>
      <c r="AX18" s="28">
        <f>Weather!M210</f>
        <v>41.900000000000006</v>
      </c>
      <c r="AY18" s="28">
        <f>Weather!N210</f>
        <v>99.899999999999991</v>
      </c>
      <c r="AZ18" s="28">
        <f>Weather!O210</f>
        <v>17.299999999999997</v>
      </c>
      <c r="BA18" s="28">
        <f>Weather!P210</f>
        <v>137.30000000000001</v>
      </c>
      <c r="BB18" s="28">
        <f>Weather!Q210</f>
        <v>4.5</v>
      </c>
      <c r="BC18" s="28">
        <f>Weather!R210</f>
        <v>186.50000000000003</v>
      </c>
      <c r="BD18">
        <v>0</v>
      </c>
      <c r="BE18">
        <v>0</v>
      </c>
      <c r="BF18">
        <v>0</v>
      </c>
      <c r="BG18">
        <v>0</v>
      </c>
      <c r="BH18">
        <v>1</v>
      </c>
      <c r="BI18">
        <v>0</v>
      </c>
      <c r="BJ18">
        <v>0</v>
      </c>
      <c r="BK18">
        <v>0</v>
      </c>
      <c r="BL18">
        <v>0</v>
      </c>
      <c r="BM18">
        <v>0</v>
      </c>
      <c r="BN18">
        <v>0</v>
      </c>
      <c r="BO18">
        <v>0</v>
      </c>
      <c r="BP18">
        <v>1</v>
      </c>
      <c r="BQ18">
        <v>0</v>
      </c>
      <c r="BR18">
        <v>1</v>
      </c>
      <c r="BS18" s="1">
        <f t="shared" si="18"/>
        <v>17</v>
      </c>
      <c r="BT18">
        <v>31</v>
      </c>
      <c r="BU18">
        <v>21</v>
      </c>
      <c r="BV18">
        <v>0</v>
      </c>
      <c r="BW18">
        <v>0</v>
      </c>
      <c r="BX18">
        <v>0</v>
      </c>
      <c r="BY18">
        <v>0</v>
      </c>
      <c r="BZ18">
        <f t="shared" si="21"/>
        <v>0</v>
      </c>
      <c r="CA18">
        <f t="shared" si="21"/>
        <v>0</v>
      </c>
      <c r="CB18">
        <f t="shared" si="21"/>
        <v>0</v>
      </c>
      <c r="CC18">
        <f t="shared" si="19"/>
        <v>0</v>
      </c>
      <c r="CD18">
        <f t="shared" si="19"/>
        <v>0</v>
      </c>
      <c r="CE18">
        <f t="shared" si="19"/>
        <v>0</v>
      </c>
      <c r="CF18">
        <f t="shared" si="19"/>
        <v>0</v>
      </c>
      <c r="CG18">
        <f t="shared" si="19"/>
        <v>0</v>
      </c>
      <c r="CH18">
        <f t="shared" si="19"/>
        <v>0</v>
      </c>
      <c r="CI18">
        <f t="shared" si="19"/>
        <v>0</v>
      </c>
      <c r="CJ18">
        <f t="shared" si="19"/>
        <v>0</v>
      </c>
      <c r="CK18">
        <f t="shared" si="19"/>
        <v>0</v>
      </c>
      <c r="CL18">
        <f t="shared" si="19"/>
        <v>0</v>
      </c>
      <c r="CM18">
        <f t="shared" si="19"/>
        <v>0</v>
      </c>
      <c r="CN18">
        <f t="shared" si="22"/>
        <v>0</v>
      </c>
      <c r="CO18">
        <f t="shared" si="22"/>
        <v>0</v>
      </c>
      <c r="CP18">
        <f t="shared" si="22"/>
        <v>0</v>
      </c>
      <c r="CQ18">
        <f t="shared" si="20"/>
        <v>0</v>
      </c>
      <c r="CR18">
        <f t="shared" si="20"/>
        <v>0</v>
      </c>
      <c r="CS18">
        <f t="shared" si="20"/>
        <v>0</v>
      </c>
      <c r="CT18">
        <f t="shared" si="20"/>
        <v>0</v>
      </c>
      <c r="CU18">
        <f t="shared" si="20"/>
        <v>0</v>
      </c>
      <c r="CV18">
        <f t="shared" si="20"/>
        <v>0</v>
      </c>
      <c r="CW18">
        <f t="shared" si="20"/>
        <v>0</v>
      </c>
      <c r="CX18">
        <f t="shared" si="20"/>
        <v>0</v>
      </c>
      <c r="CY18">
        <f t="shared" si="20"/>
        <v>0</v>
      </c>
      <c r="CZ18">
        <f t="shared" si="20"/>
        <v>0</v>
      </c>
      <c r="DA18">
        <f t="shared" si="20"/>
        <v>0</v>
      </c>
      <c r="DB18" s="74">
        <f t="shared" si="7"/>
        <v>695.90439846883851</v>
      </c>
      <c r="DC18" s="74">
        <f t="shared" si="8"/>
        <v>22.44852898286576</v>
      </c>
      <c r="DD18" s="73">
        <f t="shared" si="9"/>
        <v>1353758.5403117195</v>
      </c>
      <c r="DE18" s="74">
        <f t="shared" si="10"/>
        <v>2593.6960769883694</v>
      </c>
      <c r="DF18" s="74">
        <f t="shared" si="11"/>
        <v>83.667615386721593</v>
      </c>
      <c r="DG18" s="74">
        <f t="shared" si="12"/>
        <v>442936.35585730406</v>
      </c>
      <c r="DH18" s="74">
        <f t="shared" si="13"/>
        <v>72850.976901481525</v>
      </c>
      <c r="DI18" s="74">
        <f t="shared" si="14"/>
        <v>2350.0315129510168</v>
      </c>
      <c r="DJ18" s="74">
        <f t="shared" si="15"/>
        <v>3469.0941381657867</v>
      </c>
      <c r="DK18" s="74">
        <f t="shared" si="16"/>
        <v>2432282.6159043023</v>
      </c>
      <c r="DL18" s="74">
        <f t="shared" si="17"/>
        <v>3590512.433001589</v>
      </c>
    </row>
    <row r="19" spans="1:116" x14ac:dyDescent="0.2">
      <c r="A19" s="96">
        <v>42522</v>
      </c>
      <c r="B19" s="4">
        <f t="shared" si="0"/>
        <v>2016</v>
      </c>
      <c r="C19" s="4">
        <f t="shared" si="1"/>
        <v>6</v>
      </c>
      <c r="D19" s="59">
        <v>50574849</v>
      </c>
      <c r="E19" s="59">
        <f>IFERROR(VLOOKUP($B19-1,CDM!$I$7:$N$18,2,FALSE)/12,0)+IFERROR(VLOOKUP($B19,CDM!$I$36:$L$46,2,FALSE)/24,0)+IFERROR(VLOOKUP($B19,CDM!$I$36:$L$46,2,FALSE)/2*$C19/78,0)</f>
        <v>616756.5086397815</v>
      </c>
      <c r="F19" s="59">
        <f t="shared" si="2"/>
        <v>51191605.508639783</v>
      </c>
      <c r="G19" s="468">
        <v>60308</v>
      </c>
      <c r="H19" s="59">
        <v>14145403</v>
      </c>
      <c r="I19" s="59">
        <f>IFERROR(VLOOKUP($B19-1,CDM!$I$7:$N$18,3,FALSE)/12,0)+IFERROR(VLOOKUP($B19,CDM!$I$36:$L$46,3,FALSE)/24,0)+IFERROR(VLOOKUP($B19,CDM!$I$36:$L$46,3,FALSE)/2*$C19/78,0)</f>
        <v>405342.56706053851</v>
      </c>
      <c r="J19" s="59">
        <f t="shared" si="3"/>
        <v>14550745.567060538</v>
      </c>
      <c r="K19" s="59">
        <v>5264</v>
      </c>
      <c r="L19" s="5">
        <v>77899377</v>
      </c>
      <c r="M19" s="2">
        <f>IFERROR(VLOOKUP($B19-1,CDM!$I$7:$N$18,4,FALSE)/12,0)+IFERROR(VLOOKUP($B19,CDM!$I$36:$L$46,4,FALSE)/24,0)+IFERROR(VLOOKUP($B19,CDM!$I$36:$L$46,4,FALSE)/2*$C19/78,0)</f>
        <v>972508.26890377095</v>
      </c>
      <c r="N19" s="59">
        <f t="shared" si="4"/>
        <v>78871885.268903777</v>
      </c>
      <c r="O19" s="5">
        <v>204631</v>
      </c>
      <c r="P19" s="6">
        <v>1033</v>
      </c>
      <c r="Q19" s="5">
        <v>599799</v>
      </c>
      <c r="R19" s="5">
        <v>2304</v>
      </c>
      <c r="S19" s="5">
        <v>15252</v>
      </c>
      <c r="T19" s="5">
        <v>258917</v>
      </c>
      <c r="U19" s="1">
        <v>24</v>
      </c>
      <c r="V19" s="1">
        <v>560</v>
      </c>
      <c r="W19" s="114">
        <f>Economic!J81</f>
        <v>727609.6</v>
      </c>
      <c r="X19" s="114">
        <f>Economic!K81</f>
        <v>557474</v>
      </c>
      <c r="Y19" s="114">
        <f>Economic!L81</f>
        <v>49299.3</v>
      </c>
      <c r="Z19" s="114">
        <f>Economic!M81</f>
        <v>723726</v>
      </c>
      <c r="AA19" s="114">
        <f>Economic!N81</f>
        <v>555651</v>
      </c>
      <c r="AB19" s="114">
        <f>Economic!O81</f>
        <v>28915</v>
      </c>
      <c r="AC19" s="114">
        <f>Economic!D81</f>
        <v>6883.6</v>
      </c>
      <c r="AD19" s="114">
        <f>Economic!E81</f>
        <v>6930.1</v>
      </c>
      <c r="AE19" s="114">
        <f>Economic!F81</f>
        <v>3112.7</v>
      </c>
      <c r="AF19" s="114">
        <f>Economic!G81</f>
        <v>3134.6</v>
      </c>
      <c r="AG19" s="114">
        <f>Economic!H81</f>
        <v>384.4</v>
      </c>
      <c r="AH19" s="114">
        <f>Economic!I81</f>
        <v>384.5</v>
      </c>
      <c r="AI19" s="114">
        <f>Economic!P93</f>
        <v>71.899999999999636</v>
      </c>
      <c r="AJ19" s="114">
        <f>Economic!Q93</f>
        <v>70.099999999999454</v>
      </c>
      <c r="AK19" s="114">
        <f>Economic!R93</f>
        <v>57.700000000000273</v>
      </c>
      <c r="AL19" s="114">
        <f>Economic!S93</f>
        <v>57.099999999999909</v>
      </c>
      <c r="AM19" s="114">
        <f>Economic!T93</f>
        <v>16366.599999999977</v>
      </c>
      <c r="AN19" s="114">
        <f>Economic!U93</f>
        <v>-2655</v>
      </c>
      <c r="AO19" s="28">
        <f>Weather!D211</f>
        <v>19.386666666666663</v>
      </c>
      <c r="AP19" s="28">
        <f>Weather!E211</f>
        <v>53</v>
      </c>
      <c r="AQ19" s="28">
        <f>Weather!F211</f>
        <v>34.6</v>
      </c>
      <c r="AR19" s="28">
        <f>Weather!G211</f>
        <v>26.500000000000004</v>
      </c>
      <c r="AS19" s="28">
        <f>Weather!H211</f>
        <v>68.099999999999994</v>
      </c>
      <c r="AT19" s="28">
        <f>Weather!I211</f>
        <v>8.5</v>
      </c>
      <c r="AU19" s="28">
        <f>Weather!J211</f>
        <v>110.1</v>
      </c>
      <c r="AV19" s="28">
        <f>Weather!K211</f>
        <v>2</v>
      </c>
      <c r="AW19" s="28">
        <f>Weather!L211</f>
        <v>163.6</v>
      </c>
      <c r="AX19" s="28">
        <f>Weather!M211</f>
        <v>0</v>
      </c>
      <c r="AY19" s="28">
        <f>Weather!N211</f>
        <v>221.60000000000002</v>
      </c>
      <c r="AZ19" s="28">
        <f>Weather!O211</f>
        <v>0</v>
      </c>
      <c r="BA19" s="28">
        <f>Weather!P211</f>
        <v>281.60000000000008</v>
      </c>
      <c r="BB19" s="28">
        <f>Weather!Q211</f>
        <v>0</v>
      </c>
      <c r="BC19" s="28">
        <f>Weather!R211</f>
        <v>341.6</v>
      </c>
      <c r="BD19">
        <v>0</v>
      </c>
      <c r="BE19">
        <v>0</v>
      </c>
      <c r="BF19">
        <v>0</v>
      </c>
      <c r="BG19">
        <v>0</v>
      </c>
      <c r="BH19">
        <v>0</v>
      </c>
      <c r="BI19">
        <v>1</v>
      </c>
      <c r="BJ19">
        <v>0</v>
      </c>
      <c r="BK19">
        <v>0</v>
      </c>
      <c r="BL19">
        <v>0</v>
      </c>
      <c r="BM19">
        <v>0</v>
      </c>
      <c r="BN19">
        <v>0</v>
      </c>
      <c r="BO19">
        <v>0</v>
      </c>
      <c r="BP19">
        <v>0</v>
      </c>
      <c r="BQ19">
        <v>0</v>
      </c>
      <c r="BR19">
        <v>0</v>
      </c>
      <c r="BS19" s="1">
        <f t="shared" si="18"/>
        <v>18</v>
      </c>
      <c r="BT19">
        <v>30</v>
      </c>
      <c r="BU19">
        <v>22</v>
      </c>
      <c r="BV19">
        <v>0</v>
      </c>
      <c r="BW19">
        <v>0</v>
      </c>
      <c r="BX19">
        <v>0</v>
      </c>
      <c r="BY19">
        <v>0</v>
      </c>
      <c r="BZ19">
        <f t="shared" si="21"/>
        <v>0</v>
      </c>
      <c r="CA19">
        <f t="shared" si="21"/>
        <v>0</v>
      </c>
      <c r="CB19">
        <f t="shared" si="21"/>
        <v>0</v>
      </c>
      <c r="CC19">
        <f t="shared" si="19"/>
        <v>0</v>
      </c>
      <c r="CD19">
        <f t="shared" si="19"/>
        <v>0</v>
      </c>
      <c r="CE19">
        <f t="shared" si="19"/>
        <v>0</v>
      </c>
      <c r="CF19">
        <f t="shared" si="19"/>
        <v>0</v>
      </c>
      <c r="CG19">
        <f t="shared" si="19"/>
        <v>0</v>
      </c>
      <c r="CH19">
        <f t="shared" si="19"/>
        <v>0</v>
      </c>
      <c r="CI19">
        <f t="shared" si="19"/>
        <v>0</v>
      </c>
      <c r="CJ19">
        <f t="shared" si="19"/>
        <v>0</v>
      </c>
      <c r="CK19">
        <f t="shared" si="19"/>
        <v>0</v>
      </c>
      <c r="CL19">
        <f t="shared" si="19"/>
        <v>0</v>
      </c>
      <c r="CM19">
        <f t="shared" si="19"/>
        <v>0</v>
      </c>
      <c r="CN19">
        <f t="shared" si="22"/>
        <v>0</v>
      </c>
      <c r="CO19">
        <f t="shared" si="22"/>
        <v>0</v>
      </c>
      <c r="CP19">
        <f t="shared" si="22"/>
        <v>0</v>
      </c>
      <c r="CQ19">
        <f t="shared" si="20"/>
        <v>0</v>
      </c>
      <c r="CR19">
        <f t="shared" si="20"/>
        <v>0</v>
      </c>
      <c r="CS19">
        <f t="shared" si="20"/>
        <v>0</v>
      </c>
      <c r="CT19">
        <f t="shared" si="20"/>
        <v>0</v>
      </c>
      <c r="CU19">
        <f t="shared" si="20"/>
        <v>0</v>
      </c>
      <c r="CV19">
        <f t="shared" si="20"/>
        <v>0</v>
      </c>
      <c r="CW19">
        <f t="shared" si="20"/>
        <v>0</v>
      </c>
      <c r="CX19">
        <f t="shared" si="20"/>
        <v>0</v>
      </c>
      <c r="CY19">
        <f t="shared" si="20"/>
        <v>0</v>
      </c>
      <c r="CZ19">
        <f t="shared" si="20"/>
        <v>0</v>
      </c>
      <c r="DA19">
        <f t="shared" si="20"/>
        <v>0</v>
      </c>
      <c r="DB19" s="74">
        <f t="shared" si="7"/>
        <v>848.83606666843173</v>
      </c>
      <c r="DC19" s="74">
        <f t="shared" si="8"/>
        <v>28.294535555614392</v>
      </c>
      <c r="DD19" s="73">
        <f t="shared" si="9"/>
        <v>1706386.8502879927</v>
      </c>
      <c r="DE19" s="74">
        <f t="shared" si="10"/>
        <v>2764.1993858397677</v>
      </c>
      <c r="DF19" s="74">
        <f t="shared" si="11"/>
        <v>92.139979527992253</v>
      </c>
      <c r="DG19" s="74">
        <f t="shared" si="12"/>
        <v>485024.85223535128</v>
      </c>
      <c r="DH19" s="74">
        <f t="shared" si="13"/>
        <v>76352.260666896196</v>
      </c>
      <c r="DI19" s="74">
        <f t="shared" si="14"/>
        <v>2545.0753555632064</v>
      </c>
      <c r="DJ19" s="74">
        <f t="shared" si="15"/>
        <v>3470.5573030407363</v>
      </c>
      <c r="DK19" s="74">
        <f t="shared" si="16"/>
        <v>2629062.8422967927</v>
      </c>
      <c r="DL19" s="74">
        <f t="shared" si="17"/>
        <v>3585085.6940410808</v>
      </c>
    </row>
    <row r="20" spans="1:116" x14ac:dyDescent="0.2">
      <c r="A20" s="96">
        <v>42552</v>
      </c>
      <c r="B20" s="4">
        <f t="shared" si="0"/>
        <v>2016</v>
      </c>
      <c r="C20" s="4">
        <f t="shared" si="1"/>
        <v>7</v>
      </c>
      <c r="D20" s="59">
        <v>61688603</v>
      </c>
      <c r="E20" s="59">
        <f>IFERROR(VLOOKUP($B20-1,CDM!$I$7:$N$18,2,FALSE)/12,0)+IFERROR(VLOOKUP($B20,CDM!$I$36:$L$46,2,FALSE)/24,0)+IFERROR(VLOOKUP($B20,CDM!$I$36:$L$46,2,FALSE)/2*$C20/78,0)</f>
        <v>653490.26761625707</v>
      </c>
      <c r="F20" s="59">
        <f t="shared" si="2"/>
        <v>62342093.267616257</v>
      </c>
      <c r="G20" s="468">
        <v>60310</v>
      </c>
      <c r="H20" s="59">
        <v>15923666</v>
      </c>
      <c r="I20" s="59">
        <f>IFERROR(VLOOKUP($B20-1,CDM!$I$7:$N$18,3,FALSE)/12,0)+IFERROR(VLOOKUP($B20,CDM!$I$36:$L$46,3,FALSE)/24,0)+IFERROR(VLOOKUP($B20,CDM!$I$36:$L$46,3,FALSE)/2*$C20/78,0)</f>
        <v>424618.10254465014</v>
      </c>
      <c r="J20" s="59">
        <f t="shared" si="3"/>
        <v>16348284.10254465</v>
      </c>
      <c r="K20" s="59">
        <v>5262</v>
      </c>
      <c r="L20" s="5">
        <v>84011912</v>
      </c>
      <c r="M20" s="2">
        <f>IFERROR(VLOOKUP($B20-1,CDM!$I$7:$N$18,4,FALSE)/12,0)+IFERROR(VLOOKUP($B20,CDM!$I$36:$L$46,4,FALSE)/24,0)+IFERROR(VLOOKUP($B20,CDM!$I$36:$L$46,4,FALSE)/2*$C20/78,0)</f>
        <v>1026510.4447741692</v>
      </c>
      <c r="N20" s="59">
        <f t="shared" si="4"/>
        <v>85038422.444774166</v>
      </c>
      <c r="O20" s="5">
        <v>214922</v>
      </c>
      <c r="P20" s="6">
        <v>1034</v>
      </c>
      <c r="Q20" s="5">
        <v>641842</v>
      </c>
      <c r="R20" s="5">
        <v>2304</v>
      </c>
      <c r="S20" s="6">
        <v>15252</v>
      </c>
      <c r="T20" s="5">
        <v>259477</v>
      </c>
      <c r="U20" s="1">
        <v>24</v>
      </c>
      <c r="V20" s="1">
        <v>560</v>
      </c>
      <c r="W20" s="114">
        <f>Economic!J82</f>
        <v>727609.6</v>
      </c>
      <c r="X20" s="114">
        <f>Economic!K82</f>
        <v>557474</v>
      </c>
      <c r="Y20" s="114">
        <f>Economic!L82</f>
        <v>49299.3</v>
      </c>
      <c r="Z20" s="114">
        <f>Economic!M82</f>
        <v>730341</v>
      </c>
      <c r="AA20" s="114">
        <f>Economic!N82</f>
        <v>558510</v>
      </c>
      <c r="AB20" s="114">
        <f>Economic!O82</f>
        <v>29147</v>
      </c>
      <c r="AC20" s="114">
        <f>Economic!D82</f>
        <v>6891.7</v>
      </c>
      <c r="AD20" s="114">
        <f>Economic!E82</f>
        <v>6986.1</v>
      </c>
      <c r="AE20" s="114">
        <f>Economic!F82</f>
        <v>3136.9</v>
      </c>
      <c r="AF20" s="114">
        <f>Economic!G82</f>
        <v>3173.6</v>
      </c>
      <c r="AG20" s="114">
        <f>Economic!H82</f>
        <v>387.5</v>
      </c>
      <c r="AH20" s="114">
        <f>Economic!I82</f>
        <v>389.1</v>
      </c>
      <c r="AI20" s="114">
        <f>Economic!P94</f>
        <v>64.600000000000364</v>
      </c>
      <c r="AJ20" s="114">
        <f>Economic!Q94</f>
        <v>63.399999999999636</v>
      </c>
      <c r="AK20" s="114">
        <f>Economic!R94</f>
        <v>31.900000000000091</v>
      </c>
      <c r="AL20" s="114">
        <f>Economic!S94</f>
        <v>33.800000000000182</v>
      </c>
      <c r="AM20" s="114">
        <f>Economic!T94</f>
        <v>16366.599999999977</v>
      </c>
      <c r="AN20" s="114">
        <f>Economic!U94</f>
        <v>5974</v>
      </c>
      <c r="AO20" s="28">
        <f>Weather!D212</f>
        <v>22.919354838709673</v>
      </c>
      <c r="AP20" s="28">
        <f>Weather!E212</f>
        <v>5.2999999999999972</v>
      </c>
      <c r="AQ20" s="28">
        <f>Weather!F212</f>
        <v>95.800000000000026</v>
      </c>
      <c r="AR20" s="28">
        <f>Weather!G212</f>
        <v>0.10000000000000142</v>
      </c>
      <c r="AS20" s="28">
        <f>Weather!H212</f>
        <v>152.60000000000002</v>
      </c>
      <c r="AT20" s="28">
        <f>Weather!I212</f>
        <v>0</v>
      </c>
      <c r="AU20" s="28">
        <f>Weather!J212</f>
        <v>214.50000000000003</v>
      </c>
      <c r="AV20" s="28">
        <f>Weather!K212</f>
        <v>0</v>
      </c>
      <c r="AW20" s="28">
        <f>Weather!L212</f>
        <v>276.5</v>
      </c>
      <c r="AX20" s="28">
        <f>Weather!M212</f>
        <v>0</v>
      </c>
      <c r="AY20" s="28">
        <f>Weather!N212</f>
        <v>338.49999999999994</v>
      </c>
      <c r="AZ20" s="28">
        <f>Weather!O212</f>
        <v>0</v>
      </c>
      <c r="BA20" s="28">
        <f>Weather!P212</f>
        <v>400.49999999999983</v>
      </c>
      <c r="BB20" s="28">
        <f>Weather!Q212</f>
        <v>0</v>
      </c>
      <c r="BC20" s="28">
        <f>Weather!R212</f>
        <v>462.49999999999989</v>
      </c>
      <c r="BD20">
        <v>0</v>
      </c>
      <c r="BE20">
        <v>0</v>
      </c>
      <c r="BF20">
        <v>0</v>
      </c>
      <c r="BG20">
        <v>0</v>
      </c>
      <c r="BH20">
        <v>0</v>
      </c>
      <c r="BI20">
        <v>0</v>
      </c>
      <c r="BJ20">
        <v>1</v>
      </c>
      <c r="BK20">
        <v>0</v>
      </c>
      <c r="BL20">
        <v>0</v>
      </c>
      <c r="BM20">
        <v>0</v>
      </c>
      <c r="BN20">
        <v>0</v>
      </c>
      <c r="BO20">
        <v>0</v>
      </c>
      <c r="BP20">
        <v>0</v>
      </c>
      <c r="BQ20">
        <v>0</v>
      </c>
      <c r="BR20">
        <v>0</v>
      </c>
      <c r="BS20" s="1">
        <f t="shared" si="18"/>
        <v>19</v>
      </c>
      <c r="BT20">
        <v>31</v>
      </c>
      <c r="BU20">
        <v>20</v>
      </c>
      <c r="BV20">
        <v>0</v>
      </c>
      <c r="BW20">
        <v>0</v>
      </c>
      <c r="BX20">
        <v>0</v>
      </c>
      <c r="BY20">
        <v>0</v>
      </c>
      <c r="BZ20">
        <f t="shared" si="21"/>
        <v>0</v>
      </c>
      <c r="CA20">
        <f t="shared" si="21"/>
        <v>0</v>
      </c>
      <c r="CB20">
        <f t="shared" si="21"/>
        <v>0</v>
      </c>
      <c r="CC20">
        <f t="shared" si="19"/>
        <v>0</v>
      </c>
      <c r="CD20">
        <f t="shared" si="19"/>
        <v>0</v>
      </c>
      <c r="CE20">
        <f t="shared" si="19"/>
        <v>0</v>
      </c>
      <c r="CF20">
        <f t="shared" si="19"/>
        <v>0</v>
      </c>
      <c r="CG20">
        <f t="shared" si="19"/>
        <v>0</v>
      </c>
      <c r="CH20">
        <f t="shared" si="19"/>
        <v>0</v>
      </c>
      <c r="CI20">
        <f t="shared" si="19"/>
        <v>0</v>
      </c>
      <c r="CJ20">
        <f t="shared" si="19"/>
        <v>0</v>
      </c>
      <c r="CK20">
        <f t="shared" si="19"/>
        <v>0</v>
      </c>
      <c r="CL20">
        <f t="shared" si="19"/>
        <v>0</v>
      </c>
      <c r="CM20">
        <f t="shared" si="19"/>
        <v>0</v>
      </c>
      <c r="CN20">
        <f t="shared" si="22"/>
        <v>0</v>
      </c>
      <c r="CO20">
        <f t="shared" si="22"/>
        <v>0</v>
      </c>
      <c r="CP20">
        <f t="shared" si="22"/>
        <v>0</v>
      </c>
      <c r="CQ20">
        <f t="shared" si="20"/>
        <v>0</v>
      </c>
      <c r="CR20">
        <f t="shared" si="20"/>
        <v>0</v>
      </c>
      <c r="CS20">
        <f t="shared" si="20"/>
        <v>0</v>
      </c>
      <c r="CT20">
        <f t="shared" si="20"/>
        <v>0</v>
      </c>
      <c r="CU20">
        <f t="shared" si="20"/>
        <v>0</v>
      </c>
      <c r="CV20">
        <f t="shared" si="20"/>
        <v>0</v>
      </c>
      <c r="CW20">
        <f t="shared" si="20"/>
        <v>0</v>
      </c>
      <c r="CX20">
        <f t="shared" si="20"/>
        <v>0</v>
      </c>
      <c r="CY20">
        <f t="shared" si="20"/>
        <v>0</v>
      </c>
      <c r="CZ20">
        <f t="shared" si="20"/>
        <v>0</v>
      </c>
      <c r="DA20">
        <f t="shared" si="20"/>
        <v>0</v>
      </c>
      <c r="DB20" s="74">
        <f t="shared" si="7"/>
        <v>1033.6941347639904</v>
      </c>
      <c r="DC20" s="74">
        <f t="shared" si="8"/>
        <v>33.344972089160983</v>
      </c>
      <c r="DD20" s="73">
        <f t="shared" si="9"/>
        <v>2011035.2666972985</v>
      </c>
      <c r="DE20" s="74">
        <f t="shared" si="10"/>
        <v>3106.8574881308723</v>
      </c>
      <c r="DF20" s="74">
        <f t="shared" si="11"/>
        <v>100.22120929454427</v>
      </c>
      <c r="DG20" s="74">
        <f t="shared" si="12"/>
        <v>527364.00330789189</v>
      </c>
      <c r="DH20" s="74">
        <f t="shared" si="13"/>
        <v>82242.188051038844</v>
      </c>
      <c r="DI20" s="74">
        <f t="shared" si="14"/>
        <v>2652.9738080980273</v>
      </c>
      <c r="DJ20" s="74">
        <f t="shared" si="15"/>
        <v>4112.1094025519424</v>
      </c>
      <c r="DK20" s="74">
        <f t="shared" si="16"/>
        <v>2743174.9175733603</v>
      </c>
      <c r="DL20" s="74">
        <f t="shared" si="17"/>
        <v>4251921.1222387087</v>
      </c>
    </row>
    <row r="21" spans="1:116" x14ac:dyDescent="0.2">
      <c r="A21" s="96">
        <v>42583</v>
      </c>
      <c r="B21" s="4">
        <f t="shared" si="0"/>
        <v>2016</v>
      </c>
      <c r="C21" s="4">
        <f t="shared" si="1"/>
        <v>8</v>
      </c>
      <c r="D21" s="59">
        <v>60215461</v>
      </c>
      <c r="E21" s="59">
        <f>IFERROR(VLOOKUP($B21-1,CDM!$I$7:$N$18,2,FALSE)/12,0)+IFERROR(VLOOKUP($B21,CDM!$I$36:$L$46,2,FALSE)/24,0)+IFERROR(VLOOKUP($B21,CDM!$I$36:$L$46,2,FALSE)/2*$C21/78,0)</f>
        <v>690224.02659273287</v>
      </c>
      <c r="F21" s="59">
        <f t="shared" si="2"/>
        <v>60905685.026592731</v>
      </c>
      <c r="G21" s="73">
        <v>60299</v>
      </c>
      <c r="H21" s="59">
        <v>16295761</v>
      </c>
      <c r="I21" s="59">
        <f>IFERROR(VLOOKUP($B21-1,CDM!$I$7:$N$18,3,FALSE)/12,0)+IFERROR(VLOOKUP($B21,CDM!$I$36:$L$46,3,FALSE)/24,0)+IFERROR(VLOOKUP($B21,CDM!$I$36:$L$46,3,FALSE)/2*$C21/78,0)</f>
        <v>443893.63802876172</v>
      </c>
      <c r="J21" s="59">
        <f t="shared" si="3"/>
        <v>16739654.638028761</v>
      </c>
      <c r="K21" s="59">
        <v>5260</v>
      </c>
      <c r="L21" s="5">
        <v>87167726</v>
      </c>
      <c r="M21" s="2">
        <f>IFERROR(VLOOKUP($B21-1,CDM!$I$7:$N$18,4,FALSE)/12,0)+IFERROR(VLOOKUP($B21,CDM!$I$36:$L$46,4,FALSE)/24,0)+IFERROR(VLOOKUP($B21,CDM!$I$36:$L$46,4,FALSE)/2*$C21/78,0)</f>
        <v>1080512.6206445675</v>
      </c>
      <c r="N21" s="59">
        <f t="shared" si="4"/>
        <v>88248238.620644569</v>
      </c>
      <c r="O21" s="5">
        <v>217408</v>
      </c>
      <c r="P21" s="5">
        <v>1034</v>
      </c>
      <c r="Q21" s="5">
        <v>720249</v>
      </c>
      <c r="R21" s="5">
        <v>2304</v>
      </c>
      <c r="S21" s="6">
        <v>15252</v>
      </c>
      <c r="T21" s="5">
        <v>259148</v>
      </c>
      <c r="U21" s="1">
        <v>24</v>
      </c>
      <c r="V21" s="1">
        <v>560</v>
      </c>
      <c r="W21" s="114">
        <f>Economic!J83</f>
        <v>727609.6</v>
      </c>
      <c r="X21" s="114">
        <f>Economic!K83</f>
        <v>557474</v>
      </c>
      <c r="Y21" s="114">
        <f>Economic!L83</f>
        <v>49299.3</v>
      </c>
      <c r="Z21" s="114">
        <f>Economic!M83</f>
        <v>730341</v>
      </c>
      <c r="AA21" s="114">
        <f>Economic!N83</f>
        <v>558510</v>
      </c>
      <c r="AB21" s="114">
        <f>Economic!O83</f>
        <v>29147</v>
      </c>
      <c r="AC21" s="114">
        <f>Economic!D83</f>
        <v>6896.8</v>
      </c>
      <c r="AD21" s="114">
        <f>Economic!E83</f>
        <v>7000.2</v>
      </c>
      <c r="AE21" s="114">
        <f>Economic!F83</f>
        <v>3157.1</v>
      </c>
      <c r="AF21" s="114">
        <f>Economic!G83</f>
        <v>3199.7</v>
      </c>
      <c r="AG21" s="114">
        <f>Economic!H83</f>
        <v>387.7</v>
      </c>
      <c r="AH21" s="114">
        <f>Economic!I83</f>
        <v>390.3</v>
      </c>
      <c r="AI21" s="114">
        <f>Economic!P95</f>
        <v>56.699999999999818</v>
      </c>
      <c r="AJ21" s="114">
        <f>Economic!Q95</f>
        <v>45.400000000000546</v>
      </c>
      <c r="AK21" s="114">
        <f>Economic!R95</f>
        <v>8.5</v>
      </c>
      <c r="AL21" s="114">
        <f>Economic!S95</f>
        <v>7.3000000000001819</v>
      </c>
      <c r="AM21" s="114">
        <f>Economic!T95</f>
        <v>16366.599999999977</v>
      </c>
      <c r="AN21" s="114">
        <f>Economic!U95</f>
        <v>5974</v>
      </c>
      <c r="AO21" s="28">
        <f>Weather!D213</f>
        <v>23.735483870967741</v>
      </c>
      <c r="AP21" s="28">
        <f>Weather!E213</f>
        <v>0.10000000000000142</v>
      </c>
      <c r="AQ21" s="28">
        <f>Weather!F213</f>
        <v>115.89999999999998</v>
      </c>
      <c r="AR21" s="28">
        <f>Weather!G213</f>
        <v>0</v>
      </c>
      <c r="AS21" s="28">
        <f>Weather!H213</f>
        <v>177.79999999999998</v>
      </c>
      <c r="AT21" s="28">
        <f>Weather!I213</f>
        <v>0</v>
      </c>
      <c r="AU21" s="28">
        <f>Weather!J213</f>
        <v>239.79999999999998</v>
      </c>
      <c r="AV21" s="28">
        <f>Weather!K213</f>
        <v>0</v>
      </c>
      <c r="AW21" s="28">
        <f>Weather!L213</f>
        <v>301.80000000000007</v>
      </c>
      <c r="AX21" s="28">
        <f>Weather!M213</f>
        <v>0</v>
      </c>
      <c r="AY21" s="28">
        <f>Weather!N213</f>
        <v>363.80000000000007</v>
      </c>
      <c r="AZ21" s="28">
        <f>Weather!O213</f>
        <v>0</v>
      </c>
      <c r="BA21" s="28">
        <f>Weather!P213</f>
        <v>425.80000000000007</v>
      </c>
      <c r="BB21" s="28">
        <f>Weather!Q213</f>
        <v>0</v>
      </c>
      <c r="BC21" s="28">
        <f>Weather!R213</f>
        <v>487.80000000000007</v>
      </c>
      <c r="BD21">
        <v>0</v>
      </c>
      <c r="BE21">
        <v>0</v>
      </c>
      <c r="BF21">
        <v>0</v>
      </c>
      <c r="BG21">
        <v>0</v>
      </c>
      <c r="BH21">
        <v>0</v>
      </c>
      <c r="BI21">
        <v>0</v>
      </c>
      <c r="BJ21">
        <v>0</v>
      </c>
      <c r="BK21">
        <v>1</v>
      </c>
      <c r="BL21">
        <v>0</v>
      </c>
      <c r="BM21">
        <v>0</v>
      </c>
      <c r="BN21">
        <v>0</v>
      </c>
      <c r="BO21">
        <v>0</v>
      </c>
      <c r="BP21">
        <v>0</v>
      </c>
      <c r="BQ21">
        <v>0</v>
      </c>
      <c r="BR21">
        <v>0</v>
      </c>
      <c r="BS21" s="1">
        <f t="shared" si="18"/>
        <v>20</v>
      </c>
      <c r="BT21">
        <v>31</v>
      </c>
      <c r="BU21">
        <v>22</v>
      </c>
      <c r="BV21">
        <v>0</v>
      </c>
      <c r="BW21">
        <v>0</v>
      </c>
      <c r="BX21">
        <v>0</v>
      </c>
      <c r="BY21">
        <v>0</v>
      </c>
      <c r="BZ21">
        <f t="shared" si="21"/>
        <v>0</v>
      </c>
      <c r="CA21">
        <f t="shared" si="21"/>
        <v>0</v>
      </c>
      <c r="CB21">
        <f t="shared" si="21"/>
        <v>0</v>
      </c>
      <c r="CC21">
        <f t="shared" si="19"/>
        <v>0</v>
      </c>
      <c r="CD21">
        <f t="shared" si="19"/>
        <v>0</v>
      </c>
      <c r="CE21">
        <f t="shared" si="19"/>
        <v>0</v>
      </c>
      <c r="CF21">
        <f t="shared" si="19"/>
        <v>0</v>
      </c>
      <c r="CG21">
        <f t="shared" si="19"/>
        <v>0</v>
      </c>
      <c r="CH21">
        <f t="shared" si="19"/>
        <v>0</v>
      </c>
      <c r="CI21">
        <f t="shared" si="19"/>
        <v>0</v>
      </c>
      <c r="CJ21">
        <f t="shared" si="19"/>
        <v>0</v>
      </c>
      <c r="CK21">
        <f t="shared" si="19"/>
        <v>0</v>
      </c>
      <c r="CL21">
        <f t="shared" si="19"/>
        <v>0</v>
      </c>
      <c r="CM21">
        <f t="shared" si="19"/>
        <v>0</v>
      </c>
      <c r="CN21">
        <f t="shared" si="22"/>
        <v>0</v>
      </c>
      <c r="CO21">
        <f t="shared" si="22"/>
        <v>0</v>
      </c>
      <c r="CP21">
        <f t="shared" si="22"/>
        <v>0</v>
      </c>
      <c r="CQ21">
        <f t="shared" si="20"/>
        <v>0</v>
      </c>
      <c r="CR21">
        <f t="shared" si="20"/>
        <v>0</v>
      </c>
      <c r="CS21">
        <f t="shared" si="20"/>
        <v>0</v>
      </c>
      <c r="CT21">
        <f t="shared" si="20"/>
        <v>0</v>
      </c>
      <c r="CU21">
        <f t="shared" si="20"/>
        <v>0</v>
      </c>
      <c r="CV21">
        <f t="shared" si="20"/>
        <v>0</v>
      </c>
      <c r="CW21">
        <f t="shared" si="20"/>
        <v>0</v>
      </c>
      <c r="CX21">
        <f t="shared" si="20"/>
        <v>0</v>
      </c>
      <c r="CY21">
        <f t="shared" si="20"/>
        <v>0</v>
      </c>
      <c r="CZ21">
        <f t="shared" si="20"/>
        <v>0</v>
      </c>
      <c r="DA21">
        <f t="shared" si="20"/>
        <v>0</v>
      </c>
      <c r="DB21" s="74">
        <f t="shared" si="7"/>
        <v>1010.0612784058231</v>
      </c>
      <c r="DC21" s="74">
        <f t="shared" si="8"/>
        <v>32.58262188405881</v>
      </c>
      <c r="DD21" s="73">
        <f t="shared" si="9"/>
        <v>1964699.5169868623</v>
      </c>
      <c r="DE21" s="74">
        <f t="shared" si="10"/>
        <v>3182.4438475339853</v>
      </c>
      <c r="DF21" s="74">
        <f t="shared" si="11"/>
        <v>102.65947895270921</v>
      </c>
      <c r="DG21" s="74">
        <f t="shared" si="12"/>
        <v>539988.85929125035</v>
      </c>
      <c r="DH21" s="74">
        <f t="shared" si="13"/>
        <v>85346.459014163032</v>
      </c>
      <c r="DI21" s="74">
        <f t="shared" si="14"/>
        <v>2753.1115811020331</v>
      </c>
      <c r="DJ21" s="74">
        <f t="shared" si="15"/>
        <v>3879.3845006437741</v>
      </c>
      <c r="DK21" s="74">
        <f t="shared" si="16"/>
        <v>2846717.3748595021</v>
      </c>
      <c r="DL21" s="74">
        <f t="shared" si="17"/>
        <v>4011283.5736656622</v>
      </c>
    </row>
    <row r="22" spans="1:116" x14ac:dyDescent="0.2">
      <c r="A22" s="96">
        <v>42614</v>
      </c>
      <c r="B22" s="4">
        <f t="shared" si="0"/>
        <v>2016</v>
      </c>
      <c r="C22" s="4">
        <f t="shared" si="1"/>
        <v>9</v>
      </c>
      <c r="D22" s="59">
        <v>49709783</v>
      </c>
      <c r="E22" s="59">
        <f>IFERROR(VLOOKUP($B22-1,CDM!$I$7:$N$18,2,FALSE)/12,0)+IFERROR(VLOOKUP($B22,CDM!$I$36:$L$46,2,FALSE)/24,0)+IFERROR(VLOOKUP($B22,CDM!$I$36:$L$46,2,FALSE)/2*$C22/78,0)</f>
        <v>726957.78556920844</v>
      </c>
      <c r="F22" s="59">
        <f t="shared" si="2"/>
        <v>50436740.785569206</v>
      </c>
      <c r="G22" s="468">
        <v>60320</v>
      </c>
      <c r="H22" s="59">
        <v>13976976</v>
      </c>
      <c r="I22" s="59">
        <f>IFERROR(VLOOKUP($B22-1,CDM!$I$7:$N$18,3,FALSE)/12,0)+IFERROR(VLOOKUP($B22,CDM!$I$36:$L$46,3,FALSE)/24,0)+IFERROR(VLOOKUP($B22,CDM!$I$36:$L$46,3,FALSE)/2*$C22/78,0)</f>
        <v>463169.17351287336</v>
      </c>
      <c r="J22" s="59">
        <f t="shared" si="3"/>
        <v>14440145.173512874</v>
      </c>
      <c r="K22" s="59">
        <v>5273</v>
      </c>
      <c r="L22" s="5">
        <v>77840725</v>
      </c>
      <c r="M22" s="2">
        <f>IFERROR(VLOOKUP($B22-1,CDM!$I$7:$N$18,4,FALSE)/12,0)+IFERROR(VLOOKUP($B22,CDM!$I$36:$L$46,4,FALSE)/24,0)+IFERROR(VLOOKUP($B22,CDM!$I$36:$L$46,4,FALSE)/2*$C22/78,0)</f>
        <v>1134514.7965149658</v>
      </c>
      <c r="N22" s="59">
        <f t="shared" si="4"/>
        <v>78975239.796514973</v>
      </c>
      <c r="O22" s="5">
        <v>218401</v>
      </c>
      <c r="P22" s="6">
        <v>1033</v>
      </c>
      <c r="Q22" s="5">
        <v>794582</v>
      </c>
      <c r="R22" s="5">
        <v>2304</v>
      </c>
      <c r="S22" s="5">
        <v>15252</v>
      </c>
      <c r="T22" s="5">
        <v>258866</v>
      </c>
      <c r="U22" s="1">
        <v>24</v>
      </c>
      <c r="V22" s="1">
        <v>559</v>
      </c>
      <c r="W22" s="114">
        <f>Economic!J84</f>
        <v>727609.6</v>
      </c>
      <c r="X22" s="114">
        <f>Economic!K84</f>
        <v>557474</v>
      </c>
      <c r="Y22" s="114">
        <f>Economic!L84</f>
        <v>49299.3</v>
      </c>
      <c r="Z22" s="114">
        <f>Economic!M84</f>
        <v>730341</v>
      </c>
      <c r="AA22" s="114">
        <f>Economic!N84</f>
        <v>558510</v>
      </c>
      <c r="AB22" s="114">
        <f>Economic!O84</f>
        <v>29147</v>
      </c>
      <c r="AC22" s="114">
        <f>Economic!D84</f>
        <v>6893.1</v>
      </c>
      <c r="AD22" s="114">
        <f>Economic!E84</f>
        <v>6953.7</v>
      </c>
      <c r="AE22" s="114">
        <f>Economic!F84</f>
        <v>3168</v>
      </c>
      <c r="AF22" s="114">
        <f>Economic!G84</f>
        <v>3194.1</v>
      </c>
      <c r="AG22" s="114">
        <f>Economic!H84</f>
        <v>386</v>
      </c>
      <c r="AH22" s="114">
        <f>Economic!I84</f>
        <v>388.4</v>
      </c>
      <c r="AI22" s="114">
        <f>Economic!P96</f>
        <v>57</v>
      </c>
      <c r="AJ22" s="114">
        <f>Economic!Q96</f>
        <v>44.400000000000546</v>
      </c>
      <c r="AK22" s="114">
        <f>Economic!R96</f>
        <v>-12.099999999999909</v>
      </c>
      <c r="AL22" s="114">
        <f>Economic!S96</f>
        <v>-18</v>
      </c>
      <c r="AM22" s="114">
        <f>Economic!T96</f>
        <v>16366.599999999977</v>
      </c>
      <c r="AN22" s="114">
        <f>Economic!U96</f>
        <v>5974</v>
      </c>
      <c r="AO22" s="28">
        <f>Weather!D214</f>
        <v>20.029999999999998</v>
      </c>
      <c r="AP22" s="28">
        <f>Weather!E214</f>
        <v>41.900000000000013</v>
      </c>
      <c r="AQ22" s="28">
        <f>Weather!F214</f>
        <v>42.800000000000011</v>
      </c>
      <c r="AR22" s="28">
        <f>Weather!G214</f>
        <v>15.500000000000002</v>
      </c>
      <c r="AS22" s="28">
        <f>Weather!H214</f>
        <v>76.40000000000002</v>
      </c>
      <c r="AT22" s="28">
        <f>Weather!I214</f>
        <v>3.7999999999999989</v>
      </c>
      <c r="AU22" s="28">
        <f>Weather!J214</f>
        <v>124.7</v>
      </c>
      <c r="AV22" s="28">
        <f>Weather!K214</f>
        <v>9.9999999999999645E-2</v>
      </c>
      <c r="AW22" s="28">
        <f>Weather!L214</f>
        <v>181</v>
      </c>
      <c r="AX22" s="28">
        <f>Weather!M214</f>
        <v>0</v>
      </c>
      <c r="AY22" s="28">
        <f>Weather!N214</f>
        <v>240.9</v>
      </c>
      <c r="AZ22" s="28">
        <f>Weather!O214</f>
        <v>0</v>
      </c>
      <c r="BA22" s="28">
        <f>Weather!P214</f>
        <v>300.89999999999992</v>
      </c>
      <c r="BB22" s="28">
        <f>Weather!Q214</f>
        <v>0</v>
      </c>
      <c r="BC22" s="28">
        <f>Weather!R214</f>
        <v>360.89999999999992</v>
      </c>
      <c r="BD22">
        <v>0</v>
      </c>
      <c r="BE22">
        <v>0</v>
      </c>
      <c r="BF22">
        <v>0</v>
      </c>
      <c r="BG22">
        <v>0</v>
      </c>
      <c r="BH22">
        <v>0</v>
      </c>
      <c r="BI22">
        <v>0</v>
      </c>
      <c r="BJ22">
        <v>0</v>
      </c>
      <c r="BK22">
        <v>0</v>
      </c>
      <c r="BL22">
        <v>1</v>
      </c>
      <c r="BM22">
        <v>0</v>
      </c>
      <c r="BN22">
        <v>0</v>
      </c>
      <c r="BO22">
        <v>0</v>
      </c>
      <c r="BP22">
        <v>0</v>
      </c>
      <c r="BQ22">
        <v>1</v>
      </c>
      <c r="BR22">
        <v>1</v>
      </c>
      <c r="BS22" s="1">
        <f t="shared" si="18"/>
        <v>21</v>
      </c>
      <c r="BT22">
        <v>30</v>
      </c>
      <c r="BU22">
        <v>21</v>
      </c>
      <c r="BV22">
        <v>0</v>
      </c>
      <c r="BW22">
        <v>0</v>
      </c>
      <c r="BX22">
        <v>0</v>
      </c>
      <c r="BY22">
        <v>0</v>
      </c>
      <c r="BZ22">
        <f t="shared" si="21"/>
        <v>0</v>
      </c>
      <c r="CA22">
        <f t="shared" si="21"/>
        <v>0</v>
      </c>
      <c r="CB22">
        <f t="shared" si="21"/>
        <v>0</v>
      </c>
      <c r="CC22">
        <f t="shared" si="19"/>
        <v>0</v>
      </c>
      <c r="CD22">
        <f t="shared" si="19"/>
        <v>0</v>
      </c>
      <c r="CE22">
        <f t="shared" si="19"/>
        <v>0</v>
      </c>
      <c r="CF22">
        <f t="shared" si="19"/>
        <v>0</v>
      </c>
      <c r="CG22">
        <f t="shared" si="19"/>
        <v>0</v>
      </c>
      <c r="CH22">
        <f t="shared" si="19"/>
        <v>0</v>
      </c>
      <c r="CI22">
        <f t="shared" si="19"/>
        <v>0</v>
      </c>
      <c r="CJ22">
        <f t="shared" si="19"/>
        <v>0</v>
      </c>
      <c r="CK22">
        <f t="shared" si="19"/>
        <v>0</v>
      </c>
      <c r="CL22">
        <f t="shared" si="19"/>
        <v>0</v>
      </c>
      <c r="CM22">
        <f t="shared" si="19"/>
        <v>0</v>
      </c>
      <c r="CN22">
        <f t="shared" si="22"/>
        <v>0</v>
      </c>
      <c r="CO22">
        <f t="shared" si="22"/>
        <v>0</v>
      </c>
      <c r="CP22">
        <f t="shared" si="22"/>
        <v>0</v>
      </c>
      <c r="CQ22">
        <f t="shared" si="20"/>
        <v>0</v>
      </c>
      <c r="CR22">
        <f t="shared" si="20"/>
        <v>0</v>
      </c>
      <c r="CS22">
        <f t="shared" si="20"/>
        <v>0</v>
      </c>
      <c r="CT22">
        <f t="shared" si="20"/>
        <v>0</v>
      </c>
      <c r="CU22">
        <f t="shared" si="20"/>
        <v>0</v>
      </c>
      <c r="CV22">
        <f t="shared" si="20"/>
        <v>0</v>
      </c>
      <c r="CW22">
        <f t="shared" si="20"/>
        <v>0</v>
      </c>
      <c r="CX22">
        <f t="shared" si="20"/>
        <v>0</v>
      </c>
      <c r="CY22">
        <f t="shared" si="20"/>
        <v>0</v>
      </c>
      <c r="CZ22">
        <f t="shared" si="20"/>
        <v>0</v>
      </c>
      <c r="DA22">
        <f t="shared" si="20"/>
        <v>0</v>
      </c>
      <c r="DB22" s="74">
        <f t="shared" si="7"/>
        <v>836.15286448224811</v>
      </c>
      <c r="DC22" s="74">
        <f t="shared" si="8"/>
        <v>27.871762149408269</v>
      </c>
      <c r="DD22" s="73">
        <f t="shared" si="9"/>
        <v>1681224.6928523069</v>
      </c>
      <c r="DE22" s="74">
        <f t="shared" si="10"/>
        <v>2738.5065756709414</v>
      </c>
      <c r="DF22" s="74">
        <f t="shared" si="11"/>
        <v>91.283552522364715</v>
      </c>
      <c r="DG22" s="74">
        <f t="shared" si="12"/>
        <v>481338.17245042912</v>
      </c>
      <c r="DH22" s="74">
        <f t="shared" si="13"/>
        <v>76452.313452579838</v>
      </c>
      <c r="DI22" s="74">
        <f t="shared" si="14"/>
        <v>2548.4104484193281</v>
      </c>
      <c r="DJ22" s="74">
        <f t="shared" si="15"/>
        <v>3640.5863548847542</v>
      </c>
      <c r="DK22" s="74">
        <f t="shared" si="16"/>
        <v>2632507.9932171656</v>
      </c>
      <c r="DL22" s="74">
        <f t="shared" si="17"/>
        <v>3760725.7045959509</v>
      </c>
    </row>
    <row r="23" spans="1:116" x14ac:dyDescent="0.2">
      <c r="A23" s="96">
        <v>42644</v>
      </c>
      <c r="B23" s="4">
        <f t="shared" si="0"/>
        <v>2016</v>
      </c>
      <c r="C23" s="4">
        <f t="shared" si="1"/>
        <v>10</v>
      </c>
      <c r="D23" s="59">
        <v>41115850</v>
      </c>
      <c r="E23" s="59">
        <f>IFERROR(VLOOKUP($B23-1,CDM!$I$7:$N$18,2,FALSE)/12,0)+IFERROR(VLOOKUP($B23,CDM!$I$36:$L$46,2,FALSE)/24,0)+IFERROR(VLOOKUP($B23,CDM!$I$36:$L$46,2,FALSE)/2*$C23/78,0)</f>
        <v>763691.54454568424</v>
      </c>
      <c r="F23" s="59">
        <f t="shared" si="2"/>
        <v>41879541.544545688</v>
      </c>
      <c r="G23" s="468">
        <v>60321</v>
      </c>
      <c r="H23" s="59">
        <v>12868083</v>
      </c>
      <c r="I23" s="59">
        <f>IFERROR(VLOOKUP($B23-1,CDM!$I$7:$N$18,3,FALSE)/12,0)+IFERROR(VLOOKUP($B23,CDM!$I$36:$L$46,3,FALSE)/24,0)+IFERROR(VLOOKUP($B23,CDM!$I$36:$L$46,3,FALSE)/2*$C23/78,0)</f>
        <v>482444.70899698499</v>
      </c>
      <c r="J23" s="59">
        <f t="shared" si="3"/>
        <v>13350527.708996985</v>
      </c>
      <c r="K23" s="59">
        <v>5278</v>
      </c>
      <c r="L23" s="5">
        <v>73150245</v>
      </c>
      <c r="M23" s="2">
        <f>IFERROR(VLOOKUP($B23-1,CDM!$I$7:$N$18,4,FALSE)/12,0)+IFERROR(VLOOKUP($B23,CDM!$I$36:$L$46,4,FALSE)/24,0)+IFERROR(VLOOKUP($B23,CDM!$I$36:$L$46,4,FALSE)/2*$C23/78,0)</f>
        <v>1188516.9723853641</v>
      </c>
      <c r="N23" s="59">
        <f t="shared" si="4"/>
        <v>74338761.972385362</v>
      </c>
      <c r="O23" s="5">
        <v>211273</v>
      </c>
      <c r="P23" s="6">
        <v>1036</v>
      </c>
      <c r="Q23" s="5">
        <v>926316</v>
      </c>
      <c r="R23" s="5">
        <v>2304</v>
      </c>
      <c r="S23" s="6">
        <v>15252</v>
      </c>
      <c r="T23" s="5">
        <v>259426</v>
      </c>
      <c r="U23" s="1">
        <v>24</v>
      </c>
      <c r="V23" s="1">
        <v>559</v>
      </c>
      <c r="W23" s="114">
        <f>Economic!J85</f>
        <v>727609.6</v>
      </c>
      <c r="X23" s="114">
        <f>Economic!K85</f>
        <v>557474</v>
      </c>
      <c r="Y23" s="114">
        <f>Economic!L85</f>
        <v>49299.3</v>
      </c>
      <c r="Z23" s="114">
        <f>Economic!M85</f>
        <v>737784</v>
      </c>
      <c r="AA23" s="114">
        <f>Economic!N85</f>
        <v>564056</v>
      </c>
      <c r="AB23" s="114">
        <f>Economic!O85</f>
        <v>29355</v>
      </c>
      <c r="AC23" s="114">
        <f>Economic!D85</f>
        <v>6892.9</v>
      </c>
      <c r="AD23" s="114">
        <f>Economic!E85</f>
        <v>6932.8</v>
      </c>
      <c r="AE23" s="114">
        <f>Economic!F85</f>
        <v>3166.7</v>
      </c>
      <c r="AF23" s="114">
        <f>Economic!G85</f>
        <v>3179.6</v>
      </c>
      <c r="AG23" s="114">
        <f>Economic!H85</f>
        <v>382.5</v>
      </c>
      <c r="AH23" s="114">
        <f>Economic!I85</f>
        <v>384.9</v>
      </c>
      <c r="AI23" s="114">
        <f>Economic!P97</f>
        <v>71</v>
      </c>
      <c r="AJ23" s="114">
        <f>Economic!Q97</f>
        <v>57.699999999999818</v>
      </c>
      <c r="AK23" s="114">
        <f>Economic!R97</f>
        <v>-16.199999999999818</v>
      </c>
      <c r="AL23" s="114">
        <f>Economic!S97</f>
        <v>-25.199999999999818</v>
      </c>
      <c r="AM23" s="114">
        <f>Economic!T97</f>
        <v>16366.599999999977</v>
      </c>
      <c r="AN23" s="114">
        <f>Economic!U97</f>
        <v>-1226</v>
      </c>
      <c r="AO23" s="28">
        <f>Weather!D215</f>
        <v>13.20967741935484</v>
      </c>
      <c r="AP23" s="28">
        <f>Weather!E215</f>
        <v>212.29999999999998</v>
      </c>
      <c r="AQ23" s="28">
        <f>Weather!F215</f>
        <v>1.7999999999999972</v>
      </c>
      <c r="AR23" s="28">
        <f>Weather!G215</f>
        <v>156.6</v>
      </c>
      <c r="AS23" s="28">
        <f>Weather!H215</f>
        <v>8.1000000000000014</v>
      </c>
      <c r="AT23" s="28">
        <f>Weather!I215</f>
        <v>111.3</v>
      </c>
      <c r="AU23" s="28">
        <f>Weather!J215</f>
        <v>24.799999999999997</v>
      </c>
      <c r="AV23" s="28">
        <f>Weather!K215</f>
        <v>77.199999999999989</v>
      </c>
      <c r="AW23" s="28">
        <f>Weather!L215</f>
        <v>52.699999999999989</v>
      </c>
      <c r="AX23" s="28">
        <f>Weather!M215</f>
        <v>50.1</v>
      </c>
      <c r="AY23" s="28">
        <f>Weather!N215</f>
        <v>87.600000000000009</v>
      </c>
      <c r="AZ23" s="28">
        <f>Weather!O215</f>
        <v>26.6</v>
      </c>
      <c r="BA23" s="28">
        <f>Weather!P215</f>
        <v>126.10000000000001</v>
      </c>
      <c r="BB23" s="28">
        <f>Weather!Q215</f>
        <v>10.800000000000002</v>
      </c>
      <c r="BC23" s="28">
        <f>Weather!R215</f>
        <v>172.3</v>
      </c>
      <c r="BD23">
        <v>0</v>
      </c>
      <c r="BE23">
        <v>0</v>
      </c>
      <c r="BF23">
        <v>0</v>
      </c>
      <c r="BG23">
        <v>0</v>
      </c>
      <c r="BH23">
        <v>0</v>
      </c>
      <c r="BI23">
        <v>0</v>
      </c>
      <c r="BJ23">
        <v>0</v>
      </c>
      <c r="BK23">
        <v>0</v>
      </c>
      <c r="BL23">
        <v>0</v>
      </c>
      <c r="BM23">
        <v>1</v>
      </c>
      <c r="BN23">
        <v>0</v>
      </c>
      <c r="BO23">
        <v>0</v>
      </c>
      <c r="BP23">
        <v>0</v>
      </c>
      <c r="BQ23">
        <v>1</v>
      </c>
      <c r="BR23">
        <v>1</v>
      </c>
      <c r="BS23" s="1">
        <f t="shared" si="18"/>
        <v>22</v>
      </c>
      <c r="BT23">
        <v>31</v>
      </c>
      <c r="BU23">
        <v>20</v>
      </c>
      <c r="BV23">
        <v>0</v>
      </c>
      <c r="BW23">
        <v>0</v>
      </c>
      <c r="BX23">
        <v>0</v>
      </c>
      <c r="BY23">
        <v>0</v>
      </c>
      <c r="BZ23">
        <f t="shared" si="21"/>
        <v>0</v>
      </c>
      <c r="CA23">
        <f t="shared" si="21"/>
        <v>0</v>
      </c>
      <c r="CB23">
        <f t="shared" si="21"/>
        <v>0</v>
      </c>
      <c r="CC23">
        <f t="shared" si="19"/>
        <v>0</v>
      </c>
      <c r="CD23">
        <f t="shared" si="19"/>
        <v>0</v>
      </c>
      <c r="CE23">
        <f t="shared" si="19"/>
        <v>0</v>
      </c>
      <c r="CF23">
        <f t="shared" si="19"/>
        <v>0</v>
      </c>
      <c r="CG23">
        <f t="shared" si="19"/>
        <v>0</v>
      </c>
      <c r="CH23">
        <f t="shared" si="19"/>
        <v>0</v>
      </c>
      <c r="CI23">
        <f t="shared" si="19"/>
        <v>0</v>
      </c>
      <c r="CJ23">
        <f t="shared" si="19"/>
        <v>0</v>
      </c>
      <c r="CK23">
        <f t="shared" si="19"/>
        <v>0</v>
      </c>
      <c r="CL23">
        <f t="shared" si="19"/>
        <v>0</v>
      </c>
      <c r="CM23">
        <f t="shared" si="19"/>
        <v>0</v>
      </c>
      <c r="CN23">
        <f t="shared" si="22"/>
        <v>0</v>
      </c>
      <c r="CO23">
        <f t="shared" si="22"/>
        <v>0</v>
      </c>
      <c r="CP23">
        <f t="shared" si="22"/>
        <v>0</v>
      </c>
      <c r="CQ23">
        <f t="shared" si="20"/>
        <v>0</v>
      </c>
      <c r="CR23">
        <f t="shared" si="20"/>
        <v>0</v>
      </c>
      <c r="CS23">
        <f t="shared" si="20"/>
        <v>0</v>
      </c>
      <c r="CT23">
        <f t="shared" si="20"/>
        <v>0</v>
      </c>
      <c r="CU23">
        <f t="shared" si="20"/>
        <v>0</v>
      </c>
      <c r="CV23">
        <f t="shared" si="20"/>
        <v>0</v>
      </c>
      <c r="CW23">
        <f t="shared" si="20"/>
        <v>0</v>
      </c>
      <c r="CX23">
        <f t="shared" si="20"/>
        <v>0</v>
      </c>
      <c r="CY23">
        <f t="shared" si="20"/>
        <v>0</v>
      </c>
      <c r="CZ23">
        <f t="shared" si="20"/>
        <v>0</v>
      </c>
      <c r="DA23">
        <f t="shared" si="20"/>
        <v>0</v>
      </c>
      <c r="DB23" s="74">
        <f t="shared" si="7"/>
        <v>694.27797192595756</v>
      </c>
      <c r="DC23" s="74">
        <f t="shared" si="8"/>
        <v>22.396063610514759</v>
      </c>
      <c r="DD23" s="73">
        <f t="shared" si="9"/>
        <v>1350952.9530498609</v>
      </c>
      <c r="DE23" s="74">
        <f t="shared" si="10"/>
        <v>2529.4671672976478</v>
      </c>
      <c r="DF23" s="74">
        <f t="shared" si="11"/>
        <v>81.595715074117678</v>
      </c>
      <c r="DG23" s="74">
        <f t="shared" si="12"/>
        <v>430662.18416119309</v>
      </c>
      <c r="DH23" s="74">
        <f t="shared" si="13"/>
        <v>71755.561749406726</v>
      </c>
      <c r="DI23" s="74">
        <f t="shared" si="14"/>
        <v>2314.6955403034426</v>
      </c>
      <c r="DJ23" s="74">
        <f t="shared" si="15"/>
        <v>3587.7780874703362</v>
      </c>
      <c r="DK23" s="74">
        <f t="shared" si="16"/>
        <v>2398024.5797543665</v>
      </c>
      <c r="DL23" s="74">
        <f t="shared" si="17"/>
        <v>3716938.0986192683</v>
      </c>
    </row>
    <row r="24" spans="1:116" x14ac:dyDescent="0.2">
      <c r="A24" s="96">
        <v>42675</v>
      </c>
      <c r="B24" s="4">
        <f t="shared" si="0"/>
        <v>2016</v>
      </c>
      <c r="C24" s="4">
        <f t="shared" si="1"/>
        <v>11</v>
      </c>
      <c r="D24" s="59">
        <v>37172567</v>
      </c>
      <c r="E24" s="59">
        <f>IFERROR(VLOOKUP($B24-1,CDM!$I$7:$N$18,2,FALSE)/12,0)+IFERROR(VLOOKUP($B24,CDM!$I$36:$L$46,2,FALSE)/24,0)+IFERROR(VLOOKUP($B24,CDM!$I$36:$L$46,2,FALSE)/2*$C24/78,0)</f>
        <v>800425.30352215993</v>
      </c>
      <c r="F24" s="59">
        <f t="shared" si="2"/>
        <v>37972992.303522162</v>
      </c>
      <c r="G24" s="73">
        <v>60345</v>
      </c>
      <c r="H24" s="59">
        <v>12936003</v>
      </c>
      <c r="I24" s="59">
        <f>IFERROR(VLOOKUP($B24-1,CDM!$I$7:$N$18,3,FALSE)/12,0)+IFERROR(VLOOKUP($B24,CDM!$I$36:$L$46,3,FALSE)/24,0)+IFERROR(VLOOKUP($B24,CDM!$I$36:$L$46,3,FALSE)/2*$C24/78,0)</f>
        <v>501720.24448109663</v>
      </c>
      <c r="J24" s="59">
        <f t="shared" si="3"/>
        <v>13437723.244481096</v>
      </c>
      <c r="K24" s="59">
        <v>5298</v>
      </c>
      <c r="L24" s="5">
        <v>71615105</v>
      </c>
      <c r="M24" s="2">
        <f>IFERROR(VLOOKUP($B24-1,CDM!$I$7:$N$18,4,FALSE)/12,0)+IFERROR(VLOOKUP($B24,CDM!$I$36:$L$46,4,FALSE)/24,0)+IFERROR(VLOOKUP($B24,CDM!$I$36:$L$46,4,FALSE)/2*$C24/78,0)</f>
        <v>1242519.1482557626</v>
      </c>
      <c r="N24" s="59">
        <f t="shared" si="4"/>
        <v>72857624.148255765</v>
      </c>
      <c r="O24" s="5">
        <v>211233</v>
      </c>
      <c r="P24" s="5">
        <v>1036</v>
      </c>
      <c r="Q24" s="5">
        <v>986113</v>
      </c>
      <c r="R24" s="5">
        <v>2304</v>
      </c>
      <c r="S24" s="6">
        <v>15253</v>
      </c>
      <c r="T24" s="5">
        <v>258781</v>
      </c>
      <c r="U24" s="1">
        <v>24</v>
      </c>
      <c r="V24" s="1">
        <v>559</v>
      </c>
      <c r="W24" s="114">
        <f>Economic!J86</f>
        <v>727609.6</v>
      </c>
      <c r="X24" s="114">
        <f>Economic!K86</f>
        <v>557474</v>
      </c>
      <c r="Y24" s="114">
        <f>Economic!L86</f>
        <v>49299.3</v>
      </c>
      <c r="Z24" s="114">
        <f>Economic!M86</f>
        <v>737784</v>
      </c>
      <c r="AA24" s="114">
        <f>Economic!N86</f>
        <v>564056</v>
      </c>
      <c r="AB24" s="114">
        <f>Economic!O86</f>
        <v>29355</v>
      </c>
      <c r="AC24" s="114">
        <f>Economic!D86</f>
        <v>6886.2</v>
      </c>
      <c r="AD24" s="114">
        <f>Economic!E86</f>
        <v>6898.2</v>
      </c>
      <c r="AE24" s="114">
        <f>Economic!F86</f>
        <v>3158.5</v>
      </c>
      <c r="AF24" s="114">
        <f>Economic!G86</f>
        <v>3156.1</v>
      </c>
      <c r="AG24" s="114">
        <f>Economic!H86</f>
        <v>381.8</v>
      </c>
      <c r="AH24" s="114">
        <f>Economic!I86</f>
        <v>384.1</v>
      </c>
      <c r="AI24" s="114">
        <f>Economic!P98</f>
        <v>91.600000000000364</v>
      </c>
      <c r="AJ24" s="114">
        <f>Economic!Q98</f>
        <v>85.199999999999818</v>
      </c>
      <c r="AK24" s="114">
        <f>Economic!R98</f>
        <v>-9</v>
      </c>
      <c r="AL24" s="114">
        <f>Economic!S98</f>
        <v>-16.299999999999727</v>
      </c>
      <c r="AM24" s="114">
        <f>Economic!T98</f>
        <v>16366.599999999977</v>
      </c>
      <c r="AN24" s="114">
        <f>Economic!U98</f>
        <v>-1226</v>
      </c>
      <c r="AO24" s="28">
        <f>Weather!D216</f>
        <v>8.2366666666666628</v>
      </c>
      <c r="AP24" s="28">
        <f>Weather!E216</f>
        <v>352.90000000000003</v>
      </c>
      <c r="AQ24" s="28">
        <f>Weather!F216</f>
        <v>0</v>
      </c>
      <c r="AR24" s="28">
        <f>Weather!G216</f>
        <v>292.90000000000003</v>
      </c>
      <c r="AS24" s="28">
        <f>Weather!H216</f>
        <v>0</v>
      </c>
      <c r="AT24" s="28">
        <f>Weather!I216</f>
        <v>232.90000000000003</v>
      </c>
      <c r="AU24" s="28">
        <f>Weather!J216</f>
        <v>0</v>
      </c>
      <c r="AV24" s="28">
        <f>Weather!K216</f>
        <v>174.8</v>
      </c>
      <c r="AW24" s="28">
        <f>Weather!L216</f>
        <v>1.9000000000000004</v>
      </c>
      <c r="AX24" s="28">
        <f>Weather!M216</f>
        <v>121.3</v>
      </c>
      <c r="AY24" s="28">
        <f>Weather!N216</f>
        <v>8.3999999999999986</v>
      </c>
      <c r="AZ24" s="28">
        <f>Weather!O216</f>
        <v>76.000000000000014</v>
      </c>
      <c r="BA24" s="28">
        <f>Weather!P216</f>
        <v>23.099999999999998</v>
      </c>
      <c r="BB24" s="28">
        <f>Weather!Q216</f>
        <v>45.8</v>
      </c>
      <c r="BC24" s="28">
        <f>Weather!R216</f>
        <v>52.900000000000006</v>
      </c>
      <c r="BD24">
        <v>0</v>
      </c>
      <c r="BE24">
        <v>0</v>
      </c>
      <c r="BF24">
        <v>0</v>
      </c>
      <c r="BG24">
        <v>0</v>
      </c>
      <c r="BH24">
        <v>0</v>
      </c>
      <c r="BI24">
        <v>0</v>
      </c>
      <c r="BJ24">
        <v>0</v>
      </c>
      <c r="BK24">
        <v>0</v>
      </c>
      <c r="BL24">
        <v>0</v>
      </c>
      <c r="BM24">
        <v>0</v>
      </c>
      <c r="BN24">
        <v>1</v>
      </c>
      <c r="BO24">
        <v>0</v>
      </c>
      <c r="BP24">
        <v>0</v>
      </c>
      <c r="BQ24">
        <v>1</v>
      </c>
      <c r="BR24">
        <v>1</v>
      </c>
      <c r="BS24" s="1">
        <f t="shared" si="18"/>
        <v>23</v>
      </c>
      <c r="BT24">
        <v>30</v>
      </c>
      <c r="BU24">
        <v>22</v>
      </c>
      <c r="BV24">
        <v>0</v>
      </c>
      <c r="BW24">
        <v>0</v>
      </c>
      <c r="BX24">
        <v>0</v>
      </c>
      <c r="BY24">
        <v>0</v>
      </c>
      <c r="BZ24">
        <f t="shared" si="21"/>
        <v>0</v>
      </c>
      <c r="CA24">
        <f t="shared" si="21"/>
        <v>0</v>
      </c>
      <c r="CB24">
        <f t="shared" si="21"/>
        <v>0</v>
      </c>
      <c r="CC24">
        <f t="shared" si="19"/>
        <v>0</v>
      </c>
      <c r="CD24">
        <f t="shared" si="19"/>
        <v>0</v>
      </c>
      <c r="CE24">
        <f t="shared" si="19"/>
        <v>0</v>
      </c>
      <c r="CF24">
        <f t="shared" si="19"/>
        <v>0</v>
      </c>
      <c r="CG24">
        <f t="shared" si="19"/>
        <v>0</v>
      </c>
      <c r="CH24">
        <f t="shared" si="19"/>
        <v>0</v>
      </c>
      <c r="CI24">
        <f t="shared" si="19"/>
        <v>0</v>
      </c>
      <c r="CJ24">
        <f t="shared" si="19"/>
        <v>0</v>
      </c>
      <c r="CK24">
        <f t="shared" si="19"/>
        <v>0</v>
      </c>
      <c r="CL24">
        <f t="shared" si="19"/>
        <v>0</v>
      </c>
      <c r="CM24">
        <f t="shared" si="19"/>
        <v>0</v>
      </c>
      <c r="CN24">
        <f t="shared" si="22"/>
        <v>0</v>
      </c>
      <c r="CO24">
        <f t="shared" si="22"/>
        <v>0</v>
      </c>
      <c r="CP24">
        <f t="shared" si="22"/>
        <v>0</v>
      </c>
      <c r="CQ24">
        <f t="shared" si="20"/>
        <v>0</v>
      </c>
      <c r="CR24">
        <f t="shared" si="20"/>
        <v>0</v>
      </c>
      <c r="CS24">
        <f t="shared" si="20"/>
        <v>0</v>
      </c>
      <c r="CT24">
        <f t="shared" si="20"/>
        <v>0</v>
      </c>
      <c r="CU24">
        <f t="shared" si="20"/>
        <v>0</v>
      </c>
      <c r="CV24">
        <f t="shared" si="20"/>
        <v>0</v>
      </c>
      <c r="CW24">
        <f t="shared" si="20"/>
        <v>0</v>
      </c>
      <c r="CX24">
        <f t="shared" si="20"/>
        <v>0</v>
      </c>
      <c r="CY24">
        <f t="shared" si="20"/>
        <v>0</v>
      </c>
      <c r="CZ24">
        <f t="shared" si="20"/>
        <v>0</v>
      </c>
      <c r="DA24">
        <f t="shared" si="20"/>
        <v>0</v>
      </c>
      <c r="DB24" s="74">
        <f t="shared" si="7"/>
        <v>629.26493170141953</v>
      </c>
      <c r="DC24" s="74">
        <f t="shared" si="8"/>
        <v>20.975497723380652</v>
      </c>
      <c r="DD24" s="73">
        <f t="shared" si="9"/>
        <v>1265766.4101174055</v>
      </c>
      <c r="DE24" s="74">
        <f t="shared" si="10"/>
        <v>2536.3766033373154</v>
      </c>
      <c r="DF24" s="74">
        <f t="shared" si="11"/>
        <v>84.545886777910511</v>
      </c>
      <c r="DG24" s="74">
        <f t="shared" si="12"/>
        <v>447924.10814936989</v>
      </c>
      <c r="DH24" s="74">
        <f t="shared" si="13"/>
        <v>70325.892034995908</v>
      </c>
      <c r="DI24" s="74">
        <f t="shared" si="14"/>
        <v>2344.1964011665304</v>
      </c>
      <c r="DJ24" s="74">
        <f t="shared" si="15"/>
        <v>3196.6314561361778</v>
      </c>
      <c r="DK24" s="74">
        <f t="shared" si="16"/>
        <v>2428587.4716085256</v>
      </c>
      <c r="DL24" s="74">
        <f t="shared" si="17"/>
        <v>3311710.1885570805</v>
      </c>
    </row>
    <row r="25" spans="1:116" x14ac:dyDescent="0.2">
      <c r="A25" s="96">
        <v>42705</v>
      </c>
      <c r="B25" s="4">
        <f t="shared" si="0"/>
        <v>2016</v>
      </c>
      <c r="C25" s="4">
        <f t="shared" si="1"/>
        <v>12</v>
      </c>
      <c r="D25" s="59">
        <v>42809833</v>
      </c>
      <c r="E25" s="59">
        <f>IFERROR(VLOOKUP($B25-1,CDM!$I$7:$N$18,2,FALSE)/12,0)+IFERROR(VLOOKUP($B25,CDM!$I$36:$L$46,2,FALSE)/24,0)+IFERROR(VLOOKUP($B25,CDM!$I$36:$L$46,2,FALSE)/2*$C25/78,0)</f>
        <v>837159.06249863561</v>
      </c>
      <c r="F25" s="59">
        <f t="shared" si="2"/>
        <v>43646992.062498637</v>
      </c>
      <c r="G25" s="468">
        <v>60353</v>
      </c>
      <c r="H25" s="59">
        <v>14391209</v>
      </c>
      <c r="I25" s="59">
        <f>IFERROR(VLOOKUP($B25-1,CDM!$I$7:$N$18,3,FALSE)/12,0)+IFERROR(VLOOKUP($B25,CDM!$I$36:$L$46,3,FALSE)/24,0)+IFERROR(VLOOKUP($B25,CDM!$I$36:$L$46,3,FALSE)/2*$C25/78,0)</f>
        <v>520995.77996520826</v>
      </c>
      <c r="J25" s="59">
        <f t="shared" si="3"/>
        <v>14912204.779965209</v>
      </c>
      <c r="K25" s="59">
        <v>5297</v>
      </c>
      <c r="L25" s="8">
        <v>73980352</v>
      </c>
      <c r="M25" s="2">
        <f>IFERROR(VLOOKUP($B25-1,CDM!$I$7:$N$18,4,FALSE)/12,0)+IFERROR(VLOOKUP($B25,CDM!$I$36:$L$46,4,FALSE)/24,0)+IFERROR(VLOOKUP($B25,CDM!$I$36:$L$46,4,FALSE)/2*$C25/78,0)</f>
        <v>1296521.3241261607</v>
      </c>
      <c r="N25" s="59">
        <f t="shared" si="4"/>
        <v>75276873.324126154</v>
      </c>
      <c r="O25" s="5">
        <v>171682</v>
      </c>
      <c r="P25" s="6">
        <v>1036</v>
      </c>
      <c r="Q25" s="8">
        <v>1068050</v>
      </c>
      <c r="R25" s="8">
        <v>2304</v>
      </c>
      <c r="S25" s="5">
        <v>15253</v>
      </c>
      <c r="T25" s="5">
        <v>263175</v>
      </c>
      <c r="U25" s="1">
        <v>24</v>
      </c>
      <c r="V25" s="1">
        <v>559</v>
      </c>
      <c r="W25" s="114">
        <f>Economic!J87</f>
        <v>727609.6</v>
      </c>
      <c r="X25" s="114">
        <f>Economic!K87</f>
        <v>557474</v>
      </c>
      <c r="Y25" s="114">
        <f>Economic!L87</f>
        <v>49299.3</v>
      </c>
      <c r="Z25" s="114">
        <f>Economic!M87</f>
        <v>737784</v>
      </c>
      <c r="AA25" s="114">
        <f>Economic!N87</f>
        <v>564056</v>
      </c>
      <c r="AB25" s="114">
        <f>Economic!O87</f>
        <v>29355</v>
      </c>
      <c r="AC25" s="114">
        <f>Economic!D87</f>
        <v>6895.6</v>
      </c>
      <c r="AD25" s="114">
        <f>Economic!E87</f>
        <v>6902.3</v>
      </c>
      <c r="AE25" s="114">
        <f>Economic!F87</f>
        <v>3161.1</v>
      </c>
      <c r="AF25" s="114">
        <f>Economic!G87</f>
        <v>3159.6</v>
      </c>
      <c r="AG25" s="114">
        <f>Economic!H87</f>
        <v>380.1</v>
      </c>
      <c r="AH25" s="114">
        <f>Economic!I87</f>
        <v>383.1</v>
      </c>
      <c r="AI25" s="114">
        <f>Economic!P99</f>
        <v>96.799999999999272</v>
      </c>
      <c r="AJ25" s="114">
        <f>Economic!Q99</f>
        <v>97.599999999999454</v>
      </c>
      <c r="AK25" s="114">
        <f>Economic!R99</f>
        <v>-12.900000000000091</v>
      </c>
      <c r="AL25" s="114">
        <f>Economic!S99</f>
        <v>-14.400000000000091</v>
      </c>
      <c r="AM25" s="114">
        <f>Economic!T99</f>
        <v>16366.599999999977</v>
      </c>
      <c r="AN25" s="114">
        <f>Economic!U99</f>
        <v>-1226</v>
      </c>
      <c r="AO25" s="28">
        <f>Weather!D217</f>
        <v>-3.2258064516129135E-2</v>
      </c>
      <c r="AP25" s="28">
        <f>Weather!E217</f>
        <v>621</v>
      </c>
      <c r="AQ25" s="28">
        <f>Weather!F217</f>
        <v>0</v>
      </c>
      <c r="AR25" s="28">
        <f>Weather!G217</f>
        <v>559</v>
      </c>
      <c r="AS25" s="28">
        <f>Weather!H217</f>
        <v>0</v>
      </c>
      <c r="AT25" s="28">
        <f>Weather!I217</f>
        <v>497</v>
      </c>
      <c r="AU25" s="28">
        <f>Weather!J217</f>
        <v>0</v>
      </c>
      <c r="AV25" s="28">
        <f>Weather!K217</f>
        <v>435.00000000000006</v>
      </c>
      <c r="AW25" s="28">
        <f>Weather!L217</f>
        <v>0</v>
      </c>
      <c r="AX25" s="28">
        <f>Weather!M217</f>
        <v>373</v>
      </c>
      <c r="AY25" s="28">
        <f>Weather!N217</f>
        <v>0</v>
      </c>
      <c r="AZ25" s="28">
        <f>Weather!O217</f>
        <v>311</v>
      </c>
      <c r="BA25" s="28">
        <f>Weather!P217</f>
        <v>0</v>
      </c>
      <c r="BB25" s="28">
        <f>Weather!Q217</f>
        <v>249</v>
      </c>
      <c r="BC25" s="28">
        <f>Weather!R217</f>
        <v>0</v>
      </c>
      <c r="BD25">
        <v>0</v>
      </c>
      <c r="BE25">
        <v>0</v>
      </c>
      <c r="BF25">
        <v>0</v>
      </c>
      <c r="BG25">
        <v>0</v>
      </c>
      <c r="BH25">
        <v>0</v>
      </c>
      <c r="BI25">
        <v>0</v>
      </c>
      <c r="BJ25">
        <v>0</v>
      </c>
      <c r="BK25">
        <v>0</v>
      </c>
      <c r="BL25">
        <v>0</v>
      </c>
      <c r="BM25">
        <v>0</v>
      </c>
      <c r="BN25">
        <v>0</v>
      </c>
      <c r="BO25">
        <v>1</v>
      </c>
      <c r="BP25">
        <v>0</v>
      </c>
      <c r="BQ25">
        <v>0</v>
      </c>
      <c r="BR25">
        <v>0</v>
      </c>
      <c r="BS25" s="1">
        <f t="shared" si="18"/>
        <v>24</v>
      </c>
      <c r="BT25">
        <v>31</v>
      </c>
      <c r="BU25">
        <v>20</v>
      </c>
      <c r="BV25">
        <v>0</v>
      </c>
      <c r="BW25">
        <v>0</v>
      </c>
      <c r="BX25">
        <v>0</v>
      </c>
      <c r="BY25">
        <v>0</v>
      </c>
      <c r="BZ25">
        <f t="shared" si="21"/>
        <v>0</v>
      </c>
      <c r="CA25">
        <f t="shared" si="21"/>
        <v>0</v>
      </c>
      <c r="CB25">
        <f t="shared" si="21"/>
        <v>0</v>
      </c>
      <c r="CC25">
        <f t="shared" si="19"/>
        <v>0</v>
      </c>
      <c r="CD25">
        <f t="shared" si="19"/>
        <v>0</v>
      </c>
      <c r="CE25">
        <f t="shared" si="19"/>
        <v>0</v>
      </c>
      <c r="CF25">
        <f t="shared" si="19"/>
        <v>0</v>
      </c>
      <c r="CG25">
        <f t="shared" si="19"/>
        <v>0</v>
      </c>
      <c r="CH25">
        <f t="shared" si="19"/>
        <v>0</v>
      </c>
      <c r="CI25">
        <f t="shared" si="19"/>
        <v>0</v>
      </c>
      <c r="CJ25">
        <f t="shared" si="19"/>
        <v>0</v>
      </c>
      <c r="CK25">
        <f t="shared" si="19"/>
        <v>0</v>
      </c>
      <c r="CL25">
        <f t="shared" si="19"/>
        <v>0</v>
      </c>
      <c r="CM25">
        <f t="shared" si="19"/>
        <v>0</v>
      </c>
      <c r="CN25">
        <f t="shared" si="22"/>
        <v>0</v>
      </c>
      <c r="CO25">
        <f t="shared" si="22"/>
        <v>0</v>
      </c>
      <c r="CP25">
        <f t="shared" si="22"/>
        <v>0</v>
      </c>
      <c r="CQ25">
        <f t="shared" si="20"/>
        <v>0</v>
      </c>
      <c r="CR25">
        <f t="shared" si="20"/>
        <v>0</v>
      </c>
      <c r="CS25">
        <f t="shared" si="20"/>
        <v>0</v>
      </c>
      <c r="CT25">
        <f t="shared" si="20"/>
        <v>0</v>
      </c>
      <c r="CU25">
        <f t="shared" si="20"/>
        <v>0</v>
      </c>
      <c r="CV25">
        <f t="shared" si="20"/>
        <v>0</v>
      </c>
      <c r="CW25">
        <f t="shared" si="20"/>
        <v>0</v>
      </c>
      <c r="CX25">
        <f t="shared" si="20"/>
        <v>0</v>
      </c>
      <c r="CY25">
        <f t="shared" si="20"/>
        <v>0</v>
      </c>
      <c r="CZ25">
        <f t="shared" si="20"/>
        <v>0</v>
      </c>
      <c r="DA25">
        <f t="shared" si="20"/>
        <v>0</v>
      </c>
      <c r="DB25" s="74">
        <f t="shared" si="7"/>
        <v>723.19507004620539</v>
      </c>
      <c r="DC25" s="74">
        <f t="shared" si="8"/>
        <v>23.328873227296949</v>
      </c>
      <c r="DD25" s="73">
        <f t="shared" si="9"/>
        <v>1407967.4858870527</v>
      </c>
      <c r="DE25" s="74">
        <f t="shared" si="10"/>
        <v>2815.2170624816326</v>
      </c>
      <c r="DF25" s="74">
        <f t="shared" si="11"/>
        <v>90.81345362843976</v>
      </c>
      <c r="DG25" s="74">
        <f t="shared" si="12"/>
        <v>481038.86386984546</v>
      </c>
      <c r="DH25" s="74">
        <f t="shared" si="13"/>
        <v>72661.074637187412</v>
      </c>
      <c r="DI25" s="74">
        <f t="shared" si="14"/>
        <v>2343.9056334576585</v>
      </c>
      <c r="DJ25" s="74">
        <f t="shared" si="15"/>
        <v>3633.0537318593706</v>
      </c>
      <c r="DK25" s="74">
        <f t="shared" si="16"/>
        <v>2428286.2362621338</v>
      </c>
      <c r="DL25" s="74">
        <f t="shared" si="17"/>
        <v>3763843.6662063077</v>
      </c>
    </row>
    <row r="26" spans="1:116" x14ac:dyDescent="0.2">
      <c r="A26" s="96">
        <v>42736</v>
      </c>
      <c r="B26" s="4">
        <f t="shared" si="0"/>
        <v>2017</v>
      </c>
      <c r="C26" s="4">
        <f t="shared" si="1"/>
        <v>1</v>
      </c>
      <c r="D26" s="59">
        <v>43117838</v>
      </c>
      <c r="E26" s="59">
        <f>IFERROR(VLOOKUP($B26-1,CDM!$I$7:$N$18,2,FALSE)/12,0)+IFERROR(VLOOKUP($B26,CDM!$I$36:$L$46,2,FALSE)/24,0)+IFERROR(VLOOKUP($B26,CDM!$I$36:$L$46,2,FALSE)/2*$C26/78,0)</f>
        <v>1310372.4376056197</v>
      </c>
      <c r="F26" s="59">
        <f t="shared" si="2"/>
        <v>44428210.437605619</v>
      </c>
      <c r="G26" s="468">
        <v>60357</v>
      </c>
      <c r="H26" s="59">
        <v>15042631</v>
      </c>
      <c r="I26" s="59">
        <f>IFERROR(VLOOKUP($B26-1,CDM!$I$7:$N$18,3,FALSE)/12,0)+IFERROR(VLOOKUP($B26,CDM!$I$36:$L$46,3,FALSE)/24,0)+IFERROR(VLOOKUP($B26,CDM!$I$36:$L$46,3,FALSE)/2*$C26/78,0)</f>
        <v>509574.77887087374</v>
      </c>
      <c r="J26" s="59">
        <f t="shared" si="3"/>
        <v>15552205.778870873</v>
      </c>
      <c r="K26" s="59">
        <v>5303</v>
      </c>
      <c r="L26" s="8">
        <v>76397192</v>
      </c>
      <c r="M26" s="2">
        <f>IFERROR(VLOOKUP($B26-1,CDM!$I$7:$N$18,4,FALSE)/12,0)+IFERROR(VLOOKUP($B26,CDM!$I$36:$L$46,4,FALSE)/24,0)+IFERROR(VLOOKUP($B26,CDM!$I$36:$L$46,4,FALSE)/2*$C26/78,0)</f>
        <v>1414993.5376042193</v>
      </c>
      <c r="N26" s="59">
        <f t="shared" si="4"/>
        <v>77812185.537604213</v>
      </c>
      <c r="O26" s="5">
        <v>189110</v>
      </c>
      <c r="P26" s="6">
        <v>1035</v>
      </c>
      <c r="Q26" s="8">
        <v>1188321.3999999999</v>
      </c>
      <c r="R26" s="8">
        <v>2623.4</v>
      </c>
      <c r="S26" s="6">
        <v>17184</v>
      </c>
      <c r="T26" s="5">
        <v>261189</v>
      </c>
      <c r="U26" s="1">
        <v>24</v>
      </c>
      <c r="V26" s="1">
        <v>562</v>
      </c>
      <c r="W26" s="114">
        <f>Economic!J88</f>
        <v>743976.2</v>
      </c>
      <c r="X26" s="114">
        <f>Economic!K88</f>
        <v>571846.40000000002</v>
      </c>
      <c r="Y26" s="114">
        <f>Economic!L88</f>
        <v>51922</v>
      </c>
      <c r="Z26" s="114">
        <f>Economic!M88</f>
        <v>743287</v>
      </c>
      <c r="AA26" s="114">
        <f>Economic!N88</f>
        <v>568664</v>
      </c>
      <c r="AB26" s="114">
        <f>Economic!O88</f>
        <v>29546</v>
      </c>
      <c r="AC26" s="114">
        <f>Economic!D88</f>
        <v>6908.4</v>
      </c>
      <c r="AD26" s="114">
        <f>Economic!E88</f>
        <v>6871.2</v>
      </c>
      <c r="AE26" s="114">
        <f>Economic!F88</f>
        <v>3164.9</v>
      </c>
      <c r="AF26" s="114">
        <f>Economic!G88</f>
        <v>3151.2</v>
      </c>
      <c r="AG26" s="114">
        <f>Economic!H88</f>
        <v>378.8</v>
      </c>
      <c r="AH26" s="114">
        <f>Economic!I88</f>
        <v>378.6</v>
      </c>
      <c r="AI26" s="114">
        <f>Economic!P100</f>
        <v>106.20000000000073</v>
      </c>
      <c r="AJ26" s="114">
        <f>Economic!Q100</f>
        <v>111.30000000000018</v>
      </c>
      <c r="AK26" s="114">
        <f>Economic!R100</f>
        <v>-4.7000000000002728</v>
      </c>
      <c r="AL26" s="114">
        <f>Economic!S100</f>
        <v>-4.2999999999997272</v>
      </c>
      <c r="AM26" s="114">
        <f>Economic!T100</f>
        <v>20488.600000000093</v>
      </c>
      <c r="AN26" s="114">
        <f>Economic!U100</f>
        <v>11322</v>
      </c>
      <c r="AO26" s="28">
        <f>Weather!D218</f>
        <v>-0.34193548387096795</v>
      </c>
      <c r="AP26" s="28">
        <f>Weather!E218</f>
        <v>630.59999999999991</v>
      </c>
      <c r="AQ26" s="28">
        <f>Weather!F218</f>
        <v>0</v>
      </c>
      <c r="AR26" s="28">
        <f>Weather!G218</f>
        <v>568.60000000000014</v>
      </c>
      <c r="AS26" s="28">
        <f>Weather!H218</f>
        <v>0</v>
      </c>
      <c r="AT26" s="28">
        <f>Weather!I218</f>
        <v>506.60000000000014</v>
      </c>
      <c r="AU26" s="28">
        <f>Weather!J218</f>
        <v>0</v>
      </c>
      <c r="AV26" s="28">
        <f>Weather!K218</f>
        <v>444.60000000000008</v>
      </c>
      <c r="AW26" s="28">
        <f>Weather!L218</f>
        <v>0</v>
      </c>
      <c r="AX26" s="28">
        <f>Weather!M218</f>
        <v>382.60000000000008</v>
      </c>
      <c r="AY26" s="28">
        <f>Weather!N218</f>
        <v>0</v>
      </c>
      <c r="AZ26" s="28">
        <f>Weather!O218</f>
        <v>320.59999999999997</v>
      </c>
      <c r="BA26" s="28">
        <f>Weather!P218</f>
        <v>0</v>
      </c>
      <c r="BB26" s="28">
        <f>Weather!Q218</f>
        <v>258.59999999999997</v>
      </c>
      <c r="BC26" s="28">
        <f>Weather!R218</f>
        <v>0</v>
      </c>
      <c r="BD26">
        <v>1</v>
      </c>
      <c r="BE26">
        <v>0</v>
      </c>
      <c r="BF26">
        <v>0</v>
      </c>
      <c r="BG26">
        <v>0</v>
      </c>
      <c r="BH26">
        <v>0</v>
      </c>
      <c r="BI26">
        <v>0</v>
      </c>
      <c r="BJ26">
        <v>0</v>
      </c>
      <c r="BK26">
        <v>0</v>
      </c>
      <c r="BL26">
        <v>0</v>
      </c>
      <c r="BM26">
        <v>0</v>
      </c>
      <c r="BN26">
        <v>0</v>
      </c>
      <c r="BO26">
        <v>0</v>
      </c>
      <c r="BP26">
        <v>0</v>
      </c>
      <c r="BQ26">
        <v>0</v>
      </c>
      <c r="BR26">
        <v>0</v>
      </c>
      <c r="BS26" s="1">
        <f t="shared" si="18"/>
        <v>25</v>
      </c>
      <c r="BT26">
        <v>31</v>
      </c>
      <c r="BU26">
        <v>22</v>
      </c>
      <c r="BV26">
        <v>0</v>
      </c>
      <c r="BW26">
        <v>0</v>
      </c>
      <c r="BX26">
        <v>0</v>
      </c>
      <c r="BY26">
        <v>0</v>
      </c>
      <c r="BZ26">
        <f t="shared" si="21"/>
        <v>0</v>
      </c>
      <c r="CA26">
        <f t="shared" si="21"/>
        <v>0</v>
      </c>
      <c r="CB26">
        <f t="shared" si="21"/>
        <v>0</v>
      </c>
      <c r="CC26">
        <f t="shared" si="19"/>
        <v>0</v>
      </c>
      <c r="CD26">
        <f t="shared" si="19"/>
        <v>0</v>
      </c>
      <c r="CE26">
        <f t="shared" si="19"/>
        <v>0</v>
      </c>
      <c r="CF26">
        <f t="shared" si="19"/>
        <v>0</v>
      </c>
      <c r="CG26">
        <f t="shared" si="19"/>
        <v>0</v>
      </c>
      <c r="CH26">
        <f t="shared" si="19"/>
        <v>0</v>
      </c>
      <c r="CI26">
        <f t="shared" si="19"/>
        <v>0</v>
      </c>
      <c r="CJ26">
        <f t="shared" si="19"/>
        <v>0</v>
      </c>
      <c r="CK26">
        <f t="shared" si="19"/>
        <v>0</v>
      </c>
      <c r="CL26">
        <f t="shared" si="19"/>
        <v>0</v>
      </c>
      <c r="CM26">
        <f t="shared" si="19"/>
        <v>0</v>
      </c>
      <c r="CN26">
        <f t="shared" si="22"/>
        <v>0</v>
      </c>
      <c r="CO26">
        <f t="shared" si="22"/>
        <v>0</v>
      </c>
      <c r="CP26">
        <f t="shared" si="22"/>
        <v>0</v>
      </c>
      <c r="CQ26">
        <f t="shared" si="20"/>
        <v>0</v>
      </c>
      <c r="CR26">
        <f t="shared" si="20"/>
        <v>0</v>
      </c>
      <c r="CS26">
        <f t="shared" si="20"/>
        <v>0</v>
      </c>
      <c r="CT26">
        <f t="shared" si="20"/>
        <v>0</v>
      </c>
      <c r="CU26">
        <f t="shared" si="20"/>
        <v>0</v>
      </c>
      <c r="CV26">
        <f t="shared" si="20"/>
        <v>0</v>
      </c>
      <c r="CW26">
        <f t="shared" si="20"/>
        <v>0</v>
      </c>
      <c r="CX26">
        <f t="shared" si="20"/>
        <v>0</v>
      </c>
      <c r="CY26">
        <f t="shared" si="20"/>
        <v>0</v>
      </c>
      <c r="CZ26">
        <f t="shared" si="20"/>
        <v>0</v>
      </c>
      <c r="DA26">
        <f t="shared" si="20"/>
        <v>0</v>
      </c>
      <c r="DB26" s="74">
        <f t="shared" si="7"/>
        <v>736.0904358666869</v>
      </c>
      <c r="DC26" s="74">
        <f t="shared" si="8"/>
        <v>23.744852769893125</v>
      </c>
      <c r="DD26" s="73">
        <f t="shared" si="9"/>
        <v>1433168.0786324393</v>
      </c>
      <c r="DE26" s="74">
        <f t="shared" si="10"/>
        <v>2932.7184195494765</v>
      </c>
      <c r="DF26" s="74">
        <f t="shared" si="11"/>
        <v>94.603819985466984</v>
      </c>
      <c r="DG26" s="74">
        <f t="shared" si="12"/>
        <v>501684.05738293141</v>
      </c>
      <c r="DH26" s="74">
        <f t="shared" si="13"/>
        <v>75180.855591888132</v>
      </c>
      <c r="DI26" s="74">
        <f t="shared" si="14"/>
        <v>2425.1888900609074</v>
      </c>
      <c r="DJ26" s="74">
        <f t="shared" si="15"/>
        <v>3417.3116178130967</v>
      </c>
      <c r="DK26" s="74">
        <f t="shared" si="16"/>
        <v>2510070.5012130393</v>
      </c>
      <c r="DL26" s="74">
        <f t="shared" si="17"/>
        <v>3536917.5244365553</v>
      </c>
    </row>
    <row r="27" spans="1:116" x14ac:dyDescent="0.2">
      <c r="A27" s="96">
        <v>42767</v>
      </c>
      <c r="B27" s="4">
        <f t="shared" si="0"/>
        <v>2017</v>
      </c>
      <c r="C27" s="4">
        <f t="shared" si="1"/>
        <v>2</v>
      </c>
      <c r="D27" s="59">
        <v>36607845</v>
      </c>
      <c r="E27" s="59">
        <f>IFERROR(VLOOKUP($B27-1,CDM!$I$7:$N$18,2,FALSE)/12,0)+IFERROR(VLOOKUP($B27,CDM!$I$36:$L$46,2,FALSE)/24,0)+IFERROR(VLOOKUP($B27,CDM!$I$36:$L$46,2,FALSE)/2*$C27/78,0)</f>
        <v>1400405.6442026331</v>
      </c>
      <c r="F27" s="59">
        <f t="shared" si="2"/>
        <v>38008250.644202635</v>
      </c>
      <c r="G27" s="73">
        <v>60440</v>
      </c>
      <c r="H27" s="59">
        <v>13349253</v>
      </c>
      <c r="I27" s="59">
        <f>IFERROR(VLOOKUP($B27-1,CDM!$I$7:$N$18,3,FALSE)/12,0)+IFERROR(VLOOKUP($B27,CDM!$I$36:$L$46,3,FALSE)/24,0)+IFERROR(VLOOKUP($B27,CDM!$I$36:$L$46,3,FALSE)/2*$C27/78,0)</f>
        <v>522187.37141331099</v>
      </c>
      <c r="J27" s="59">
        <f t="shared" si="3"/>
        <v>13871440.371413311</v>
      </c>
      <c r="K27" s="59">
        <v>5341</v>
      </c>
      <c r="L27" s="8">
        <v>68237493</v>
      </c>
      <c r="M27" s="2">
        <f>IFERROR(VLOOKUP($B27-1,CDM!$I$7:$N$18,4,FALSE)/12,0)+IFERROR(VLOOKUP($B27,CDM!$I$36:$L$46,4,FALSE)/24,0)+IFERROR(VLOOKUP($B27,CDM!$I$36:$L$46,4,FALSE)/2*$C27/78,0)</f>
        <v>1470391.4283729193</v>
      </c>
      <c r="N27" s="59">
        <f t="shared" si="4"/>
        <v>69707884.42837292</v>
      </c>
      <c r="O27" s="5">
        <v>187278</v>
      </c>
      <c r="P27" s="5">
        <v>999</v>
      </c>
      <c r="Q27" s="8">
        <v>990953.3</v>
      </c>
      <c r="R27" s="8">
        <v>2623.4</v>
      </c>
      <c r="S27" s="6">
        <v>17184</v>
      </c>
      <c r="T27" s="5">
        <v>260089</v>
      </c>
      <c r="U27" s="1">
        <v>24</v>
      </c>
      <c r="V27" s="1">
        <v>562</v>
      </c>
      <c r="W27" s="114">
        <f>Economic!J89</f>
        <v>743976.2</v>
      </c>
      <c r="X27" s="114">
        <f>Economic!K89</f>
        <v>571846.40000000002</v>
      </c>
      <c r="Y27" s="114">
        <f>Economic!L89</f>
        <v>51922</v>
      </c>
      <c r="Z27" s="114">
        <f>Economic!M89</f>
        <v>743287</v>
      </c>
      <c r="AA27" s="114">
        <f>Economic!N89</f>
        <v>568664</v>
      </c>
      <c r="AB27" s="114">
        <f>Economic!O89</f>
        <v>29546</v>
      </c>
      <c r="AC27" s="114">
        <f>Economic!D89</f>
        <v>6922.3</v>
      </c>
      <c r="AD27" s="114">
        <f>Economic!E89</f>
        <v>6850.4</v>
      </c>
      <c r="AE27" s="114">
        <f>Economic!F89</f>
        <v>3163</v>
      </c>
      <c r="AF27" s="114">
        <f>Economic!G89</f>
        <v>3135.8</v>
      </c>
      <c r="AG27" s="114">
        <f>Economic!H89</f>
        <v>378.6</v>
      </c>
      <c r="AH27" s="114">
        <f>Economic!I89</f>
        <v>375.6</v>
      </c>
      <c r="AI27" s="114">
        <f>Economic!P101</f>
        <v>109</v>
      </c>
      <c r="AJ27" s="114">
        <f>Economic!Q101</f>
        <v>112.10000000000036</v>
      </c>
      <c r="AK27" s="114">
        <f>Economic!R101</f>
        <v>9.8000000000001819</v>
      </c>
      <c r="AL27" s="114">
        <f>Economic!S101</f>
        <v>12.599999999999909</v>
      </c>
      <c r="AM27" s="114">
        <f>Economic!T101</f>
        <v>20488.600000000093</v>
      </c>
      <c r="AN27" s="114">
        <f>Economic!U101</f>
        <v>11322</v>
      </c>
      <c r="AO27" s="28">
        <f>Weather!D219</f>
        <v>1.1714285714285715</v>
      </c>
      <c r="AP27" s="28">
        <f>Weather!E219</f>
        <v>527.19999999999982</v>
      </c>
      <c r="AQ27" s="28">
        <f>Weather!F219</f>
        <v>0</v>
      </c>
      <c r="AR27" s="28">
        <f>Weather!G219</f>
        <v>471.19999999999987</v>
      </c>
      <c r="AS27" s="28">
        <f>Weather!H219</f>
        <v>0</v>
      </c>
      <c r="AT27" s="28">
        <f>Weather!I219</f>
        <v>415.19999999999987</v>
      </c>
      <c r="AU27" s="28">
        <f>Weather!J219</f>
        <v>0</v>
      </c>
      <c r="AV27" s="28">
        <f>Weather!K219</f>
        <v>359.19999999999993</v>
      </c>
      <c r="AW27" s="28">
        <f>Weather!L219</f>
        <v>0</v>
      </c>
      <c r="AX27" s="28">
        <f>Weather!M219</f>
        <v>303.19999999999993</v>
      </c>
      <c r="AY27" s="28">
        <f>Weather!N219</f>
        <v>0</v>
      </c>
      <c r="AZ27" s="28">
        <f>Weather!O219</f>
        <v>247.7</v>
      </c>
      <c r="BA27" s="28">
        <f>Weather!P219</f>
        <v>0.5</v>
      </c>
      <c r="BB27" s="28">
        <f>Weather!Q219</f>
        <v>193.8</v>
      </c>
      <c r="BC27" s="28">
        <f>Weather!R219</f>
        <v>2.5999999999999996</v>
      </c>
      <c r="BD27">
        <v>0</v>
      </c>
      <c r="BE27">
        <v>1</v>
      </c>
      <c r="BF27">
        <v>0</v>
      </c>
      <c r="BG27">
        <v>0</v>
      </c>
      <c r="BH27">
        <v>0</v>
      </c>
      <c r="BI27">
        <v>0</v>
      </c>
      <c r="BJ27">
        <v>0</v>
      </c>
      <c r="BK27">
        <v>0</v>
      </c>
      <c r="BL27">
        <v>0</v>
      </c>
      <c r="BM27">
        <v>0</v>
      </c>
      <c r="BN27">
        <v>0</v>
      </c>
      <c r="BO27">
        <v>0</v>
      </c>
      <c r="BP27">
        <v>0</v>
      </c>
      <c r="BQ27">
        <v>0</v>
      </c>
      <c r="BR27">
        <v>0</v>
      </c>
      <c r="BS27" s="1">
        <f t="shared" si="18"/>
        <v>26</v>
      </c>
      <c r="BT27">
        <v>28</v>
      </c>
      <c r="BU27">
        <v>19</v>
      </c>
      <c r="BV27">
        <v>0</v>
      </c>
      <c r="BW27">
        <v>0</v>
      </c>
      <c r="BX27">
        <v>0</v>
      </c>
      <c r="BY27">
        <v>0</v>
      </c>
      <c r="BZ27">
        <f t="shared" si="21"/>
        <v>0</v>
      </c>
      <c r="CA27">
        <f t="shared" si="21"/>
        <v>0</v>
      </c>
      <c r="CB27">
        <f t="shared" si="21"/>
        <v>0</v>
      </c>
      <c r="CC27">
        <f t="shared" si="19"/>
        <v>0</v>
      </c>
      <c r="CD27">
        <f t="shared" si="19"/>
        <v>0</v>
      </c>
      <c r="CE27">
        <f t="shared" si="19"/>
        <v>0</v>
      </c>
      <c r="CF27">
        <f t="shared" si="19"/>
        <v>0</v>
      </c>
      <c r="CG27">
        <f t="shared" si="19"/>
        <v>0</v>
      </c>
      <c r="CH27">
        <f t="shared" si="19"/>
        <v>0</v>
      </c>
      <c r="CI27">
        <f t="shared" si="19"/>
        <v>0</v>
      </c>
      <c r="CJ27">
        <f t="shared" si="19"/>
        <v>0</v>
      </c>
      <c r="CK27">
        <f t="shared" si="19"/>
        <v>0</v>
      </c>
      <c r="CL27">
        <f t="shared" si="19"/>
        <v>0</v>
      </c>
      <c r="CM27">
        <f t="shared" si="19"/>
        <v>0</v>
      </c>
      <c r="CN27">
        <f t="shared" si="22"/>
        <v>0</v>
      </c>
      <c r="CO27">
        <f t="shared" si="22"/>
        <v>0</v>
      </c>
      <c r="CP27">
        <f t="shared" si="22"/>
        <v>0</v>
      </c>
      <c r="CQ27">
        <f t="shared" si="20"/>
        <v>0</v>
      </c>
      <c r="CR27">
        <f t="shared" si="20"/>
        <v>0</v>
      </c>
      <c r="CS27">
        <f t="shared" si="20"/>
        <v>0</v>
      </c>
      <c r="CT27">
        <f t="shared" si="20"/>
        <v>0</v>
      </c>
      <c r="CU27">
        <f t="shared" si="20"/>
        <v>0</v>
      </c>
      <c r="CV27">
        <f t="shared" si="20"/>
        <v>0</v>
      </c>
      <c r="CW27">
        <f t="shared" si="20"/>
        <v>0</v>
      </c>
      <c r="CX27">
        <f t="shared" si="20"/>
        <v>0</v>
      </c>
      <c r="CY27">
        <f t="shared" si="20"/>
        <v>0</v>
      </c>
      <c r="CZ27">
        <f t="shared" si="20"/>
        <v>0</v>
      </c>
      <c r="DA27">
        <f t="shared" si="20"/>
        <v>0</v>
      </c>
      <c r="DB27" s="74">
        <f t="shared" si="7"/>
        <v>628.85920986437191</v>
      </c>
      <c r="DC27" s="74">
        <f t="shared" si="8"/>
        <v>22.459257495156141</v>
      </c>
      <c r="DD27" s="73">
        <f t="shared" si="9"/>
        <v>1357437.5230072369</v>
      </c>
      <c r="DE27" s="74">
        <f t="shared" si="10"/>
        <v>2597.1616497684536</v>
      </c>
      <c r="DF27" s="74">
        <f t="shared" si="11"/>
        <v>92.755773206016201</v>
      </c>
      <c r="DG27" s="74">
        <f t="shared" si="12"/>
        <v>495408.58469333255</v>
      </c>
      <c r="DH27" s="74">
        <f t="shared" si="13"/>
        <v>69777.662090463389</v>
      </c>
      <c r="DI27" s="74">
        <f t="shared" si="14"/>
        <v>2492.0593603736925</v>
      </c>
      <c r="DJ27" s="74">
        <f t="shared" si="15"/>
        <v>3672.5085310770205</v>
      </c>
      <c r="DK27" s="74">
        <f t="shared" si="16"/>
        <v>2489567.3010133184</v>
      </c>
      <c r="DL27" s="74">
        <f t="shared" si="17"/>
        <v>3668836.022545943</v>
      </c>
    </row>
    <row r="28" spans="1:116" x14ac:dyDescent="0.2">
      <c r="A28" s="96">
        <v>42795</v>
      </c>
      <c r="B28" s="4">
        <f t="shared" si="0"/>
        <v>2017</v>
      </c>
      <c r="C28" s="4">
        <f t="shared" si="1"/>
        <v>3</v>
      </c>
      <c r="D28" s="59">
        <v>38263912</v>
      </c>
      <c r="E28" s="59">
        <f>IFERROR(VLOOKUP($B28-1,CDM!$I$7:$N$18,2,FALSE)/12,0)+IFERROR(VLOOKUP($B28,CDM!$I$36:$L$46,2,FALSE)/24,0)+IFERROR(VLOOKUP($B28,CDM!$I$36:$L$46,2,FALSE)/2*$C28/78,0)</f>
        <v>1490438.8507996465</v>
      </c>
      <c r="F28" s="59">
        <f t="shared" si="2"/>
        <v>39754350.85079965</v>
      </c>
      <c r="G28" s="468">
        <v>60475</v>
      </c>
      <c r="H28" s="59">
        <v>14302608</v>
      </c>
      <c r="I28" s="59">
        <f>IFERROR(VLOOKUP($B28-1,CDM!$I$7:$N$18,3,FALSE)/12,0)+IFERROR(VLOOKUP($B28,CDM!$I$36:$L$46,3,FALSE)/24,0)+IFERROR(VLOOKUP($B28,CDM!$I$36:$L$46,3,FALSE)/2*$C28/78,0)</f>
        <v>534799.96395574824</v>
      </c>
      <c r="J28" s="59">
        <f t="shared" si="3"/>
        <v>14837407.963955749</v>
      </c>
      <c r="K28" s="59">
        <v>5342</v>
      </c>
      <c r="L28" s="8">
        <v>75471623</v>
      </c>
      <c r="M28" s="2">
        <f>IFERROR(VLOOKUP($B28-1,CDM!$I$7:$N$18,4,FALSE)/12,0)+IFERROR(VLOOKUP($B28,CDM!$I$36:$L$46,4,FALSE)/24,0)+IFERROR(VLOOKUP($B28,CDM!$I$36:$L$46,4,FALSE)/2*$C28/78,0)</f>
        <v>1525789.3191416191</v>
      </c>
      <c r="N28" s="59">
        <f t="shared" si="4"/>
        <v>76997412.319141626</v>
      </c>
      <c r="O28" s="5">
        <v>182686</v>
      </c>
      <c r="P28" s="6">
        <v>1000</v>
      </c>
      <c r="Q28" s="8">
        <v>977923.9</v>
      </c>
      <c r="R28" s="8">
        <v>2623.4</v>
      </c>
      <c r="S28" s="5">
        <v>17184</v>
      </c>
      <c r="T28" s="5">
        <v>261919</v>
      </c>
      <c r="U28" s="1">
        <v>24</v>
      </c>
      <c r="V28" s="1">
        <v>562</v>
      </c>
      <c r="W28" s="114">
        <f>Economic!J90</f>
        <v>743976.2</v>
      </c>
      <c r="X28" s="114">
        <f>Economic!K90</f>
        <v>571846.40000000002</v>
      </c>
      <c r="Y28" s="114">
        <f>Economic!L90</f>
        <v>51922</v>
      </c>
      <c r="Z28" s="114">
        <f>Economic!M90</f>
        <v>743287</v>
      </c>
      <c r="AA28" s="114">
        <f>Economic!N90</f>
        <v>568664</v>
      </c>
      <c r="AB28" s="114">
        <f>Economic!O90</f>
        <v>29546</v>
      </c>
      <c r="AC28" s="114">
        <f>Economic!D90</f>
        <v>6930.2</v>
      </c>
      <c r="AD28" s="114">
        <f>Economic!E90</f>
        <v>6827.3</v>
      </c>
      <c r="AE28" s="114">
        <f>Economic!F90</f>
        <v>3153.3</v>
      </c>
      <c r="AF28" s="114">
        <f>Economic!G90</f>
        <v>3109.9</v>
      </c>
      <c r="AG28" s="114">
        <f>Economic!H90</f>
        <v>379.7</v>
      </c>
      <c r="AH28" s="114">
        <f>Economic!I90</f>
        <v>373.5</v>
      </c>
      <c r="AI28" s="114">
        <f>Economic!P102</f>
        <v>118.80000000000018</v>
      </c>
      <c r="AJ28" s="114">
        <f>Economic!Q102</f>
        <v>118.69999999999982</v>
      </c>
      <c r="AK28" s="114">
        <f>Economic!R102</f>
        <v>37.099999999999909</v>
      </c>
      <c r="AL28" s="114">
        <f>Economic!S102</f>
        <v>39.699999999999818</v>
      </c>
      <c r="AM28" s="114">
        <f>Economic!T102</f>
        <v>20488.600000000093</v>
      </c>
      <c r="AN28" s="114">
        <f>Economic!U102</f>
        <v>11322</v>
      </c>
      <c r="AO28" s="28">
        <f>Weather!D220</f>
        <v>0.54193548387096779</v>
      </c>
      <c r="AP28" s="28">
        <f>Weather!E220</f>
        <v>603.20000000000005</v>
      </c>
      <c r="AQ28" s="28">
        <f>Weather!F220</f>
        <v>0</v>
      </c>
      <c r="AR28" s="28">
        <f>Weather!G220</f>
        <v>541.20000000000005</v>
      </c>
      <c r="AS28" s="28">
        <f>Weather!H220</f>
        <v>0</v>
      </c>
      <c r="AT28" s="28">
        <f>Weather!I220</f>
        <v>479.2</v>
      </c>
      <c r="AU28" s="28">
        <f>Weather!J220</f>
        <v>0</v>
      </c>
      <c r="AV28" s="28">
        <f>Weather!K220</f>
        <v>417.20000000000005</v>
      </c>
      <c r="AW28" s="28">
        <f>Weather!L220</f>
        <v>0</v>
      </c>
      <c r="AX28" s="28">
        <f>Weather!M220</f>
        <v>355.20000000000005</v>
      </c>
      <c r="AY28" s="28">
        <f>Weather!N220</f>
        <v>0</v>
      </c>
      <c r="AZ28" s="28">
        <f>Weather!O220</f>
        <v>293.40000000000003</v>
      </c>
      <c r="BA28" s="28">
        <f>Weather!P220</f>
        <v>0.19999999999999929</v>
      </c>
      <c r="BB28" s="28">
        <f>Weather!Q220</f>
        <v>234.70000000000002</v>
      </c>
      <c r="BC28" s="28">
        <f>Weather!R220</f>
        <v>3.4999999999999982</v>
      </c>
      <c r="BD28">
        <v>0</v>
      </c>
      <c r="BE28">
        <v>0</v>
      </c>
      <c r="BF28">
        <v>1</v>
      </c>
      <c r="BG28">
        <v>0</v>
      </c>
      <c r="BH28">
        <v>0</v>
      </c>
      <c r="BI28">
        <v>0</v>
      </c>
      <c r="BJ28">
        <v>0</v>
      </c>
      <c r="BK28">
        <v>0</v>
      </c>
      <c r="BL28">
        <v>0</v>
      </c>
      <c r="BM28">
        <v>0</v>
      </c>
      <c r="BN28">
        <v>0</v>
      </c>
      <c r="BO28">
        <v>0</v>
      </c>
      <c r="BP28">
        <v>1</v>
      </c>
      <c r="BQ28">
        <v>0</v>
      </c>
      <c r="BR28">
        <v>1</v>
      </c>
      <c r="BS28" s="1">
        <f t="shared" si="18"/>
        <v>27</v>
      </c>
      <c r="BT28">
        <v>31</v>
      </c>
      <c r="BU28">
        <v>23</v>
      </c>
      <c r="BV28">
        <v>0</v>
      </c>
      <c r="BW28">
        <v>0</v>
      </c>
      <c r="BX28">
        <v>0</v>
      </c>
      <c r="BY28">
        <v>0</v>
      </c>
      <c r="BZ28">
        <f t="shared" si="21"/>
        <v>0</v>
      </c>
      <c r="CA28">
        <f t="shared" si="21"/>
        <v>0</v>
      </c>
      <c r="CB28">
        <f t="shared" si="21"/>
        <v>0</v>
      </c>
      <c r="CC28">
        <f t="shared" si="19"/>
        <v>0</v>
      </c>
      <c r="CD28">
        <f t="shared" si="19"/>
        <v>0</v>
      </c>
      <c r="CE28">
        <f t="shared" si="19"/>
        <v>0</v>
      </c>
      <c r="CF28">
        <f t="shared" si="19"/>
        <v>0</v>
      </c>
      <c r="CG28">
        <f t="shared" si="19"/>
        <v>0</v>
      </c>
      <c r="CH28">
        <f t="shared" si="19"/>
        <v>0</v>
      </c>
      <c r="CI28">
        <f t="shared" si="19"/>
        <v>0</v>
      </c>
      <c r="CJ28">
        <f t="shared" si="19"/>
        <v>0</v>
      </c>
      <c r="CK28">
        <f t="shared" si="19"/>
        <v>0</v>
      </c>
      <c r="CL28">
        <f t="shared" si="19"/>
        <v>0</v>
      </c>
      <c r="CM28">
        <f t="shared" si="19"/>
        <v>0</v>
      </c>
      <c r="CN28">
        <f t="shared" si="22"/>
        <v>0</v>
      </c>
      <c r="CO28">
        <f t="shared" si="22"/>
        <v>0</v>
      </c>
      <c r="CP28">
        <f t="shared" si="22"/>
        <v>0</v>
      </c>
      <c r="CQ28">
        <f t="shared" si="20"/>
        <v>0</v>
      </c>
      <c r="CR28">
        <f t="shared" si="20"/>
        <v>0</v>
      </c>
      <c r="CS28">
        <f t="shared" si="20"/>
        <v>0</v>
      </c>
      <c r="CT28">
        <f t="shared" si="20"/>
        <v>0</v>
      </c>
      <c r="CU28">
        <f t="shared" si="20"/>
        <v>0</v>
      </c>
      <c r="CV28">
        <f t="shared" si="20"/>
        <v>0</v>
      </c>
      <c r="CW28">
        <f t="shared" si="20"/>
        <v>0</v>
      </c>
      <c r="CX28">
        <f t="shared" si="20"/>
        <v>0</v>
      </c>
      <c r="CY28">
        <f t="shared" si="20"/>
        <v>0</v>
      </c>
      <c r="CZ28">
        <f t="shared" si="20"/>
        <v>0</v>
      </c>
      <c r="DA28">
        <f t="shared" si="20"/>
        <v>0</v>
      </c>
      <c r="DB28" s="74">
        <f t="shared" si="7"/>
        <v>657.36834809094091</v>
      </c>
      <c r="DC28" s="74">
        <f t="shared" si="8"/>
        <v>21.205430583578739</v>
      </c>
      <c r="DD28" s="73">
        <f t="shared" si="9"/>
        <v>1282398.4145419241</v>
      </c>
      <c r="DE28" s="74">
        <f t="shared" si="10"/>
        <v>2777.5005548400877</v>
      </c>
      <c r="DF28" s="74">
        <f t="shared" si="11"/>
        <v>89.59679209161574</v>
      </c>
      <c r="DG28" s="74">
        <f t="shared" si="12"/>
        <v>478626.06335341127</v>
      </c>
      <c r="DH28" s="74">
        <f t="shared" si="13"/>
        <v>76997.412319141629</v>
      </c>
      <c r="DI28" s="74">
        <f t="shared" si="14"/>
        <v>2483.7874941658588</v>
      </c>
      <c r="DJ28" s="74">
        <f t="shared" si="15"/>
        <v>3347.7135790931143</v>
      </c>
      <c r="DK28" s="74">
        <f t="shared" si="16"/>
        <v>2483787.4941658587</v>
      </c>
      <c r="DL28" s="74">
        <f t="shared" si="17"/>
        <v>3347713.579093114</v>
      </c>
    </row>
    <row r="29" spans="1:116" x14ac:dyDescent="0.2">
      <c r="A29" s="96">
        <v>42826</v>
      </c>
      <c r="B29" s="4">
        <f t="shared" si="0"/>
        <v>2017</v>
      </c>
      <c r="C29" s="4">
        <f t="shared" si="1"/>
        <v>4</v>
      </c>
      <c r="D29" s="59">
        <v>33970409</v>
      </c>
      <c r="E29" s="59">
        <f>IFERROR(VLOOKUP($B29-1,CDM!$I$7:$N$18,2,FALSE)/12,0)+IFERROR(VLOOKUP($B29,CDM!$I$36:$L$46,2,FALSE)/24,0)+IFERROR(VLOOKUP($B29,CDM!$I$36:$L$46,2,FALSE)/2*$C29/78,0)</f>
        <v>1580472.0573966596</v>
      </c>
      <c r="F29" s="59">
        <f t="shared" si="2"/>
        <v>35550881.057396658</v>
      </c>
      <c r="G29" s="468">
        <v>60471</v>
      </c>
      <c r="H29" s="59">
        <v>12843245</v>
      </c>
      <c r="I29" s="59">
        <f>IFERROR(VLOOKUP($B29-1,CDM!$I$7:$N$18,3,FALSE)/12,0)+IFERROR(VLOOKUP($B29,CDM!$I$36:$L$46,3,FALSE)/24,0)+IFERROR(VLOOKUP($B29,CDM!$I$36:$L$46,3,FALSE)/2*$C29/78,0)</f>
        <v>547412.5564981855</v>
      </c>
      <c r="J29" s="59">
        <f t="shared" si="3"/>
        <v>13390657.556498185</v>
      </c>
      <c r="K29" s="59">
        <v>5344</v>
      </c>
      <c r="L29" s="8">
        <v>68114633</v>
      </c>
      <c r="M29" s="2">
        <f>IFERROR(VLOOKUP($B29-1,CDM!$I$7:$N$18,4,FALSE)/12,0)+IFERROR(VLOOKUP($B29,CDM!$I$36:$L$46,4,FALSE)/24,0)+IFERROR(VLOOKUP($B29,CDM!$I$36:$L$46,4,FALSE)/2*$C29/78,0)</f>
        <v>1581187.2099103192</v>
      </c>
      <c r="N29" s="59">
        <f t="shared" si="4"/>
        <v>69695820.209910318</v>
      </c>
      <c r="O29" s="5">
        <v>189895</v>
      </c>
      <c r="P29" s="6">
        <v>1000</v>
      </c>
      <c r="Q29" s="8">
        <v>829657.1</v>
      </c>
      <c r="R29" s="8">
        <v>2623.4</v>
      </c>
      <c r="S29" s="6">
        <v>17184</v>
      </c>
      <c r="T29" s="5">
        <v>259900</v>
      </c>
      <c r="U29" s="1">
        <v>24</v>
      </c>
      <c r="V29" s="1">
        <v>562</v>
      </c>
      <c r="W29" s="114">
        <f>Economic!J91</f>
        <v>743976.2</v>
      </c>
      <c r="X29" s="114">
        <f>Economic!K91</f>
        <v>571846.40000000002</v>
      </c>
      <c r="Y29" s="114">
        <f>Economic!L91</f>
        <v>51922</v>
      </c>
      <c r="Z29" s="114">
        <f>Economic!M91</f>
        <v>740632</v>
      </c>
      <c r="AA29" s="114">
        <f>Economic!N91</f>
        <v>569815</v>
      </c>
      <c r="AB29" s="114">
        <f>Economic!O91</f>
        <v>29474</v>
      </c>
      <c r="AC29" s="114">
        <f>Economic!D91</f>
        <v>6931.9</v>
      </c>
      <c r="AD29" s="114">
        <f>Economic!E91</f>
        <v>6843.7</v>
      </c>
      <c r="AE29" s="114">
        <f>Economic!F91</f>
        <v>3151.2</v>
      </c>
      <c r="AF29" s="114">
        <f>Economic!G91</f>
        <v>3117.4</v>
      </c>
      <c r="AG29" s="114">
        <f>Economic!H91</f>
        <v>382.6</v>
      </c>
      <c r="AH29" s="114">
        <f>Economic!I91</f>
        <v>378.3</v>
      </c>
      <c r="AI29" s="114">
        <f>Economic!P103</f>
        <v>123.20000000000073</v>
      </c>
      <c r="AJ29" s="114">
        <f>Economic!Q103</f>
        <v>119.90000000000055</v>
      </c>
      <c r="AK29" s="114">
        <f>Economic!R103</f>
        <v>52.800000000000182</v>
      </c>
      <c r="AL29" s="114">
        <f>Economic!S103</f>
        <v>54.099999999999909</v>
      </c>
      <c r="AM29" s="114">
        <f>Economic!T103</f>
        <v>20488.600000000093</v>
      </c>
      <c r="AN29" s="114">
        <f>Economic!U103</f>
        <v>7942</v>
      </c>
      <c r="AO29" s="28">
        <f>Weather!D221</f>
        <v>8.9300000000000015</v>
      </c>
      <c r="AP29" s="28">
        <f>Weather!E221</f>
        <v>332.09999999999991</v>
      </c>
      <c r="AQ29" s="28">
        <f>Weather!F221</f>
        <v>0</v>
      </c>
      <c r="AR29" s="28">
        <f>Weather!G221</f>
        <v>272.09999999999997</v>
      </c>
      <c r="AS29" s="28">
        <f>Weather!H221</f>
        <v>0</v>
      </c>
      <c r="AT29" s="28">
        <f>Weather!I221</f>
        <v>213</v>
      </c>
      <c r="AU29" s="28">
        <f>Weather!J221</f>
        <v>0.89999999999999858</v>
      </c>
      <c r="AV29" s="28">
        <f>Weather!K221</f>
        <v>156.79999999999998</v>
      </c>
      <c r="AW29" s="28">
        <f>Weather!L221</f>
        <v>4.6999999999999993</v>
      </c>
      <c r="AX29" s="28">
        <f>Weather!M221</f>
        <v>107.10000000000002</v>
      </c>
      <c r="AY29" s="28">
        <f>Weather!N221</f>
        <v>15</v>
      </c>
      <c r="AZ29" s="28">
        <f>Weather!O221</f>
        <v>65.800000000000011</v>
      </c>
      <c r="BA29" s="28">
        <f>Weather!P221</f>
        <v>33.700000000000003</v>
      </c>
      <c r="BB29" s="28">
        <f>Weather!Q221</f>
        <v>29.499999999999996</v>
      </c>
      <c r="BC29" s="28">
        <f>Weather!R221</f>
        <v>57.4</v>
      </c>
      <c r="BD29">
        <v>0</v>
      </c>
      <c r="BE29">
        <v>0</v>
      </c>
      <c r="BF29">
        <v>0</v>
      </c>
      <c r="BG29">
        <v>1</v>
      </c>
      <c r="BH29">
        <v>0</v>
      </c>
      <c r="BI29">
        <v>0</v>
      </c>
      <c r="BJ29">
        <v>0</v>
      </c>
      <c r="BK29">
        <v>0</v>
      </c>
      <c r="BL29">
        <v>0</v>
      </c>
      <c r="BM29">
        <v>0</v>
      </c>
      <c r="BN29">
        <v>0</v>
      </c>
      <c r="BO29">
        <v>0</v>
      </c>
      <c r="BP29">
        <v>1</v>
      </c>
      <c r="BQ29">
        <v>0</v>
      </c>
      <c r="BR29">
        <v>1</v>
      </c>
      <c r="BS29" s="1">
        <f t="shared" si="18"/>
        <v>28</v>
      </c>
      <c r="BT29">
        <v>30</v>
      </c>
      <c r="BU29">
        <v>19</v>
      </c>
      <c r="BV29">
        <v>0</v>
      </c>
      <c r="BW29">
        <v>0</v>
      </c>
      <c r="BX29">
        <v>0</v>
      </c>
      <c r="BY29">
        <v>0</v>
      </c>
      <c r="BZ29">
        <f t="shared" si="21"/>
        <v>0</v>
      </c>
      <c r="CA29">
        <f t="shared" si="21"/>
        <v>0</v>
      </c>
      <c r="CB29">
        <f t="shared" si="21"/>
        <v>0</v>
      </c>
      <c r="CC29">
        <f t="shared" si="19"/>
        <v>0</v>
      </c>
      <c r="CD29">
        <f t="shared" si="19"/>
        <v>0</v>
      </c>
      <c r="CE29">
        <f t="shared" si="19"/>
        <v>0</v>
      </c>
      <c r="CF29">
        <f t="shared" si="19"/>
        <v>0</v>
      </c>
      <c r="CG29">
        <f t="shared" si="19"/>
        <v>0</v>
      </c>
      <c r="CH29">
        <f t="shared" si="19"/>
        <v>0</v>
      </c>
      <c r="CI29">
        <f t="shared" si="19"/>
        <v>0</v>
      </c>
      <c r="CJ29">
        <f t="shared" si="19"/>
        <v>0</v>
      </c>
      <c r="CK29">
        <f t="shared" si="19"/>
        <v>0</v>
      </c>
      <c r="CL29">
        <f t="shared" si="19"/>
        <v>0</v>
      </c>
      <c r="CM29">
        <f t="shared" si="19"/>
        <v>0</v>
      </c>
      <c r="CN29">
        <f t="shared" si="22"/>
        <v>0</v>
      </c>
      <c r="CO29">
        <f t="shared" si="22"/>
        <v>0</v>
      </c>
      <c r="CP29">
        <f t="shared" si="22"/>
        <v>0</v>
      </c>
      <c r="CQ29">
        <f t="shared" si="20"/>
        <v>0</v>
      </c>
      <c r="CR29">
        <f t="shared" si="20"/>
        <v>0</v>
      </c>
      <c r="CS29">
        <f t="shared" si="20"/>
        <v>0</v>
      </c>
      <c r="CT29">
        <f t="shared" si="20"/>
        <v>0</v>
      </c>
      <c r="CU29">
        <f t="shared" si="20"/>
        <v>0</v>
      </c>
      <c r="CV29">
        <f t="shared" si="20"/>
        <v>0</v>
      </c>
      <c r="CW29">
        <f t="shared" si="20"/>
        <v>0</v>
      </c>
      <c r="CX29">
        <f t="shared" si="20"/>
        <v>0</v>
      </c>
      <c r="CY29">
        <f t="shared" si="20"/>
        <v>0</v>
      </c>
      <c r="CZ29">
        <f t="shared" si="20"/>
        <v>0</v>
      </c>
      <c r="DA29">
        <f t="shared" si="20"/>
        <v>0</v>
      </c>
      <c r="DB29" s="74">
        <f t="shared" si="7"/>
        <v>587.89967186579781</v>
      </c>
      <c r="DC29" s="74">
        <f t="shared" si="8"/>
        <v>19.596655728859925</v>
      </c>
      <c r="DD29" s="73">
        <f t="shared" si="9"/>
        <v>1185029.3685798885</v>
      </c>
      <c r="DE29" s="74">
        <f t="shared" si="10"/>
        <v>2505.7368182069958</v>
      </c>
      <c r="DF29" s="74">
        <f t="shared" si="11"/>
        <v>83.524560606899868</v>
      </c>
      <c r="DG29" s="74">
        <f t="shared" si="12"/>
        <v>446355.25188327284</v>
      </c>
      <c r="DH29" s="74">
        <f t="shared" si="13"/>
        <v>69695.820209910322</v>
      </c>
      <c r="DI29" s="74">
        <f t="shared" si="14"/>
        <v>2323.1940069970105</v>
      </c>
      <c r="DJ29" s="74">
        <f t="shared" si="15"/>
        <v>3668.2010636794907</v>
      </c>
      <c r="DK29" s="74">
        <f t="shared" si="16"/>
        <v>2323194.0069970107</v>
      </c>
      <c r="DL29" s="74">
        <f t="shared" si="17"/>
        <v>3668201.0636794902</v>
      </c>
    </row>
    <row r="30" spans="1:116" x14ac:dyDescent="0.2">
      <c r="A30" s="96">
        <v>42856</v>
      </c>
      <c r="B30" s="4">
        <f t="shared" si="0"/>
        <v>2017</v>
      </c>
      <c r="C30" s="4">
        <f t="shared" si="1"/>
        <v>5</v>
      </c>
      <c r="D30" s="59">
        <v>36857170</v>
      </c>
      <c r="E30" s="59">
        <f>IFERROR(VLOOKUP($B30-1,CDM!$I$7:$N$18,2,FALSE)/12,0)+IFERROR(VLOOKUP($B30,CDM!$I$36:$L$46,2,FALSE)/24,0)+IFERROR(VLOOKUP($B30,CDM!$I$36:$L$46,2,FALSE)/2*$C30/78,0)</f>
        <v>1670505.263993673</v>
      </c>
      <c r="F30" s="59">
        <f t="shared" si="2"/>
        <v>38527675.263993673</v>
      </c>
      <c r="G30" s="73">
        <v>60529</v>
      </c>
      <c r="H30" s="59">
        <v>13045355</v>
      </c>
      <c r="I30" s="59">
        <f>IFERROR(VLOOKUP($B30-1,CDM!$I$7:$N$18,3,FALSE)/12,0)+IFERROR(VLOOKUP($B30,CDM!$I$36:$L$46,3,FALSE)/24,0)+IFERROR(VLOOKUP($B30,CDM!$I$36:$L$46,3,FALSE)/2*$C30/78,0)</f>
        <v>560025.14904062275</v>
      </c>
      <c r="J30" s="59">
        <f t="shared" si="3"/>
        <v>13605380.149040623</v>
      </c>
      <c r="K30" s="59">
        <v>5341</v>
      </c>
      <c r="L30" s="8">
        <v>72074085</v>
      </c>
      <c r="M30" s="2">
        <f>IFERROR(VLOOKUP($B30-1,CDM!$I$7:$N$18,4,FALSE)/12,0)+IFERROR(VLOOKUP($B30,CDM!$I$36:$L$46,4,FALSE)/24,0)+IFERROR(VLOOKUP($B30,CDM!$I$36:$L$46,4,FALSE)/2*$C30/78,0)</f>
        <v>1636585.100679019</v>
      </c>
      <c r="N30" s="59">
        <f t="shared" si="4"/>
        <v>73710670.100679025</v>
      </c>
      <c r="O30" s="5">
        <v>187094</v>
      </c>
      <c r="P30" s="5">
        <v>997</v>
      </c>
      <c r="Q30" s="8">
        <v>755282.8</v>
      </c>
      <c r="R30" s="8">
        <v>2623.4</v>
      </c>
      <c r="S30" s="6">
        <v>17184</v>
      </c>
      <c r="T30" s="5">
        <v>260353</v>
      </c>
      <c r="U30" s="1">
        <v>24</v>
      </c>
      <c r="V30" s="1">
        <v>561</v>
      </c>
      <c r="W30" s="114">
        <f>Economic!J92</f>
        <v>743976.2</v>
      </c>
      <c r="X30" s="114">
        <f>Economic!K92</f>
        <v>571846.40000000002</v>
      </c>
      <c r="Y30" s="114">
        <f>Economic!L92</f>
        <v>51922</v>
      </c>
      <c r="Z30" s="114">
        <f>Economic!M92</f>
        <v>740632</v>
      </c>
      <c r="AA30" s="114">
        <f>Economic!N92</f>
        <v>569815</v>
      </c>
      <c r="AB30" s="114">
        <f>Economic!O92</f>
        <v>29474</v>
      </c>
      <c r="AC30" s="114">
        <f>Economic!D92</f>
        <v>6944.7</v>
      </c>
      <c r="AD30" s="114">
        <f>Economic!E92</f>
        <v>6913.7</v>
      </c>
      <c r="AE30" s="114">
        <f>Economic!F92</f>
        <v>3157.6</v>
      </c>
      <c r="AF30" s="114">
        <f>Economic!G92</f>
        <v>3147.9</v>
      </c>
      <c r="AG30" s="114">
        <f>Economic!H92</f>
        <v>379.9</v>
      </c>
      <c r="AH30" s="114">
        <f>Economic!I92</f>
        <v>379</v>
      </c>
      <c r="AI30" s="114">
        <f>Economic!P104</f>
        <v>122</v>
      </c>
      <c r="AJ30" s="114">
        <f>Economic!Q104</f>
        <v>119.69999999999982</v>
      </c>
      <c r="AK30" s="114">
        <f>Economic!R104</f>
        <v>62.599999999999909</v>
      </c>
      <c r="AL30" s="114">
        <f>Economic!S104</f>
        <v>62.599999999999909</v>
      </c>
      <c r="AM30" s="114">
        <f>Economic!T104</f>
        <v>20488.600000000093</v>
      </c>
      <c r="AN30" s="114">
        <f>Economic!U104</f>
        <v>7942</v>
      </c>
      <c r="AO30" s="28">
        <f>Weather!D222</f>
        <v>11.783870967741937</v>
      </c>
      <c r="AP30" s="28">
        <f>Weather!E222</f>
        <v>258.59999999999997</v>
      </c>
      <c r="AQ30" s="28">
        <f>Weather!F222</f>
        <v>3.8999999999999986</v>
      </c>
      <c r="AR30" s="28">
        <f>Weather!G222</f>
        <v>200.5</v>
      </c>
      <c r="AS30" s="28">
        <f>Weather!H222</f>
        <v>7.7999999999999972</v>
      </c>
      <c r="AT30" s="28">
        <f>Weather!I222</f>
        <v>147.99999999999997</v>
      </c>
      <c r="AU30" s="28">
        <f>Weather!J222</f>
        <v>17.299999999999997</v>
      </c>
      <c r="AV30" s="28">
        <f>Weather!K222</f>
        <v>98.600000000000009</v>
      </c>
      <c r="AW30" s="28">
        <f>Weather!L222</f>
        <v>29.9</v>
      </c>
      <c r="AX30" s="28">
        <f>Weather!M222</f>
        <v>57.899999999999991</v>
      </c>
      <c r="AY30" s="28">
        <f>Weather!N222</f>
        <v>51.199999999999996</v>
      </c>
      <c r="AZ30" s="28">
        <f>Weather!O222</f>
        <v>25.700000000000003</v>
      </c>
      <c r="BA30" s="28">
        <f>Weather!P222</f>
        <v>81</v>
      </c>
      <c r="BB30" s="28">
        <f>Weather!Q222</f>
        <v>6.8000000000000007</v>
      </c>
      <c r="BC30" s="28">
        <f>Weather!R222</f>
        <v>124.1</v>
      </c>
      <c r="BD30">
        <v>0</v>
      </c>
      <c r="BE30">
        <v>0</v>
      </c>
      <c r="BF30">
        <v>0</v>
      </c>
      <c r="BG30">
        <v>0</v>
      </c>
      <c r="BH30">
        <v>1</v>
      </c>
      <c r="BI30">
        <v>0</v>
      </c>
      <c r="BJ30">
        <v>0</v>
      </c>
      <c r="BK30">
        <v>0</v>
      </c>
      <c r="BL30">
        <v>0</v>
      </c>
      <c r="BM30">
        <v>0</v>
      </c>
      <c r="BN30">
        <v>0</v>
      </c>
      <c r="BO30">
        <v>0</v>
      </c>
      <c r="BP30">
        <v>1</v>
      </c>
      <c r="BQ30">
        <v>0</v>
      </c>
      <c r="BR30">
        <v>1</v>
      </c>
      <c r="BS30" s="1">
        <f t="shared" si="18"/>
        <v>29</v>
      </c>
      <c r="BT30">
        <v>31</v>
      </c>
      <c r="BU30">
        <v>22</v>
      </c>
      <c r="BV30">
        <v>0</v>
      </c>
      <c r="BW30">
        <v>0</v>
      </c>
      <c r="BX30">
        <v>0</v>
      </c>
      <c r="BY30">
        <v>0</v>
      </c>
      <c r="BZ30">
        <f t="shared" si="21"/>
        <v>0</v>
      </c>
      <c r="CA30">
        <f t="shared" si="21"/>
        <v>0</v>
      </c>
      <c r="CB30">
        <f t="shared" si="21"/>
        <v>0</v>
      </c>
      <c r="CC30">
        <f t="shared" si="19"/>
        <v>0</v>
      </c>
      <c r="CD30">
        <f t="shared" si="19"/>
        <v>0</v>
      </c>
      <c r="CE30">
        <f t="shared" si="19"/>
        <v>0</v>
      </c>
      <c r="CF30">
        <f t="shared" si="19"/>
        <v>0</v>
      </c>
      <c r="CG30">
        <f t="shared" si="19"/>
        <v>0</v>
      </c>
      <c r="CH30">
        <f t="shared" si="19"/>
        <v>0</v>
      </c>
      <c r="CI30">
        <f t="shared" si="19"/>
        <v>0</v>
      </c>
      <c r="CJ30">
        <f t="shared" si="19"/>
        <v>0</v>
      </c>
      <c r="CK30">
        <f t="shared" si="19"/>
        <v>0</v>
      </c>
      <c r="CL30">
        <f t="shared" si="19"/>
        <v>0</v>
      </c>
      <c r="CM30">
        <f t="shared" si="19"/>
        <v>0</v>
      </c>
      <c r="CN30">
        <f t="shared" si="22"/>
        <v>0</v>
      </c>
      <c r="CO30">
        <f t="shared" si="22"/>
        <v>0</v>
      </c>
      <c r="CP30">
        <f t="shared" si="22"/>
        <v>0</v>
      </c>
      <c r="CQ30">
        <f t="shared" si="20"/>
        <v>0</v>
      </c>
      <c r="CR30">
        <f t="shared" si="20"/>
        <v>0</v>
      </c>
      <c r="CS30">
        <f t="shared" si="20"/>
        <v>0</v>
      </c>
      <c r="CT30">
        <f t="shared" si="20"/>
        <v>0</v>
      </c>
      <c r="CU30">
        <f t="shared" si="20"/>
        <v>0</v>
      </c>
      <c r="CV30">
        <f t="shared" si="20"/>
        <v>0</v>
      </c>
      <c r="CW30">
        <f t="shared" si="20"/>
        <v>0</v>
      </c>
      <c r="CX30">
        <f t="shared" si="20"/>
        <v>0</v>
      </c>
      <c r="CY30">
        <f t="shared" si="20"/>
        <v>0</v>
      </c>
      <c r="CZ30">
        <f t="shared" si="20"/>
        <v>0</v>
      </c>
      <c r="DA30">
        <f t="shared" si="20"/>
        <v>0</v>
      </c>
      <c r="DB30" s="74">
        <f t="shared" si="7"/>
        <v>636.51597191418455</v>
      </c>
      <c r="DC30" s="74">
        <f t="shared" si="8"/>
        <v>20.532773287554342</v>
      </c>
      <c r="DD30" s="73">
        <f t="shared" si="9"/>
        <v>1242828.2343223765</v>
      </c>
      <c r="DE30" s="74">
        <f t="shared" si="10"/>
        <v>2547.3469666805136</v>
      </c>
      <c r="DF30" s="74">
        <f t="shared" si="11"/>
        <v>82.172482796145601</v>
      </c>
      <c r="DG30" s="74">
        <f t="shared" si="12"/>
        <v>438883.23061421362</v>
      </c>
      <c r="DH30" s="74">
        <f t="shared" si="13"/>
        <v>73932.467503188585</v>
      </c>
      <c r="DI30" s="74">
        <f t="shared" si="14"/>
        <v>2384.9183065544703</v>
      </c>
      <c r="DJ30" s="74">
        <f t="shared" si="15"/>
        <v>3360.5667046903905</v>
      </c>
      <c r="DK30" s="74">
        <f t="shared" si="16"/>
        <v>2377763.5516348071</v>
      </c>
      <c r="DL30" s="74">
        <f t="shared" si="17"/>
        <v>3350485.0045763194</v>
      </c>
    </row>
    <row r="31" spans="1:116" x14ac:dyDescent="0.2">
      <c r="A31" s="96">
        <v>42887</v>
      </c>
      <c r="B31" s="4">
        <f t="shared" si="0"/>
        <v>2017</v>
      </c>
      <c r="C31" s="4">
        <f t="shared" si="1"/>
        <v>6</v>
      </c>
      <c r="D31" s="59">
        <v>45233408</v>
      </c>
      <c r="E31" s="59">
        <f>IFERROR(VLOOKUP($B31-1,CDM!$I$7:$N$18,2,FALSE)/12,0)+IFERROR(VLOOKUP($B31,CDM!$I$36:$L$46,2,FALSE)/24,0)+IFERROR(VLOOKUP($B31,CDM!$I$36:$L$46,2,FALSE)/2*$C31/78,0)</f>
        <v>1760538.4705906864</v>
      </c>
      <c r="F31" s="59">
        <f t="shared" si="2"/>
        <v>46993946.470590688</v>
      </c>
      <c r="G31" s="468">
        <v>60518</v>
      </c>
      <c r="H31" s="59">
        <v>13634874</v>
      </c>
      <c r="I31" s="59">
        <f>IFERROR(VLOOKUP($B31-1,CDM!$I$7:$N$18,3,FALSE)/12,0)+IFERROR(VLOOKUP($B31,CDM!$I$36:$L$46,3,FALSE)/24,0)+IFERROR(VLOOKUP($B31,CDM!$I$36:$L$46,3,FALSE)/2*$C31/78,0)</f>
        <v>572637.74158306001</v>
      </c>
      <c r="J31" s="59">
        <f t="shared" si="3"/>
        <v>14207511.74158306</v>
      </c>
      <c r="K31" s="59">
        <v>5339</v>
      </c>
      <c r="L31" s="8">
        <v>75251236</v>
      </c>
      <c r="M31" s="2">
        <f>IFERROR(VLOOKUP($B31-1,CDM!$I$7:$N$18,4,FALSE)/12,0)+IFERROR(VLOOKUP($B31,CDM!$I$36:$L$46,4,FALSE)/24,0)+IFERROR(VLOOKUP($B31,CDM!$I$36:$L$46,4,FALSE)/2*$C31/78,0)</f>
        <v>1691982.991447719</v>
      </c>
      <c r="N31" s="59">
        <f t="shared" si="4"/>
        <v>76943218.991447717</v>
      </c>
      <c r="O31" s="5">
        <v>201444</v>
      </c>
      <c r="P31" s="6">
        <v>1001</v>
      </c>
      <c r="Q31" s="8">
        <v>681040</v>
      </c>
      <c r="R31" s="8">
        <v>2623.4</v>
      </c>
      <c r="S31" s="5">
        <v>17184</v>
      </c>
      <c r="T31" s="5">
        <v>259791</v>
      </c>
      <c r="U31" s="1">
        <v>24</v>
      </c>
      <c r="V31" s="1">
        <v>561</v>
      </c>
      <c r="W31" s="114">
        <f>Economic!J93</f>
        <v>743976.2</v>
      </c>
      <c r="X31" s="114">
        <f>Economic!K93</f>
        <v>571846.40000000002</v>
      </c>
      <c r="Y31" s="114">
        <f>Economic!L93</f>
        <v>51922</v>
      </c>
      <c r="Z31" s="114">
        <f>Economic!M93</f>
        <v>740632</v>
      </c>
      <c r="AA31" s="114">
        <f>Economic!N93</f>
        <v>569815</v>
      </c>
      <c r="AB31" s="114">
        <f>Economic!O93</f>
        <v>29474</v>
      </c>
      <c r="AC31" s="114">
        <f>Economic!D93</f>
        <v>6955.5</v>
      </c>
      <c r="AD31" s="114">
        <f>Economic!E93</f>
        <v>7000.2</v>
      </c>
      <c r="AE31" s="114">
        <f>Economic!F93</f>
        <v>3170.4</v>
      </c>
      <c r="AF31" s="114">
        <f>Economic!G93</f>
        <v>3191.7</v>
      </c>
      <c r="AG31" s="114">
        <f>Economic!H93</f>
        <v>379.1</v>
      </c>
      <c r="AH31" s="114">
        <f>Economic!I93</f>
        <v>381.1</v>
      </c>
      <c r="AI31" s="114">
        <f>Economic!P105</f>
        <v>124.30000000000018</v>
      </c>
      <c r="AJ31" s="114">
        <f>Economic!Q105</f>
        <v>122.80000000000018</v>
      </c>
      <c r="AK31" s="114">
        <f>Economic!R105</f>
        <v>56.299999999999727</v>
      </c>
      <c r="AL31" s="114">
        <f>Economic!S105</f>
        <v>55.600000000000364</v>
      </c>
      <c r="AM31" s="114">
        <f>Economic!T105</f>
        <v>20488.600000000093</v>
      </c>
      <c r="AN31" s="114">
        <f>Economic!U105</f>
        <v>7942</v>
      </c>
      <c r="AO31" s="28">
        <f>Weather!D223</f>
        <v>19.303333333333331</v>
      </c>
      <c r="AP31" s="28">
        <f>Weather!E223</f>
        <v>57.4</v>
      </c>
      <c r="AQ31" s="28">
        <f>Weather!F223</f>
        <v>36.5</v>
      </c>
      <c r="AR31" s="28">
        <f>Weather!G223</f>
        <v>29.300000000000004</v>
      </c>
      <c r="AS31" s="28">
        <f>Weather!H223</f>
        <v>68.399999999999991</v>
      </c>
      <c r="AT31" s="28">
        <f>Weather!I223</f>
        <v>8.9000000000000021</v>
      </c>
      <c r="AU31" s="28">
        <f>Weather!J223</f>
        <v>107.99999999999999</v>
      </c>
      <c r="AV31" s="28">
        <f>Weather!K223</f>
        <v>0</v>
      </c>
      <c r="AW31" s="28">
        <f>Weather!L223</f>
        <v>159.10000000000002</v>
      </c>
      <c r="AX31" s="28">
        <f>Weather!M223</f>
        <v>0</v>
      </c>
      <c r="AY31" s="28">
        <f>Weather!N223</f>
        <v>219.10000000000002</v>
      </c>
      <c r="AZ31" s="28">
        <f>Weather!O223</f>
        <v>0</v>
      </c>
      <c r="BA31" s="28">
        <f>Weather!P223</f>
        <v>279.10000000000002</v>
      </c>
      <c r="BB31" s="28">
        <f>Weather!Q223</f>
        <v>0</v>
      </c>
      <c r="BC31" s="28">
        <f>Weather!R223</f>
        <v>339.09999999999997</v>
      </c>
      <c r="BD31">
        <v>0</v>
      </c>
      <c r="BE31">
        <v>0</v>
      </c>
      <c r="BF31">
        <v>0</v>
      </c>
      <c r="BG31">
        <v>0</v>
      </c>
      <c r="BH31">
        <v>0</v>
      </c>
      <c r="BI31">
        <v>1</v>
      </c>
      <c r="BJ31">
        <v>0</v>
      </c>
      <c r="BK31">
        <v>0</v>
      </c>
      <c r="BL31">
        <v>0</v>
      </c>
      <c r="BM31">
        <v>0</v>
      </c>
      <c r="BN31">
        <v>0</v>
      </c>
      <c r="BO31">
        <v>0</v>
      </c>
      <c r="BP31">
        <v>0</v>
      </c>
      <c r="BQ31">
        <v>0</v>
      </c>
      <c r="BR31">
        <v>0</v>
      </c>
      <c r="BS31" s="1">
        <f t="shared" si="18"/>
        <v>30</v>
      </c>
      <c r="BT31">
        <v>30</v>
      </c>
      <c r="BU31">
        <v>22</v>
      </c>
      <c r="BV31">
        <v>0</v>
      </c>
      <c r="BW31">
        <v>0</v>
      </c>
      <c r="BX31">
        <v>0</v>
      </c>
      <c r="BY31">
        <v>0</v>
      </c>
      <c r="BZ31">
        <f t="shared" si="21"/>
        <v>0</v>
      </c>
      <c r="CA31">
        <f t="shared" si="21"/>
        <v>0</v>
      </c>
      <c r="CB31">
        <f t="shared" si="21"/>
        <v>0</v>
      </c>
      <c r="CC31">
        <f t="shared" si="19"/>
        <v>0</v>
      </c>
      <c r="CD31">
        <f t="shared" si="19"/>
        <v>0</v>
      </c>
      <c r="CE31">
        <f t="shared" ref="CE31:CM59" si="23">$BW31*AU31</f>
        <v>0</v>
      </c>
      <c r="CF31">
        <f t="shared" si="23"/>
        <v>0</v>
      </c>
      <c r="CG31">
        <f t="shared" si="23"/>
        <v>0</v>
      </c>
      <c r="CH31">
        <f t="shared" si="23"/>
        <v>0</v>
      </c>
      <c r="CI31">
        <f t="shared" si="23"/>
        <v>0</v>
      </c>
      <c r="CJ31">
        <f t="shared" si="23"/>
        <v>0</v>
      </c>
      <c r="CK31">
        <f t="shared" si="23"/>
        <v>0</v>
      </c>
      <c r="CL31">
        <f t="shared" si="23"/>
        <v>0</v>
      </c>
      <c r="CM31">
        <f t="shared" si="23"/>
        <v>0</v>
      </c>
      <c r="CN31">
        <f t="shared" si="22"/>
        <v>0</v>
      </c>
      <c r="CO31">
        <f t="shared" si="22"/>
        <v>0</v>
      </c>
      <c r="CP31">
        <f t="shared" si="22"/>
        <v>0</v>
      </c>
      <c r="CQ31">
        <f t="shared" si="20"/>
        <v>0</v>
      </c>
      <c r="CR31">
        <f t="shared" si="20"/>
        <v>0</v>
      </c>
      <c r="CS31">
        <f t="shared" ref="CS31:DA59" si="24">$BX31*AU31</f>
        <v>0</v>
      </c>
      <c r="CT31">
        <f t="shared" si="24"/>
        <v>0</v>
      </c>
      <c r="CU31">
        <f t="shared" si="24"/>
        <v>0</v>
      </c>
      <c r="CV31">
        <f t="shared" si="24"/>
        <v>0</v>
      </c>
      <c r="CW31">
        <f t="shared" si="24"/>
        <v>0</v>
      </c>
      <c r="CX31">
        <f t="shared" si="24"/>
        <v>0</v>
      </c>
      <c r="CY31">
        <f t="shared" si="24"/>
        <v>0</v>
      </c>
      <c r="CZ31">
        <f t="shared" si="24"/>
        <v>0</v>
      </c>
      <c r="DA31">
        <f t="shared" si="24"/>
        <v>0</v>
      </c>
      <c r="DB31" s="74">
        <f t="shared" si="7"/>
        <v>776.52841254817884</v>
      </c>
      <c r="DC31" s="74">
        <f t="shared" si="8"/>
        <v>25.884280418272628</v>
      </c>
      <c r="DD31" s="73">
        <f t="shared" si="9"/>
        <v>1566464.8823530229</v>
      </c>
      <c r="DE31" s="74">
        <f t="shared" si="10"/>
        <v>2661.081052928088</v>
      </c>
      <c r="DF31" s="74">
        <f t="shared" si="11"/>
        <v>88.702701764269605</v>
      </c>
      <c r="DG31" s="74">
        <f t="shared" si="12"/>
        <v>473583.72471943533</v>
      </c>
      <c r="DH31" s="74">
        <f t="shared" si="13"/>
        <v>76866.352638808909</v>
      </c>
      <c r="DI31" s="74">
        <f t="shared" si="14"/>
        <v>2562.2117546269637</v>
      </c>
      <c r="DJ31" s="74">
        <f t="shared" si="15"/>
        <v>3493.9251199458595</v>
      </c>
      <c r="DK31" s="74">
        <f t="shared" si="16"/>
        <v>2564773.9663815903</v>
      </c>
      <c r="DL31" s="74">
        <f t="shared" si="17"/>
        <v>3497419.0450658053</v>
      </c>
    </row>
    <row r="32" spans="1:116" x14ac:dyDescent="0.2">
      <c r="A32" s="96">
        <v>42917</v>
      </c>
      <c r="B32" s="4">
        <f t="shared" si="0"/>
        <v>2017</v>
      </c>
      <c r="C32" s="4">
        <f t="shared" si="1"/>
        <v>7</v>
      </c>
      <c r="D32" s="59">
        <v>53399843</v>
      </c>
      <c r="E32" s="59">
        <f>IFERROR(VLOOKUP($B32-1,CDM!$I$7:$N$18,2,FALSE)/12,0)+IFERROR(VLOOKUP($B32,CDM!$I$36:$L$46,2,FALSE)/24,0)+IFERROR(VLOOKUP($B32,CDM!$I$36:$L$46,2,FALSE)/2*$C32/78,0)</f>
        <v>1850571.6771876998</v>
      </c>
      <c r="F32" s="59">
        <f t="shared" si="2"/>
        <v>55250414.677187696</v>
      </c>
      <c r="G32" s="468">
        <v>60509</v>
      </c>
      <c r="H32" s="59">
        <v>14948502</v>
      </c>
      <c r="I32" s="59">
        <f>IFERROR(VLOOKUP($B32-1,CDM!$I$7:$N$18,3,FALSE)/12,0)+IFERROR(VLOOKUP($B32,CDM!$I$36:$L$46,3,FALSE)/24,0)+IFERROR(VLOOKUP($B32,CDM!$I$36:$L$46,3,FALSE)/2*$C32/78,0)</f>
        <v>585250.33412549726</v>
      </c>
      <c r="J32" s="59">
        <f t="shared" si="3"/>
        <v>15533752.334125496</v>
      </c>
      <c r="K32" s="59">
        <v>5337</v>
      </c>
      <c r="L32" s="8">
        <v>79040629</v>
      </c>
      <c r="M32" s="2">
        <f>IFERROR(VLOOKUP($B32-1,CDM!$I$7:$N$18,4,FALSE)/12,0)+IFERROR(VLOOKUP($B32,CDM!$I$36:$L$46,4,FALSE)/24,0)+IFERROR(VLOOKUP($B32,CDM!$I$36:$L$46,4,FALSE)/2*$C32/78,0)</f>
        <v>1747380.8822164189</v>
      </c>
      <c r="N32" s="59">
        <f t="shared" si="4"/>
        <v>80788009.882216424</v>
      </c>
      <c r="O32" s="5">
        <v>210283</v>
      </c>
      <c r="P32" s="6">
        <v>1001</v>
      </c>
      <c r="Q32" s="8">
        <v>731410</v>
      </c>
      <c r="R32" s="8">
        <v>2623.4</v>
      </c>
      <c r="S32" s="6">
        <v>17184</v>
      </c>
      <c r="T32" s="5">
        <v>260353</v>
      </c>
      <c r="U32" s="1">
        <v>24</v>
      </c>
      <c r="V32" s="1">
        <v>561</v>
      </c>
      <c r="W32" s="114">
        <f>Economic!J94</f>
        <v>743976.2</v>
      </c>
      <c r="X32" s="114">
        <f>Economic!K94</f>
        <v>571846.40000000002</v>
      </c>
      <c r="Y32" s="114">
        <f>Economic!L94</f>
        <v>51922</v>
      </c>
      <c r="Z32" s="114">
        <f>Economic!M94</f>
        <v>746606</v>
      </c>
      <c r="AA32" s="114">
        <f>Economic!N94</f>
        <v>574136</v>
      </c>
      <c r="AB32" s="114">
        <f>Economic!O94</f>
        <v>30035</v>
      </c>
      <c r="AC32" s="114">
        <f>Economic!D94</f>
        <v>6956.3</v>
      </c>
      <c r="AD32" s="114">
        <f>Economic!E94</f>
        <v>7049.5</v>
      </c>
      <c r="AE32" s="114">
        <f>Economic!F94</f>
        <v>3168.8</v>
      </c>
      <c r="AF32" s="114">
        <f>Economic!G94</f>
        <v>3207.4</v>
      </c>
      <c r="AG32" s="114">
        <f>Economic!H94</f>
        <v>376</v>
      </c>
      <c r="AH32" s="114">
        <f>Economic!I94</f>
        <v>378.7</v>
      </c>
      <c r="AI32" s="114">
        <f>Economic!P106</f>
        <v>145.59999999999945</v>
      </c>
      <c r="AJ32" s="114">
        <f>Economic!Q106</f>
        <v>146.5</v>
      </c>
      <c r="AK32" s="114">
        <f>Economic!R106</f>
        <v>58.799999999999727</v>
      </c>
      <c r="AL32" s="114">
        <f>Economic!S106</f>
        <v>60.299999999999727</v>
      </c>
      <c r="AM32" s="114">
        <f>Economic!T106</f>
        <v>20488.600000000093</v>
      </c>
      <c r="AN32" s="114">
        <f>Economic!U106</f>
        <v>416</v>
      </c>
      <c r="AO32" s="28">
        <f>Weather!D224</f>
        <v>21.661290322580644</v>
      </c>
      <c r="AP32" s="28">
        <f>Weather!E224</f>
        <v>5.3999999999999986</v>
      </c>
      <c r="AQ32" s="28">
        <f>Weather!F224</f>
        <v>56.9</v>
      </c>
      <c r="AR32" s="28">
        <f>Weather!G224</f>
        <v>0</v>
      </c>
      <c r="AS32" s="28">
        <f>Weather!H224</f>
        <v>113.49999999999997</v>
      </c>
      <c r="AT32" s="28">
        <f>Weather!I224</f>
        <v>0</v>
      </c>
      <c r="AU32" s="28">
        <f>Weather!J224</f>
        <v>175.5</v>
      </c>
      <c r="AV32" s="28">
        <f>Weather!K224</f>
        <v>0</v>
      </c>
      <c r="AW32" s="28">
        <f>Weather!L224</f>
        <v>237.5</v>
      </c>
      <c r="AX32" s="28">
        <f>Weather!M224</f>
        <v>0</v>
      </c>
      <c r="AY32" s="28">
        <f>Weather!N224</f>
        <v>299.50000000000006</v>
      </c>
      <c r="AZ32" s="28">
        <f>Weather!O224</f>
        <v>0</v>
      </c>
      <c r="BA32" s="28">
        <f>Weather!P224</f>
        <v>361.50000000000011</v>
      </c>
      <c r="BB32" s="28">
        <f>Weather!Q224</f>
        <v>0</v>
      </c>
      <c r="BC32" s="28">
        <f>Weather!R224</f>
        <v>423.50000000000011</v>
      </c>
      <c r="BD32">
        <v>0</v>
      </c>
      <c r="BE32">
        <v>0</v>
      </c>
      <c r="BF32">
        <v>0</v>
      </c>
      <c r="BG32">
        <v>0</v>
      </c>
      <c r="BH32">
        <v>0</v>
      </c>
      <c r="BI32">
        <v>0</v>
      </c>
      <c r="BJ32">
        <v>1</v>
      </c>
      <c r="BK32">
        <v>0</v>
      </c>
      <c r="BL32">
        <v>0</v>
      </c>
      <c r="BM32">
        <v>0</v>
      </c>
      <c r="BN32">
        <v>0</v>
      </c>
      <c r="BO32">
        <v>0</v>
      </c>
      <c r="BP32">
        <v>0</v>
      </c>
      <c r="BQ32">
        <v>0</v>
      </c>
      <c r="BR32">
        <v>0</v>
      </c>
      <c r="BS32" s="1">
        <f t="shared" si="18"/>
        <v>31</v>
      </c>
      <c r="BT32">
        <v>31</v>
      </c>
      <c r="BU32">
        <v>20</v>
      </c>
      <c r="BV32">
        <v>0</v>
      </c>
      <c r="BW32">
        <v>0</v>
      </c>
      <c r="BX32">
        <v>0</v>
      </c>
      <c r="BY32">
        <v>0</v>
      </c>
      <c r="BZ32">
        <f t="shared" si="21"/>
        <v>0</v>
      </c>
      <c r="CA32">
        <f t="shared" si="21"/>
        <v>0</v>
      </c>
      <c r="CB32">
        <f t="shared" si="21"/>
        <v>0</v>
      </c>
      <c r="CC32">
        <f t="shared" si="21"/>
        <v>0</v>
      </c>
      <c r="CD32">
        <f t="shared" si="21"/>
        <v>0</v>
      </c>
      <c r="CE32">
        <f t="shared" si="23"/>
        <v>0</v>
      </c>
      <c r="CF32">
        <f t="shared" si="23"/>
        <v>0</v>
      </c>
      <c r="CG32">
        <f t="shared" si="23"/>
        <v>0</v>
      </c>
      <c r="CH32">
        <f t="shared" si="23"/>
        <v>0</v>
      </c>
      <c r="CI32">
        <f t="shared" si="23"/>
        <v>0</v>
      </c>
      <c r="CJ32">
        <f t="shared" si="23"/>
        <v>0</v>
      </c>
      <c r="CK32">
        <f t="shared" si="23"/>
        <v>0</v>
      </c>
      <c r="CL32">
        <f t="shared" si="23"/>
        <v>0</v>
      </c>
      <c r="CM32">
        <f t="shared" si="23"/>
        <v>0</v>
      </c>
      <c r="CN32">
        <f t="shared" si="22"/>
        <v>0</v>
      </c>
      <c r="CO32">
        <f t="shared" si="22"/>
        <v>0</v>
      </c>
      <c r="CP32">
        <f t="shared" si="22"/>
        <v>0</v>
      </c>
      <c r="CQ32">
        <f t="shared" si="22"/>
        <v>0</v>
      </c>
      <c r="CR32">
        <f t="shared" si="22"/>
        <v>0</v>
      </c>
      <c r="CS32">
        <f t="shared" si="24"/>
        <v>0</v>
      </c>
      <c r="CT32">
        <f t="shared" si="24"/>
        <v>0</v>
      </c>
      <c r="CU32">
        <f t="shared" si="24"/>
        <v>0</v>
      </c>
      <c r="CV32">
        <f t="shared" si="24"/>
        <v>0</v>
      </c>
      <c r="CW32">
        <f t="shared" si="24"/>
        <v>0</v>
      </c>
      <c r="CX32">
        <f t="shared" si="24"/>
        <v>0</v>
      </c>
      <c r="CY32">
        <f t="shared" si="24"/>
        <v>0</v>
      </c>
      <c r="CZ32">
        <f t="shared" si="24"/>
        <v>0</v>
      </c>
      <c r="DA32">
        <f t="shared" si="24"/>
        <v>0</v>
      </c>
      <c r="DB32" s="74">
        <f t="shared" si="7"/>
        <v>913.09416247480033</v>
      </c>
      <c r="DC32" s="74">
        <f t="shared" si="8"/>
        <v>29.454650402412913</v>
      </c>
      <c r="DD32" s="73">
        <f t="shared" si="9"/>
        <v>1782271.441199603</v>
      </c>
      <c r="DE32" s="74">
        <f t="shared" si="10"/>
        <v>2910.5775405893755</v>
      </c>
      <c r="DF32" s="74">
        <f t="shared" si="11"/>
        <v>93.889598083528242</v>
      </c>
      <c r="DG32" s="74">
        <f t="shared" si="12"/>
        <v>501088.78497179021</v>
      </c>
      <c r="DH32" s="74">
        <f t="shared" si="13"/>
        <v>80707.302579636787</v>
      </c>
      <c r="DI32" s="74">
        <f t="shared" si="14"/>
        <v>2603.4613735366706</v>
      </c>
      <c r="DJ32" s="74">
        <f t="shared" si="15"/>
        <v>4035.3651289818395</v>
      </c>
      <c r="DK32" s="74">
        <f t="shared" si="16"/>
        <v>2606064.8349102074</v>
      </c>
      <c r="DL32" s="74">
        <f t="shared" si="17"/>
        <v>4039400.4941108213</v>
      </c>
    </row>
    <row r="33" spans="1:116" x14ac:dyDescent="0.2">
      <c r="A33" s="96">
        <v>42948</v>
      </c>
      <c r="B33" s="4">
        <f t="shared" si="0"/>
        <v>2017</v>
      </c>
      <c r="C33" s="4">
        <f t="shared" si="1"/>
        <v>8</v>
      </c>
      <c r="D33" s="59">
        <v>50059809</v>
      </c>
      <c r="E33" s="59">
        <f>IFERROR(VLOOKUP($B33-1,CDM!$I$7:$N$18,2,FALSE)/12,0)+IFERROR(VLOOKUP($B33,CDM!$I$36:$L$46,2,FALSE)/24,0)+IFERROR(VLOOKUP($B33,CDM!$I$36:$L$46,2,FALSE)/2*$C33/78,0)</f>
        <v>1940604.8837847132</v>
      </c>
      <c r="F33" s="59">
        <f t="shared" si="2"/>
        <v>52000413.883784711</v>
      </c>
      <c r="G33" s="73">
        <v>60503</v>
      </c>
      <c r="H33" s="59">
        <v>14562677</v>
      </c>
      <c r="I33" s="59">
        <f>IFERROR(VLOOKUP($B33-1,CDM!$I$7:$N$18,3,FALSE)/12,0)+IFERROR(VLOOKUP($B33,CDM!$I$36:$L$46,3,FALSE)/24,0)+IFERROR(VLOOKUP($B33,CDM!$I$36:$L$46,3,FALSE)/2*$C33/78,0)</f>
        <v>597862.92666793452</v>
      </c>
      <c r="J33" s="59">
        <f t="shared" si="3"/>
        <v>15160539.926667934</v>
      </c>
      <c r="K33" s="59">
        <v>5344</v>
      </c>
      <c r="L33" s="8">
        <v>78939288</v>
      </c>
      <c r="M33" s="2">
        <f>IFERROR(VLOOKUP($B33-1,CDM!$I$7:$N$18,4,FALSE)/12,0)+IFERROR(VLOOKUP($B33,CDM!$I$36:$L$46,4,FALSE)/24,0)+IFERROR(VLOOKUP($B33,CDM!$I$36:$L$46,4,FALSE)/2*$C33/78,0)</f>
        <v>1802778.7729851189</v>
      </c>
      <c r="N33" s="59">
        <f t="shared" si="4"/>
        <v>80742066.772985116</v>
      </c>
      <c r="O33" s="5">
        <v>205394</v>
      </c>
      <c r="P33" s="5">
        <v>1002</v>
      </c>
      <c r="Q33" s="8">
        <v>822705</v>
      </c>
      <c r="R33" s="8">
        <v>2623.4</v>
      </c>
      <c r="S33" s="6">
        <v>17184</v>
      </c>
      <c r="T33" s="5">
        <v>260072</v>
      </c>
      <c r="U33" s="1">
        <v>24</v>
      </c>
      <c r="V33" s="1">
        <v>561</v>
      </c>
      <c r="W33" s="114">
        <f>Economic!J95</f>
        <v>743976.2</v>
      </c>
      <c r="X33" s="114">
        <f>Economic!K95</f>
        <v>571846.40000000002</v>
      </c>
      <c r="Y33" s="114">
        <f>Economic!L95</f>
        <v>51922</v>
      </c>
      <c r="Z33" s="114">
        <f>Economic!M95</f>
        <v>746606</v>
      </c>
      <c r="AA33" s="114">
        <f>Economic!N95</f>
        <v>574136</v>
      </c>
      <c r="AB33" s="114">
        <f>Economic!O95</f>
        <v>30035</v>
      </c>
      <c r="AC33" s="114">
        <f>Economic!D95</f>
        <v>6953.5</v>
      </c>
      <c r="AD33" s="114">
        <f>Economic!E95</f>
        <v>7045.6</v>
      </c>
      <c r="AE33" s="114">
        <f>Economic!F95</f>
        <v>3165.6</v>
      </c>
      <c r="AF33" s="114">
        <f>Economic!G95</f>
        <v>3207</v>
      </c>
      <c r="AG33" s="114">
        <f>Economic!H95</f>
        <v>375.6</v>
      </c>
      <c r="AH33" s="114">
        <f>Economic!I95</f>
        <v>376.5</v>
      </c>
      <c r="AI33" s="114">
        <f>Economic!P107</f>
        <v>167.60000000000036</v>
      </c>
      <c r="AJ33" s="114">
        <f>Economic!Q107</f>
        <v>171.09999999999945</v>
      </c>
      <c r="AK33" s="114">
        <f>Economic!R107</f>
        <v>61</v>
      </c>
      <c r="AL33" s="114">
        <f>Economic!S107</f>
        <v>59.5</v>
      </c>
      <c r="AM33" s="114">
        <f>Economic!T107</f>
        <v>20488.600000000093</v>
      </c>
      <c r="AN33" s="114">
        <f>Economic!U107</f>
        <v>416</v>
      </c>
      <c r="AO33" s="28">
        <f>Weather!D225</f>
        <v>20.522580645161295</v>
      </c>
      <c r="AP33" s="28">
        <f>Weather!E225</f>
        <v>26.599999999999994</v>
      </c>
      <c r="AQ33" s="28">
        <f>Weather!F225</f>
        <v>42.8</v>
      </c>
      <c r="AR33" s="28">
        <f>Weather!G225</f>
        <v>7.1999999999999993</v>
      </c>
      <c r="AS33" s="28">
        <f>Weather!H225</f>
        <v>85.4</v>
      </c>
      <c r="AT33" s="28">
        <f>Weather!I225</f>
        <v>0</v>
      </c>
      <c r="AU33" s="28">
        <f>Weather!J225</f>
        <v>140.19999999999999</v>
      </c>
      <c r="AV33" s="28">
        <f>Weather!K225</f>
        <v>0</v>
      </c>
      <c r="AW33" s="28">
        <f>Weather!L225</f>
        <v>202.19999999999996</v>
      </c>
      <c r="AX33" s="28">
        <f>Weather!M225</f>
        <v>0</v>
      </c>
      <c r="AY33" s="28">
        <f>Weather!N225</f>
        <v>264.2</v>
      </c>
      <c r="AZ33" s="28">
        <f>Weather!O225</f>
        <v>0</v>
      </c>
      <c r="BA33" s="28">
        <f>Weather!P225</f>
        <v>326.2</v>
      </c>
      <c r="BB33" s="28">
        <f>Weather!Q225</f>
        <v>0</v>
      </c>
      <c r="BC33" s="28">
        <f>Weather!R225</f>
        <v>388.2</v>
      </c>
      <c r="BD33">
        <v>0</v>
      </c>
      <c r="BE33">
        <v>0</v>
      </c>
      <c r="BF33">
        <v>0</v>
      </c>
      <c r="BG33">
        <v>0</v>
      </c>
      <c r="BH33">
        <v>0</v>
      </c>
      <c r="BI33">
        <v>0</v>
      </c>
      <c r="BJ33">
        <v>0</v>
      </c>
      <c r="BK33">
        <v>1</v>
      </c>
      <c r="BL33">
        <v>0</v>
      </c>
      <c r="BM33">
        <v>0</v>
      </c>
      <c r="BN33">
        <v>0</v>
      </c>
      <c r="BO33">
        <v>0</v>
      </c>
      <c r="BP33">
        <v>0</v>
      </c>
      <c r="BQ33">
        <v>0</v>
      </c>
      <c r="BR33">
        <v>0</v>
      </c>
      <c r="BS33" s="1">
        <f t="shared" si="18"/>
        <v>32</v>
      </c>
      <c r="BT33">
        <v>31</v>
      </c>
      <c r="BU33">
        <v>22</v>
      </c>
      <c r="BV33">
        <v>0</v>
      </c>
      <c r="BW33">
        <v>0</v>
      </c>
      <c r="BX33">
        <v>0</v>
      </c>
      <c r="BY33">
        <v>0</v>
      </c>
      <c r="BZ33">
        <f t="shared" si="21"/>
        <v>0</v>
      </c>
      <c r="CA33">
        <f t="shared" si="21"/>
        <v>0</v>
      </c>
      <c r="CB33">
        <f t="shared" si="21"/>
        <v>0</v>
      </c>
      <c r="CC33">
        <f t="shared" si="21"/>
        <v>0</v>
      </c>
      <c r="CD33">
        <f t="shared" si="21"/>
        <v>0</v>
      </c>
      <c r="CE33">
        <f t="shared" si="23"/>
        <v>0</v>
      </c>
      <c r="CF33">
        <f t="shared" si="23"/>
        <v>0</v>
      </c>
      <c r="CG33">
        <f t="shared" si="23"/>
        <v>0</v>
      </c>
      <c r="CH33">
        <f t="shared" si="23"/>
        <v>0</v>
      </c>
      <c r="CI33">
        <f t="shared" si="23"/>
        <v>0</v>
      </c>
      <c r="CJ33">
        <f t="shared" si="23"/>
        <v>0</v>
      </c>
      <c r="CK33">
        <f t="shared" si="23"/>
        <v>0</v>
      </c>
      <c r="CL33">
        <f t="shared" si="23"/>
        <v>0</v>
      </c>
      <c r="CM33">
        <f t="shared" si="23"/>
        <v>0</v>
      </c>
      <c r="CN33">
        <f t="shared" si="22"/>
        <v>0</v>
      </c>
      <c r="CO33">
        <f t="shared" si="22"/>
        <v>0</v>
      </c>
      <c r="CP33">
        <f t="shared" si="22"/>
        <v>0</v>
      </c>
      <c r="CQ33">
        <f t="shared" si="22"/>
        <v>0</v>
      </c>
      <c r="CR33">
        <f t="shared" si="22"/>
        <v>0</v>
      </c>
      <c r="CS33">
        <f t="shared" si="24"/>
        <v>0</v>
      </c>
      <c r="CT33">
        <f t="shared" si="24"/>
        <v>0</v>
      </c>
      <c r="CU33">
        <f t="shared" si="24"/>
        <v>0</v>
      </c>
      <c r="CV33">
        <f t="shared" si="24"/>
        <v>0</v>
      </c>
      <c r="CW33">
        <f t="shared" si="24"/>
        <v>0</v>
      </c>
      <c r="CX33">
        <f t="shared" si="24"/>
        <v>0</v>
      </c>
      <c r="CY33">
        <f t="shared" si="24"/>
        <v>0</v>
      </c>
      <c r="CZ33">
        <f t="shared" si="24"/>
        <v>0</v>
      </c>
      <c r="DA33">
        <f t="shared" si="24"/>
        <v>0</v>
      </c>
      <c r="DB33" s="74">
        <f t="shared" si="7"/>
        <v>859.46835502015949</v>
      </c>
      <c r="DC33" s="74">
        <f t="shared" si="8"/>
        <v>27.724785645811597</v>
      </c>
      <c r="DD33" s="73">
        <f t="shared" si="9"/>
        <v>1677432.7059285392</v>
      </c>
      <c r="DE33" s="74">
        <f t="shared" si="10"/>
        <v>2836.9273814872631</v>
      </c>
      <c r="DF33" s="74">
        <f t="shared" si="11"/>
        <v>91.513786499589131</v>
      </c>
      <c r="DG33" s="74">
        <f t="shared" si="12"/>
        <v>489049.67505380436</v>
      </c>
      <c r="DH33" s="74">
        <f t="shared" si="13"/>
        <v>80580.904963059002</v>
      </c>
      <c r="DI33" s="74">
        <f t="shared" si="14"/>
        <v>2599.3840310664195</v>
      </c>
      <c r="DJ33" s="74">
        <f t="shared" si="15"/>
        <v>3662.7684074117728</v>
      </c>
      <c r="DK33" s="74">
        <f t="shared" si="16"/>
        <v>2604582.799128552</v>
      </c>
      <c r="DL33" s="74">
        <f t="shared" si="17"/>
        <v>3670093.944226596</v>
      </c>
    </row>
    <row r="34" spans="1:116" x14ac:dyDescent="0.2">
      <c r="A34" s="96">
        <v>42979</v>
      </c>
      <c r="B34" s="4">
        <f t="shared" si="0"/>
        <v>2017</v>
      </c>
      <c r="C34" s="4">
        <f t="shared" si="1"/>
        <v>9</v>
      </c>
      <c r="D34" s="59">
        <v>43473772</v>
      </c>
      <c r="E34" s="59">
        <f>IFERROR(VLOOKUP($B34-1,CDM!$I$7:$N$18,2,FALSE)/12,0)+IFERROR(VLOOKUP($B34,CDM!$I$36:$L$46,2,FALSE)/24,0)+IFERROR(VLOOKUP($B34,CDM!$I$36:$L$46,2,FALSE)/2*$C34/78,0)</f>
        <v>2030638.0903817266</v>
      </c>
      <c r="F34" s="59">
        <f t="shared" si="2"/>
        <v>45504410.090381727</v>
      </c>
      <c r="G34" s="468">
        <v>60533</v>
      </c>
      <c r="H34" s="59">
        <v>13593689</v>
      </c>
      <c r="I34" s="59">
        <f>IFERROR(VLOOKUP($B34-1,CDM!$I$7:$N$18,3,FALSE)/12,0)+IFERROR(VLOOKUP($B34,CDM!$I$36:$L$46,3,FALSE)/24,0)+IFERROR(VLOOKUP($B34,CDM!$I$36:$L$46,3,FALSE)/2*$C34/78,0)</f>
        <v>610475.51921037177</v>
      </c>
      <c r="J34" s="59">
        <f t="shared" si="3"/>
        <v>14204164.519210372</v>
      </c>
      <c r="K34" s="59">
        <v>5350</v>
      </c>
      <c r="L34" s="8">
        <v>74885800</v>
      </c>
      <c r="M34" s="2">
        <f>IFERROR(VLOOKUP($B34-1,CDM!$I$7:$N$18,4,FALSE)/12,0)+IFERROR(VLOOKUP($B34,CDM!$I$36:$L$46,4,FALSE)/24,0)+IFERROR(VLOOKUP($B34,CDM!$I$36:$L$46,4,FALSE)/2*$C34/78,0)</f>
        <v>1858176.6637538187</v>
      </c>
      <c r="N34" s="59">
        <f t="shared" si="4"/>
        <v>76743976.663753822</v>
      </c>
      <c r="O34" s="5">
        <v>210407</v>
      </c>
      <c r="P34" s="6">
        <v>1001</v>
      </c>
      <c r="Q34" s="8">
        <v>908096.9</v>
      </c>
      <c r="R34" s="8">
        <v>2623.4</v>
      </c>
      <c r="S34" s="5">
        <v>17184</v>
      </c>
      <c r="T34" s="5">
        <v>260483</v>
      </c>
      <c r="U34" s="1">
        <v>24</v>
      </c>
      <c r="V34" s="1">
        <v>561</v>
      </c>
      <c r="W34" s="114">
        <f>Economic!J96</f>
        <v>743976.2</v>
      </c>
      <c r="X34" s="114">
        <f>Economic!K96</f>
        <v>571846.40000000002</v>
      </c>
      <c r="Y34" s="114">
        <f>Economic!L96</f>
        <v>51922</v>
      </c>
      <c r="Z34" s="114">
        <f>Economic!M96</f>
        <v>746606</v>
      </c>
      <c r="AA34" s="114">
        <f>Economic!N96</f>
        <v>574136</v>
      </c>
      <c r="AB34" s="114">
        <f>Economic!O96</f>
        <v>30035</v>
      </c>
      <c r="AC34" s="114">
        <f>Economic!D96</f>
        <v>6950.1</v>
      </c>
      <c r="AD34" s="114">
        <f>Economic!E96</f>
        <v>6998.1</v>
      </c>
      <c r="AE34" s="114">
        <f>Economic!F96</f>
        <v>3155.9</v>
      </c>
      <c r="AF34" s="114">
        <f>Economic!G96</f>
        <v>3176.1</v>
      </c>
      <c r="AG34" s="114">
        <f>Economic!H96</f>
        <v>377.9</v>
      </c>
      <c r="AH34" s="114">
        <f>Economic!I96</f>
        <v>377.8</v>
      </c>
      <c r="AI34" s="114">
        <f>Economic!P108</f>
        <v>194.69999999999982</v>
      </c>
      <c r="AJ34" s="114">
        <f>Economic!Q108</f>
        <v>195.29999999999927</v>
      </c>
      <c r="AK34" s="114">
        <f>Economic!R108</f>
        <v>83.900000000000091</v>
      </c>
      <c r="AL34" s="114">
        <f>Economic!S108</f>
        <v>80.400000000000091</v>
      </c>
      <c r="AM34" s="114">
        <f>Economic!T108</f>
        <v>20488.600000000093</v>
      </c>
      <c r="AN34" s="114">
        <f>Economic!U108</f>
        <v>416</v>
      </c>
      <c r="AO34" s="28">
        <f>Weather!D226</f>
        <v>18.610000000000003</v>
      </c>
      <c r="AP34" s="28">
        <f>Weather!E226</f>
        <v>72.199999999999989</v>
      </c>
      <c r="AQ34" s="28">
        <f>Weather!F226</f>
        <v>30.500000000000004</v>
      </c>
      <c r="AR34" s="28">
        <f>Weather!G226</f>
        <v>41.699999999999996</v>
      </c>
      <c r="AS34" s="28">
        <f>Weather!H226</f>
        <v>60</v>
      </c>
      <c r="AT34" s="28">
        <f>Weather!I226</f>
        <v>18.599999999999998</v>
      </c>
      <c r="AU34" s="28">
        <f>Weather!J226</f>
        <v>96.9</v>
      </c>
      <c r="AV34" s="28">
        <f>Weather!K226</f>
        <v>4.0999999999999996</v>
      </c>
      <c r="AW34" s="28">
        <f>Weather!L226</f>
        <v>142.4</v>
      </c>
      <c r="AX34" s="28">
        <f>Weather!M226</f>
        <v>1</v>
      </c>
      <c r="AY34" s="28">
        <f>Weather!N226</f>
        <v>199.29999999999998</v>
      </c>
      <c r="AZ34" s="28">
        <f>Weather!O226</f>
        <v>0</v>
      </c>
      <c r="BA34" s="28">
        <f>Weather!P226</f>
        <v>258.29999999999995</v>
      </c>
      <c r="BB34" s="28">
        <f>Weather!Q226</f>
        <v>0</v>
      </c>
      <c r="BC34" s="28">
        <f>Weather!R226</f>
        <v>318.3</v>
      </c>
      <c r="BD34">
        <v>0</v>
      </c>
      <c r="BE34">
        <v>0</v>
      </c>
      <c r="BF34">
        <v>0</v>
      </c>
      <c r="BG34">
        <v>0</v>
      </c>
      <c r="BH34">
        <v>0</v>
      </c>
      <c r="BI34">
        <v>0</v>
      </c>
      <c r="BJ34">
        <v>0</v>
      </c>
      <c r="BK34">
        <v>0</v>
      </c>
      <c r="BL34">
        <v>1</v>
      </c>
      <c r="BM34">
        <v>0</v>
      </c>
      <c r="BN34">
        <v>0</v>
      </c>
      <c r="BO34">
        <v>0</v>
      </c>
      <c r="BP34">
        <v>0</v>
      </c>
      <c r="BQ34">
        <v>1</v>
      </c>
      <c r="BR34">
        <v>1</v>
      </c>
      <c r="BS34" s="1">
        <f t="shared" si="18"/>
        <v>33</v>
      </c>
      <c r="BT34">
        <v>30</v>
      </c>
      <c r="BU34">
        <v>20</v>
      </c>
      <c r="BV34">
        <v>0</v>
      </c>
      <c r="BW34">
        <v>0</v>
      </c>
      <c r="BX34">
        <v>0</v>
      </c>
      <c r="BY34">
        <v>0</v>
      </c>
      <c r="BZ34">
        <f t="shared" si="21"/>
        <v>0</v>
      </c>
      <c r="CA34">
        <f t="shared" si="21"/>
        <v>0</v>
      </c>
      <c r="CB34">
        <f t="shared" si="21"/>
        <v>0</v>
      </c>
      <c r="CC34">
        <f t="shared" si="21"/>
        <v>0</v>
      </c>
      <c r="CD34">
        <f t="shared" si="21"/>
        <v>0</v>
      </c>
      <c r="CE34">
        <f t="shared" si="23"/>
        <v>0</v>
      </c>
      <c r="CF34">
        <f t="shared" si="23"/>
        <v>0</v>
      </c>
      <c r="CG34">
        <f t="shared" si="23"/>
        <v>0</v>
      </c>
      <c r="CH34">
        <f t="shared" si="23"/>
        <v>0</v>
      </c>
      <c r="CI34">
        <f t="shared" si="23"/>
        <v>0</v>
      </c>
      <c r="CJ34">
        <f t="shared" si="23"/>
        <v>0</v>
      </c>
      <c r="CK34">
        <f t="shared" si="23"/>
        <v>0</v>
      </c>
      <c r="CL34">
        <f t="shared" si="23"/>
        <v>0</v>
      </c>
      <c r="CM34">
        <f t="shared" si="23"/>
        <v>0</v>
      </c>
      <c r="CN34">
        <f t="shared" si="22"/>
        <v>0</v>
      </c>
      <c r="CO34">
        <f t="shared" si="22"/>
        <v>0</v>
      </c>
      <c r="CP34">
        <f t="shared" si="22"/>
        <v>0</v>
      </c>
      <c r="CQ34">
        <f t="shared" si="22"/>
        <v>0</v>
      </c>
      <c r="CR34">
        <f t="shared" si="22"/>
        <v>0</v>
      </c>
      <c r="CS34">
        <f t="shared" si="24"/>
        <v>0</v>
      </c>
      <c r="CT34">
        <f t="shared" si="24"/>
        <v>0</v>
      </c>
      <c r="CU34">
        <f t="shared" si="24"/>
        <v>0</v>
      </c>
      <c r="CV34">
        <f t="shared" si="24"/>
        <v>0</v>
      </c>
      <c r="CW34">
        <f t="shared" si="24"/>
        <v>0</v>
      </c>
      <c r="CX34">
        <f t="shared" si="24"/>
        <v>0</v>
      </c>
      <c r="CY34">
        <f t="shared" si="24"/>
        <v>0</v>
      </c>
      <c r="CZ34">
        <f t="shared" si="24"/>
        <v>0</v>
      </c>
      <c r="DA34">
        <f t="shared" si="24"/>
        <v>0</v>
      </c>
      <c r="DB34" s="74">
        <f t="shared" si="7"/>
        <v>751.72897577159119</v>
      </c>
      <c r="DC34" s="74">
        <f t="shared" si="8"/>
        <v>25.057632525719708</v>
      </c>
      <c r="DD34" s="73">
        <f t="shared" si="9"/>
        <v>1516813.669679391</v>
      </c>
      <c r="DE34" s="74">
        <f t="shared" si="10"/>
        <v>2654.9840222823127</v>
      </c>
      <c r="DF34" s="74">
        <f t="shared" si="11"/>
        <v>88.499467409410428</v>
      </c>
      <c r="DG34" s="74">
        <f t="shared" si="12"/>
        <v>473472.15064034576</v>
      </c>
      <c r="DH34" s="74">
        <f t="shared" si="13"/>
        <v>76667.309354399418</v>
      </c>
      <c r="DI34" s="74">
        <f t="shared" si="14"/>
        <v>2555.5769784799804</v>
      </c>
      <c r="DJ34" s="74">
        <f t="shared" si="15"/>
        <v>3833.3654677199711</v>
      </c>
      <c r="DK34" s="74">
        <f t="shared" si="16"/>
        <v>2558132.5554584609</v>
      </c>
      <c r="DL34" s="74">
        <f t="shared" si="17"/>
        <v>3837198.8331876909</v>
      </c>
    </row>
    <row r="35" spans="1:116" x14ac:dyDescent="0.2">
      <c r="A35" s="96">
        <v>43009</v>
      </c>
      <c r="B35" s="4">
        <f t="shared" si="0"/>
        <v>2017</v>
      </c>
      <c r="C35" s="4">
        <f t="shared" si="1"/>
        <v>10</v>
      </c>
      <c r="D35" s="59">
        <v>38846178</v>
      </c>
      <c r="E35" s="59">
        <f>IFERROR(VLOOKUP($B35-1,CDM!$I$7:$N$18,2,FALSE)/12,0)+IFERROR(VLOOKUP($B35,CDM!$I$36:$L$46,2,FALSE)/24,0)+IFERROR(VLOOKUP($B35,CDM!$I$36:$L$46,2,FALSE)/2*$C35/78,0)</f>
        <v>2120671.29697874</v>
      </c>
      <c r="F35" s="59">
        <f t="shared" si="2"/>
        <v>40966849.296978742</v>
      </c>
      <c r="G35" s="468">
        <v>60537</v>
      </c>
      <c r="H35" s="59">
        <v>13303779</v>
      </c>
      <c r="I35" s="59">
        <f>IFERROR(VLOOKUP($B35-1,CDM!$I$7:$N$18,3,FALSE)/12,0)+IFERROR(VLOOKUP($B35,CDM!$I$36:$L$46,3,FALSE)/24,0)+IFERROR(VLOOKUP($B35,CDM!$I$36:$L$46,3,FALSE)/2*$C35/78,0)</f>
        <v>623088.11175280903</v>
      </c>
      <c r="J35" s="59">
        <f t="shared" si="3"/>
        <v>13926867.111752808</v>
      </c>
      <c r="K35" s="59">
        <v>5350</v>
      </c>
      <c r="L35" s="8">
        <v>73030053</v>
      </c>
      <c r="M35" s="2">
        <f>IFERROR(VLOOKUP($B35-1,CDM!$I$7:$N$18,4,FALSE)/12,0)+IFERROR(VLOOKUP($B35,CDM!$I$36:$L$46,4,FALSE)/24,0)+IFERROR(VLOOKUP($B35,CDM!$I$36:$L$46,4,FALSE)/2*$C35/78,0)</f>
        <v>1913574.5545225185</v>
      </c>
      <c r="N35" s="59">
        <f t="shared" si="4"/>
        <v>74943627.554522514</v>
      </c>
      <c r="O35" s="5">
        <v>214277</v>
      </c>
      <c r="P35" s="6">
        <v>1002</v>
      </c>
      <c r="Q35" s="8">
        <v>1058156.8999999999</v>
      </c>
      <c r="R35" s="8">
        <v>2526</v>
      </c>
      <c r="S35" s="6">
        <v>17184</v>
      </c>
      <c r="T35" s="5">
        <v>261070</v>
      </c>
      <c r="U35" s="1">
        <v>24</v>
      </c>
      <c r="V35" s="1">
        <v>563</v>
      </c>
      <c r="W35" s="114">
        <f>Economic!J97</f>
        <v>743976.2</v>
      </c>
      <c r="X35" s="114">
        <f>Economic!K97</f>
        <v>571846.40000000002</v>
      </c>
      <c r="Y35" s="114">
        <f>Economic!L97</f>
        <v>51922</v>
      </c>
      <c r="Z35" s="114">
        <f>Economic!M97</f>
        <v>745380</v>
      </c>
      <c r="AA35" s="114">
        <f>Economic!N97</f>
        <v>574771</v>
      </c>
      <c r="AB35" s="114">
        <f>Economic!O97</f>
        <v>30202</v>
      </c>
      <c r="AC35" s="114">
        <f>Economic!D97</f>
        <v>6963.9</v>
      </c>
      <c r="AD35" s="114">
        <f>Economic!E97</f>
        <v>6990.5</v>
      </c>
      <c r="AE35" s="114">
        <f>Economic!F97</f>
        <v>3150.5</v>
      </c>
      <c r="AF35" s="114">
        <f>Economic!G97</f>
        <v>3154.4</v>
      </c>
      <c r="AG35" s="114">
        <f>Economic!H97</f>
        <v>380.5</v>
      </c>
      <c r="AH35" s="114">
        <f>Economic!I97</f>
        <v>379.9</v>
      </c>
      <c r="AI35" s="114">
        <f>Economic!P109</f>
        <v>197.10000000000036</v>
      </c>
      <c r="AJ35" s="114">
        <f>Economic!Q109</f>
        <v>194.69999999999982</v>
      </c>
      <c r="AK35" s="114">
        <f>Economic!R109</f>
        <v>108.69999999999982</v>
      </c>
      <c r="AL35" s="114">
        <f>Economic!S109</f>
        <v>103.29999999999973</v>
      </c>
      <c r="AM35" s="114">
        <f>Economic!T109</f>
        <v>20488.600000000093</v>
      </c>
      <c r="AN35" s="114">
        <f>Economic!U109</f>
        <v>6393</v>
      </c>
      <c r="AO35" s="28">
        <f>Weather!D227</f>
        <v>14.658064516129036</v>
      </c>
      <c r="AP35" s="28">
        <f>Weather!E227</f>
        <v>167.79999999999998</v>
      </c>
      <c r="AQ35" s="28">
        <f>Weather!F227</f>
        <v>2.1999999999999993</v>
      </c>
      <c r="AR35" s="28">
        <f>Weather!G227</f>
        <v>113.30000000000003</v>
      </c>
      <c r="AS35" s="28">
        <f>Weather!H227</f>
        <v>9.6999999999999993</v>
      </c>
      <c r="AT35" s="28">
        <f>Weather!I227</f>
        <v>75.2</v>
      </c>
      <c r="AU35" s="28">
        <f>Weather!J227</f>
        <v>33.599999999999994</v>
      </c>
      <c r="AV35" s="28">
        <f>Weather!K227</f>
        <v>47.5</v>
      </c>
      <c r="AW35" s="28">
        <f>Weather!L227</f>
        <v>67.900000000000006</v>
      </c>
      <c r="AX35" s="28">
        <f>Weather!M227</f>
        <v>26.3</v>
      </c>
      <c r="AY35" s="28">
        <f>Weather!N227</f>
        <v>108.7</v>
      </c>
      <c r="AZ35" s="28">
        <f>Weather!O227</f>
        <v>12.3</v>
      </c>
      <c r="BA35" s="28">
        <f>Weather!P227</f>
        <v>156.69999999999996</v>
      </c>
      <c r="BB35" s="28">
        <f>Weather!Q227</f>
        <v>2.1000000000000005</v>
      </c>
      <c r="BC35" s="28">
        <f>Weather!R227</f>
        <v>208.49999999999994</v>
      </c>
      <c r="BD35">
        <v>0</v>
      </c>
      <c r="BE35">
        <v>0</v>
      </c>
      <c r="BF35">
        <v>0</v>
      </c>
      <c r="BG35">
        <v>0</v>
      </c>
      <c r="BH35">
        <v>0</v>
      </c>
      <c r="BI35">
        <v>0</v>
      </c>
      <c r="BJ35">
        <v>0</v>
      </c>
      <c r="BK35">
        <v>0</v>
      </c>
      <c r="BL35">
        <v>0</v>
      </c>
      <c r="BM35">
        <v>1</v>
      </c>
      <c r="BN35">
        <v>0</v>
      </c>
      <c r="BO35">
        <v>0</v>
      </c>
      <c r="BP35">
        <v>0</v>
      </c>
      <c r="BQ35">
        <v>1</v>
      </c>
      <c r="BR35">
        <v>1</v>
      </c>
      <c r="BS35" s="1">
        <f t="shared" si="18"/>
        <v>34</v>
      </c>
      <c r="BT35">
        <v>31</v>
      </c>
      <c r="BU35">
        <v>21</v>
      </c>
      <c r="BV35">
        <v>0</v>
      </c>
      <c r="BW35">
        <v>0</v>
      </c>
      <c r="BX35">
        <v>0</v>
      </c>
      <c r="BY35">
        <v>0</v>
      </c>
      <c r="BZ35">
        <f t="shared" si="21"/>
        <v>0</v>
      </c>
      <c r="CA35">
        <f t="shared" si="21"/>
        <v>0</v>
      </c>
      <c r="CB35">
        <f t="shared" si="21"/>
        <v>0</v>
      </c>
      <c r="CC35">
        <f t="shared" si="21"/>
        <v>0</v>
      </c>
      <c r="CD35">
        <f t="shared" si="21"/>
        <v>0</v>
      </c>
      <c r="CE35">
        <f t="shared" si="23"/>
        <v>0</v>
      </c>
      <c r="CF35">
        <f t="shared" si="23"/>
        <v>0</v>
      </c>
      <c r="CG35">
        <f t="shared" si="23"/>
        <v>0</v>
      </c>
      <c r="CH35">
        <f t="shared" si="23"/>
        <v>0</v>
      </c>
      <c r="CI35">
        <f t="shared" si="23"/>
        <v>0</v>
      </c>
      <c r="CJ35">
        <f t="shared" si="23"/>
        <v>0</v>
      </c>
      <c r="CK35">
        <f t="shared" si="23"/>
        <v>0</v>
      </c>
      <c r="CL35">
        <f t="shared" si="23"/>
        <v>0</v>
      </c>
      <c r="CM35">
        <f t="shared" si="23"/>
        <v>0</v>
      </c>
      <c r="CN35">
        <f t="shared" si="22"/>
        <v>0</v>
      </c>
      <c r="CO35">
        <f t="shared" si="22"/>
        <v>0</v>
      </c>
      <c r="CP35">
        <f t="shared" si="22"/>
        <v>0</v>
      </c>
      <c r="CQ35">
        <f t="shared" si="22"/>
        <v>0</v>
      </c>
      <c r="CR35">
        <f t="shared" si="22"/>
        <v>0</v>
      </c>
      <c r="CS35">
        <f t="shared" si="24"/>
        <v>0</v>
      </c>
      <c r="CT35">
        <f t="shared" si="24"/>
        <v>0</v>
      </c>
      <c r="CU35">
        <f t="shared" si="24"/>
        <v>0</v>
      </c>
      <c r="CV35">
        <f t="shared" si="24"/>
        <v>0</v>
      </c>
      <c r="CW35">
        <f t="shared" si="24"/>
        <v>0</v>
      </c>
      <c r="CX35">
        <f t="shared" si="24"/>
        <v>0</v>
      </c>
      <c r="CY35">
        <f t="shared" si="24"/>
        <v>0</v>
      </c>
      <c r="CZ35">
        <f t="shared" si="24"/>
        <v>0</v>
      </c>
      <c r="DA35">
        <f t="shared" si="24"/>
        <v>0</v>
      </c>
      <c r="DB35" s="74">
        <f t="shared" si="7"/>
        <v>676.72414055831541</v>
      </c>
      <c r="DC35" s="74">
        <f t="shared" si="8"/>
        <v>21.829810985752111</v>
      </c>
      <c r="DD35" s="73">
        <f t="shared" si="9"/>
        <v>1321511.2676444754</v>
      </c>
      <c r="DE35" s="74">
        <f t="shared" si="10"/>
        <v>2603.1527311687491</v>
      </c>
      <c r="DF35" s="74">
        <f t="shared" si="11"/>
        <v>83.972668747379004</v>
      </c>
      <c r="DG35" s="74">
        <f t="shared" si="12"/>
        <v>449253.77779847768</v>
      </c>
      <c r="DH35" s="74">
        <f t="shared" si="13"/>
        <v>74794.039475571379</v>
      </c>
      <c r="DI35" s="74">
        <f t="shared" si="14"/>
        <v>2412.7109508248832</v>
      </c>
      <c r="DJ35" s="74">
        <f t="shared" si="15"/>
        <v>3561.6209274081607</v>
      </c>
      <c r="DK35" s="74">
        <f t="shared" si="16"/>
        <v>2417536.3727265326</v>
      </c>
      <c r="DL35" s="74">
        <f t="shared" si="17"/>
        <v>3568744.1692629769</v>
      </c>
    </row>
    <row r="36" spans="1:116" x14ac:dyDescent="0.2">
      <c r="A36" s="96">
        <v>43040</v>
      </c>
      <c r="B36" s="4">
        <f t="shared" si="0"/>
        <v>2017</v>
      </c>
      <c r="C36" s="4">
        <f t="shared" si="1"/>
        <v>11</v>
      </c>
      <c r="D36" s="59">
        <v>36790700</v>
      </c>
      <c r="E36" s="59">
        <f>IFERROR(VLOOKUP($B36-1,CDM!$I$7:$N$18,2,FALSE)/12,0)+IFERROR(VLOOKUP($B36,CDM!$I$36:$L$46,2,FALSE)/24,0)+IFERROR(VLOOKUP($B36,CDM!$I$36:$L$46,2,FALSE)/2*$C36/78,0)</f>
        <v>2210704.5035757534</v>
      </c>
      <c r="F36" s="59">
        <f t="shared" si="2"/>
        <v>39001404.503575757</v>
      </c>
      <c r="G36" s="73">
        <v>60558</v>
      </c>
      <c r="H36" s="59">
        <v>13353063</v>
      </c>
      <c r="I36" s="59">
        <f>IFERROR(VLOOKUP($B36-1,CDM!$I$7:$N$18,3,FALSE)/12,0)+IFERROR(VLOOKUP($B36,CDM!$I$36:$L$46,3,FALSE)/24,0)+IFERROR(VLOOKUP($B36,CDM!$I$36:$L$46,3,FALSE)/2*$C36/78,0)</f>
        <v>635700.70429524616</v>
      </c>
      <c r="J36" s="59">
        <f t="shared" si="3"/>
        <v>13988763.704295246</v>
      </c>
      <c r="K36" s="59">
        <v>5353</v>
      </c>
      <c r="L36" s="8">
        <v>71461391</v>
      </c>
      <c r="M36" s="2">
        <f>IFERROR(VLOOKUP($B36-1,CDM!$I$7:$N$18,4,FALSE)/12,0)+IFERROR(VLOOKUP($B36,CDM!$I$36:$L$46,4,FALSE)/24,0)+IFERROR(VLOOKUP($B36,CDM!$I$36:$L$46,4,FALSE)/2*$C36/78,0)</f>
        <v>1968972.4452912186</v>
      </c>
      <c r="N36" s="59">
        <f t="shared" si="4"/>
        <v>73430363.445291221</v>
      </c>
      <c r="O36" s="5">
        <v>211293</v>
      </c>
      <c r="P36" s="5">
        <v>1003</v>
      </c>
      <c r="Q36" s="8">
        <v>1125753.3</v>
      </c>
      <c r="R36" s="8">
        <v>2285.9</v>
      </c>
      <c r="S36" s="6">
        <v>17184</v>
      </c>
      <c r="T36" s="5">
        <v>260852</v>
      </c>
      <c r="U36" s="1">
        <v>24</v>
      </c>
      <c r="V36" s="1">
        <v>563</v>
      </c>
      <c r="W36" s="114">
        <f>Economic!J98</f>
        <v>743976.2</v>
      </c>
      <c r="X36" s="114">
        <f>Economic!K98</f>
        <v>571846.40000000002</v>
      </c>
      <c r="Y36" s="114">
        <f>Economic!L98</f>
        <v>51922</v>
      </c>
      <c r="Z36" s="114">
        <f>Economic!M98</f>
        <v>745380</v>
      </c>
      <c r="AA36" s="114">
        <f>Economic!N98</f>
        <v>574771</v>
      </c>
      <c r="AB36" s="114">
        <f>Economic!O98</f>
        <v>30202</v>
      </c>
      <c r="AC36" s="114">
        <f>Economic!D98</f>
        <v>6977.8</v>
      </c>
      <c r="AD36" s="114">
        <f>Economic!E98</f>
        <v>6983.4</v>
      </c>
      <c r="AE36" s="114">
        <f>Economic!F98</f>
        <v>3149.5</v>
      </c>
      <c r="AF36" s="114">
        <f>Economic!G98</f>
        <v>3139.8</v>
      </c>
      <c r="AG36" s="114">
        <f>Economic!H98</f>
        <v>385.2</v>
      </c>
      <c r="AH36" s="114">
        <f>Economic!I98</f>
        <v>385.6</v>
      </c>
      <c r="AI36" s="114">
        <f>Economic!P110</f>
        <v>206.89999999999964</v>
      </c>
      <c r="AJ36" s="114">
        <f>Economic!Q110</f>
        <v>202.60000000000036</v>
      </c>
      <c r="AK36" s="114">
        <f>Economic!R110</f>
        <v>125.5</v>
      </c>
      <c r="AL36" s="114">
        <f>Economic!S110</f>
        <v>121.69999999999982</v>
      </c>
      <c r="AM36" s="114">
        <f>Economic!T110</f>
        <v>20488.600000000093</v>
      </c>
      <c r="AN36" s="114">
        <f>Economic!U110</f>
        <v>6393</v>
      </c>
      <c r="AO36" s="28">
        <f>Weather!D228</f>
        <v>5.0699999999999994</v>
      </c>
      <c r="AP36" s="28">
        <f>Weather!E228</f>
        <v>447.9</v>
      </c>
      <c r="AQ36" s="28">
        <f>Weather!F228</f>
        <v>0</v>
      </c>
      <c r="AR36" s="28">
        <f>Weather!G228</f>
        <v>387.89999999999992</v>
      </c>
      <c r="AS36" s="28">
        <f>Weather!H228</f>
        <v>0</v>
      </c>
      <c r="AT36" s="28">
        <f>Weather!I228</f>
        <v>327.9</v>
      </c>
      <c r="AU36" s="28">
        <f>Weather!J228</f>
        <v>0</v>
      </c>
      <c r="AV36" s="28">
        <f>Weather!K228</f>
        <v>267.89999999999998</v>
      </c>
      <c r="AW36" s="28">
        <f>Weather!L228</f>
        <v>0</v>
      </c>
      <c r="AX36" s="28">
        <f>Weather!M228</f>
        <v>208.10000000000005</v>
      </c>
      <c r="AY36" s="28">
        <f>Weather!N228</f>
        <v>0.19999999999999929</v>
      </c>
      <c r="AZ36" s="28">
        <f>Weather!O228</f>
        <v>151.80000000000004</v>
      </c>
      <c r="BA36" s="28">
        <f>Weather!P228</f>
        <v>3.8999999999999986</v>
      </c>
      <c r="BB36" s="28">
        <f>Weather!Q228</f>
        <v>99.000000000000014</v>
      </c>
      <c r="BC36" s="28">
        <f>Weather!R228</f>
        <v>11.099999999999998</v>
      </c>
      <c r="BD36">
        <v>0</v>
      </c>
      <c r="BE36">
        <v>0</v>
      </c>
      <c r="BF36">
        <v>0</v>
      </c>
      <c r="BG36">
        <v>0</v>
      </c>
      <c r="BH36">
        <v>0</v>
      </c>
      <c r="BI36">
        <v>0</v>
      </c>
      <c r="BJ36">
        <v>0</v>
      </c>
      <c r="BK36">
        <v>0</v>
      </c>
      <c r="BL36">
        <v>0</v>
      </c>
      <c r="BM36">
        <v>0</v>
      </c>
      <c r="BN36">
        <v>1</v>
      </c>
      <c r="BO36">
        <v>0</v>
      </c>
      <c r="BP36">
        <v>0</v>
      </c>
      <c r="BQ36">
        <v>1</v>
      </c>
      <c r="BR36">
        <v>1</v>
      </c>
      <c r="BS36" s="1">
        <f t="shared" si="18"/>
        <v>35</v>
      </c>
      <c r="BT36">
        <v>30</v>
      </c>
      <c r="BU36">
        <v>22</v>
      </c>
      <c r="BV36">
        <v>0</v>
      </c>
      <c r="BW36">
        <v>0</v>
      </c>
      <c r="BX36">
        <v>0</v>
      </c>
      <c r="BY36">
        <v>0</v>
      </c>
      <c r="BZ36">
        <f t="shared" si="21"/>
        <v>0</v>
      </c>
      <c r="CA36">
        <f t="shared" si="21"/>
        <v>0</v>
      </c>
      <c r="CB36">
        <f t="shared" si="21"/>
        <v>0</v>
      </c>
      <c r="CC36">
        <f t="shared" si="21"/>
        <v>0</v>
      </c>
      <c r="CD36">
        <f t="shared" si="21"/>
        <v>0</v>
      </c>
      <c r="CE36">
        <f t="shared" si="23"/>
        <v>0</v>
      </c>
      <c r="CF36">
        <f t="shared" si="23"/>
        <v>0</v>
      </c>
      <c r="CG36">
        <f t="shared" si="23"/>
        <v>0</v>
      </c>
      <c r="CH36">
        <f t="shared" si="23"/>
        <v>0</v>
      </c>
      <c r="CI36">
        <f t="shared" si="23"/>
        <v>0</v>
      </c>
      <c r="CJ36">
        <f t="shared" si="23"/>
        <v>0</v>
      </c>
      <c r="CK36">
        <f t="shared" si="23"/>
        <v>0</v>
      </c>
      <c r="CL36">
        <f t="shared" si="23"/>
        <v>0</v>
      </c>
      <c r="CM36">
        <f t="shared" si="23"/>
        <v>0</v>
      </c>
      <c r="CN36">
        <f t="shared" si="22"/>
        <v>0</v>
      </c>
      <c r="CO36">
        <f t="shared" si="22"/>
        <v>0</v>
      </c>
      <c r="CP36">
        <f t="shared" si="22"/>
        <v>0</v>
      </c>
      <c r="CQ36">
        <f t="shared" si="22"/>
        <v>0</v>
      </c>
      <c r="CR36">
        <f t="shared" si="22"/>
        <v>0</v>
      </c>
      <c r="CS36">
        <f t="shared" si="24"/>
        <v>0</v>
      </c>
      <c r="CT36">
        <f t="shared" si="24"/>
        <v>0</v>
      </c>
      <c r="CU36">
        <f t="shared" si="24"/>
        <v>0</v>
      </c>
      <c r="CV36">
        <f t="shared" si="24"/>
        <v>0</v>
      </c>
      <c r="CW36">
        <f t="shared" si="24"/>
        <v>0</v>
      </c>
      <c r="CX36">
        <f t="shared" si="24"/>
        <v>0</v>
      </c>
      <c r="CY36">
        <f t="shared" si="24"/>
        <v>0</v>
      </c>
      <c r="CZ36">
        <f t="shared" si="24"/>
        <v>0</v>
      </c>
      <c r="DA36">
        <f t="shared" si="24"/>
        <v>0</v>
      </c>
      <c r="DB36" s="74">
        <f t="shared" si="7"/>
        <v>644.03389318629672</v>
      </c>
      <c r="DC36" s="74">
        <f t="shared" si="8"/>
        <v>21.467796439543225</v>
      </c>
      <c r="DD36" s="73">
        <f t="shared" si="9"/>
        <v>1300046.8167858585</v>
      </c>
      <c r="DE36" s="74">
        <f t="shared" si="10"/>
        <v>2613.256810068232</v>
      </c>
      <c r="DF36" s="74">
        <f t="shared" si="11"/>
        <v>87.108560335607734</v>
      </c>
      <c r="DG36" s="74">
        <f t="shared" si="12"/>
        <v>466292.12347650819</v>
      </c>
      <c r="DH36" s="74">
        <f t="shared" si="13"/>
        <v>73210.731251536607</v>
      </c>
      <c r="DI36" s="74">
        <f t="shared" si="14"/>
        <v>2440.3577083845535</v>
      </c>
      <c r="DJ36" s="74">
        <f t="shared" si="15"/>
        <v>3327.760511433482</v>
      </c>
      <c r="DK36" s="74">
        <f t="shared" si="16"/>
        <v>2447678.7815097072</v>
      </c>
      <c r="DL36" s="74">
        <f t="shared" si="17"/>
        <v>3337743.7929677828</v>
      </c>
    </row>
    <row r="37" spans="1:116" x14ac:dyDescent="0.2">
      <c r="A37" s="96">
        <v>43070</v>
      </c>
      <c r="B37" s="4">
        <f t="shared" si="0"/>
        <v>2017</v>
      </c>
      <c r="C37" s="4">
        <f t="shared" si="1"/>
        <v>12</v>
      </c>
      <c r="D37" s="59">
        <v>44807567</v>
      </c>
      <c r="E37" s="59">
        <f>IFERROR(VLOOKUP($B37-1,CDM!$I$7:$N$18,2,FALSE)/12,0)+IFERROR(VLOOKUP($B37,CDM!$I$36:$L$46,2,FALSE)/24,0)+IFERROR(VLOOKUP($B37,CDM!$I$36:$L$46,2,FALSE)/2*$C37/78,0)</f>
        <v>2300737.7101727668</v>
      </c>
      <c r="F37" s="59">
        <f t="shared" si="2"/>
        <v>47108304.710172765</v>
      </c>
      <c r="G37" s="73">
        <v>60594</v>
      </c>
      <c r="H37" s="59">
        <v>14914509</v>
      </c>
      <c r="I37" s="59">
        <f>IFERROR(VLOOKUP($B37-1,CDM!$I$7:$N$18,3,FALSE)/12,0)+IFERROR(VLOOKUP($B37,CDM!$I$36:$L$46,3,FALSE)/24,0)+IFERROR(VLOOKUP($B37,CDM!$I$36:$L$46,3,FALSE)/2*$C37/78,0)</f>
        <v>648313.29683768353</v>
      </c>
      <c r="J37" s="59">
        <f t="shared" si="3"/>
        <v>15562822.296837684</v>
      </c>
      <c r="K37" s="59">
        <v>5356</v>
      </c>
      <c r="L37" s="5">
        <v>72692802</v>
      </c>
      <c r="M37" s="2">
        <f>IFERROR(VLOOKUP($B37-1,CDM!$I$7:$N$18,4,FALSE)/12,0)+IFERROR(VLOOKUP($B37,CDM!$I$36:$L$46,4,FALSE)/24,0)+IFERROR(VLOOKUP($B37,CDM!$I$36:$L$46,4,FALSE)/2*$C37/78,0)</f>
        <v>2024370.3360599186</v>
      </c>
      <c r="N37" s="59">
        <f t="shared" si="4"/>
        <v>74717172.336059913</v>
      </c>
      <c r="O37" s="5">
        <v>174819</v>
      </c>
      <c r="P37" s="5">
        <v>1003</v>
      </c>
      <c r="Q37" s="5">
        <v>1217354.1000000001</v>
      </c>
      <c r="R37" s="5">
        <v>2029.3</v>
      </c>
      <c r="S37" s="5">
        <v>17184</v>
      </c>
      <c r="T37" s="5">
        <v>264173</v>
      </c>
      <c r="U37" s="1">
        <v>24</v>
      </c>
      <c r="V37" s="1">
        <v>564</v>
      </c>
      <c r="W37" s="114">
        <f>Economic!J99</f>
        <v>743976.2</v>
      </c>
      <c r="X37" s="114">
        <f>Economic!K99</f>
        <v>571846.40000000002</v>
      </c>
      <c r="Y37" s="114">
        <f>Economic!L99</f>
        <v>51922</v>
      </c>
      <c r="Z37" s="114">
        <f>Economic!M99</f>
        <v>745380</v>
      </c>
      <c r="AA37" s="114">
        <f>Economic!N99</f>
        <v>574771</v>
      </c>
      <c r="AB37" s="114">
        <f>Economic!O99</f>
        <v>30202</v>
      </c>
      <c r="AC37" s="114">
        <f>Economic!D99</f>
        <v>6992.4</v>
      </c>
      <c r="AD37" s="114">
        <f>Economic!E99</f>
        <v>6999.9</v>
      </c>
      <c r="AE37" s="114">
        <f>Economic!F99</f>
        <v>3148.2</v>
      </c>
      <c r="AF37" s="114">
        <f>Economic!G99</f>
        <v>3145.2</v>
      </c>
      <c r="AG37" s="114">
        <f>Economic!H99</f>
        <v>388.5</v>
      </c>
      <c r="AH37" s="114">
        <f>Economic!I99</f>
        <v>389.8</v>
      </c>
      <c r="AI37" s="114">
        <f>Economic!P111</f>
        <v>207.10000000000036</v>
      </c>
      <c r="AJ37" s="114">
        <f>Economic!Q111</f>
        <v>206.90000000000055</v>
      </c>
      <c r="AK37" s="114">
        <f>Economic!R111</f>
        <v>143</v>
      </c>
      <c r="AL37" s="114">
        <f>Economic!S111</f>
        <v>142.5</v>
      </c>
      <c r="AM37" s="114">
        <f>Economic!T111</f>
        <v>20488.600000000093</v>
      </c>
      <c r="AN37" s="114">
        <f>Economic!U111</f>
        <v>6393</v>
      </c>
      <c r="AO37" s="28">
        <f>Weather!D229</f>
        <v>-2.9419354838709673</v>
      </c>
      <c r="AP37" s="28">
        <f>Weather!E229</f>
        <v>711.20000000000016</v>
      </c>
      <c r="AQ37" s="28">
        <f>Weather!F229</f>
        <v>0</v>
      </c>
      <c r="AR37" s="28">
        <f>Weather!G229</f>
        <v>649.20000000000016</v>
      </c>
      <c r="AS37" s="28">
        <f>Weather!H229</f>
        <v>0</v>
      </c>
      <c r="AT37" s="28">
        <f>Weather!I229</f>
        <v>587.20000000000005</v>
      </c>
      <c r="AU37" s="28">
        <f>Weather!J229</f>
        <v>0</v>
      </c>
      <c r="AV37" s="28">
        <f>Weather!K229</f>
        <v>525.19999999999993</v>
      </c>
      <c r="AW37" s="28">
        <f>Weather!L229</f>
        <v>0</v>
      </c>
      <c r="AX37" s="28">
        <f>Weather!M229</f>
        <v>463.20000000000005</v>
      </c>
      <c r="AY37" s="28">
        <f>Weather!N229</f>
        <v>0</v>
      </c>
      <c r="AZ37" s="28">
        <f>Weather!O229</f>
        <v>401.20000000000005</v>
      </c>
      <c r="BA37" s="28">
        <f>Weather!P229</f>
        <v>0</v>
      </c>
      <c r="BB37" s="28">
        <f>Weather!Q229</f>
        <v>339.20000000000005</v>
      </c>
      <c r="BC37" s="28">
        <f>Weather!R229</f>
        <v>0</v>
      </c>
      <c r="BD37">
        <v>0</v>
      </c>
      <c r="BE37">
        <v>0</v>
      </c>
      <c r="BF37">
        <v>0</v>
      </c>
      <c r="BG37">
        <v>0</v>
      </c>
      <c r="BH37">
        <v>0</v>
      </c>
      <c r="BI37">
        <v>0</v>
      </c>
      <c r="BJ37">
        <v>0</v>
      </c>
      <c r="BK37">
        <v>0</v>
      </c>
      <c r="BL37">
        <v>0</v>
      </c>
      <c r="BM37">
        <v>0</v>
      </c>
      <c r="BN37">
        <v>0</v>
      </c>
      <c r="BO37">
        <v>1</v>
      </c>
      <c r="BP37">
        <v>0</v>
      </c>
      <c r="BQ37">
        <v>0</v>
      </c>
      <c r="BR37">
        <v>0</v>
      </c>
      <c r="BS37" s="1">
        <f t="shared" si="18"/>
        <v>36</v>
      </c>
      <c r="BT37">
        <v>31</v>
      </c>
      <c r="BU37">
        <v>19</v>
      </c>
      <c r="BV37">
        <v>0</v>
      </c>
      <c r="BW37">
        <v>0</v>
      </c>
      <c r="BX37">
        <v>0</v>
      </c>
      <c r="BY37">
        <v>0</v>
      </c>
      <c r="BZ37">
        <f t="shared" si="21"/>
        <v>0</v>
      </c>
      <c r="CA37">
        <f t="shared" si="21"/>
        <v>0</v>
      </c>
      <c r="CB37">
        <f t="shared" si="21"/>
        <v>0</v>
      </c>
      <c r="CC37">
        <f t="shared" si="21"/>
        <v>0</v>
      </c>
      <c r="CD37">
        <f t="shared" si="21"/>
        <v>0</v>
      </c>
      <c r="CE37">
        <f t="shared" si="23"/>
        <v>0</v>
      </c>
      <c r="CF37">
        <f t="shared" si="23"/>
        <v>0</v>
      </c>
      <c r="CG37">
        <f t="shared" si="23"/>
        <v>0</v>
      </c>
      <c r="CH37">
        <f t="shared" si="23"/>
        <v>0</v>
      </c>
      <c r="CI37">
        <f t="shared" si="23"/>
        <v>0</v>
      </c>
      <c r="CJ37">
        <f t="shared" si="23"/>
        <v>0</v>
      </c>
      <c r="CK37">
        <f t="shared" si="23"/>
        <v>0</v>
      </c>
      <c r="CL37">
        <f t="shared" si="23"/>
        <v>0</v>
      </c>
      <c r="CM37">
        <f t="shared" si="23"/>
        <v>0</v>
      </c>
      <c r="CN37">
        <f t="shared" si="22"/>
        <v>0</v>
      </c>
      <c r="CO37">
        <f t="shared" si="22"/>
        <v>0</v>
      </c>
      <c r="CP37">
        <f t="shared" si="22"/>
        <v>0</v>
      </c>
      <c r="CQ37">
        <f t="shared" si="22"/>
        <v>0</v>
      </c>
      <c r="CR37">
        <f t="shared" si="22"/>
        <v>0</v>
      </c>
      <c r="CS37">
        <f t="shared" si="24"/>
        <v>0</v>
      </c>
      <c r="CT37">
        <f t="shared" si="24"/>
        <v>0</v>
      </c>
      <c r="CU37">
        <f t="shared" si="24"/>
        <v>0</v>
      </c>
      <c r="CV37">
        <f t="shared" si="24"/>
        <v>0</v>
      </c>
      <c r="CW37">
        <f t="shared" si="24"/>
        <v>0</v>
      </c>
      <c r="CX37">
        <f t="shared" si="24"/>
        <v>0</v>
      </c>
      <c r="CY37">
        <f t="shared" si="24"/>
        <v>0</v>
      </c>
      <c r="CZ37">
        <f t="shared" si="24"/>
        <v>0</v>
      </c>
      <c r="DA37">
        <f t="shared" si="24"/>
        <v>0</v>
      </c>
      <c r="DB37" s="74">
        <f t="shared" si="7"/>
        <v>777.44173862383673</v>
      </c>
      <c r="DC37" s="74">
        <f t="shared" si="8"/>
        <v>25.078765762059248</v>
      </c>
      <c r="DD37" s="73">
        <f t="shared" si="9"/>
        <v>1519622.7325862183</v>
      </c>
      <c r="DE37" s="74">
        <f t="shared" si="10"/>
        <v>2905.6800404850046</v>
      </c>
      <c r="DF37" s="74">
        <f t="shared" si="11"/>
        <v>93.731614209193694</v>
      </c>
      <c r="DG37" s="74">
        <f t="shared" si="12"/>
        <v>502026.52570444142</v>
      </c>
      <c r="DH37" s="74">
        <f t="shared" si="13"/>
        <v>74493.691262273089</v>
      </c>
      <c r="DI37" s="74">
        <f t="shared" si="14"/>
        <v>2403.022298783003</v>
      </c>
      <c r="DJ37" s="74">
        <f t="shared" si="15"/>
        <v>3920.720592751215</v>
      </c>
      <c r="DK37" s="74">
        <f t="shared" si="16"/>
        <v>2410231.3656793521</v>
      </c>
      <c r="DL37" s="74">
        <f t="shared" si="17"/>
        <v>3932482.7545294692</v>
      </c>
    </row>
    <row r="38" spans="1:116" x14ac:dyDescent="0.2">
      <c r="A38" s="96">
        <v>43101</v>
      </c>
      <c r="B38" s="4">
        <f t="shared" si="0"/>
        <v>2018</v>
      </c>
      <c r="C38" s="4">
        <f t="shared" si="1"/>
        <v>1</v>
      </c>
      <c r="D38" s="59">
        <v>45520102</v>
      </c>
      <c r="E38" s="59">
        <f>IFERROR(VLOOKUP($B38-1,CDM!$I$7:$N$18,2,FALSE)/12,0)+IFERROR(VLOOKUP($B38,CDM!$I$36:$L$46,2,FALSE)/24,0)+IFERROR(VLOOKUP($B38,CDM!$I$36:$L$46,2,FALSE)/2*$C38/78,0)</f>
        <v>2189496.683987916</v>
      </c>
      <c r="F38" s="59">
        <f t="shared" si="2"/>
        <v>47709598.683987916</v>
      </c>
      <c r="G38" s="73">
        <v>60779</v>
      </c>
      <c r="H38" s="59">
        <v>15643746</v>
      </c>
      <c r="I38" s="59">
        <f>IFERROR(VLOOKUP($B38-1,CDM!$I$7:$N$18,3,FALSE)/12,0)+IFERROR(VLOOKUP($B38,CDM!$I$36:$L$46,3,FALSE)/24,0)+IFERROR(VLOOKUP($B38,CDM!$I$36:$L$46,3,FALSE)/2*$C38/78,0)</f>
        <v>697802.76787176286</v>
      </c>
      <c r="J38" s="59">
        <f t="shared" si="3"/>
        <v>16341548.767871764</v>
      </c>
      <c r="K38" s="59">
        <v>5365</v>
      </c>
      <c r="L38" s="5">
        <v>77544300</v>
      </c>
      <c r="M38" s="2">
        <f>IFERROR(VLOOKUP($B38-1,CDM!$I$7:$N$18,4,FALSE)/12,0)+IFERROR(VLOOKUP($B38,CDM!$I$36:$L$46,4,FALSE)/24,0)+IFERROR(VLOOKUP($B38,CDM!$I$36:$L$46,4,FALSE)/2*$C38/78,0)</f>
        <v>2073755.1323074386</v>
      </c>
      <c r="N38" s="59">
        <f t="shared" si="4"/>
        <v>79618055.13230744</v>
      </c>
      <c r="O38" s="5">
        <v>193600</v>
      </c>
      <c r="P38" s="5">
        <v>1002</v>
      </c>
      <c r="Q38" s="5">
        <v>867512.8</v>
      </c>
      <c r="R38" s="5">
        <v>1915.2</v>
      </c>
      <c r="S38" s="5">
        <v>17184</v>
      </c>
      <c r="T38" s="5">
        <v>262149</v>
      </c>
      <c r="U38" s="1">
        <v>24</v>
      </c>
      <c r="V38" s="1">
        <v>564</v>
      </c>
      <c r="W38" s="114">
        <f>Economic!J100</f>
        <v>764464.8</v>
      </c>
      <c r="X38" s="114">
        <f>Economic!K100</f>
        <v>590729.4</v>
      </c>
      <c r="Y38" s="114">
        <f>Economic!L100</f>
        <v>53985.7</v>
      </c>
      <c r="Z38" s="114">
        <f>Economic!M100</f>
        <v>756702</v>
      </c>
      <c r="AA38" s="114">
        <f>Economic!N100</f>
        <v>583158</v>
      </c>
      <c r="AB38" s="114">
        <f>Economic!O100</f>
        <v>30665</v>
      </c>
      <c r="AC38" s="114">
        <f>Economic!D100</f>
        <v>7014.6</v>
      </c>
      <c r="AD38" s="114">
        <f>Economic!E100</f>
        <v>6982.5</v>
      </c>
      <c r="AE38" s="114">
        <f>Economic!F100</f>
        <v>3160.2</v>
      </c>
      <c r="AF38" s="114">
        <f>Economic!G100</f>
        <v>3146.9</v>
      </c>
      <c r="AG38" s="114">
        <f>Economic!H100</f>
        <v>389.6</v>
      </c>
      <c r="AH38" s="114">
        <f>Economic!I100</f>
        <v>389.4</v>
      </c>
      <c r="AI38" s="114">
        <f>Economic!P112</f>
        <v>184.79999999999927</v>
      </c>
      <c r="AJ38" s="114">
        <f>Economic!Q112</f>
        <v>184.80000000000018</v>
      </c>
      <c r="AK38" s="114">
        <f>Economic!R112</f>
        <v>137.80000000000018</v>
      </c>
      <c r="AL38" s="114">
        <f>Economic!S112</f>
        <v>140.09999999999991</v>
      </c>
      <c r="AM38" s="114">
        <f>Economic!T112</f>
        <v>25066.79999999993</v>
      </c>
      <c r="AN38" s="114">
        <f>Economic!U112</f>
        <v>8006</v>
      </c>
      <c r="AO38" s="28">
        <f>Weather!D230</f>
        <v>-3.9451612903225803</v>
      </c>
      <c r="AP38" s="28">
        <f>Weather!E230</f>
        <v>742.29999999999984</v>
      </c>
      <c r="AQ38" s="28">
        <f>Weather!F230</f>
        <v>0</v>
      </c>
      <c r="AR38" s="28">
        <f>Weather!G230</f>
        <v>680.29999999999984</v>
      </c>
      <c r="AS38" s="28">
        <f>Weather!H230</f>
        <v>0</v>
      </c>
      <c r="AT38" s="28">
        <f>Weather!I230</f>
        <v>618.29999999999984</v>
      </c>
      <c r="AU38" s="28">
        <f>Weather!J230</f>
        <v>0</v>
      </c>
      <c r="AV38" s="28">
        <f>Weather!K230</f>
        <v>556.29999999999995</v>
      </c>
      <c r="AW38" s="28">
        <f>Weather!L230</f>
        <v>0</v>
      </c>
      <c r="AX38" s="28">
        <f>Weather!M230</f>
        <v>494.3</v>
      </c>
      <c r="AY38" s="28">
        <f>Weather!N230</f>
        <v>0</v>
      </c>
      <c r="AZ38" s="28">
        <f>Weather!O230</f>
        <v>432.5</v>
      </c>
      <c r="BA38" s="28">
        <f>Weather!P230</f>
        <v>0.19999999999999929</v>
      </c>
      <c r="BB38" s="28">
        <f>Weather!Q230</f>
        <v>372.5</v>
      </c>
      <c r="BC38" s="28">
        <f>Weather!R230</f>
        <v>2.1999999999999993</v>
      </c>
      <c r="BD38">
        <v>1</v>
      </c>
      <c r="BE38">
        <v>0</v>
      </c>
      <c r="BF38">
        <v>0</v>
      </c>
      <c r="BG38">
        <v>0</v>
      </c>
      <c r="BH38">
        <v>0</v>
      </c>
      <c r="BI38">
        <v>0</v>
      </c>
      <c r="BJ38">
        <v>0</v>
      </c>
      <c r="BK38">
        <v>0</v>
      </c>
      <c r="BL38">
        <v>0</v>
      </c>
      <c r="BM38">
        <v>0</v>
      </c>
      <c r="BN38">
        <v>0</v>
      </c>
      <c r="BO38">
        <v>0</v>
      </c>
      <c r="BP38">
        <v>0</v>
      </c>
      <c r="BQ38">
        <v>0</v>
      </c>
      <c r="BR38">
        <v>0</v>
      </c>
      <c r="BS38" s="1">
        <f t="shared" si="18"/>
        <v>37</v>
      </c>
      <c r="BT38">
        <v>31</v>
      </c>
      <c r="BU38">
        <v>22</v>
      </c>
      <c r="BV38">
        <v>0</v>
      </c>
      <c r="BW38">
        <v>0</v>
      </c>
      <c r="BX38">
        <v>0</v>
      </c>
      <c r="BY38">
        <v>0</v>
      </c>
      <c r="BZ38">
        <f t="shared" si="21"/>
        <v>0</v>
      </c>
      <c r="CA38">
        <f t="shared" si="21"/>
        <v>0</v>
      </c>
      <c r="CB38">
        <f t="shared" si="21"/>
        <v>0</v>
      </c>
      <c r="CC38">
        <f t="shared" si="21"/>
        <v>0</v>
      </c>
      <c r="CD38">
        <f t="shared" si="21"/>
        <v>0</v>
      </c>
      <c r="CE38">
        <f t="shared" si="23"/>
        <v>0</v>
      </c>
      <c r="CF38">
        <f t="shared" si="23"/>
        <v>0</v>
      </c>
      <c r="CG38">
        <f t="shared" si="23"/>
        <v>0</v>
      </c>
      <c r="CH38">
        <f t="shared" si="23"/>
        <v>0</v>
      </c>
      <c r="CI38">
        <f t="shared" si="23"/>
        <v>0</v>
      </c>
      <c r="CJ38">
        <f t="shared" si="23"/>
        <v>0</v>
      </c>
      <c r="CK38">
        <f t="shared" si="23"/>
        <v>0</v>
      </c>
      <c r="CL38">
        <f t="shared" si="23"/>
        <v>0</v>
      </c>
      <c r="CM38">
        <f t="shared" si="23"/>
        <v>0</v>
      </c>
      <c r="CN38">
        <f t="shared" si="22"/>
        <v>0</v>
      </c>
      <c r="CO38">
        <f t="shared" si="22"/>
        <v>0</v>
      </c>
      <c r="CP38">
        <f t="shared" si="22"/>
        <v>0</v>
      </c>
      <c r="CQ38">
        <f t="shared" si="22"/>
        <v>0</v>
      </c>
      <c r="CR38">
        <f t="shared" si="22"/>
        <v>0</v>
      </c>
      <c r="CS38">
        <f t="shared" si="24"/>
        <v>0</v>
      </c>
      <c r="CT38">
        <f t="shared" si="24"/>
        <v>0</v>
      </c>
      <c r="CU38">
        <f t="shared" si="24"/>
        <v>0</v>
      </c>
      <c r="CV38">
        <f t="shared" si="24"/>
        <v>0</v>
      </c>
      <c r="CW38">
        <f t="shared" si="24"/>
        <v>0</v>
      </c>
      <c r="CX38">
        <f t="shared" si="24"/>
        <v>0</v>
      </c>
      <c r="CY38">
        <f t="shared" si="24"/>
        <v>0</v>
      </c>
      <c r="CZ38">
        <f t="shared" si="24"/>
        <v>0</v>
      </c>
      <c r="DA38">
        <f t="shared" si="24"/>
        <v>0</v>
      </c>
      <c r="DB38" s="74">
        <f t="shared" si="7"/>
        <v>784.96847075450262</v>
      </c>
      <c r="DC38" s="74">
        <f t="shared" si="8"/>
        <v>25.321563572725889</v>
      </c>
      <c r="DD38" s="73">
        <f t="shared" si="9"/>
        <v>1539019.3123867069</v>
      </c>
      <c r="DE38" s="74">
        <f t="shared" si="10"/>
        <v>3045.9550359500026</v>
      </c>
      <c r="DF38" s="74">
        <f t="shared" si="11"/>
        <v>98.25661406290331</v>
      </c>
      <c r="DG38" s="74">
        <f t="shared" si="12"/>
        <v>527146.73444747622</v>
      </c>
      <c r="DH38" s="74">
        <f t="shared" si="13"/>
        <v>79459.136858590253</v>
      </c>
      <c r="DI38" s="74">
        <f t="shared" si="14"/>
        <v>2563.1979631803306</v>
      </c>
      <c r="DJ38" s="74">
        <f t="shared" si="15"/>
        <v>3611.7789481177388</v>
      </c>
      <c r="DK38" s="74">
        <f t="shared" si="16"/>
        <v>2568324.3591066916</v>
      </c>
      <c r="DL38" s="74">
        <f t="shared" si="17"/>
        <v>3619002.5060139745</v>
      </c>
    </row>
    <row r="39" spans="1:116" x14ac:dyDescent="0.2">
      <c r="A39" s="96">
        <v>43132</v>
      </c>
      <c r="B39" s="4">
        <f t="shared" si="0"/>
        <v>2018</v>
      </c>
      <c r="C39" s="4">
        <f t="shared" si="1"/>
        <v>2</v>
      </c>
      <c r="D39" s="59">
        <v>37446591</v>
      </c>
      <c r="E39" s="59">
        <f>IFERROR(VLOOKUP($B39-1,CDM!$I$7:$N$18,2,FALSE)/12,0)+IFERROR(VLOOKUP($B39,CDM!$I$36:$L$46,2,FALSE)/24,0)+IFERROR(VLOOKUP($B39,CDM!$I$36:$L$46,2,FALSE)/2*$C39/78,0)</f>
        <v>2240688.8986677458</v>
      </c>
      <c r="F39" s="59">
        <f t="shared" si="2"/>
        <v>39687279.898667745</v>
      </c>
      <c r="G39" s="73">
        <v>60797</v>
      </c>
      <c r="H39" s="59">
        <v>13639150</v>
      </c>
      <c r="I39" s="59">
        <f>IFERROR(VLOOKUP($B39-1,CDM!$I$7:$N$18,3,FALSE)/12,0)+IFERROR(VLOOKUP($B39,CDM!$I$36:$L$46,3,FALSE)/24,0)+IFERROR(VLOOKUP($B39,CDM!$I$36:$L$46,3,FALSE)/2*$C39/78,0)</f>
        <v>713650.59854076069</v>
      </c>
      <c r="J39" s="59">
        <f t="shared" si="3"/>
        <v>14352800.598540761</v>
      </c>
      <c r="K39" s="59">
        <v>5367</v>
      </c>
      <c r="L39" s="5">
        <v>68432722</v>
      </c>
      <c r="M39" s="2">
        <f>IFERROR(VLOOKUP($B39-1,CDM!$I$7:$N$18,4,FALSE)/12,0)+IFERROR(VLOOKUP($B39,CDM!$I$36:$L$46,4,FALSE)/24,0)+IFERROR(VLOOKUP($B39,CDM!$I$36:$L$46,4,FALSE)/2*$C39/78,0)</f>
        <v>2120964.8917041542</v>
      </c>
      <c r="N39" s="59">
        <f t="shared" si="4"/>
        <v>70553686.891704157</v>
      </c>
      <c r="O39" s="5">
        <v>189385</v>
      </c>
      <c r="P39" s="5">
        <v>1004</v>
      </c>
      <c r="Q39" s="5">
        <v>668680.30000000005</v>
      </c>
      <c r="R39" s="5">
        <v>1770.2</v>
      </c>
      <c r="S39" s="5">
        <v>17184</v>
      </c>
      <c r="T39" s="5">
        <v>261046</v>
      </c>
      <c r="U39" s="1">
        <v>24</v>
      </c>
      <c r="V39" s="1">
        <v>564</v>
      </c>
      <c r="W39" s="114">
        <f>Economic!J101</f>
        <v>764464.8</v>
      </c>
      <c r="X39" s="114">
        <f>Economic!K101</f>
        <v>590729.4</v>
      </c>
      <c r="Y39" s="114">
        <f>Economic!L101</f>
        <v>53985.7</v>
      </c>
      <c r="Z39" s="114">
        <f>Economic!M101</f>
        <v>756702</v>
      </c>
      <c r="AA39" s="114">
        <f>Economic!N101</f>
        <v>583158</v>
      </c>
      <c r="AB39" s="114">
        <f>Economic!O101</f>
        <v>30665</v>
      </c>
      <c r="AC39" s="114">
        <f>Economic!D101</f>
        <v>7031.3</v>
      </c>
      <c r="AD39" s="114">
        <f>Economic!E101</f>
        <v>6962.5</v>
      </c>
      <c r="AE39" s="114">
        <f>Economic!F101</f>
        <v>3172.8</v>
      </c>
      <c r="AF39" s="114">
        <f>Economic!G101</f>
        <v>3148.4</v>
      </c>
      <c r="AG39" s="114">
        <f>Economic!H101</f>
        <v>390.8</v>
      </c>
      <c r="AH39" s="114">
        <f>Economic!I101</f>
        <v>388.6</v>
      </c>
      <c r="AI39" s="114">
        <f>Economic!P113</f>
        <v>157.59999999999945</v>
      </c>
      <c r="AJ39" s="114">
        <f>Economic!Q113</f>
        <v>157.60000000000036</v>
      </c>
      <c r="AK39" s="114">
        <f>Economic!R113</f>
        <v>127.29999999999973</v>
      </c>
      <c r="AL39" s="114">
        <f>Economic!S113</f>
        <v>131.59999999999991</v>
      </c>
      <c r="AM39" s="114">
        <f>Economic!T113</f>
        <v>25066.79999999993</v>
      </c>
      <c r="AN39" s="114">
        <f>Economic!U113</f>
        <v>8006</v>
      </c>
      <c r="AO39" s="28">
        <f>Weather!D231</f>
        <v>-0.28928571428571387</v>
      </c>
      <c r="AP39" s="28">
        <f>Weather!E231</f>
        <v>568.1</v>
      </c>
      <c r="AQ39" s="28">
        <f>Weather!F231</f>
        <v>0</v>
      </c>
      <c r="AR39" s="28">
        <f>Weather!G231</f>
        <v>512.09999999999991</v>
      </c>
      <c r="AS39" s="28">
        <f>Weather!H231</f>
        <v>0</v>
      </c>
      <c r="AT39" s="28">
        <f>Weather!I231</f>
        <v>456.1</v>
      </c>
      <c r="AU39" s="28">
        <f>Weather!J231</f>
        <v>0</v>
      </c>
      <c r="AV39" s="28">
        <f>Weather!K231</f>
        <v>400.1</v>
      </c>
      <c r="AW39" s="28">
        <f>Weather!L231</f>
        <v>0</v>
      </c>
      <c r="AX39" s="28">
        <f>Weather!M231</f>
        <v>344.10000000000008</v>
      </c>
      <c r="AY39" s="28">
        <f>Weather!N231</f>
        <v>0</v>
      </c>
      <c r="AZ39" s="28">
        <f>Weather!O231</f>
        <v>288.50000000000006</v>
      </c>
      <c r="BA39" s="28">
        <f>Weather!P231</f>
        <v>0.40000000000000036</v>
      </c>
      <c r="BB39" s="28">
        <f>Weather!Q231</f>
        <v>235.5</v>
      </c>
      <c r="BC39" s="28">
        <f>Weather!R231</f>
        <v>3.4000000000000004</v>
      </c>
      <c r="BD39">
        <v>0</v>
      </c>
      <c r="BE39">
        <v>1</v>
      </c>
      <c r="BF39">
        <v>0</v>
      </c>
      <c r="BG39">
        <v>0</v>
      </c>
      <c r="BH39">
        <v>0</v>
      </c>
      <c r="BI39">
        <v>0</v>
      </c>
      <c r="BJ39">
        <v>0</v>
      </c>
      <c r="BK39">
        <v>0</v>
      </c>
      <c r="BL39">
        <v>0</v>
      </c>
      <c r="BM39">
        <v>0</v>
      </c>
      <c r="BN39">
        <v>0</v>
      </c>
      <c r="BO39">
        <v>0</v>
      </c>
      <c r="BP39">
        <v>0</v>
      </c>
      <c r="BQ39">
        <v>0</v>
      </c>
      <c r="BR39">
        <v>0</v>
      </c>
      <c r="BS39" s="1">
        <f t="shared" si="18"/>
        <v>38</v>
      </c>
      <c r="BT39">
        <v>28</v>
      </c>
      <c r="BU39">
        <v>19</v>
      </c>
      <c r="BV39">
        <v>0</v>
      </c>
      <c r="BW39">
        <v>0</v>
      </c>
      <c r="BX39">
        <v>0</v>
      </c>
      <c r="BY39">
        <v>0</v>
      </c>
      <c r="BZ39">
        <f t="shared" si="21"/>
        <v>0</v>
      </c>
      <c r="CA39">
        <f t="shared" si="21"/>
        <v>0</v>
      </c>
      <c r="CB39">
        <f t="shared" si="21"/>
        <v>0</v>
      </c>
      <c r="CC39">
        <f t="shared" si="21"/>
        <v>0</v>
      </c>
      <c r="CD39">
        <f t="shared" si="21"/>
        <v>0</v>
      </c>
      <c r="CE39">
        <f t="shared" si="23"/>
        <v>0</v>
      </c>
      <c r="CF39">
        <f t="shared" si="23"/>
        <v>0</v>
      </c>
      <c r="CG39">
        <f t="shared" si="23"/>
        <v>0</v>
      </c>
      <c r="CH39">
        <f t="shared" si="23"/>
        <v>0</v>
      </c>
      <c r="CI39">
        <f t="shared" si="23"/>
        <v>0</v>
      </c>
      <c r="CJ39">
        <f t="shared" si="23"/>
        <v>0</v>
      </c>
      <c r="CK39">
        <f t="shared" si="23"/>
        <v>0</v>
      </c>
      <c r="CL39">
        <f t="shared" si="23"/>
        <v>0</v>
      </c>
      <c r="CM39">
        <f t="shared" si="23"/>
        <v>0</v>
      </c>
      <c r="CN39">
        <f t="shared" si="22"/>
        <v>0</v>
      </c>
      <c r="CO39">
        <f t="shared" si="22"/>
        <v>0</v>
      </c>
      <c r="CP39">
        <f t="shared" si="22"/>
        <v>0</v>
      </c>
      <c r="CQ39">
        <f t="shared" si="22"/>
        <v>0</v>
      </c>
      <c r="CR39">
        <f t="shared" si="22"/>
        <v>0</v>
      </c>
      <c r="CS39">
        <f t="shared" si="24"/>
        <v>0</v>
      </c>
      <c r="CT39">
        <f t="shared" si="24"/>
        <v>0</v>
      </c>
      <c r="CU39">
        <f t="shared" si="24"/>
        <v>0</v>
      </c>
      <c r="CV39">
        <f t="shared" si="24"/>
        <v>0</v>
      </c>
      <c r="CW39">
        <f t="shared" si="24"/>
        <v>0</v>
      </c>
      <c r="CX39">
        <f t="shared" si="24"/>
        <v>0</v>
      </c>
      <c r="CY39">
        <f t="shared" si="24"/>
        <v>0</v>
      </c>
      <c r="CZ39">
        <f t="shared" si="24"/>
        <v>0</v>
      </c>
      <c r="DA39">
        <f t="shared" si="24"/>
        <v>0</v>
      </c>
      <c r="DB39" s="74">
        <f t="shared" si="7"/>
        <v>652.78352383617198</v>
      </c>
      <c r="DC39" s="74">
        <f t="shared" si="8"/>
        <v>23.313697279863284</v>
      </c>
      <c r="DD39" s="73">
        <f t="shared" si="9"/>
        <v>1417402.8535238481</v>
      </c>
      <c r="DE39" s="74">
        <f t="shared" si="10"/>
        <v>2674.268790486447</v>
      </c>
      <c r="DF39" s="74">
        <f t="shared" si="11"/>
        <v>95.509599660230251</v>
      </c>
      <c r="DG39" s="74">
        <f t="shared" si="12"/>
        <v>512600.02137645573</v>
      </c>
      <c r="DH39" s="74">
        <f t="shared" si="13"/>
        <v>70272.596505681431</v>
      </c>
      <c r="DI39" s="74">
        <f t="shared" si="14"/>
        <v>2509.7355894886227</v>
      </c>
      <c r="DJ39" s="74">
        <f t="shared" si="15"/>
        <v>3698.5577108253383</v>
      </c>
      <c r="DK39" s="74">
        <f t="shared" si="16"/>
        <v>2519774.5318465768</v>
      </c>
      <c r="DL39" s="74">
        <f t="shared" si="17"/>
        <v>3713351.9416686399</v>
      </c>
    </row>
    <row r="40" spans="1:116" x14ac:dyDescent="0.2">
      <c r="A40" s="96">
        <v>43160</v>
      </c>
      <c r="B40" s="4">
        <f t="shared" si="0"/>
        <v>2018</v>
      </c>
      <c r="C40" s="4">
        <f t="shared" si="1"/>
        <v>3</v>
      </c>
      <c r="D40" s="59">
        <v>38782369</v>
      </c>
      <c r="E40" s="59">
        <f>IFERROR(VLOOKUP($B40-1,CDM!$I$7:$N$18,2,FALSE)/12,0)+IFERROR(VLOOKUP($B40,CDM!$I$36:$L$46,2,FALSE)/24,0)+IFERROR(VLOOKUP($B40,CDM!$I$36:$L$46,2,FALSE)/2*$C40/78,0)</f>
        <v>2291881.1133475755</v>
      </c>
      <c r="F40" s="59">
        <f t="shared" si="2"/>
        <v>41074250.113347575</v>
      </c>
      <c r="G40" s="73">
        <v>60798</v>
      </c>
      <c r="H40" s="59">
        <v>14498535</v>
      </c>
      <c r="I40" s="59">
        <f>IFERROR(VLOOKUP($B40-1,CDM!$I$7:$N$18,3,FALSE)/12,0)+IFERROR(VLOOKUP($B40,CDM!$I$36:$L$46,3,FALSE)/24,0)+IFERROR(VLOOKUP($B40,CDM!$I$36:$L$46,3,FALSE)/2*$C40/78,0)</f>
        <v>729498.42920975864</v>
      </c>
      <c r="J40" s="59">
        <f t="shared" si="3"/>
        <v>15228033.429209759</v>
      </c>
      <c r="K40" s="59">
        <v>5382</v>
      </c>
      <c r="L40" s="5">
        <v>73851189</v>
      </c>
      <c r="M40" s="2">
        <f>IFERROR(VLOOKUP($B40-1,CDM!$I$7:$N$18,4,FALSE)/12,0)+IFERROR(VLOOKUP($B40,CDM!$I$36:$L$46,4,FALSE)/24,0)+IFERROR(VLOOKUP($B40,CDM!$I$36:$L$46,4,FALSE)/2*$C40/78,0)</f>
        <v>2168174.6511008702</v>
      </c>
      <c r="N40" s="59">
        <f t="shared" si="4"/>
        <v>76019363.651100874</v>
      </c>
      <c r="O40" s="5">
        <v>187159</v>
      </c>
      <c r="P40" s="5">
        <v>1008</v>
      </c>
      <c r="Q40" s="5">
        <v>606508.19999999995</v>
      </c>
      <c r="R40" s="5">
        <v>1627</v>
      </c>
      <c r="S40" s="5">
        <v>17184</v>
      </c>
      <c r="T40" s="5">
        <v>262882</v>
      </c>
      <c r="U40" s="1">
        <v>24</v>
      </c>
      <c r="V40" s="1">
        <v>564</v>
      </c>
      <c r="W40" s="114">
        <f>Economic!J102</f>
        <v>764464.8</v>
      </c>
      <c r="X40" s="114">
        <f>Economic!K102</f>
        <v>590729.4</v>
      </c>
      <c r="Y40" s="114">
        <f>Economic!L102</f>
        <v>53985.7</v>
      </c>
      <c r="Z40" s="114">
        <f>Economic!M102</f>
        <v>756702</v>
      </c>
      <c r="AA40" s="114">
        <f>Economic!N102</f>
        <v>583158</v>
      </c>
      <c r="AB40" s="114">
        <f>Economic!O102</f>
        <v>30665</v>
      </c>
      <c r="AC40" s="114">
        <f>Economic!D102</f>
        <v>7049</v>
      </c>
      <c r="AD40" s="114">
        <f>Economic!E102</f>
        <v>6946</v>
      </c>
      <c r="AE40" s="114">
        <f>Economic!F102</f>
        <v>3190.4</v>
      </c>
      <c r="AF40" s="114">
        <f>Economic!G102</f>
        <v>3149.6</v>
      </c>
      <c r="AG40" s="114">
        <f>Economic!H102</f>
        <v>395</v>
      </c>
      <c r="AH40" s="114">
        <f>Economic!I102</f>
        <v>390.1</v>
      </c>
      <c r="AI40" s="114">
        <f>Economic!P114</f>
        <v>139.80000000000018</v>
      </c>
      <c r="AJ40" s="114">
        <f>Economic!Q114</f>
        <v>138.10000000000036</v>
      </c>
      <c r="AK40" s="114">
        <f>Economic!R114</f>
        <v>105.79999999999973</v>
      </c>
      <c r="AL40" s="114">
        <f>Economic!S114</f>
        <v>109.90000000000009</v>
      </c>
      <c r="AM40" s="114">
        <f>Economic!T114</f>
        <v>25066.79999999993</v>
      </c>
      <c r="AN40" s="114">
        <f>Economic!U114</f>
        <v>8006</v>
      </c>
      <c r="AO40" s="28">
        <f>Weather!D232</f>
        <v>0.77741935483870972</v>
      </c>
      <c r="AP40" s="28">
        <f>Weather!E232</f>
        <v>595.9</v>
      </c>
      <c r="AQ40" s="28">
        <f>Weather!F232</f>
        <v>0</v>
      </c>
      <c r="AR40" s="28">
        <f>Weather!G232</f>
        <v>533.9</v>
      </c>
      <c r="AS40" s="28">
        <f>Weather!H232</f>
        <v>0</v>
      </c>
      <c r="AT40" s="28">
        <f>Weather!I232</f>
        <v>471.89999999999992</v>
      </c>
      <c r="AU40" s="28">
        <f>Weather!J232</f>
        <v>0</v>
      </c>
      <c r="AV40" s="28">
        <f>Weather!K232</f>
        <v>409.89999999999986</v>
      </c>
      <c r="AW40" s="28">
        <f>Weather!L232</f>
        <v>0</v>
      </c>
      <c r="AX40" s="28">
        <f>Weather!M232</f>
        <v>347.89999999999986</v>
      </c>
      <c r="AY40" s="28">
        <f>Weather!N232</f>
        <v>0</v>
      </c>
      <c r="AZ40" s="28">
        <f>Weather!O232</f>
        <v>285.89999999999992</v>
      </c>
      <c r="BA40" s="28">
        <f>Weather!P232</f>
        <v>0</v>
      </c>
      <c r="BB40" s="28">
        <f>Weather!Q232</f>
        <v>223.89999999999998</v>
      </c>
      <c r="BC40" s="28">
        <f>Weather!R232</f>
        <v>0</v>
      </c>
      <c r="BD40">
        <v>0</v>
      </c>
      <c r="BE40">
        <v>0</v>
      </c>
      <c r="BF40">
        <v>1</v>
      </c>
      <c r="BG40">
        <v>0</v>
      </c>
      <c r="BH40">
        <v>0</v>
      </c>
      <c r="BI40">
        <v>0</v>
      </c>
      <c r="BJ40">
        <v>0</v>
      </c>
      <c r="BK40">
        <v>0</v>
      </c>
      <c r="BL40">
        <v>0</v>
      </c>
      <c r="BM40">
        <v>0</v>
      </c>
      <c r="BN40">
        <v>0</v>
      </c>
      <c r="BO40">
        <v>0</v>
      </c>
      <c r="BP40">
        <v>1</v>
      </c>
      <c r="BQ40">
        <v>0</v>
      </c>
      <c r="BR40">
        <v>1</v>
      </c>
      <c r="BS40" s="1">
        <f t="shared" si="18"/>
        <v>39</v>
      </c>
      <c r="BT40">
        <v>31</v>
      </c>
      <c r="BU40">
        <v>21</v>
      </c>
      <c r="BV40">
        <v>0</v>
      </c>
      <c r="BW40">
        <v>0</v>
      </c>
      <c r="BX40">
        <v>0</v>
      </c>
      <c r="BY40">
        <v>0</v>
      </c>
      <c r="BZ40">
        <f t="shared" si="21"/>
        <v>0</v>
      </c>
      <c r="CA40">
        <f t="shared" si="21"/>
        <v>0</v>
      </c>
      <c r="CB40">
        <f t="shared" si="21"/>
        <v>0</v>
      </c>
      <c r="CC40">
        <f t="shared" si="21"/>
        <v>0</v>
      </c>
      <c r="CD40">
        <f t="shared" si="21"/>
        <v>0</v>
      </c>
      <c r="CE40">
        <f t="shared" si="23"/>
        <v>0</v>
      </c>
      <c r="CF40">
        <f t="shared" si="23"/>
        <v>0</v>
      </c>
      <c r="CG40">
        <f t="shared" si="23"/>
        <v>0</v>
      </c>
      <c r="CH40">
        <f t="shared" si="23"/>
        <v>0</v>
      </c>
      <c r="CI40">
        <f t="shared" si="23"/>
        <v>0</v>
      </c>
      <c r="CJ40">
        <f t="shared" si="23"/>
        <v>0</v>
      </c>
      <c r="CK40">
        <f t="shared" si="23"/>
        <v>0</v>
      </c>
      <c r="CL40">
        <f t="shared" si="23"/>
        <v>0</v>
      </c>
      <c r="CM40">
        <f t="shared" si="23"/>
        <v>0</v>
      </c>
      <c r="CN40">
        <f t="shared" si="22"/>
        <v>0</v>
      </c>
      <c r="CO40">
        <f t="shared" si="22"/>
        <v>0</v>
      </c>
      <c r="CP40">
        <f t="shared" si="22"/>
        <v>0</v>
      </c>
      <c r="CQ40">
        <f t="shared" si="22"/>
        <v>0</v>
      </c>
      <c r="CR40">
        <f t="shared" si="22"/>
        <v>0</v>
      </c>
      <c r="CS40">
        <f t="shared" si="24"/>
        <v>0</v>
      </c>
      <c r="CT40">
        <f t="shared" si="24"/>
        <v>0</v>
      </c>
      <c r="CU40">
        <f t="shared" si="24"/>
        <v>0</v>
      </c>
      <c r="CV40">
        <f t="shared" si="24"/>
        <v>0</v>
      </c>
      <c r="CW40">
        <f t="shared" si="24"/>
        <v>0</v>
      </c>
      <c r="CX40">
        <f t="shared" si="24"/>
        <v>0</v>
      </c>
      <c r="CY40">
        <f t="shared" si="24"/>
        <v>0</v>
      </c>
      <c r="CZ40">
        <f t="shared" si="24"/>
        <v>0</v>
      </c>
      <c r="DA40">
        <f t="shared" si="24"/>
        <v>0</v>
      </c>
      <c r="DB40" s="74">
        <f t="shared" si="7"/>
        <v>675.58554744148785</v>
      </c>
      <c r="DC40" s="74">
        <f t="shared" si="8"/>
        <v>21.793082175531865</v>
      </c>
      <c r="DD40" s="73">
        <f t="shared" si="9"/>
        <v>1324975.8101079862</v>
      </c>
      <c r="DE40" s="74">
        <f t="shared" si="10"/>
        <v>2829.4376494258195</v>
      </c>
      <c r="DF40" s="74">
        <f t="shared" si="11"/>
        <v>91.272182239542559</v>
      </c>
      <c r="DG40" s="74">
        <f t="shared" si="12"/>
        <v>491226.88481321803</v>
      </c>
      <c r="DH40" s="74">
        <f t="shared" si="13"/>
        <v>75416.03536815563</v>
      </c>
      <c r="DI40" s="74">
        <f t="shared" si="14"/>
        <v>2432.7753344566331</v>
      </c>
      <c r="DJ40" s="74">
        <f t="shared" si="15"/>
        <v>3591.2397794359822</v>
      </c>
      <c r="DK40" s="74">
        <f t="shared" si="16"/>
        <v>2452237.5371322865</v>
      </c>
      <c r="DL40" s="74">
        <f t="shared" si="17"/>
        <v>3619969.6976714702</v>
      </c>
    </row>
    <row r="41" spans="1:116" x14ac:dyDescent="0.2">
      <c r="A41" s="96">
        <v>43191</v>
      </c>
      <c r="B41" s="4">
        <f t="shared" si="0"/>
        <v>2018</v>
      </c>
      <c r="C41" s="4">
        <f t="shared" si="1"/>
        <v>4</v>
      </c>
      <c r="D41" s="59">
        <v>35825905</v>
      </c>
      <c r="E41" s="59">
        <f>IFERROR(VLOOKUP($B41-1,CDM!$I$7:$N$18,2,FALSE)/12,0)+IFERROR(VLOOKUP($B41,CDM!$I$36:$L$46,2,FALSE)/24,0)+IFERROR(VLOOKUP($B41,CDM!$I$36:$L$46,2,FALSE)/2*$C41/78,0)</f>
        <v>2343073.3280274048</v>
      </c>
      <c r="F41" s="59">
        <f t="shared" si="2"/>
        <v>38168978.328027405</v>
      </c>
      <c r="G41" s="73">
        <v>60792</v>
      </c>
      <c r="H41" s="59">
        <v>13441312</v>
      </c>
      <c r="I41" s="59">
        <f>IFERROR(VLOOKUP($B41-1,CDM!$I$7:$N$18,3,FALSE)/12,0)+IFERROR(VLOOKUP($B41,CDM!$I$36:$L$46,3,FALSE)/24,0)+IFERROR(VLOOKUP($B41,CDM!$I$36:$L$46,3,FALSE)/2*$C41/78,0)</f>
        <v>745346.25987875648</v>
      </c>
      <c r="J41" s="59">
        <f t="shared" si="3"/>
        <v>14186658.259878756</v>
      </c>
      <c r="K41" s="59">
        <v>5377</v>
      </c>
      <c r="L41" s="5">
        <v>70289177</v>
      </c>
      <c r="M41" s="2">
        <f>IFERROR(VLOOKUP($B41-1,CDM!$I$7:$N$18,4,FALSE)/12,0)+IFERROR(VLOOKUP($B41,CDM!$I$36:$L$46,4,FALSE)/24,0)+IFERROR(VLOOKUP($B41,CDM!$I$36:$L$46,4,FALSE)/2*$C41/78,0)</f>
        <v>2215384.4104975862</v>
      </c>
      <c r="N41" s="59">
        <f t="shared" si="4"/>
        <v>72504561.410497591</v>
      </c>
      <c r="O41" s="5">
        <v>184065</v>
      </c>
      <c r="P41" s="5">
        <v>1006</v>
      </c>
      <c r="Q41" s="5">
        <v>479278.6</v>
      </c>
      <c r="R41" s="5">
        <v>1515.5</v>
      </c>
      <c r="S41" s="5">
        <v>17184</v>
      </c>
      <c r="T41" s="5">
        <v>260891</v>
      </c>
      <c r="U41" s="1">
        <v>24</v>
      </c>
      <c r="V41" s="1">
        <v>564</v>
      </c>
      <c r="W41" s="114">
        <f>Economic!J103</f>
        <v>764464.8</v>
      </c>
      <c r="X41" s="114">
        <f>Economic!K103</f>
        <v>590729.4</v>
      </c>
      <c r="Y41" s="114">
        <f>Economic!L103</f>
        <v>53985.7</v>
      </c>
      <c r="Z41" s="114">
        <f>Economic!M103</f>
        <v>764644</v>
      </c>
      <c r="AA41" s="114">
        <f>Economic!N103</f>
        <v>590485</v>
      </c>
      <c r="AB41" s="114">
        <f>Economic!O103</f>
        <v>31148</v>
      </c>
      <c r="AC41" s="114">
        <f>Economic!D103</f>
        <v>7055.1</v>
      </c>
      <c r="AD41" s="114">
        <f>Economic!E103</f>
        <v>6963.6</v>
      </c>
      <c r="AE41" s="114">
        <f>Economic!F103</f>
        <v>3204</v>
      </c>
      <c r="AF41" s="114">
        <f>Economic!G103</f>
        <v>3171.5</v>
      </c>
      <c r="AG41" s="114">
        <f>Economic!H103</f>
        <v>402.6</v>
      </c>
      <c r="AH41" s="114">
        <f>Economic!I103</f>
        <v>399.1</v>
      </c>
      <c r="AI41" s="114">
        <f>Economic!P115</f>
        <v>146</v>
      </c>
      <c r="AJ41" s="114">
        <f>Economic!Q115</f>
        <v>148</v>
      </c>
      <c r="AK41" s="114">
        <f>Economic!R115</f>
        <v>87.599999999999909</v>
      </c>
      <c r="AL41" s="114">
        <f>Economic!S115</f>
        <v>89.599999999999909</v>
      </c>
      <c r="AM41" s="114">
        <f>Economic!T115</f>
        <v>25066.79999999993</v>
      </c>
      <c r="AN41" s="114">
        <f>Economic!U115</f>
        <v>5437</v>
      </c>
      <c r="AO41" s="28">
        <f>Weather!D233</f>
        <v>4.0233333333333334</v>
      </c>
      <c r="AP41" s="28">
        <f>Weather!E233</f>
        <v>479.3</v>
      </c>
      <c r="AQ41" s="28">
        <f>Weather!F233</f>
        <v>0</v>
      </c>
      <c r="AR41" s="28">
        <f>Weather!G233</f>
        <v>419.3</v>
      </c>
      <c r="AS41" s="28">
        <f>Weather!H233</f>
        <v>0</v>
      </c>
      <c r="AT41" s="28">
        <f>Weather!I233</f>
        <v>359.3</v>
      </c>
      <c r="AU41" s="28">
        <f>Weather!J233</f>
        <v>0</v>
      </c>
      <c r="AV41" s="28">
        <f>Weather!K233</f>
        <v>299.3</v>
      </c>
      <c r="AW41" s="28">
        <f>Weather!L233</f>
        <v>0</v>
      </c>
      <c r="AX41" s="28">
        <f>Weather!M233</f>
        <v>239.3</v>
      </c>
      <c r="AY41" s="28">
        <f>Weather!N233</f>
        <v>0</v>
      </c>
      <c r="AZ41" s="28">
        <f>Weather!O233</f>
        <v>180.8</v>
      </c>
      <c r="BA41" s="28">
        <f>Weather!P233</f>
        <v>1.5</v>
      </c>
      <c r="BB41" s="28">
        <f>Weather!Q233</f>
        <v>127.50000000000003</v>
      </c>
      <c r="BC41" s="28">
        <f>Weather!R233</f>
        <v>8.1999999999999993</v>
      </c>
      <c r="BD41">
        <v>0</v>
      </c>
      <c r="BE41">
        <v>0</v>
      </c>
      <c r="BF41">
        <v>0</v>
      </c>
      <c r="BG41">
        <v>1</v>
      </c>
      <c r="BH41">
        <v>0</v>
      </c>
      <c r="BI41">
        <v>0</v>
      </c>
      <c r="BJ41">
        <v>0</v>
      </c>
      <c r="BK41">
        <v>0</v>
      </c>
      <c r="BL41">
        <v>0</v>
      </c>
      <c r="BM41">
        <v>0</v>
      </c>
      <c r="BN41">
        <v>0</v>
      </c>
      <c r="BO41">
        <v>0</v>
      </c>
      <c r="BP41">
        <v>1</v>
      </c>
      <c r="BQ41">
        <v>0</v>
      </c>
      <c r="BR41">
        <v>1</v>
      </c>
      <c r="BS41" s="1">
        <f t="shared" si="18"/>
        <v>40</v>
      </c>
      <c r="BT41">
        <v>30</v>
      </c>
      <c r="BU41">
        <v>21</v>
      </c>
      <c r="BV41">
        <v>0</v>
      </c>
      <c r="BW41">
        <v>0</v>
      </c>
      <c r="BX41">
        <v>0</v>
      </c>
      <c r="BY41">
        <v>0</v>
      </c>
      <c r="BZ41">
        <f t="shared" si="21"/>
        <v>0</v>
      </c>
      <c r="CA41">
        <f t="shared" si="21"/>
        <v>0</v>
      </c>
      <c r="CB41">
        <f t="shared" si="21"/>
        <v>0</v>
      </c>
      <c r="CC41">
        <f t="shared" si="21"/>
        <v>0</v>
      </c>
      <c r="CD41">
        <f t="shared" si="21"/>
        <v>0</v>
      </c>
      <c r="CE41">
        <f t="shared" si="23"/>
        <v>0</v>
      </c>
      <c r="CF41">
        <f t="shared" si="23"/>
        <v>0</v>
      </c>
      <c r="CG41">
        <f t="shared" si="23"/>
        <v>0</v>
      </c>
      <c r="CH41">
        <f t="shared" si="23"/>
        <v>0</v>
      </c>
      <c r="CI41">
        <f t="shared" si="23"/>
        <v>0</v>
      </c>
      <c r="CJ41">
        <f t="shared" si="23"/>
        <v>0</v>
      </c>
      <c r="CK41">
        <f t="shared" si="23"/>
        <v>0</v>
      </c>
      <c r="CL41">
        <f t="shared" si="23"/>
        <v>0</v>
      </c>
      <c r="CM41">
        <f t="shared" si="23"/>
        <v>0</v>
      </c>
      <c r="CN41">
        <f t="shared" si="22"/>
        <v>0</v>
      </c>
      <c r="CO41">
        <f t="shared" si="22"/>
        <v>0</v>
      </c>
      <c r="CP41">
        <f t="shared" si="22"/>
        <v>0</v>
      </c>
      <c r="CQ41">
        <f t="shared" si="22"/>
        <v>0</v>
      </c>
      <c r="CR41">
        <f t="shared" si="22"/>
        <v>0</v>
      </c>
      <c r="CS41">
        <f t="shared" si="24"/>
        <v>0</v>
      </c>
      <c r="CT41">
        <f t="shared" si="24"/>
        <v>0</v>
      </c>
      <c r="CU41">
        <f t="shared" si="24"/>
        <v>0</v>
      </c>
      <c r="CV41">
        <f t="shared" si="24"/>
        <v>0</v>
      </c>
      <c r="CW41">
        <f t="shared" si="24"/>
        <v>0</v>
      </c>
      <c r="CX41">
        <f t="shared" si="24"/>
        <v>0</v>
      </c>
      <c r="CY41">
        <f t="shared" si="24"/>
        <v>0</v>
      </c>
      <c r="CZ41">
        <f t="shared" si="24"/>
        <v>0</v>
      </c>
      <c r="DA41">
        <f t="shared" si="24"/>
        <v>0</v>
      </c>
      <c r="DB41" s="74">
        <f t="shared" si="7"/>
        <v>627.86186221916375</v>
      </c>
      <c r="DC41" s="74">
        <f t="shared" si="8"/>
        <v>20.928728740638793</v>
      </c>
      <c r="DD41" s="73">
        <f t="shared" si="9"/>
        <v>1272299.2776009135</v>
      </c>
      <c r="DE41" s="74">
        <f t="shared" si="10"/>
        <v>2638.3965519581097</v>
      </c>
      <c r="DF41" s="74">
        <f t="shared" si="11"/>
        <v>87.946551731936992</v>
      </c>
      <c r="DG41" s="74">
        <f t="shared" si="12"/>
        <v>472888.60866262519</v>
      </c>
      <c r="DH41" s="74">
        <f t="shared" si="13"/>
        <v>72072.128638665599</v>
      </c>
      <c r="DI41" s="74">
        <f t="shared" si="14"/>
        <v>2402.40428795552</v>
      </c>
      <c r="DJ41" s="74">
        <f t="shared" si="15"/>
        <v>3432.0061256507429</v>
      </c>
      <c r="DK41" s="74">
        <f t="shared" si="16"/>
        <v>2416818.7136832532</v>
      </c>
      <c r="DL41" s="74">
        <f t="shared" si="17"/>
        <v>3452598.1624046471</v>
      </c>
    </row>
    <row r="42" spans="1:116" x14ac:dyDescent="0.2">
      <c r="A42" s="96">
        <v>43221</v>
      </c>
      <c r="B42" s="4">
        <f t="shared" si="0"/>
        <v>2018</v>
      </c>
      <c r="C42" s="4">
        <f t="shared" si="1"/>
        <v>5</v>
      </c>
      <c r="D42" s="59">
        <v>38850335</v>
      </c>
      <c r="E42" s="59">
        <f>IFERROR(VLOOKUP($B42-1,CDM!$I$7:$N$18,2,FALSE)/12,0)+IFERROR(VLOOKUP($B42,CDM!$I$36:$L$46,2,FALSE)/24,0)+IFERROR(VLOOKUP($B42,CDM!$I$36:$L$46,2,FALSE)/2*$C42/78,0)</f>
        <v>2394265.5427072346</v>
      </c>
      <c r="F42" s="59">
        <f t="shared" si="2"/>
        <v>41244600.542707235</v>
      </c>
      <c r="G42" s="73">
        <v>60822</v>
      </c>
      <c r="H42" s="59">
        <v>13796645</v>
      </c>
      <c r="I42" s="59">
        <f>IFERROR(VLOOKUP($B42-1,CDM!$I$7:$N$18,3,FALSE)/12,0)+IFERROR(VLOOKUP($B42,CDM!$I$36:$L$46,3,FALSE)/24,0)+IFERROR(VLOOKUP($B42,CDM!$I$36:$L$46,3,FALSE)/2*$C42/78,0)</f>
        <v>761194.09054775443</v>
      </c>
      <c r="J42" s="59">
        <f t="shared" si="3"/>
        <v>14557839.090547755</v>
      </c>
      <c r="K42" s="59">
        <v>5371</v>
      </c>
      <c r="L42" s="5">
        <v>72846017</v>
      </c>
      <c r="M42" s="2">
        <f>IFERROR(VLOOKUP($B42-1,CDM!$I$7:$N$18,4,FALSE)/12,0)+IFERROR(VLOOKUP($B42,CDM!$I$36:$L$46,4,FALSE)/24,0)+IFERROR(VLOOKUP($B42,CDM!$I$36:$L$46,4,FALSE)/2*$C42/78,0)</f>
        <v>2262594.1698943023</v>
      </c>
      <c r="N42" s="59">
        <f t="shared" si="4"/>
        <v>75108611.169894308</v>
      </c>
      <c r="O42" s="5">
        <v>187517</v>
      </c>
      <c r="P42" s="5">
        <v>1008</v>
      </c>
      <c r="Q42" s="5">
        <v>435165</v>
      </c>
      <c r="R42" s="5">
        <v>1511.5</v>
      </c>
      <c r="S42" s="5">
        <v>17184</v>
      </c>
      <c r="T42" s="5">
        <v>261428</v>
      </c>
      <c r="U42" s="1">
        <v>24</v>
      </c>
      <c r="V42" s="1">
        <v>564</v>
      </c>
      <c r="W42" s="114">
        <f>Economic!J104</f>
        <v>764464.8</v>
      </c>
      <c r="X42" s="114">
        <f>Economic!K104</f>
        <v>590729.4</v>
      </c>
      <c r="Y42" s="114">
        <f>Economic!L104</f>
        <v>53985.7</v>
      </c>
      <c r="Z42" s="114">
        <f>Economic!M104</f>
        <v>764644</v>
      </c>
      <c r="AA42" s="114">
        <f>Economic!N104</f>
        <v>590485</v>
      </c>
      <c r="AB42" s="114">
        <f>Economic!O104</f>
        <v>31148</v>
      </c>
      <c r="AC42" s="114">
        <f>Economic!D104</f>
        <v>7066.7</v>
      </c>
      <c r="AD42" s="114">
        <f>Economic!E104</f>
        <v>7033.4</v>
      </c>
      <c r="AE42" s="114">
        <f>Economic!F104</f>
        <v>3220.2</v>
      </c>
      <c r="AF42" s="114">
        <f>Economic!G104</f>
        <v>3210.5</v>
      </c>
      <c r="AG42" s="114">
        <f>Economic!H104</f>
        <v>406.5</v>
      </c>
      <c r="AH42" s="114">
        <f>Economic!I104</f>
        <v>405.4</v>
      </c>
      <c r="AI42" s="114">
        <f>Economic!P116</f>
        <v>141.80000000000018</v>
      </c>
      <c r="AJ42" s="114">
        <f>Economic!Q116</f>
        <v>142.60000000000036</v>
      </c>
      <c r="AK42" s="114">
        <f>Economic!R116</f>
        <v>69</v>
      </c>
      <c r="AL42" s="114">
        <f>Economic!S116</f>
        <v>69.5</v>
      </c>
      <c r="AM42" s="114">
        <f>Economic!T116</f>
        <v>25066.79999999993</v>
      </c>
      <c r="AN42" s="114">
        <f>Economic!U116</f>
        <v>5437</v>
      </c>
      <c r="AO42" s="28">
        <f>Weather!D234</f>
        <v>14.790322580645164</v>
      </c>
      <c r="AP42" s="28">
        <f>Weather!E234</f>
        <v>173.79999999999998</v>
      </c>
      <c r="AQ42" s="28">
        <f>Weather!F234</f>
        <v>12.3</v>
      </c>
      <c r="AR42" s="28">
        <f>Weather!G234</f>
        <v>127.7</v>
      </c>
      <c r="AS42" s="28">
        <f>Weather!H234</f>
        <v>28.2</v>
      </c>
      <c r="AT42" s="28">
        <f>Weather!I234</f>
        <v>86</v>
      </c>
      <c r="AU42" s="28">
        <f>Weather!J234</f>
        <v>48.5</v>
      </c>
      <c r="AV42" s="28">
        <f>Weather!K234</f>
        <v>50.5</v>
      </c>
      <c r="AW42" s="28">
        <f>Weather!L234</f>
        <v>74.999999999999986</v>
      </c>
      <c r="AX42" s="28">
        <f>Weather!M234</f>
        <v>25.199999999999996</v>
      </c>
      <c r="AY42" s="28">
        <f>Weather!N234</f>
        <v>111.69999999999997</v>
      </c>
      <c r="AZ42" s="28">
        <f>Weather!O234</f>
        <v>6.8999999999999986</v>
      </c>
      <c r="BA42" s="28">
        <f>Weather!P234</f>
        <v>155.39999999999998</v>
      </c>
      <c r="BB42" s="28">
        <f>Weather!Q234</f>
        <v>0.69999999999999929</v>
      </c>
      <c r="BC42" s="28">
        <f>Weather!R234</f>
        <v>211.20000000000002</v>
      </c>
      <c r="BD42">
        <v>0</v>
      </c>
      <c r="BE42">
        <v>0</v>
      </c>
      <c r="BF42">
        <v>0</v>
      </c>
      <c r="BG42">
        <v>0</v>
      </c>
      <c r="BH42">
        <v>1</v>
      </c>
      <c r="BI42">
        <v>0</v>
      </c>
      <c r="BJ42">
        <v>0</v>
      </c>
      <c r="BK42">
        <v>0</v>
      </c>
      <c r="BL42">
        <v>0</v>
      </c>
      <c r="BM42">
        <v>0</v>
      </c>
      <c r="BN42">
        <v>0</v>
      </c>
      <c r="BO42">
        <v>0</v>
      </c>
      <c r="BP42">
        <v>1</v>
      </c>
      <c r="BQ42">
        <v>0</v>
      </c>
      <c r="BR42">
        <v>1</v>
      </c>
      <c r="BS42" s="1">
        <f t="shared" si="18"/>
        <v>41</v>
      </c>
      <c r="BT42">
        <v>31</v>
      </c>
      <c r="BU42">
        <v>22</v>
      </c>
      <c r="BV42">
        <v>0</v>
      </c>
      <c r="BW42">
        <v>0</v>
      </c>
      <c r="BX42">
        <v>0</v>
      </c>
      <c r="BY42">
        <v>0</v>
      </c>
      <c r="BZ42">
        <f t="shared" si="21"/>
        <v>0</v>
      </c>
      <c r="CA42">
        <f t="shared" si="21"/>
        <v>0</v>
      </c>
      <c r="CB42">
        <f t="shared" si="21"/>
        <v>0</v>
      </c>
      <c r="CC42">
        <f t="shared" si="21"/>
        <v>0</v>
      </c>
      <c r="CD42">
        <f t="shared" si="21"/>
        <v>0</v>
      </c>
      <c r="CE42">
        <f t="shared" si="23"/>
        <v>0</v>
      </c>
      <c r="CF42">
        <f t="shared" si="23"/>
        <v>0</v>
      </c>
      <c r="CG42">
        <f t="shared" si="23"/>
        <v>0</v>
      </c>
      <c r="CH42">
        <f t="shared" si="23"/>
        <v>0</v>
      </c>
      <c r="CI42">
        <f t="shared" si="23"/>
        <v>0</v>
      </c>
      <c r="CJ42">
        <f t="shared" si="23"/>
        <v>0</v>
      </c>
      <c r="CK42">
        <f t="shared" si="23"/>
        <v>0</v>
      </c>
      <c r="CL42">
        <f t="shared" si="23"/>
        <v>0</v>
      </c>
      <c r="CM42">
        <f t="shared" si="23"/>
        <v>0</v>
      </c>
      <c r="CN42">
        <f t="shared" si="22"/>
        <v>0</v>
      </c>
      <c r="CO42">
        <f t="shared" si="22"/>
        <v>0</v>
      </c>
      <c r="CP42">
        <f t="shared" si="22"/>
        <v>0</v>
      </c>
      <c r="CQ42">
        <f t="shared" si="22"/>
        <v>0</v>
      </c>
      <c r="CR42">
        <f t="shared" si="22"/>
        <v>0</v>
      </c>
      <c r="CS42">
        <f t="shared" si="24"/>
        <v>0</v>
      </c>
      <c r="CT42">
        <f t="shared" si="24"/>
        <v>0</v>
      </c>
      <c r="CU42">
        <f t="shared" si="24"/>
        <v>0</v>
      </c>
      <c r="CV42">
        <f t="shared" si="24"/>
        <v>0</v>
      </c>
      <c r="CW42">
        <f t="shared" si="24"/>
        <v>0</v>
      </c>
      <c r="CX42">
        <f t="shared" si="24"/>
        <v>0</v>
      </c>
      <c r="CY42">
        <f t="shared" si="24"/>
        <v>0</v>
      </c>
      <c r="CZ42">
        <f t="shared" si="24"/>
        <v>0</v>
      </c>
      <c r="DA42">
        <f t="shared" si="24"/>
        <v>0</v>
      </c>
      <c r="DB42" s="74">
        <f t="shared" si="7"/>
        <v>678.11976822049974</v>
      </c>
      <c r="DC42" s="74">
        <f t="shared" si="8"/>
        <v>21.874831232919345</v>
      </c>
      <c r="DD42" s="73">
        <f t="shared" si="9"/>
        <v>1330470.9852486204</v>
      </c>
      <c r="DE42" s="74">
        <f t="shared" si="10"/>
        <v>2710.452260388709</v>
      </c>
      <c r="DF42" s="74">
        <f t="shared" si="11"/>
        <v>87.433943883506743</v>
      </c>
      <c r="DG42" s="74">
        <f t="shared" si="12"/>
        <v>469607.71259831468</v>
      </c>
      <c r="DH42" s="74">
        <f t="shared" si="13"/>
        <v>74512.51108124436</v>
      </c>
      <c r="DI42" s="74">
        <f t="shared" si="14"/>
        <v>2403.6293897175601</v>
      </c>
      <c r="DJ42" s="74">
        <f t="shared" si="15"/>
        <v>3386.9323218747436</v>
      </c>
      <c r="DK42" s="74">
        <f t="shared" si="16"/>
        <v>2422858.4248353001</v>
      </c>
      <c r="DL42" s="74">
        <f t="shared" si="17"/>
        <v>3414027.7804497411</v>
      </c>
    </row>
    <row r="43" spans="1:116" x14ac:dyDescent="0.2">
      <c r="A43" s="96">
        <v>43252</v>
      </c>
      <c r="B43" s="4">
        <f t="shared" si="0"/>
        <v>2018</v>
      </c>
      <c r="C43" s="4">
        <f t="shared" si="1"/>
        <v>6</v>
      </c>
      <c r="D43" s="59">
        <v>49699411</v>
      </c>
      <c r="E43" s="59">
        <f>IFERROR(VLOOKUP($B43-1,CDM!$I$7:$N$18,2,FALSE)/12,0)+IFERROR(VLOOKUP($B43,CDM!$I$36:$L$46,2,FALSE)/24,0)+IFERROR(VLOOKUP($B43,CDM!$I$36:$L$46,2,FALSE)/2*$C43/78,0)</f>
        <v>2445457.7573870644</v>
      </c>
      <c r="F43" s="59">
        <f t="shared" si="2"/>
        <v>52144868.757387064</v>
      </c>
      <c r="G43" s="73">
        <v>60920</v>
      </c>
      <c r="H43" s="59">
        <v>14595194</v>
      </c>
      <c r="I43" s="59">
        <f>IFERROR(VLOOKUP($B43-1,CDM!$I$7:$N$18,3,FALSE)/12,0)+IFERROR(VLOOKUP($B43,CDM!$I$36:$L$46,3,FALSE)/24,0)+IFERROR(VLOOKUP($B43,CDM!$I$36:$L$46,3,FALSE)/2*$C43/78,0)</f>
        <v>777041.92121675238</v>
      </c>
      <c r="J43" s="59">
        <f t="shared" si="3"/>
        <v>15372235.921216752</v>
      </c>
      <c r="K43" s="59">
        <v>5437</v>
      </c>
      <c r="L43" s="5">
        <v>74459387</v>
      </c>
      <c r="M43" s="2">
        <f>IFERROR(VLOOKUP($B43-1,CDM!$I$7:$N$18,4,FALSE)/12,0)+IFERROR(VLOOKUP($B43,CDM!$I$36:$L$46,4,FALSE)/24,0)+IFERROR(VLOOKUP($B43,CDM!$I$36:$L$46,4,FALSE)/2*$C43/78,0)</f>
        <v>2309803.9292910183</v>
      </c>
      <c r="N43" s="59">
        <f t="shared" si="4"/>
        <v>76769190.929291025</v>
      </c>
      <c r="O43" s="5">
        <v>205707</v>
      </c>
      <c r="P43" s="5">
        <v>970</v>
      </c>
      <c r="Q43" s="5">
        <v>392256</v>
      </c>
      <c r="R43" s="5">
        <v>1511</v>
      </c>
      <c r="S43" s="5">
        <v>17184</v>
      </c>
      <c r="T43" s="5">
        <v>260815</v>
      </c>
      <c r="U43" s="1">
        <v>24</v>
      </c>
      <c r="V43" s="1">
        <v>564</v>
      </c>
      <c r="W43" s="114">
        <f>Economic!J105</f>
        <v>764464.8</v>
      </c>
      <c r="X43" s="114">
        <f>Economic!K105</f>
        <v>590729.4</v>
      </c>
      <c r="Y43" s="114">
        <f>Economic!L105</f>
        <v>53985.7</v>
      </c>
      <c r="Z43" s="114">
        <f>Economic!M105</f>
        <v>764644</v>
      </c>
      <c r="AA43" s="114">
        <f>Economic!N105</f>
        <v>590485</v>
      </c>
      <c r="AB43" s="114">
        <f>Economic!O105</f>
        <v>31148</v>
      </c>
      <c r="AC43" s="114">
        <f>Economic!D105</f>
        <v>7079.8</v>
      </c>
      <c r="AD43" s="114">
        <f>Economic!E105</f>
        <v>7123</v>
      </c>
      <c r="AE43" s="114">
        <f>Economic!F105</f>
        <v>3226.7</v>
      </c>
      <c r="AF43" s="114">
        <f>Economic!G105</f>
        <v>3247.3</v>
      </c>
      <c r="AG43" s="114">
        <f>Economic!H105</f>
        <v>408.6</v>
      </c>
      <c r="AH43" s="114">
        <f>Economic!I105</f>
        <v>410.3</v>
      </c>
      <c r="AI43" s="114">
        <f>Economic!P117</f>
        <v>141.30000000000018</v>
      </c>
      <c r="AJ43" s="114">
        <f>Economic!Q117</f>
        <v>141.30000000000018</v>
      </c>
      <c r="AK43" s="114">
        <f>Economic!R117</f>
        <v>66.5</v>
      </c>
      <c r="AL43" s="114">
        <f>Economic!S117</f>
        <v>65.299999999999727</v>
      </c>
      <c r="AM43" s="114">
        <f>Economic!T117</f>
        <v>25066.79999999993</v>
      </c>
      <c r="AN43" s="114">
        <f>Economic!U117</f>
        <v>5437</v>
      </c>
      <c r="AO43" s="28">
        <f>Weather!D235</f>
        <v>19.029999999999998</v>
      </c>
      <c r="AP43" s="28">
        <f>Weather!E235</f>
        <v>64.600000000000009</v>
      </c>
      <c r="AQ43" s="28">
        <f>Weather!F235</f>
        <v>35.5</v>
      </c>
      <c r="AR43" s="28">
        <f>Weather!G235</f>
        <v>26.9</v>
      </c>
      <c r="AS43" s="28">
        <f>Weather!H235</f>
        <v>57.800000000000004</v>
      </c>
      <c r="AT43" s="28">
        <f>Weather!I235</f>
        <v>5.0000000000000018</v>
      </c>
      <c r="AU43" s="28">
        <f>Weather!J235</f>
        <v>95.899999999999977</v>
      </c>
      <c r="AV43" s="28">
        <f>Weather!K235</f>
        <v>0.60000000000000142</v>
      </c>
      <c r="AW43" s="28">
        <f>Weather!L235</f>
        <v>151.49999999999997</v>
      </c>
      <c r="AX43" s="28">
        <f>Weather!M235</f>
        <v>0</v>
      </c>
      <c r="AY43" s="28">
        <f>Weather!N235</f>
        <v>210.90000000000006</v>
      </c>
      <c r="AZ43" s="28">
        <f>Weather!O235</f>
        <v>0</v>
      </c>
      <c r="BA43" s="28">
        <f>Weather!P235</f>
        <v>270.90000000000009</v>
      </c>
      <c r="BB43" s="28">
        <f>Weather!Q235</f>
        <v>0</v>
      </c>
      <c r="BC43" s="28">
        <f>Weather!R235</f>
        <v>330.90000000000009</v>
      </c>
      <c r="BD43">
        <v>0</v>
      </c>
      <c r="BE43">
        <v>0</v>
      </c>
      <c r="BF43">
        <v>0</v>
      </c>
      <c r="BG43">
        <v>0</v>
      </c>
      <c r="BH43">
        <v>0</v>
      </c>
      <c r="BI43">
        <v>1</v>
      </c>
      <c r="BJ43">
        <v>0</v>
      </c>
      <c r="BK43">
        <v>0</v>
      </c>
      <c r="BL43">
        <v>0</v>
      </c>
      <c r="BM43">
        <v>0</v>
      </c>
      <c r="BN43">
        <v>0</v>
      </c>
      <c r="BO43">
        <v>0</v>
      </c>
      <c r="BP43">
        <v>0</v>
      </c>
      <c r="BQ43">
        <v>0</v>
      </c>
      <c r="BR43">
        <v>0</v>
      </c>
      <c r="BS43" s="1">
        <f t="shared" si="18"/>
        <v>42</v>
      </c>
      <c r="BT43">
        <v>30</v>
      </c>
      <c r="BU43">
        <v>21</v>
      </c>
      <c r="BV43">
        <v>0</v>
      </c>
      <c r="BW43">
        <v>0</v>
      </c>
      <c r="BX43">
        <v>0</v>
      </c>
      <c r="BY43">
        <v>0</v>
      </c>
      <c r="BZ43">
        <f t="shared" si="21"/>
        <v>0</v>
      </c>
      <c r="CA43">
        <f t="shared" si="21"/>
        <v>0</v>
      </c>
      <c r="CB43">
        <f t="shared" si="21"/>
        <v>0</v>
      </c>
      <c r="CC43">
        <f t="shared" si="21"/>
        <v>0</v>
      </c>
      <c r="CD43">
        <f t="shared" si="21"/>
        <v>0</v>
      </c>
      <c r="CE43">
        <f t="shared" si="23"/>
        <v>0</v>
      </c>
      <c r="CF43">
        <f t="shared" si="23"/>
        <v>0</v>
      </c>
      <c r="CG43">
        <f t="shared" si="23"/>
        <v>0</v>
      </c>
      <c r="CH43">
        <f t="shared" si="23"/>
        <v>0</v>
      </c>
      <c r="CI43">
        <f t="shared" si="23"/>
        <v>0</v>
      </c>
      <c r="CJ43">
        <f t="shared" si="23"/>
        <v>0</v>
      </c>
      <c r="CK43">
        <f t="shared" si="23"/>
        <v>0</v>
      </c>
      <c r="CL43">
        <f t="shared" si="23"/>
        <v>0</v>
      </c>
      <c r="CM43">
        <f t="shared" si="23"/>
        <v>0</v>
      </c>
      <c r="CN43">
        <f t="shared" si="22"/>
        <v>0</v>
      </c>
      <c r="CO43">
        <f t="shared" si="22"/>
        <v>0</v>
      </c>
      <c r="CP43">
        <f t="shared" si="22"/>
        <v>0</v>
      </c>
      <c r="CQ43">
        <f t="shared" si="22"/>
        <v>0</v>
      </c>
      <c r="CR43">
        <f t="shared" si="22"/>
        <v>0</v>
      </c>
      <c r="CS43">
        <f t="shared" si="24"/>
        <v>0</v>
      </c>
      <c r="CT43">
        <f t="shared" si="24"/>
        <v>0</v>
      </c>
      <c r="CU43">
        <f t="shared" si="24"/>
        <v>0</v>
      </c>
      <c r="CV43">
        <f t="shared" si="24"/>
        <v>0</v>
      </c>
      <c r="CW43">
        <f t="shared" si="24"/>
        <v>0</v>
      </c>
      <c r="CX43">
        <f t="shared" si="24"/>
        <v>0</v>
      </c>
      <c r="CY43">
        <f t="shared" si="24"/>
        <v>0</v>
      </c>
      <c r="CZ43">
        <f t="shared" si="24"/>
        <v>0</v>
      </c>
      <c r="DA43">
        <f t="shared" si="24"/>
        <v>0</v>
      </c>
      <c r="DB43" s="74">
        <f t="shared" si="7"/>
        <v>855.95647993084481</v>
      </c>
      <c r="DC43" s="74">
        <f t="shared" si="8"/>
        <v>28.531882664361493</v>
      </c>
      <c r="DD43" s="73">
        <f t="shared" si="9"/>
        <v>1738162.2919129021</v>
      </c>
      <c r="DE43" s="74">
        <f t="shared" si="10"/>
        <v>2827.3378556587736</v>
      </c>
      <c r="DF43" s="74">
        <f t="shared" si="11"/>
        <v>94.24459518862578</v>
      </c>
      <c r="DG43" s="74">
        <f t="shared" si="12"/>
        <v>512407.8640405584</v>
      </c>
      <c r="DH43" s="74">
        <f t="shared" si="13"/>
        <v>79143.495803392812</v>
      </c>
      <c r="DI43" s="74">
        <f t="shared" si="14"/>
        <v>2638.1165267797605</v>
      </c>
      <c r="DJ43" s="74">
        <f t="shared" si="15"/>
        <v>3768.7378953996576</v>
      </c>
      <c r="DK43" s="74">
        <f t="shared" si="16"/>
        <v>2558973.0309763676</v>
      </c>
      <c r="DL43" s="74">
        <f t="shared" si="17"/>
        <v>3655675.7585376678</v>
      </c>
    </row>
    <row r="44" spans="1:116" x14ac:dyDescent="0.2">
      <c r="A44" s="96">
        <v>43282</v>
      </c>
      <c r="B44" s="4">
        <f t="shared" si="0"/>
        <v>2018</v>
      </c>
      <c r="C44" s="4">
        <f t="shared" si="1"/>
        <v>7</v>
      </c>
      <c r="D44" s="59">
        <v>62470256</v>
      </c>
      <c r="E44" s="59">
        <f>IFERROR(VLOOKUP($B44-1,CDM!$I$7:$N$18,2,FALSE)/12,0)+IFERROR(VLOOKUP($B44,CDM!$I$36:$L$46,2,FALSE)/24,0)+IFERROR(VLOOKUP($B44,CDM!$I$36:$L$46,2,FALSE)/2*$C44/78,0)</f>
        <v>2496649.9720668942</v>
      </c>
      <c r="F44" s="59">
        <f t="shared" si="2"/>
        <v>64966905.972066894</v>
      </c>
      <c r="G44" s="73">
        <v>60944</v>
      </c>
      <c r="H44" s="59">
        <v>16326498</v>
      </c>
      <c r="I44" s="59">
        <f>IFERROR(VLOOKUP($B44-1,CDM!$I$7:$N$18,3,FALSE)/12,0)+IFERROR(VLOOKUP($B44,CDM!$I$36:$L$46,3,FALSE)/24,0)+IFERROR(VLOOKUP($B44,CDM!$I$36:$L$46,3,FALSE)/2*$C44/78,0)</f>
        <v>792889.75188575021</v>
      </c>
      <c r="J44" s="59">
        <f t="shared" si="3"/>
        <v>17119387.751885749</v>
      </c>
      <c r="K44" s="59">
        <v>5443</v>
      </c>
      <c r="L44" s="5">
        <v>79813563</v>
      </c>
      <c r="M44" s="2">
        <f>IFERROR(VLOOKUP($B44-1,CDM!$I$7:$N$18,4,FALSE)/12,0)+IFERROR(VLOOKUP($B44,CDM!$I$36:$L$46,4,FALSE)/24,0)+IFERROR(VLOOKUP($B44,CDM!$I$36:$L$46,4,FALSE)/2*$C44/78,0)</f>
        <v>2357013.6886877338</v>
      </c>
      <c r="N44" s="59">
        <f t="shared" si="4"/>
        <v>82170576.688687727</v>
      </c>
      <c r="O44" s="5">
        <v>212958</v>
      </c>
      <c r="P44" s="5">
        <v>970</v>
      </c>
      <c r="Q44" s="5">
        <v>418842.3</v>
      </c>
      <c r="R44" s="5">
        <v>1502.3</v>
      </c>
      <c r="S44" s="5">
        <v>17184</v>
      </c>
      <c r="T44" s="5">
        <v>261377</v>
      </c>
      <c r="U44" s="1">
        <v>24</v>
      </c>
      <c r="V44" s="1">
        <v>563</v>
      </c>
      <c r="W44" s="114">
        <f>Economic!J106</f>
        <v>764464.8</v>
      </c>
      <c r="X44" s="114">
        <f>Economic!K106</f>
        <v>590729.4</v>
      </c>
      <c r="Y44" s="114">
        <f>Economic!L106</f>
        <v>53985.7</v>
      </c>
      <c r="Z44" s="114">
        <f>Economic!M106</f>
        <v>765060</v>
      </c>
      <c r="AA44" s="114">
        <f>Economic!N106</f>
        <v>592461</v>
      </c>
      <c r="AB44" s="114">
        <f>Economic!O106</f>
        <v>31156</v>
      </c>
      <c r="AC44" s="114">
        <f>Economic!D106</f>
        <v>7101.9</v>
      </c>
      <c r="AD44" s="114">
        <f>Economic!E106</f>
        <v>7196</v>
      </c>
      <c r="AE44" s="114">
        <f>Economic!F106</f>
        <v>3227.6</v>
      </c>
      <c r="AF44" s="114">
        <f>Economic!G106</f>
        <v>3267.7</v>
      </c>
      <c r="AG44" s="114">
        <f>Economic!H106</f>
        <v>414.3</v>
      </c>
      <c r="AH44" s="114">
        <f>Economic!I106</f>
        <v>416.1</v>
      </c>
      <c r="AI44" s="114">
        <f>Economic!P118</f>
        <v>153.10000000000036</v>
      </c>
      <c r="AJ44" s="114">
        <f>Economic!Q118</f>
        <v>149.69999999999982</v>
      </c>
      <c r="AK44" s="114">
        <f>Economic!R118</f>
        <v>78.800000000000182</v>
      </c>
      <c r="AL44" s="114">
        <f>Economic!S118</f>
        <v>77.300000000000182</v>
      </c>
      <c r="AM44" s="114">
        <f>Economic!T118</f>
        <v>25066.79999999993</v>
      </c>
      <c r="AN44" s="114">
        <f>Economic!U118</f>
        <v>9244</v>
      </c>
      <c r="AO44" s="28">
        <f>Weather!D236</f>
        <v>23.296774193548391</v>
      </c>
      <c r="AP44" s="28">
        <f>Weather!E236</f>
        <v>0.5</v>
      </c>
      <c r="AQ44" s="28">
        <f>Weather!F236</f>
        <v>102.69999999999999</v>
      </c>
      <c r="AR44" s="28">
        <f>Weather!G236</f>
        <v>0</v>
      </c>
      <c r="AS44" s="28">
        <f>Weather!H236</f>
        <v>164.19999999999996</v>
      </c>
      <c r="AT44" s="28">
        <f>Weather!I236</f>
        <v>0</v>
      </c>
      <c r="AU44" s="28">
        <f>Weather!J236</f>
        <v>226.19999999999996</v>
      </c>
      <c r="AV44" s="28">
        <f>Weather!K236</f>
        <v>0</v>
      </c>
      <c r="AW44" s="28">
        <f>Weather!L236</f>
        <v>288.2</v>
      </c>
      <c r="AX44" s="28">
        <f>Weather!M236</f>
        <v>0</v>
      </c>
      <c r="AY44" s="28">
        <f>Weather!N236</f>
        <v>350.2</v>
      </c>
      <c r="AZ44" s="28">
        <f>Weather!O236</f>
        <v>0</v>
      </c>
      <c r="BA44" s="28">
        <f>Weather!P236</f>
        <v>412.20000000000005</v>
      </c>
      <c r="BB44" s="28">
        <f>Weather!Q236</f>
        <v>0</v>
      </c>
      <c r="BC44" s="28">
        <f>Weather!R236</f>
        <v>474.2000000000001</v>
      </c>
      <c r="BD44">
        <v>0</v>
      </c>
      <c r="BE44">
        <v>0</v>
      </c>
      <c r="BF44">
        <v>0</v>
      </c>
      <c r="BG44">
        <v>0</v>
      </c>
      <c r="BH44">
        <v>0</v>
      </c>
      <c r="BI44">
        <v>0</v>
      </c>
      <c r="BJ44">
        <v>1</v>
      </c>
      <c r="BK44">
        <v>0</v>
      </c>
      <c r="BL44">
        <v>0</v>
      </c>
      <c r="BM44">
        <v>0</v>
      </c>
      <c r="BN44">
        <v>0</v>
      </c>
      <c r="BO44">
        <v>0</v>
      </c>
      <c r="BP44">
        <v>0</v>
      </c>
      <c r="BQ44">
        <v>0</v>
      </c>
      <c r="BR44">
        <v>0</v>
      </c>
      <c r="BS44" s="1">
        <f t="shared" si="18"/>
        <v>43</v>
      </c>
      <c r="BT44">
        <v>31</v>
      </c>
      <c r="BU44">
        <v>21</v>
      </c>
      <c r="BV44">
        <v>0</v>
      </c>
      <c r="BW44">
        <v>0</v>
      </c>
      <c r="BX44">
        <v>0</v>
      </c>
      <c r="BY44">
        <v>0</v>
      </c>
      <c r="BZ44">
        <f t="shared" si="21"/>
        <v>0</v>
      </c>
      <c r="CA44">
        <f t="shared" si="21"/>
        <v>0</v>
      </c>
      <c r="CB44">
        <f t="shared" si="21"/>
        <v>0</v>
      </c>
      <c r="CC44">
        <f t="shared" si="21"/>
        <v>0</v>
      </c>
      <c r="CD44">
        <f t="shared" si="21"/>
        <v>0</v>
      </c>
      <c r="CE44">
        <f t="shared" si="23"/>
        <v>0</v>
      </c>
      <c r="CF44">
        <f t="shared" si="23"/>
        <v>0</v>
      </c>
      <c r="CG44">
        <f t="shared" si="23"/>
        <v>0</v>
      </c>
      <c r="CH44">
        <f t="shared" si="23"/>
        <v>0</v>
      </c>
      <c r="CI44">
        <f t="shared" si="23"/>
        <v>0</v>
      </c>
      <c r="CJ44">
        <f t="shared" si="23"/>
        <v>0</v>
      </c>
      <c r="CK44">
        <f t="shared" si="23"/>
        <v>0</v>
      </c>
      <c r="CL44">
        <f t="shared" si="23"/>
        <v>0</v>
      </c>
      <c r="CM44">
        <f t="shared" si="23"/>
        <v>0</v>
      </c>
      <c r="CN44">
        <f t="shared" si="22"/>
        <v>0</v>
      </c>
      <c r="CO44">
        <f t="shared" si="22"/>
        <v>0</v>
      </c>
      <c r="CP44">
        <f t="shared" si="22"/>
        <v>0</v>
      </c>
      <c r="CQ44">
        <f t="shared" si="22"/>
        <v>0</v>
      </c>
      <c r="CR44">
        <f t="shared" si="22"/>
        <v>0</v>
      </c>
      <c r="CS44">
        <f t="shared" si="24"/>
        <v>0</v>
      </c>
      <c r="CT44">
        <f t="shared" si="24"/>
        <v>0</v>
      </c>
      <c r="CU44">
        <f t="shared" si="24"/>
        <v>0</v>
      </c>
      <c r="CV44">
        <f t="shared" si="24"/>
        <v>0</v>
      </c>
      <c r="CW44">
        <f t="shared" si="24"/>
        <v>0</v>
      </c>
      <c r="CX44">
        <f t="shared" si="24"/>
        <v>0</v>
      </c>
      <c r="CY44">
        <f t="shared" si="24"/>
        <v>0</v>
      </c>
      <c r="CZ44">
        <f t="shared" si="24"/>
        <v>0</v>
      </c>
      <c r="DA44">
        <f t="shared" si="24"/>
        <v>0</v>
      </c>
      <c r="DB44" s="74">
        <f t="shared" si="7"/>
        <v>1066.0098774623737</v>
      </c>
      <c r="DC44" s="74">
        <f t="shared" si="8"/>
        <v>34.387415402012053</v>
      </c>
      <c r="DD44" s="73">
        <f t="shared" si="9"/>
        <v>2095706.6442602223</v>
      </c>
      <c r="DE44" s="74">
        <f t="shared" si="10"/>
        <v>3145.211786126355</v>
      </c>
      <c r="DF44" s="74">
        <f t="shared" si="11"/>
        <v>101.45844471375339</v>
      </c>
      <c r="DG44" s="74">
        <f t="shared" si="12"/>
        <v>552238.3145769597</v>
      </c>
      <c r="DH44" s="74">
        <f t="shared" si="13"/>
        <v>84711.934730605906</v>
      </c>
      <c r="DI44" s="74">
        <f t="shared" si="14"/>
        <v>2732.6430558259972</v>
      </c>
      <c r="DJ44" s="74">
        <f t="shared" si="15"/>
        <v>4033.9016538383767</v>
      </c>
      <c r="DK44" s="74">
        <f t="shared" si="16"/>
        <v>2650663.764151217</v>
      </c>
      <c r="DL44" s="74">
        <f t="shared" si="17"/>
        <v>3912884.6042232253</v>
      </c>
    </row>
    <row r="45" spans="1:116" x14ac:dyDescent="0.2">
      <c r="A45" s="96">
        <v>43313</v>
      </c>
      <c r="B45" s="4">
        <f t="shared" si="0"/>
        <v>2018</v>
      </c>
      <c r="C45" s="4">
        <f t="shared" si="1"/>
        <v>8</v>
      </c>
      <c r="D45" s="59">
        <v>60684419</v>
      </c>
      <c r="E45" s="59">
        <f>IFERROR(VLOOKUP($B45-1,CDM!$I$7:$N$18,2,FALSE)/12,0)+IFERROR(VLOOKUP($B45,CDM!$I$36:$L$46,2,FALSE)/24,0)+IFERROR(VLOOKUP($B45,CDM!$I$36:$L$46,2,FALSE)/2*$C45/78,0)</f>
        <v>2547842.1867467239</v>
      </c>
      <c r="F45" s="59">
        <f t="shared" si="2"/>
        <v>63232261.186746724</v>
      </c>
      <c r="G45" s="73">
        <v>60940</v>
      </c>
      <c r="H45" s="59">
        <v>16132239</v>
      </c>
      <c r="I45" s="59">
        <f>IFERROR(VLOOKUP($B45-1,CDM!$I$7:$N$18,3,FALSE)/12,0)+IFERROR(VLOOKUP($B45,CDM!$I$36:$L$46,3,FALSE)/24,0)+IFERROR(VLOOKUP($B45,CDM!$I$36:$L$46,3,FALSE)/2*$C45/78,0)</f>
        <v>808737.58255474817</v>
      </c>
      <c r="J45" s="59">
        <f t="shared" si="3"/>
        <v>16940976.582554746</v>
      </c>
      <c r="K45" s="59">
        <v>5466</v>
      </c>
      <c r="L45" s="5">
        <v>79970235</v>
      </c>
      <c r="M45" s="2">
        <f>IFERROR(VLOOKUP($B45-1,CDM!$I$7:$N$18,4,FALSE)/12,0)+IFERROR(VLOOKUP($B45,CDM!$I$36:$L$46,4,FALSE)/24,0)+IFERROR(VLOOKUP($B45,CDM!$I$36:$L$46,4,FALSE)/2*$C45/78,0)</f>
        <v>2404223.4480844499</v>
      </c>
      <c r="N45" s="59">
        <f t="shared" si="4"/>
        <v>82374458.448084444</v>
      </c>
      <c r="O45" s="5">
        <v>205769</v>
      </c>
      <c r="P45" s="5">
        <v>970</v>
      </c>
      <c r="Q45" s="5">
        <v>468399.7</v>
      </c>
      <c r="R45" s="5">
        <v>1493.6</v>
      </c>
      <c r="S45" s="5">
        <v>17184</v>
      </c>
      <c r="T45" s="5">
        <v>261095</v>
      </c>
      <c r="U45" s="1">
        <v>24</v>
      </c>
      <c r="V45" s="1">
        <v>563</v>
      </c>
      <c r="W45" s="114">
        <f>Economic!J107</f>
        <v>764464.8</v>
      </c>
      <c r="X45" s="114">
        <f>Economic!K107</f>
        <v>590729.4</v>
      </c>
      <c r="Y45" s="114">
        <f>Economic!L107</f>
        <v>53985.7</v>
      </c>
      <c r="Z45" s="114">
        <f>Economic!M107</f>
        <v>765060</v>
      </c>
      <c r="AA45" s="114">
        <f>Economic!N107</f>
        <v>592461</v>
      </c>
      <c r="AB45" s="114">
        <f>Economic!O107</f>
        <v>31156</v>
      </c>
      <c r="AC45" s="114">
        <f>Economic!D107</f>
        <v>7121.1</v>
      </c>
      <c r="AD45" s="114">
        <f>Economic!E107</f>
        <v>7216.7</v>
      </c>
      <c r="AE45" s="114">
        <f>Economic!F107</f>
        <v>3226.6</v>
      </c>
      <c r="AF45" s="114">
        <f>Economic!G107</f>
        <v>3266.5</v>
      </c>
      <c r="AG45" s="114">
        <f>Economic!H107</f>
        <v>423.4</v>
      </c>
      <c r="AH45" s="114">
        <f>Economic!I107</f>
        <v>424.3</v>
      </c>
      <c r="AI45" s="114">
        <f>Economic!P119</f>
        <v>145.09999999999945</v>
      </c>
      <c r="AJ45" s="114">
        <f>Economic!Q119</f>
        <v>142.80000000000018</v>
      </c>
      <c r="AK45" s="114">
        <f>Economic!R119</f>
        <v>80.900000000000091</v>
      </c>
      <c r="AL45" s="114">
        <f>Economic!S119</f>
        <v>77.400000000000091</v>
      </c>
      <c r="AM45" s="114">
        <f>Economic!T119</f>
        <v>25066.79999999993</v>
      </c>
      <c r="AN45" s="114">
        <f>Economic!U119</f>
        <v>9244</v>
      </c>
      <c r="AO45" s="28">
        <f>Weather!D237</f>
        <v>23.283870967741933</v>
      </c>
      <c r="AP45" s="28">
        <f>Weather!E237</f>
        <v>5.8000000000000007</v>
      </c>
      <c r="AQ45" s="28">
        <f>Weather!F237</f>
        <v>107.60000000000002</v>
      </c>
      <c r="AR45" s="28">
        <f>Weather!G237</f>
        <v>1.3000000000000007</v>
      </c>
      <c r="AS45" s="28">
        <f>Weather!H237</f>
        <v>165.10000000000002</v>
      </c>
      <c r="AT45" s="28">
        <f>Weather!I237</f>
        <v>0</v>
      </c>
      <c r="AU45" s="28">
        <f>Weather!J237</f>
        <v>225.8</v>
      </c>
      <c r="AV45" s="28">
        <f>Weather!K237</f>
        <v>0</v>
      </c>
      <c r="AW45" s="28">
        <f>Weather!L237</f>
        <v>287.79999999999995</v>
      </c>
      <c r="AX45" s="28">
        <f>Weather!M237</f>
        <v>0</v>
      </c>
      <c r="AY45" s="28">
        <f>Weather!N237</f>
        <v>349.79999999999995</v>
      </c>
      <c r="AZ45" s="28">
        <f>Weather!O237</f>
        <v>0</v>
      </c>
      <c r="BA45" s="28">
        <f>Weather!P237</f>
        <v>411.7999999999999</v>
      </c>
      <c r="BB45" s="28">
        <f>Weather!Q237</f>
        <v>0</v>
      </c>
      <c r="BC45" s="28">
        <f>Weather!R237</f>
        <v>473.7999999999999</v>
      </c>
      <c r="BD45">
        <v>0</v>
      </c>
      <c r="BE45">
        <v>0</v>
      </c>
      <c r="BF45">
        <v>0</v>
      </c>
      <c r="BG45">
        <v>0</v>
      </c>
      <c r="BH45">
        <v>0</v>
      </c>
      <c r="BI45">
        <v>0</v>
      </c>
      <c r="BJ45">
        <v>0</v>
      </c>
      <c r="BK45">
        <v>1</v>
      </c>
      <c r="BL45">
        <v>0</v>
      </c>
      <c r="BM45">
        <v>0</v>
      </c>
      <c r="BN45">
        <v>0</v>
      </c>
      <c r="BO45">
        <v>0</v>
      </c>
      <c r="BP45">
        <v>0</v>
      </c>
      <c r="BQ45">
        <v>0</v>
      </c>
      <c r="BR45">
        <v>0</v>
      </c>
      <c r="BS45" s="1">
        <f t="shared" si="18"/>
        <v>44</v>
      </c>
      <c r="BT45">
        <v>31</v>
      </c>
      <c r="BU45">
        <v>22</v>
      </c>
      <c r="BV45">
        <v>0</v>
      </c>
      <c r="BW45">
        <v>0</v>
      </c>
      <c r="BX45">
        <v>0</v>
      </c>
      <c r="BY45">
        <v>0</v>
      </c>
      <c r="BZ45">
        <f t="shared" si="21"/>
        <v>0</v>
      </c>
      <c r="CA45">
        <f t="shared" si="21"/>
        <v>0</v>
      </c>
      <c r="CB45">
        <f t="shared" si="21"/>
        <v>0</v>
      </c>
      <c r="CC45">
        <f t="shared" si="21"/>
        <v>0</v>
      </c>
      <c r="CD45">
        <f t="shared" si="21"/>
        <v>0</v>
      </c>
      <c r="CE45">
        <f t="shared" si="23"/>
        <v>0</v>
      </c>
      <c r="CF45">
        <f t="shared" si="23"/>
        <v>0</v>
      </c>
      <c r="CG45">
        <f t="shared" si="23"/>
        <v>0</v>
      </c>
      <c r="CH45">
        <f t="shared" si="23"/>
        <v>0</v>
      </c>
      <c r="CI45">
        <f t="shared" si="23"/>
        <v>0</v>
      </c>
      <c r="CJ45">
        <f t="shared" si="23"/>
        <v>0</v>
      </c>
      <c r="CK45">
        <f t="shared" si="23"/>
        <v>0</v>
      </c>
      <c r="CL45">
        <f t="shared" si="23"/>
        <v>0</v>
      </c>
      <c r="CM45">
        <f t="shared" si="23"/>
        <v>0</v>
      </c>
      <c r="CN45">
        <f t="shared" si="22"/>
        <v>0</v>
      </c>
      <c r="CO45">
        <f t="shared" si="22"/>
        <v>0</v>
      </c>
      <c r="CP45">
        <f t="shared" si="22"/>
        <v>0</v>
      </c>
      <c r="CQ45">
        <f t="shared" si="22"/>
        <v>0</v>
      </c>
      <c r="CR45">
        <f t="shared" si="22"/>
        <v>0</v>
      </c>
      <c r="CS45">
        <f t="shared" si="24"/>
        <v>0</v>
      </c>
      <c r="CT45">
        <f t="shared" si="24"/>
        <v>0</v>
      </c>
      <c r="CU45">
        <f t="shared" si="24"/>
        <v>0</v>
      </c>
      <c r="CV45">
        <f t="shared" si="24"/>
        <v>0</v>
      </c>
      <c r="CW45">
        <f t="shared" si="24"/>
        <v>0</v>
      </c>
      <c r="CX45">
        <f t="shared" si="24"/>
        <v>0</v>
      </c>
      <c r="CY45">
        <f t="shared" si="24"/>
        <v>0</v>
      </c>
      <c r="CZ45">
        <f t="shared" si="24"/>
        <v>0</v>
      </c>
      <c r="DA45">
        <f t="shared" si="24"/>
        <v>0</v>
      </c>
      <c r="DB45" s="74">
        <f t="shared" si="7"/>
        <v>1037.6150506522272</v>
      </c>
      <c r="DC45" s="74">
        <f t="shared" si="8"/>
        <v>33.471453246846039</v>
      </c>
      <c r="DD45" s="73">
        <f t="shared" si="9"/>
        <v>2039750.3608627976</v>
      </c>
      <c r="DE45" s="74">
        <f t="shared" si="10"/>
        <v>3099.337098894026</v>
      </c>
      <c r="DF45" s="74">
        <f t="shared" si="11"/>
        <v>99.978616093355683</v>
      </c>
      <c r="DG45" s="74">
        <f t="shared" si="12"/>
        <v>546483.11556628218</v>
      </c>
      <c r="DH45" s="74">
        <f t="shared" si="13"/>
        <v>84922.122111427263</v>
      </c>
      <c r="DI45" s="74">
        <f t="shared" si="14"/>
        <v>2739.4232939170083</v>
      </c>
      <c r="DJ45" s="74">
        <f t="shared" si="15"/>
        <v>3860.0964596103299</v>
      </c>
      <c r="DK45" s="74">
        <f t="shared" si="16"/>
        <v>2657240.5950994981</v>
      </c>
      <c r="DL45" s="74">
        <f t="shared" si="17"/>
        <v>3744293.5658220202</v>
      </c>
    </row>
    <row r="46" spans="1:116" x14ac:dyDescent="0.2">
      <c r="A46" s="96">
        <v>43344</v>
      </c>
      <c r="B46" s="4">
        <f t="shared" si="0"/>
        <v>2018</v>
      </c>
      <c r="C46" s="4">
        <f t="shared" si="1"/>
        <v>9</v>
      </c>
      <c r="D46" s="59">
        <v>48255985</v>
      </c>
      <c r="E46" s="59">
        <f>IFERROR(VLOOKUP($B46-1,CDM!$I$7:$N$18,2,FALSE)/12,0)+IFERROR(VLOOKUP($B46,CDM!$I$36:$L$46,2,FALSE)/24,0)+IFERROR(VLOOKUP($B46,CDM!$I$36:$L$46,2,FALSE)/2*$C46/78,0)</f>
        <v>2599034.4014265537</v>
      </c>
      <c r="F46" s="59">
        <f t="shared" si="2"/>
        <v>50855019.401426554</v>
      </c>
      <c r="G46" s="73">
        <v>60973</v>
      </c>
      <c r="H46" s="59">
        <v>14295949</v>
      </c>
      <c r="I46" s="59">
        <f>IFERROR(VLOOKUP($B46-1,CDM!$I$7:$N$18,3,FALSE)/12,0)+IFERROR(VLOOKUP($B46,CDM!$I$36:$L$46,3,FALSE)/24,0)+IFERROR(VLOOKUP($B46,CDM!$I$36:$L$46,3,FALSE)/2*$C46/78,0)</f>
        <v>824585.413223746</v>
      </c>
      <c r="J46" s="59">
        <f t="shared" si="3"/>
        <v>15120534.413223745</v>
      </c>
      <c r="K46" s="59">
        <v>5466</v>
      </c>
      <c r="L46" s="5">
        <v>72439191</v>
      </c>
      <c r="M46" s="2">
        <f>IFERROR(VLOOKUP($B46-1,CDM!$I$7:$N$18,4,FALSE)/12,0)+IFERROR(VLOOKUP($B46,CDM!$I$36:$L$46,4,FALSE)/24,0)+IFERROR(VLOOKUP($B46,CDM!$I$36:$L$46,4,FALSE)/2*$C46/78,0)</f>
        <v>2451433.2074811659</v>
      </c>
      <c r="N46" s="59">
        <f t="shared" si="4"/>
        <v>74890624.207481161</v>
      </c>
      <c r="O46" s="5">
        <v>206092</v>
      </c>
      <c r="P46" s="5">
        <v>974</v>
      </c>
      <c r="Q46" s="5">
        <v>487042.4</v>
      </c>
      <c r="R46" s="5">
        <v>1407</v>
      </c>
      <c r="S46" s="5">
        <v>17184</v>
      </c>
      <c r="T46" s="5">
        <v>260813</v>
      </c>
      <c r="U46" s="1">
        <v>24</v>
      </c>
      <c r="V46" s="1">
        <v>563</v>
      </c>
      <c r="W46" s="114">
        <f>Economic!J108</f>
        <v>764464.8</v>
      </c>
      <c r="X46" s="114">
        <f>Economic!K108</f>
        <v>590729.4</v>
      </c>
      <c r="Y46" s="114">
        <f>Economic!L108</f>
        <v>53985.7</v>
      </c>
      <c r="Z46" s="114">
        <f>Economic!M108</f>
        <v>765060</v>
      </c>
      <c r="AA46" s="114">
        <f>Economic!N108</f>
        <v>592461</v>
      </c>
      <c r="AB46" s="114">
        <f>Economic!O108</f>
        <v>31156</v>
      </c>
      <c r="AC46" s="114">
        <f>Economic!D108</f>
        <v>7144.8</v>
      </c>
      <c r="AD46" s="114">
        <f>Economic!E108</f>
        <v>7193.4</v>
      </c>
      <c r="AE46" s="114">
        <f>Economic!F108</f>
        <v>3239.8</v>
      </c>
      <c r="AF46" s="114">
        <f>Economic!G108</f>
        <v>3256.5</v>
      </c>
      <c r="AG46" s="114">
        <f>Economic!H108</f>
        <v>428.7</v>
      </c>
      <c r="AH46" s="114">
        <f>Economic!I108</f>
        <v>428</v>
      </c>
      <c r="AI46" s="114">
        <f>Economic!P120</f>
        <v>134.80000000000018</v>
      </c>
      <c r="AJ46" s="114">
        <f>Economic!Q120</f>
        <v>131</v>
      </c>
      <c r="AK46" s="114">
        <f>Economic!R120</f>
        <v>60.299999999999727</v>
      </c>
      <c r="AL46" s="114">
        <f>Economic!S120</f>
        <v>56.099999999999909</v>
      </c>
      <c r="AM46" s="114">
        <f>Economic!T120</f>
        <v>25066.79999999993</v>
      </c>
      <c r="AN46" s="114">
        <f>Economic!U120</f>
        <v>9244</v>
      </c>
      <c r="AO46" s="28">
        <f>Weather!D238</f>
        <v>19.446666666666669</v>
      </c>
      <c r="AP46" s="28">
        <f>Weather!E238</f>
        <v>57.199999999999996</v>
      </c>
      <c r="AQ46" s="28">
        <f>Weather!F238</f>
        <v>40.599999999999994</v>
      </c>
      <c r="AR46" s="28">
        <f>Weather!G238</f>
        <v>27.800000000000004</v>
      </c>
      <c r="AS46" s="28">
        <f>Weather!H238</f>
        <v>71.199999999999989</v>
      </c>
      <c r="AT46" s="28">
        <f>Weather!I238</f>
        <v>11.300000000000002</v>
      </c>
      <c r="AU46" s="28">
        <f>Weather!J238</f>
        <v>114.70000000000003</v>
      </c>
      <c r="AV46" s="28">
        <f>Weather!K238</f>
        <v>2.0000000000000018</v>
      </c>
      <c r="AW46" s="28">
        <f>Weather!L238</f>
        <v>165.40000000000003</v>
      </c>
      <c r="AX46" s="28">
        <f>Weather!M238</f>
        <v>0</v>
      </c>
      <c r="AY46" s="28">
        <f>Weather!N238</f>
        <v>223.39999999999998</v>
      </c>
      <c r="AZ46" s="28">
        <f>Weather!O238</f>
        <v>0</v>
      </c>
      <c r="BA46" s="28">
        <f>Weather!P238</f>
        <v>283.39999999999998</v>
      </c>
      <c r="BB46" s="28">
        <f>Weather!Q238</f>
        <v>0</v>
      </c>
      <c r="BC46" s="28">
        <f>Weather!R238</f>
        <v>343.39999999999992</v>
      </c>
      <c r="BD46">
        <v>0</v>
      </c>
      <c r="BE46">
        <v>0</v>
      </c>
      <c r="BF46">
        <v>0</v>
      </c>
      <c r="BG46">
        <v>0</v>
      </c>
      <c r="BH46">
        <v>0</v>
      </c>
      <c r="BI46">
        <v>0</v>
      </c>
      <c r="BJ46">
        <v>0</v>
      </c>
      <c r="BK46">
        <v>0</v>
      </c>
      <c r="BL46">
        <v>1</v>
      </c>
      <c r="BM46">
        <v>0</v>
      </c>
      <c r="BN46">
        <v>0</v>
      </c>
      <c r="BO46">
        <v>0</v>
      </c>
      <c r="BP46">
        <v>0</v>
      </c>
      <c r="BQ46">
        <v>1</v>
      </c>
      <c r="BR46">
        <v>1</v>
      </c>
      <c r="BS46" s="1">
        <f t="shared" si="18"/>
        <v>45</v>
      </c>
      <c r="BT46">
        <v>30</v>
      </c>
      <c r="BU46">
        <v>19</v>
      </c>
      <c r="BV46">
        <v>0</v>
      </c>
      <c r="BW46">
        <v>0</v>
      </c>
      <c r="BX46">
        <v>0</v>
      </c>
      <c r="BY46">
        <v>0</v>
      </c>
      <c r="BZ46">
        <f t="shared" si="21"/>
        <v>0</v>
      </c>
      <c r="CA46">
        <f t="shared" si="21"/>
        <v>0</v>
      </c>
      <c r="CB46">
        <f t="shared" si="21"/>
        <v>0</v>
      </c>
      <c r="CC46">
        <f t="shared" si="21"/>
        <v>0</v>
      </c>
      <c r="CD46">
        <f t="shared" si="21"/>
        <v>0</v>
      </c>
      <c r="CE46">
        <f t="shared" si="23"/>
        <v>0</v>
      </c>
      <c r="CF46">
        <f t="shared" si="23"/>
        <v>0</v>
      </c>
      <c r="CG46">
        <f t="shared" si="23"/>
        <v>0</v>
      </c>
      <c r="CH46">
        <f t="shared" si="23"/>
        <v>0</v>
      </c>
      <c r="CI46">
        <f t="shared" si="23"/>
        <v>0</v>
      </c>
      <c r="CJ46">
        <f t="shared" si="23"/>
        <v>0</v>
      </c>
      <c r="CK46">
        <f t="shared" si="23"/>
        <v>0</v>
      </c>
      <c r="CL46">
        <f t="shared" si="23"/>
        <v>0</v>
      </c>
      <c r="CM46">
        <f t="shared" si="23"/>
        <v>0</v>
      </c>
      <c r="CN46">
        <f t="shared" si="22"/>
        <v>0</v>
      </c>
      <c r="CO46">
        <f t="shared" si="22"/>
        <v>0</v>
      </c>
      <c r="CP46">
        <f t="shared" si="22"/>
        <v>0</v>
      </c>
      <c r="CQ46">
        <f t="shared" si="22"/>
        <v>0</v>
      </c>
      <c r="CR46">
        <f t="shared" si="22"/>
        <v>0</v>
      </c>
      <c r="CS46">
        <f t="shared" si="24"/>
        <v>0</v>
      </c>
      <c r="CT46">
        <f t="shared" si="24"/>
        <v>0</v>
      </c>
      <c r="CU46">
        <f t="shared" si="24"/>
        <v>0</v>
      </c>
      <c r="CV46">
        <f t="shared" si="24"/>
        <v>0</v>
      </c>
      <c r="CW46">
        <f t="shared" si="24"/>
        <v>0</v>
      </c>
      <c r="CX46">
        <f t="shared" si="24"/>
        <v>0</v>
      </c>
      <c r="CY46">
        <f t="shared" si="24"/>
        <v>0</v>
      </c>
      <c r="CZ46">
        <f t="shared" si="24"/>
        <v>0</v>
      </c>
      <c r="DA46">
        <f t="shared" si="24"/>
        <v>0</v>
      </c>
      <c r="DB46" s="74">
        <f t="shared" si="7"/>
        <v>834.05801586647453</v>
      </c>
      <c r="DC46" s="74">
        <f t="shared" si="8"/>
        <v>27.801933862215819</v>
      </c>
      <c r="DD46" s="73">
        <f t="shared" si="9"/>
        <v>1695167.3133808852</v>
      </c>
      <c r="DE46" s="74">
        <f t="shared" si="10"/>
        <v>2766.2887693420685</v>
      </c>
      <c r="DF46" s="74">
        <f t="shared" si="11"/>
        <v>92.20962564473561</v>
      </c>
      <c r="DG46" s="74">
        <f t="shared" si="12"/>
        <v>504017.81377412484</v>
      </c>
      <c r="DH46" s="74">
        <f t="shared" si="13"/>
        <v>76889.75791322501</v>
      </c>
      <c r="DI46" s="74">
        <f t="shared" si="14"/>
        <v>2562.9919304408336</v>
      </c>
      <c r="DJ46" s="74">
        <f t="shared" si="15"/>
        <v>4046.8293638539481</v>
      </c>
      <c r="DK46" s="74">
        <f t="shared" si="16"/>
        <v>2496354.140249372</v>
      </c>
      <c r="DL46" s="74">
        <f t="shared" si="17"/>
        <v>3941611.8003937453</v>
      </c>
    </row>
    <row r="47" spans="1:116" x14ac:dyDescent="0.2">
      <c r="A47" s="96">
        <v>43374</v>
      </c>
      <c r="B47" s="4">
        <f t="shared" si="0"/>
        <v>2018</v>
      </c>
      <c r="C47" s="4">
        <f t="shared" si="1"/>
        <v>10</v>
      </c>
      <c r="D47" s="59">
        <v>37999906</v>
      </c>
      <c r="E47" s="59">
        <f>IFERROR(VLOOKUP($B47-1,CDM!$I$7:$N$18,2,FALSE)/12,0)+IFERROR(VLOOKUP($B47,CDM!$I$36:$L$46,2,FALSE)/24,0)+IFERROR(VLOOKUP($B47,CDM!$I$36:$L$46,2,FALSE)/2*$C47/78,0)</f>
        <v>2650226.616106383</v>
      </c>
      <c r="F47" s="59">
        <f t="shared" si="2"/>
        <v>40650132.616106384</v>
      </c>
      <c r="G47" s="73">
        <v>60992</v>
      </c>
      <c r="H47" s="59">
        <v>13367196</v>
      </c>
      <c r="I47" s="59">
        <f>IFERROR(VLOOKUP($B47-1,CDM!$I$7:$N$18,3,FALSE)/12,0)+IFERROR(VLOOKUP($B47,CDM!$I$36:$L$46,3,FALSE)/24,0)+IFERROR(VLOOKUP($B47,CDM!$I$36:$L$46,3,FALSE)/2*$C47/78,0)</f>
        <v>840433.24389274395</v>
      </c>
      <c r="J47" s="59">
        <f t="shared" si="3"/>
        <v>14207629.243892744</v>
      </c>
      <c r="K47" s="59">
        <v>5469</v>
      </c>
      <c r="L47" s="5">
        <v>68627728</v>
      </c>
      <c r="M47" s="2">
        <f>IFERROR(VLOOKUP($B47-1,CDM!$I$7:$N$18,4,FALSE)/12,0)+IFERROR(VLOOKUP($B47,CDM!$I$36:$L$46,4,FALSE)/24,0)+IFERROR(VLOOKUP($B47,CDM!$I$36:$L$46,4,FALSE)/2*$C47/78,0)</f>
        <v>2498642.9668778814</v>
      </c>
      <c r="N47" s="59">
        <f t="shared" si="4"/>
        <v>71126370.966877878</v>
      </c>
      <c r="O47" s="5">
        <v>205563</v>
      </c>
      <c r="P47" s="5">
        <v>972</v>
      </c>
      <c r="Q47" s="5">
        <v>541847.9</v>
      </c>
      <c r="R47" s="5">
        <v>1343.3</v>
      </c>
      <c r="S47" s="5">
        <v>17184</v>
      </c>
      <c r="T47" s="5">
        <v>261271</v>
      </c>
      <c r="U47" s="1">
        <v>24</v>
      </c>
      <c r="V47" s="1">
        <v>563</v>
      </c>
      <c r="W47" s="114">
        <f>Economic!J109</f>
        <v>764464.8</v>
      </c>
      <c r="X47" s="114">
        <f>Economic!K109</f>
        <v>590729.4</v>
      </c>
      <c r="Y47" s="114">
        <f>Economic!L109</f>
        <v>53985.7</v>
      </c>
      <c r="Z47" s="114">
        <f>Economic!M109</f>
        <v>771453</v>
      </c>
      <c r="AA47" s="114">
        <f>Economic!N109</f>
        <v>596813</v>
      </c>
      <c r="AB47" s="114">
        <f>Economic!O109</f>
        <v>31522</v>
      </c>
      <c r="AC47" s="114">
        <f>Economic!D109</f>
        <v>7161</v>
      </c>
      <c r="AD47" s="114">
        <f>Economic!E109</f>
        <v>7185.2</v>
      </c>
      <c r="AE47" s="114">
        <f>Economic!F109</f>
        <v>3259.2</v>
      </c>
      <c r="AF47" s="114">
        <f>Economic!G109</f>
        <v>3257.7</v>
      </c>
      <c r="AG47" s="114">
        <f>Economic!H109</f>
        <v>426.1</v>
      </c>
      <c r="AH47" s="114">
        <f>Economic!I109</f>
        <v>425</v>
      </c>
      <c r="AI47" s="114">
        <f>Economic!P121</f>
        <v>109.30000000000018</v>
      </c>
      <c r="AJ47" s="114">
        <f>Economic!Q121</f>
        <v>105.40000000000055</v>
      </c>
      <c r="AK47" s="114">
        <f>Economic!R121</f>
        <v>40</v>
      </c>
      <c r="AL47" s="114">
        <f>Economic!S121</f>
        <v>35.700000000000273</v>
      </c>
      <c r="AM47" s="114">
        <f>Economic!T121</f>
        <v>25066.79999999993</v>
      </c>
      <c r="AN47" s="114">
        <f>Economic!U121</f>
        <v>5492</v>
      </c>
      <c r="AO47" s="28">
        <f>Weather!D239</f>
        <v>10.645161290322582</v>
      </c>
      <c r="AP47" s="28">
        <f>Weather!E239</f>
        <v>295.49999999999989</v>
      </c>
      <c r="AQ47" s="28">
        <f>Weather!F239</f>
        <v>5.5</v>
      </c>
      <c r="AR47" s="28">
        <f>Weather!G239</f>
        <v>237.49999999999997</v>
      </c>
      <c r="AS47" s="28">
        <f>Weather!H239</f>
        <v>9.5</v>
      </c>
      <c r="AT47" s="28">
        <f>Weather!I239</f>
        <v>182.2</v>
      </c>
      <c r="AU47" s="28">
        <f>Weather!J239</f>
        <v>16.2</v>
      </c>
      <c r="AV47" s="28">
        <f>Weather!K239</f>
        <v>132.70000000000002</v>
      </c>
      <c r="AW47" s="28">
        <f>Weather!L239</f>
        <v>28.7</v>
      </c>
      <c r="AX47" s="28">
        <f>Weather!M239</f>
        <v>88.200000000000031</v>
      </c>
      <c r="AY47" s="28">
        <f>Weather!N239</f>
        <v>46.2</v>
      </c>
      <c r="AZ47" s="28">
        <f>Weather!O239</f>
        <v>50.199999999999996</v>
      </c>
      <c r="BA47" s="28">
        <f>Weather!P239</f>
        <v>70.2</v>
      </c>
      <c r="BB47" s="28">
        <f>Weather!Q239</f>
        <v>20.599999999999994</v>
      </c>
      <c r="BC47" s="28">
        <f>Weather!R239</f>
        <v>102.60000000000001</v>
      </c>
      <c r="BD47">
        <v>0</v>
      </c>
      <c r="BE47">
        <v>0</v>
      </c>
      <c r="BF47">
        <v>0</v>
      </c>
      <c r="BG47">
        <v>0</v>
      </c>
      <c r="BH47">
        <v>0</v>
      </c>
      <c r="BI47">
        <v>0</v>
      </c>
      <c r="BJ47">
        <v>0</v>
      </c>
      <c r="BK47">
        <v>0</v>
      </c>
      <c r="BL47">
        <v>0</v>
      </c>
      <c r="BM47">
        <v>1</v>
      </c>
      <c r="BN47">
        <v>0</v>
      </c>
      <c r="BO47">
        <v>0</v>
      </c>
      <c r="BP47">
        <v>0</v>
      </c>
      <c r="BQ47">
        <v>1</v>
      </c>
      <c r="BR47">
        <v>1</v>
      </c>
      <c r="BS47" s="1">
        <f t="shared" si="18"/>
        <v>46</v>
      </c>
      <c r="BT47">
        <v>31</v>
      </c>
      <c r="BU47">
        <v>22</v>
      </c>
      <c r="BV47">
        <v>0</v>
      </c>
      <c r="BW47">
        <v>0</v>
      </c>
      <c r="BX47">
        <v>0</v>
      </c>
      <c r="BY47">
        <v>0</v>
      </c>
      <c r="BZ47">
        <f t="shared" si="21"/>
        <v>0</v>
      </c>
      <c r="CA47">
        <f t="shared" si="21"/>
        <v>0</v>
      </c>
      <c r="CB47">
        <f t="shared" si="21"/>
        <v>0</v>
      </c>
      <c r="CC47">
        <f t="shared" si="21"/>
        <v>0</v>
      </c>
      <c r="CD47">
        <f t="shared" si="21"/>
        <v>0</v>
      </c>
      <c r="CE47">
        <f t="shared" si="23"/>
        <v>0</v>
      </c>
      <c r="CF47">
        <f t="shared" si="23"/>
        <v>0</v>
      </c>
      <c r="CG47">
        <f t="shared" si="23"/>
        <v>0</v>
      </c>
      <c r="CH47">
        <f t="shared" si="23"/>
        <v>0</v>
      </c>
      <c r="CI47">
        <f t="shared" si="23"/>
        <v>0</v>
      </c>
      <c r="CJ47">
        <f t="shared" si="23"/>
        <v>0</v>
      </c>
      <c r="CK47">
        <f t="shared" si="23"/>
        <v>0</v>
      </c>
      <c r="CL47">
        <f t="shared" si="23"/>
        <v>0</v>
      </c>
      <c r="CM47">
        <f t="shared" si="23"/>
        <v>0</v>
      </c>
      <c r="CN47">
        <f t="shared" si="22"/>
        <v>0</v>
      </c>
      <c r="CO47">
        <f t="shared" si="22"/>
        <v>0</v>
      </c>
      <c r="CP47">
        <f t="shared" si="22"/>
        <v>0</v>
      </c>
      <c r="CQ47">
        <f t="shared" si="22"/>
        <v>0</v>
      </c>
      <c r="CR47">
        <f t="shared" si="22"/>
        <v>0</v>
      </c>
      <c r="CS47">
        <f t="shared" si="24"/>
        <v>0</v>
      </c>
      <c r="CT47">
        <f t="shared" si="24"/>
        <v>0</v>
      </c>
      <c r="CU47">
        <f t="shared" si="24"/>
        <v>0</v>
      </c>
      <c r="CV47">
        <f t="shared" si="24"/>
        <v>0</v>
      </c>
      <c r="CW47">
        <f t="shared" si="24"/>
        <v>0</v>
      </c>
      <c r="CX47">
        <f t="shared" si="24"/>
        <v>0</v>
      </c>
      <c r="CY47">
        <f t="shared" si="24"/>
        <v>0</v>
      </c>
      <c r="CZ47">
        <f t="shared" si="24"/>
        <v>0</v>
      </c>
      <c r="DA47">
        <f t="shared" si="24"/>
        <v>0</v>
      </c>
      <c r="DB47" s="74">
        <f t="shared" si="7"/>
        <v>666.48302426722171</v>
      </c>
      <c r="DC47" s="74">
        <f t="shared" si="8"/>
        <v>21.49945239571683</v>
      </c>
      <c r="DD47" s="73">
        <f t="shared" si="9"/>
        <v>1311294.6005195607</v>
      </c>
      <c r="DE47" s="74">
        <f t="shared" si="10"/>
        <v>2597.8477315583732</v>
      </c>
      <c r="DF47" s="74">
        <f t="shared" si="11"/>
        <v>83.801539727689459</v>
      </c>
      <c r="DG47" s="74">
        <f t="shared" si="12"/>
        <v>458310.62077073369</v>
      </c>
      <c r="DH47" s="74">
        <f t="shared" si="13"/>
        <v>73175.2787725081</v>
      </c>
      <c r="DI47" s="74">
        <f t="shared" si="14"/>
        <v>2360.4928636292934</v>
      </c>
      <c r="DJ47" s="74">
        <f t="shared" si="15"/>
        <v>3326.1490351140046</v>
      </c>
      <c r="DK47" s="74">
        <f t="shared" si="16"/>
        <v>2294399.0634476733</v>
      </c>
      <c r="DL47" s="74">
        <f t="shared" si="17"/>
        <v>3233016.8621308128</v>
      </c>
    </row>
    <row r="48" spans="1:116" x14ac:dyDescent="0.2">
      <c r="A48" s="96">
        <v>43405</v>
      </c>
      <c r="B48" s="4">
        <f t="shared" si="0"/>
        <v>2018</v>
      </c>
      <c r="C48" s="4">
        <f t="shared" si="1"/>
        <v>11</v>
      </c>
      <c r="D48" s="59">
        <v>38116428</v>
      </c>
      <c r="E48" s="59">
        <f>IFERROR(VLOOKUP($B48-1,CDM!$I$7:$N$18,2,FALSE)/12,0)+IFERROR(VLOOKUP($B48,CDM!$I$36:$L$46,2,FALSE)/24,0)+IFERROR(VLOOKUP($B48,CDM!$I$36:$L$46,2,FALSE)/2*$C48/78,0)</f>
        <v>2701418.8307862128</v>
      </c>
      <c r="F48" s="59">
        <f t="shared" si="2"/>
        <v>40817846.830786213</v>
      </c>
      <c r="G48" s="73">
        <v>61031</v>
      </c>
      <c r="H48" s="59">
        <v>13835360</v>
      </c>
      <c r="I48" s="59">
        <f>IFERROR(VLOOKUP($B48-1,CDM!$I$7:$N$18,3,FALSE)/12,0)+IFERROR(VLOOKUP($B48,CDM!$I$36:$L$46,3,FALSE)/24,0)+IFERROR(VLOOKUP($B48,CDM!$I$36:$L$46,3,FALSE)/2*$C48/78,0)</f>
        <v>856281.0745617419</v>
      </c>
      <c r="J48" s="59">
        <f t="shared" si="3"/>
        <v>14691641.074561741</v>
      </c>
      <c r="K48" s="59">
        <v>5496</v>
      </c>
      <c r="L48" s="5">
        <v>68344175</v>
      </c>
      <c r="M48" s="2">
        <f>IFERROR(VLOOKUP($B48-1,CDM!$I$7:$N$18,4,FALSE)/12,0)+IFERROR(VLOOKUP($B48,CDM!$I$36:$L$46,4,FALSE)/24,0)+IFERROR(VLOOKUP($B48,CDM!$I$36:$L$46,4,FALSE)/2*$C48/78,0)</f>
        <v>2545852.7262745975</v>
      </c>
      <c r="N48" s="59">
        <f t="shared" si="4"/>
        <v>70890027.726274595</v>
      </c>
      <c r="O48" s="5">
        <v>205844</v>
      </c>
      <c r="P48" s="5">
        <v>972</v>
      </c>
      <c r="Q48" s="5">
        <v>565178.5</v>
      </c>
      <c r="R48" s="5">
        <v>1317.1</v>
      </c>
      <c r="S48" s="5">
        <v>17184</v>
      </c>
      <c r="T48" s="5">
        <v>260703</v>
      </c>
      <c r="U48" s="1">
        <v>24</v>
      </c>
      <c r="V48" s="1">
        <v>562</v>
      </c>
      <c r="W48" s="114">
        <f>Economic!J110</f>
        <v>764464.8</v>
      </c>
      <c r="X48" s="114">
        <f>Economic!K110</f>
        <v>590729.4</v>
      </c>
      <c r="Y48" s="114">
        <f>Economic!L110</f>
        <v>53985.7</v>
      </c>
      <c r="Z48" s="114">
        <f>Economic!M110</f>
        <v>771453</v>
      </c>
      <c r="AA48" s="114">
        <f>Economic!N110</f>
        <v>596813</v>
      </c>
      <c r="AB48" s="114">
        <f>Economic!O110</f>
        <v>31522</v>
      </c>
      <c r="AC48" s="114">
        <f>Economic!D110</f>
        <v>7184.7</v>
      </c>
      <c r="AD48" s="114">
        <f>Economic!E110</f>
        <v>7186</v>
      </c>
      <c r="AE48" s="114">
        <f>Economic!F110</f>
        <v>3275</v>
      </c>
      <c r="AF48" s="114">
        <f>Economic!G110</f>
        <v>3261.5</v>
      </c>
      <c r="AG48" s="114">
        <f>Economic!H110</f>
        <v>420.8</v>
      </c>
      <c r="AH48" s="114">
        <f>Economic!I110</f>
        <v>420</v>
      </c>
      <c r="AI48" s="114">
        <f>Economic!P122</f>
        <v>105.30000000000018</v>
      </c>
      <c r="AJ48" s="114">
        <f>Economic!Q122</f>
        <v>102.89999999999964</v>
      </c>
      <c r="AK48" s="114">
        <f>Economic!R122</f>
        <v>36.099999999999909</v>
      </c>
      <c r="AL48" s="114">
        <f>Economic!S122</f>
        <v>33.900000000000091</v>
      </c>
      <c r="AM48" s="114">
        <f>Economic!T122</f>
        <v>25066.79999999993</v>
      </c>
      <c r="AN48" s="114">
        <f>Economic!U122</f>
        <v>5492</v>
      </c>
      <c r="AO48" s="28">
        <f>Weather!D240</f>
        <v>2.9200000000000004</v>
      </c>
      <c r="AP48" s="28">
        <f>Weather!E240</f>
        <v>512.4</v>
      </c>
      <c r="AQ48" s="28">
        <f>Weather!F240</f>
        <v>0</v>
      </c>
      <c r="AR48" s="28">
        <f>Weather!G240</f>
        <v>452.40000000000003</v>
      </c>
      <c r="AS48" s="28">
        <f>Weather!H240</f>
        <v>0</v>
      </c>
      <c r="AT48" s="28">
        <f>Weather!I240</f>
        <v>392.40000000000003</v>
      </c>
      <c r="AU48" s="28">
        <f>Weather!J240</f>
        <v>0</v>
      </c>
      <c r="AV48" s="28">
        <f>Weather!K240</f>
        <v>332.40000000000003</v>
      </c>
      <c r="AW48" s="28">
        <f>Weather!L240</f>
        <v>0</v>
      </c>
      <c r="AX48" s="28">
        <f>Weather!M240</f>
        <v>272.40000000000003</v>
      </c>
      <c r="AY48" s="28">
        <f>Weather!N240</f>
        <v>0</v>
      </c>
      <c r="AZ48" s="28">
        <f>Weather!O240</f>
        <v>214.10000000000002</v>
      </c>
      <c r="BA48" s="28">
        <f>Weather!P240</f>
        <v>1.6999999999999993</v>
      </c>
      <c r="BB48" s="28">
        <f>Weather!Q240</f>
        <v>157.90000000000003</v>
      </c>
      <c r="BC48" s="28">
        <f>Weather!R240</f>
        <v>5.5</v>
      </c>
      <c r="BD48">
        <v>0</v>
      </c>
      <c r="BE48">
        <v>0</v>
      </c>
      <c r="BF48">
        <v>0</v>
      </c>
      <c r="BG48">
        <v>0</v>
      </c>
      <c r="BH48">
        <v>0</v>
      </c>
      <c r="BI48">
        <v>0</v>
      </c>
      <c r="BJ48">
        <v>0</v>
      </c>
      <c r="BK48">
        <v>0</v>
      </c>
      <c r="BL48">
        <v>0</v>
      </c>
      <c r="BM48">
        <v>0</v>
      </c>
      <c r="BN48">
        <v>1</v>
      </c>
      <c r="BO48">
        <v>0</v>
      </c>
      <c r="BP48">
        <v>0</v>
      </c>
      <c r="BQ48">
        <v>1</v>
      </c>
      <c r="BR48">
        <v>1</v>
      </c>
      <c r="BS48" s="1">
        <f t="shared" si="18"/>
        <v>47</v>
      </c>
      <c r="BT48">
        <v>30</v>
      </c>
      <c r="BU48">
        <v>22</v>
      </c>
      <c r="BV48">
        <v>0</v>
      </c>
      <c r="BW48">
        <v>0</v>
      </c>
      <c r="BX48">
        <v>0</v>
      </c>
      <c r="BY48">
        <v>0</v>
      </c>
      <c r="BZ48">
        <f t="shared" si="21"/>
        <v>0</v>
      </c>
      <c r="CA48">
        <f t="shared" si="21"/>
        <v>0</v>
      </c>
      <c r="CB48">
        <f t="shared" si="21"/>
        <v>0</v>
      </c>
      <c r="CC48">
        <f t="shared" si="21"/>
        <v>0</v>
      </c>
      <c r="CD48">
        <f t="shared" si="21"/>
        <v>0</v>
      </c>
      <c r="CE48">
        <f t="shared" si="23"/>
        <v>0</v>
      </c>
      <c r="CF48">
        <f t="shared" si="23"/>
        <v>0</v>
      </c>
      <c r="CG48">
        <f t="shared" si="23"/>
        <v>0</v>
      </c>
      <c r="CH48">
        <f t="shared" si="23"/>
        <v>0</v>
      </c>
      <c r="CI48">
        <f t="shared" si="23"/>
        <v>0</v>
      </c>
      <c r="CJ48">
        <f t="shared" si="23"/>
        <v>0</v>
      </c>
      <c r="CK48">
        <f t="shared" si="23"/>
        <v>0</v>
      </c>
      <c r="CL48">
        <f t="shared" si="23"/>
        <v>0</v>
      </c>
      <c r="CM48">
        <f t="shared" si="23"/>
        <v>0</v>
      </c>
      <c r="CN48">
        <f t="shared" si="22"/>
        <v>0</v>
      </c>
      <c r="CO48">
        <f t="shared" si="22"/>
        <v>0</v>
      </c>
      <c r="CP48">
        <f t="shared" si="22"/>
        <v>0</v>
      </c>
      <c r="CQ48">
        <f t="shared" si="22"/>
        <v>0</v>
      </c>
      <c r="CR48">
        <f t="shared" si="22"/>
        <v>0</v>
      </c>
      <c r="CS48">
        <f t="shared" si="24"/>
        <v>0</v>
      </c>
      <c r="CT48">
        <f t="shared" si="24"/>
        <v>0</v>
      </c>
      <c r="CU48">
        <f t="shared" si="24"/>
        <v>0</v>
      </c>
      <c r="CV48">
        <f t="shared" si="24"/>
        <v>0</v>
      </c>
      <c r="CW48">
        <f t="shared" si="24"/>
        <v>0</v>
      </c>
      <c r="CX48">
        <f t="shared" si="24"/>
        <v>0</v>
      </c>
      <c r="CY48">
        <f t="shared" si="24"/>
        <v>0</v>
      </c>
      <c r="CZ48">
        <f t="shared" si="24"/>
        <v>0</v>
      </c>
      <c r="DA48">
        <f t="shared" si="24"/>
        <v>0</v>
      </c>
      <c r="DB48" s="74">
        <f t="shared" si="7"/>
        <v>668.80514543078459</v>
      </c>
      <c r="DC48" s="74">
        <f t="shared" si="8"/>
        <v>22.293504847692819</v>
      </c>
      <c r="DD48" s="73">
        <f t="shared" si="9"/>
        <v>1360594.8943595404</v>
      </c>
      <c r="DE48" s="74">
        <f t="shared" si="10"/>
        <v>2673.1515783409282</v>
      </c>
      <c r="DF48" s="74">
        <f t="shared" si="11"/>
        <v>89.105052611364272</v>
      </c>
      <c r="DG48" s="74">
        <f t="shared" si="12"/>
        <v>489721.36915205803</v>
      </c>
      <c r="DH48" s="74">
        <f t="shared" si="13"/>
        <v>72932.127290405959</v>
      </c>
      <c r="DI48" s="74">
        <f t="shared" si="14"/>
        <v>2431.0709096801988</v>
      </c>
      <c r="DJ48" s="74">
        <f t="shared" si="15"/>
        <v>3315.0966950184525</v>
      </c>
      <c r="DK48" s="74">
        <f t="shared" si="16"/>
        <v>2363000.9242091533</v>
      </c>
      <c r="DL48" s="74">
        <f t="shared" si="17"/>
        <v>3222273.987557936</v>
      </c>
    </row>
    <row r="49" spans="1:116" x14ac:dyDescent="0.2">
      <c r="A49" s="96">
        <v>43435</v>
      </c>
      <c r="B49" s="4">
        <f t="shared" si="0"/>
        <v>2018</v>
      </c>
      <c r="C49" s="4">
        <f t="shared" si="1"/>
        <v>12</v>
      </c>
      <c r="D49" s="59">
        <v>43149882</v>
      </c>
      <c r="E49" s="59">
        <f>IFERROR(VLOOKUP($B49-1,CDM!$I$7:$N$18,2,FALSE)/12,0)+IFERROR(VLOOKUP($B49,CDM!$I$36:$L$46,2,FALSE)/24,0)+IFERROR(VLOOKUP($B49,CDM!$I$36:$L$46,2,FALSE)/2*$C49/78,0)</f>
        <v>2752611.0454660426</v>
      </c>
      <c r="F49" s="59">
        <f t="shared" si="2"/>
        <v>45902493.045466043</v>
      </c>
      <c r="G49" s="73">
        <v>61253</v>
      </c>
      <c r="H49" s="59">
        <v>14685286</v>
      </c>
      <c r="I49" s="59">
        <f>IFERROR(VLOOKUP($B49-1,CDM!$I$7:$N$18,3,FALSE)/12,0)+IFERROR(VLOOKUP($B49,CDM!$I$36:$L$46,3,FALSE)/24,0)+IFERROR(VLOOKUP($B49,CDM!$I$36:$L$46,3,FALSE)/2*$C49/78,0)</f>
        <v>872128.90523073974</v>
      </c>
      <c r="J49" s="59">
        <f t="shared" si="3"/>
        <v>15557414.90523074</v>
      </c>
      <c r="K49" s="59">
        <v>5494</v>
      </c>
      <c r="L49" s="5">
        <v>67665402</v>
      </c>
      <c r="M49" s="2">
        <f>IFERROR(VLOOKUP($B49-1,CDM!$I$7:$N$18,4,FALSE)/12,0)+IFERROR(VLOOKUP($B49,CDM!$I$36:$L$46,4,FALSE)/24,0)+IFERROR(VLOOKUP($B49,CDM!$I$36:$L$46,4,FALSE)/2*$C49/78,0)</f>
        <v>2593062.4856713135</v>
      </c>
      <c r="N49" s="59">
        <f t="shared" si="4"/>
        <v>70258464.485671312</v>
      </c>
      <c r="O49" s="5">
        <v>169863</v>
      </c>
      <c r="P49" s="5">
        <v>974</v>
      </c>
      <c r="Q49" s="5">
        <v>597310.9</v>
      </c>
      <c r="R49" s="5">
        <v>1287.2</v>
      </c>
      <c r="S49" s="5">
        <v>17184</v>
      </c>
      <c r="T49" s="5">
        <v>264008</v>
      </c>
      <c r="U49" s="1">
        <v>24</v>
      </c>
      <c r="V49" s="1">
        <v>562</v>
      </c>
      <c r="W49" s="114">
        <f>Economic!J111</f>
        <v>764464.8</v>
      </c>
      <c r="X49" s="114">
        <f>Economic!K111</f>
        <v>590729.4</v>
      </c>
      <c r="Y49" s="114">
        <f>Economic!L111</f>
        <v>53985.7</v>
      </c>
      <c r="Z49" s="114">
        <f>Economic!M111</f>
        <v>771453</v>
      </c>
      <c r="AA49" s="114">
        <f>Economic!N111</f>
        <v>596813</v>
      </c>
      <c r="AB49" s="114">
        <f>Economic!O111</f>
        <v>31522</v>
      </c>
      <c r="AC49" s="114">
        <f>Economic!D111</f>
        <v>7199.5</v>
      </c>
      <c r="AD49" s="114">
        <f>Economic!E111</f>
        <v>7206.8</v>
      </c>
      <c r="AE49" s="114">
        <f>Economic!F111</f>
        <v>3291.2</v>
      </c>
      <c r="AF49" s="114">
        <f>Economic!G111</f>
        <v>3287.7</v>
      </c>
      <c r="AG49" s="114">
        <f>Economic!H111</f>
        <v>415</v>
      </c>
      <c r="AH49" s="114">
        <f>Economic!I111</f>
        <v>415.9</v>
      </c>
      <c r="AI49" s="114">
        <f>Economic!P123</f>
        <v>100.60000000000036</v>
      </c>
      <c r="AJ49" s="114">
        <f>Economic!Q123</f>
        <v>103.89999999999964</v>
      </c>
      <c r="AK49" s="114">
        <f>Economic!R123</f>
        <v>31.800000000000182</v>
      </c>
      <c r="AL49" s="114">
        <f>Economic!S123</f>
        <v>33</v>
      </c>
      <c r="AM49" s="114">
        <f>Economic!T123</f>
        <v>25066.79999999993</v>
      </c>
      <c r="AN49" s="114">
        <f>Economic!U123</f>
        <v>5492</v>
      </c>
      <c r="AO49" s="28">
        <f>Weather!D241</f>
        <v>1.3548387096774193</v>
      </c>
      <c r="AP49" s="28">
        <f>Weather!E241</f>
        <v>578.00000000000011</v>
      </c>
      <c r="AQ49" s="28">
        <f>Weather!F241</f>
        <v>0</v>
      </c>
      <c r="AR49" s="28">
        <f>Weather!G241</f>
        <v>516.00000000000011</v>
      </c>
      <c r="AS49" s="28">
        <f>Weather!H241</f>
        <v>0</v>
      </c>
      <c r="AT49" s="28">
        <f>Weather!I241</f>
        <v>454.00000000000006</v>
      </c>
      <c r="AU49" s="28">
        <f>Weather!J241</f>
        <v>0</v>
      </c>
      <c r="AV49" s="28">
        <f>Weather!K241</f>
        <v>392.00000000000006</v>
      </c>
      <c r="AW49" s="28">
        <f>Weather!L241</f>
        <v>0</v>
      </c>
      <c r="AX49" s="28">
        <f>Weather!M241</f>
        <v>330</v>
      </c>
      <c r="AY49" s="28">
        <f>Weather!N241</f>
        <v>0</v>
      </c>
      <c r="AZ49" s="28">
        <f>Weather!O241</f>
        <v>267.99999999999994</v>
      </c>
      <c r="BA49" s="28">
        <f>Weather!P241</f>
        <v>0</v>
      </c>
      <c r="BB49" s="28">
        <f>Weather!Q241</f>
        <v>205.99999999999994</v>
      </c>
      <c r="BC49" s="28">
        <f>Weather!R241</f>
        <v>0</v>
      </c>
      <c r="BD49">
        <v>0</v>
      </c>
      <c r="BE49">
        <v>0</v>
      </c>
      <c r="BF49">
        <v>0</v>
      </c>
      <c r="BG49">
        <v>0</v>
      </c>
      <c r="BH49">
        <v>0</v>
      </c>
      <c r="BI49">
        <v>0</v>
      </c>
      <c r="BJ49">
        <v>0</v>
      </c>
      <c r="BK49">
        <v>0</v>
      </c>
      <c r="BL49">
        <v>0</v>
      </c>
      <c r="BM49">
        <v>0</v>
      </c>
      <c r="BN49">
        <v>0</v>
      </c>
      <c r="BO49">
        <v>1</v>
      </c>
      <c r="BP49">
        <v>0</v>
      </c>
      <c r="BQ49">
        <v>0</v>
      </c>
      <c r="BR49">
        <v>0</v>
      </c>
      <c r="BS49" s="1">
        <f t="shared" si="18"/>
        <v>48</v>
      </c>
      <c r="BT49">
        <v>31</v>
      </c>
      <c r="BU49">
        <v>19</v>
      </c>
      <c r="BV49">
        <v>0</v>
      </c>
      <c r="BW49">
        <v>0</v>
      </c>
      <c r="BX49">
        <v>0</v>
      </c>
      <c r="BY49">
        <v>0</v>
      </c>
      <c r="BZ49">
        <f t="shared" si="21"/>
        <v>0</v>
      </c>
      <c r="CA49">
        <f t="shared" si="21"/>
        <v>0</v>
      </c>
      <c r="CB49">
        <f t="shared" si="21"/>
        <v>0</v>
      </c>
      <c r="CC49">
        <f t="shared" si="21"/>
        <v>0</v>
      </c>
      <c r="CD49">
        <f t="shared" si="21"/>
        <v>0</v>
      </c>
      <c r="CE49">
        <f t="shared" si="23"/>
        <v>0</v>
      </c>
      <c r="CF49">
        <f t="shared" si="23"/>
        <v>0</v>
      </c>
      <c r="CG49">
        <f t="shared" si="23"/>
        <v>0</v>
      </c>
      <c r="CH49">
        <f t="shared" si="23"/>
        <v>0</v>
      </c>
      <c r="CI49">
        <f t="shared" si="23"/>
        <v>0</v>
      </c>
      <c r="CJ49">
        <f t="shared" si="23"/>
        <v>0</v>
      </c>
      <c r="CK49">
        <f t="shared" si="23"/>
        <v>0</v>
      </c>
      <c r="CL49">
        <f t="shared" si="23"/>
        <v>0</v>
      </c>
      <c r="CM49">
        <f t="shared" si="23"/>
        <v>0</v>
      </c>
      <c r="CN49">
        <f t="shared" si="22"/>
        <v>0</v>
      </c>
      <c r="CO49">
        <f t="shared" si="22"/>
        <v>0</v>
      </c>
      <c r="CP49">
        <f t="shared" si="22"/>
        <v>0</v>
      </c>
      <c r="CQ49">
        <f t="shared" si="22"/>
        <v>0</v>
      </c>
      <c r="CR49">
        <f t="shared" si="22"/>
        <v>0</v>
      </c>
      <c r="CS49">
        <f t="shared" si="24"/>
        <v>0</v>
      </c>
      <c r="CT49">
        <f t="shared" si="24"/>
        <v>0</v>
      </c>
      <c r="CU49">
        <f t="shared" si="24"/>
        <v>0</v>
      </c>
      <c r="CV49">
        <f t="shared" si="24"/>
        <v>0</v>
      </c>
      <c r="CW49">
        <f t="shared" si="24"/>
        <v>0</v>
      </c>
      <c r="CX49">
        <f t="shared" si="24"/>
        <v>0</v>
      </c>
      <c r="CY49">
        <f t="shared" si="24"/>
        <v>0</v>
      </c>
      <c r="CZ49">
        <f t="shared" si="24"/>
        <v>0</v>
      </c>
      <c r="DA49">
        <f t="shared" si="24"/>
        <v>0</v>
      </c>
      <c r="DB49" s="74">
        <f t="shared" si="7"/>
        <v>749.391752982973</v>
      </c>
      <c r="DC49" s="74">
        <f t="shared" si="8"/>
        <v>24.173927515579773</v>
      </c>
      <c r="DD49" s="73">
        <f t="shared" si="9"/>
        <v>1480725.5821118078</v>
      </c>
      <c r="DE49" s="74">
        <f t="shared" si="10"/>
        <v>2831.7100300747616</v>
      </c>
      <c r="DF49" s="74">
        <f t="shared" si="11"/>
        <v>91.345484841121348</v>
      </c>
      <c r="DG49" s="74">
        <f t="shared" si="12"/>
        <v>501852.09371712065</v>
      </c>
      <c r="DH49" s="74">
        <f t="shared" si="13"/>
        <v>72133.947110545501</v>
      </c>
      <c r="DI49" s="74">
        <f t="shared" si="14"/>
        <v>2326.9015196950163</v>
      </c>
      <c r="DJ49" s="74">
        <f t="shared" si="15"/>
        <v>3796.5235321339737</v>
      </c>
      <c r="DK49" s="74">
        <f t="shared" si="16"/>
        <v>2266402.0801829454</v>
      </c>
      <c r="DL49" s="74">
        <f t="shared" si="17"/>
        <v>3697813.9202984902</v>
      </c>
    </row>
    <row r="50" spans="1:116" x14ac:dyDescent="0.2">
      <c r="A50" s="96">
        <v>43466</v>
      </c>
      <c r="B50" s="4">
        <f t="shared" si="0"/>
        <v>2019</v>
      </c>
      <c r="C50" s="4">
        <f t="shared" si="1"/>
        <v>1</v>
      </c>
      <c r="D50" s="59">
        <v>44752329</v>
      </c>
      <c r="E50" s="59">
        <f>IFERROR(VLOOKUP($B50-1,CDM!$I$7:$N$18,2,FALSE)/12,0)+IFERROR(VLOOKUP($B50,CDM!$I$36:$L$46,2,FALSE)/24,0)+IFERROR(VLOOKUP($B50,CDM!$I$36:$L$46,2,FALSE)/2*$C50/78,0)</f>
        <v>2558573.790742544</v>
      </c>
      <c r="F50" s="59">
        <f t="shared" si="2"/>
        <v>47310902.790742546</v>
      </c>
      <c r="G50" s="73">
        <v>61267</v>
      </c>
      <c r="H50" s="59">
        <v>15650151</v>
      </c>
      <c r="I50" s="59">
        <f>IFERROR(VLOOKUP($B50-1,CDM!$I$7:$N$18,3,FALSE)/12,0)+IFERROR(VLOOKUP($B50,CDM!$I$36:$L$46,3,FALSE)/24,0)+IFERROR(VLOOKUP($B50,CDM!$I$36:$L$46,3,FALSE)/2*$C50/78,0)</f>
        <v>885010.59495457204</v>
      </c>
      <c r="J50" s="59">
        <f t="shared" si="3"/>
        <v>16535161.594954573</v>
      </c>
      <c r="K50" s="59">
        <v>5499</v>
      </c>
      <c r="L50" s="5">
        <v>74411457</v>
      </c>
      <c r="M50" s="2">
        <f>IFERROR(VLOOKUP($B50-1,CDM!$I$7:$N$18,4,FALSE)/12,0)+IFERROR(VLOOKUP($B50,CDM!$I$36:$L$46,4,FALSE)/24,0)+IFERROR(VLOOKUP($B50,CDM!$I$36:$L$46,4,FALSE)/2*$C50/78,0)</f>
        <v>2606263.9836543165</v>
      </c>
      <c r="N50" s="59">
        <f t="shared" si="4"/>
        <v>77017720.98365432</v>
      </c>
      <c r="O50" s="5">
        <v>179535</v>
      </c>
      <c r="P50" s="5">
        <v>974</v>
      </c>
      <c r="Q50" s="5">
        <v>583065.5</v>
      </c>
      <c r="R50" s="5">
        <v>1287.2</v>
      </c>
      <c r="S50" s="5">
        <v>17184</v>
      </c>
      <c r="T50" s="5">
        <v>262538</v>
      </c>
      <c r="U50" s="1">
        <v>24</v>
      </c>
      <c r="V50" s="1">
        <v>559</v>
      </c>
      <c r="W50" s="114">
        <f>Economic!J112</f>
        <v>789531.6</v>
      </c>
      <c r="X50" s="114">
        <f>Economic!K112</f>
        <v>608429.30000000005</v>
      </c>
      <c r="Y50" s="114">
        <f>Economic!L112</f>
        <v>57334.6</v>
      </c>
      <c r="Z50" s="114">
        <f>Economic!M112</f>
        <v>779459</v>
      </c>
      <c r="AA50" s="114">
        <f>Economic!N112</f>
        <v>600187</v>
      </c>
      <c r="AB50" s="114">
        <f>Economic!O112</f>
        <v>31723</v>
      </c>
      <c r="AC50" s="114">
        <f>Economic!D112</f>
        <v>7199.4</v>
      </c>
      <c r="AD50" s="114">
        <f>Economic!E112</f>
        <v>7167.3</v>
      </c>
      <c r="AE50" s="114">
        <f>Economic!F112</f>
        <v>3298</v>
      </c>
      <c r="AF50" s="114">
        <f>Economic!G112</f>
        <v>3287</v>
      </c>
      <c r="AG50" s="114">
        <f>Economic!H112</f>
        <v>412.8</v>
      </c>
      <c r="AH50" s="114">
        <f>Economic!I112</f>
        <v>412.4</v>
      </c>
      <c r="AI50" s="114">
        <f>Economic!P124</f>
        <v>118.60000000000036</v>
      </c>
      <c r="AJ50" s="114">
        <f>Economic!Q124</f>
        <v>122.09999999999945</v>
      </c>
      <c r="AK50" s="114">
        <f>Economic!R124</f>
        <v>27.099999999999909</v>
      </c>
      <c r="AL50" s="114">
        <f>Economic!S124</f>
        <v>30.699999999999818</v>
      </c>
      <c r="AM50" s="114">
        <f>Economic!T124</f>
        <v>17742.900000000023</v>
      </c>
      <c r="AN50" s="114">
        <f>Economic!U124</f>
        <v>1092</v>
      </c>
      <c r="AO50" s="28">
        <f>Weather!D242</f>
        <v>-4.580645161290323</v>
      </c>
      <c r="AP50" s="28">
        <f>Weather!E242</f>
        <v>762</v>
      </c>
      <c r="AQ50" s="28">
        <f>Weather!F242</f>
        <v>0</v>
      </c>
      <c r="AR50" s="28">
        <f>Weather!G242</f>
        <v>700</v>
      </c>
      <c r="AS50" s="28">
        <f>Weather!H242</f>
        <v>0</v>
      </c>
      <c r="AT50" s="28">
        <f>Weather!I242</f>
        <v>638</v>
      </c>
      <c r="AU50" s="28">
        <f>Weather!J242</f>
        <v>0</v>
      </c>
      <c r="AV50" s="28">
        <f>Weather!K242</f>
        <v>576</v>
      </c>
      <c r="AW50" s="28">
        <f>Weather!L242</f>
        <v>0</v>
      </c>
      <c r="AX50" s="28">
        <f>Weather!M242</f>
        <v>514</v>
      </c>
      <c r="AY50" s="28">
        <f>Weather!N242</f>
        <v>0</v>
      </c>
      <c r="AZ50" s="28">
        <f>Weather!O242</f>
        <v>452.00000000000006</v>
      </c>
      <c r="BA50" s="28">
        <f>Weather!P242</f>
        <v>0</v>
      </c>
      <c r="BB50" s="28">
        <f>Weather!Q242</f>
        <v>390.00000000000006</v>
      </c>
      <c r="BC50" s="28">
        <f>Weather!R242</f>
        <v>0</v>
      </c>
      <c r="BD50">
        <v>1</v>
      </c>
      <c r="BE50">
        <v>0</v>
      </c>
      <c r="BF50">
        <v>0</v>
      </c>
      <c r="BG50">
        <v>0</v>
      </c>
      <c r="BH50">
        <v>0</v>
      </c>
      <c r="BI50">
        <v>0</v>
      </c>
      <c r="BJ50">
        <v>0</v>
      </c>
      <c r="BK50">
        <v>0</v>
      </c>
      <c r="BL50">
        <v>0</v>
      </c>
      <c r="BM50">
        <v>0</v>
      </c>
      <c r="BN50">
        <v>0</v>
      </c>
      <c r="BO50">
        <v>0</v>
      </c>
      <c r="BP50" s="1">
        <f>BP38</f>
        <v>0</v>
      </c>
      <c r="BQ50" s="1">
        <f t="shared" ref="BQ50:BR50" si="25">BQ38</f>
        <v>0</v>
      </c>
      <c r="BR50" s="1">
        <f t="shared" si="25"/>
        <v>0</v>
      </c>
      <c r="BS50" s="1">
        <f t="shared" si="18"/>
        <v>49</v>
      </c>
      <c r="BT50">
        <f>BT2</f>
        <v>31</v>
      </c>
      <c r="BU50">
        <v>22</v>
      </c>
      <c r="BV50">
        <v>0</v>
      </c>
      <c r="BW50">
        <v>0</v>
      </c>
      <c r="BX50">
        <v>0</v>
      </c>
      <c r="BY50">
        <v>0</v>
      </c>
      <c r="BZ50">
        <f t="shared" si="21"/>
        <v>0</v>
      </c>
      <c r="CA50">
        <f t="shared" si="21"/>
        <v>0</v>
      </c>
      <c r="CB50">
        <f t="shared" si="21"/>
        <v>0</v>
      </c>
      <c r="CC50">
        <f t="shared" si="21"/>
        <v>0</v>
      </c>
      <c r="CD50">
        <f t="shared" si="21"/>
        <v>0</v>
      </c>
      <c r="CE50">
        <f t="shared" si="23"/>
        <v>0</v>
      </c>
      <c r="CF50">
        <f t="shared" si="23"/>
        <v>0</v>
      </c>
      <c r="CG50">
        <f t="shared" si="23"/>
        <v>0</v>
      </c>
      <c r="CH50">
        <f t="shared" si="23"/>
        <v>0</v>
      </c>
      <c r="CI50">
        <f t="shared" si="23"/>
        <v>0</v>
      </c>
      <c r="CJ50">
        <f t="shared" si="23"/>
        <v>0</v>
      </c>
      <c r="CK50">
        <f t="shared" si="23"/>
        <v>0</v>
      </c>
      <c r="CL50">
        <f t="shared" si="23"/>
        <v>0</v>
      </c>
      <c r="CM50">
        <f t="shared" si="23"/>
        <v>0</v>
      </c>
      <c r="CN50">
        <f t="shared" si="22"/>
        <v>0</v>
      </c>
      <c r="CO50">
        <f t="shared" si="22"/>
        <v>0</v>
      </c>
      <c r="CP50">
        <f t="shared" si="22"/>
        <v>0</v>
      </c>
      <c r="CQ50">
        <f t="shared" si="22"/>
        <v>0</v>
      </c>
      <c r="CR50">
        <f t="shared" si="22"/>
        <v>0</v>
      </c>
      <c r="CS50">
        <f t="shared" si="24"/>
        <v>0</v>
      </c>
      <c r="CT50">
        <f t="shared" si="24"/>
        <v>0</v>
      </c>
      <c r="CU50">
        <f t="shared" si="24"/>
        <v>0</v>
      </c>
      <c r="CV50">
        <f t="shared" si="24"/>
        <v>0</v>
      </c>
      <c r="CW50">
        <f t="shared" si="24"/>
        <v>0</v>
      </c>
      <c r="CX50">
        <f t="shared" si="24"/>
        <v>0</v>
      </c>
      <c r="CY50">
        <f t="shared" si="24"/>
        <v>0</v>
      </c>
      <c r="CZ50">
        <f t="shared" si="24"/>
        <v>0</v>
      </c>
      <c r="DA50">
        <f t="shared" si="24"/>
        <v>0</v>
      </c>
      <c r="DB50" s="74">
        <f t="shared" si="7"/>
        <v>772.20857542792282</v>
      </c>
      <c r="DC50" s="74">
        <f t="shared" si="8"/>
        <v>24.909954046062026</v>
      </c>
      <c r="DD50" s="73">
        <f t="shared" si="9"/>
        <v>1526158.1545400822</v>
      </c>
      <c r="DE50" s="74">
        <f t="shared" si="10"/>
        <v>3006.9397335796639</v>
      </c>
      <c r="DF50" s="74">
        <f t="shared" si="11"/>
        <v>96.998055921924646</v>
      </c>
      <c r="DG50" s="74">
        <f t="shared" si="12"/>
        <v>533392.30951466365</v>
      </c>
      <c r="DH50" s="74">
        <f t="shared" si="13"/>
        <v>79073.635506831954</v>
      </c>
      <c r="DI50" s="74">
        <f t="shared" si="14"/>
        <v>2550.7624357042564</v>
      </c>
      <c r="DJ50" s="74">
        <f t="shared" si="15"/>
        <v>3594.2561594014524</v>
      </c>
      <c r="DK50" s="74">
        <f t="shared" si="16"/>
        <v>2484442.6123759458</v>
      </c>
      <c r="DL50" s="74">
        <f t="shared" si="17"/>
        <v>3500805.4992570146</v>
      </c>
    </row>
    <row r="51" spans="1:116" x14ac:dyDescent="0.2">
      <c r="A51" s="96">
        <v>43497</v>
      </c>
      <c r="B51" s="4">
        <f t="shared" si="0"/>
        <v>2019</v>
      </c>
      <c r="C51" s="4">
        <f t="shared" si="1"/>
        <v>2</v>
      </c>
      <c r="D51" s="59">
        <v>39641060</v>
      </c>
      <c r="E51" s="59">
        <f>IFERROR(VLOOKUP($B51-1,CDM!$I$7:$N$18,2,FALSE)/12,0)+IFERROR(VLOOKUP($B51,CDM!$I$36:$L$46,2,FALSE)/24,0)+IFERROR(VLOOKUP($B51,CDM!$I$36:$L$46,2,FALSE)/2*$C51/78,0)</f>
        <v>2570243.114211286</v>
      </c>
      <c r="F51" s="59">
        <f t="shared" si="2"/>
        <v>42211303.114211284</v>
      </c>
      <c r="G51" s="73">
        <v>61283</v>
      </c>
      <c r="H51" s="59">
        <v>14388779</v>
      </c>
      <c r="I51" s="59">
        <f>IFERROR(VLOOKUP($B51-1,CDM!$I$7:$N$18,3,FALSE)/12,0)+IFERROR(VLOOKUP($B51,CDM!$I$36:$L$46,3,FALSE)/24,0)+IFERROR(VLOOKUP($B51,CDM!$I$36:$L$46,3,FALSE)/2*$C51/78,0)</f>
        <v>898349.89607501472</v>
      </c>
      <c r="J51" s="59">
        <f t="shared" si="3"/>
        <v>15287128.896075014</v>
      </c>
      <c r="K51" s="59">
        <v>5507</v>
      </c>
      <c r="L51" s="5">
        <v>66941377</v>
      </c>
      <c r="M51" s="2">
        <f>IFERROR(VLOOKUP($B51-1,CDM!$I$7:$N$18,4,FALSE)/12,0)+IFERROR(VLOOKUP($B51,CDM!$I$36:$L$46,4,FALSE)/24,0)+IFERROR(VLOOKUP($B51,CDM!$I$36:$L$46,4,FALSE)/2*$C51/78,0)</f>
        <v>2642644.6736096418</v>
      </c>
      <c r="N51" s="59">
        <f t="shared" si="4"/>
        <v>69584021.673609644</v>
      </c>
      <c r="O51" s="5">
        <v>190349</v>
      </c>
      <c r="P51" s="5">
        <v>972</v>
      </c>
      <c r="Q51" s="5">
        <v>486224.5</v>
      </c>
      <c r="R51" s="5">
        <v>1287.2</v>
      </c>
      <c r="S51" s="5">
        <v>17184</v>
      </c>
      <c r="T51" s="5">
        <v>261673</v>
      </c>
      <c r="U51" s="1">
        <v>24</v>
      </c>
      <c r="V51" s="1">
        <v>563</v>
      </c>
      <c r="W51" s="114">
        <f>Economic!J113</f>
        <v>789531.6</v>
      </c>
      <c r="X51" s="114">
        <f>Economic!K113</f>
        <v>608429.30000000005</v>
      </c>
      <c r="Y51" s="114">
        <f>Economic!L113</f>
        <v>57334.6</v>
      </c>
      <c r="Z51" s="114">
        <f>Economic!M113</f>
        <v>779459</v>
      </c>
      <c r="AA51" s="114">
        <f>Economic!N113</f>
        <v>600187</v>
      </c>
      <c r="AB51" s="114">
        <f>Economic!O113</f>
        <v>31723</v>
      </c>
      <c r="AC51" s="114">
        <f>Economic!D113</f>
        <v>7188.9</v>
      </c>
      <c r="AD51" s="114">
        <f>Economic!E113</f>
        <v>7120.1</v>
      </c>
      <c r="AE51" s="114">
        <f>Economic!F113</f>
        <v>3300.1</v>
      </c>
      <c r="AF51" s="114">
        <f>Economic!G113</f>
        <v>3280</v>
      </c>
      <c r="AG51" s="114">
        <f>Economic!H113</f>
        <v>407.6</v>
      </c>
      <c r="AH51" s="114">
        <f>Economic!I113</f>
        <v>405.8</v>
      </c>
      <c r="AI51" s="114">
        <f>Economic!P125</f>
        <v>156.5</v>
      </c>
      <c r="AJ51" s="114">
        <f>Economic!Q125</f>
        <v>158.29999999999927</v>
      </c>
      <c r="AK51" s="114">
        <f>Economic!R125</f>
        <v>40.700000000000273</v>
      </c>
      <c r="AL51" s="114">
        <f>Economic!S125</f>
        <v>45.300000000000182</v>
      </c>
      <c r="AM51" s="114">
        <f>Economic!T125</f>
        <v>17742.900000000023</v>
      </c>
      <c r="AN51" s="114">
        <f>Economic!U125</f>
        <v>1092</v>
      </c>
      <c r="AO51" s="28">
        <f>Weather!D243</f>
        <v>-2.4178571428571423</v>
      </c>
      <c r="AP51" s="28">
        <f>Weather!E243</f>
        <v>627.70000000000005</v>
      </c>
      <c r="AQ51" s="28">
        <f>Weather!F243</f>
        <v>0</v>
      </c>
      <c r="AR51" s="28">
        <f>Weather!G243</f>
        <v>571.70000000000016</v>
      </c>
      <c r="AS51" s="28">
        <f>Weather!H243</f>
        <v>0</v>
      </c>
      <c r="AT51" s="28">
        <f>Weather!I243</f>
        <v>515.70000000000005</v>
      </c>
      <c r="AU51" s="28">
        <f>Weather!J243</f>
        <v>0</v>
      </c>
      <c r="AV51" s="28">
        <f>Weather!K243</f>
        <v>459.70000000000005</v>
      </c>
      <c r="AW51" s="28">
        <f>Weather!L243</f>
        <v>0</v>
      </c>
      <c r="AX51" s="28">
        <f>Weather!M243</f>
        <v>403.70000000000005</v>
      </c>
      <c r="AY51" s="28">
        <f>Weather!N243</f>
        <v>0</v>
      </c>
      <c r="AZ51" s="28">
        <f>Weather!O243</f>
        <v>347.70000000000005</v>
      </c>
      <c r="BA51" s="28">
        <f>Weather!P243</f>
        <v>0</v>
      </c>
      <c r="BB51" s="28">
        <f>Weather!Q243</f>
        <v>293.70000000000005</v>
      </c>
      <c r="BC51" s="28">
        <f>Weather!R243</f>
        <v>2</v>
      </c>
      <c r="BD51">
        <v>0</v>
      </c>
      <c r="BE51">
        <v>1</v>
      </c>
      <c r="BF51">
        <v>0</v>
      </c>
      <c r="BG51">
        <v>0</v>
      </c>
      <c r="BH51">
        <v>0</v>
      </c>
      <c r="BI51">
        <v>0</v>
      </c>
      <c r="BJ51">
        <v>0</v>
      </c>
      <c r="BK51">
        <v>0</v>
      </c>
      <c r="BL51">
        <v>0</v>
      </c>
      <c r="BM51">
        <v>0</v>
      </c>
      <c r="BN51">
        <v>0</v>
      </c>
      <c r="BO51">
        <v>0</v>
      </c>
      <c r="BP51" s="1">
        <f t="shared" ref="BP51:BR66" si="26">BP39</f>
        <v>0</v>
      </c>
      <c r="BQ51" s="1">
        <f t="shared" si="26"/>
        <v>0</v>
      </c>
      <c r="BR51" s="1">
        <f t="shared" si="26"/>
        <v>0</v>
      </c>
      <c r="BS51" s="1">
        <f t="shared" si="18"/>
        <v>50</v>
      </c>
      <c r="BT51">
        <f t="shared" ref="BT51:BT114" si="27">BT3</f>
        <v>28</v>
      </c>
      <c r="BU51">
        <v>19</v>
      </c>
      <c r="BV51">
        <v>0</v>
      </c>
      <c r="BW51">
        <v>0</v>
      </c>
      <c r="BX51">
        <v>0</v>
      </c>
      <c r="BY51">
        <v>0</v>
      </c>
      <c r="BZ51">
        <f t="shared" si="21"/>
        <v>0</v>
      </c>
      <c r="CA51">
        <f t="shared" si="21"/>
        <v>0</v>
      </c>
      <c r="CB51">
        <f t="shared" si="21"/>
        <v>0</v>
      </c>
      <c r="CC51">
        <f t="shared" si="21"/>
        <v>0</v>
      </c>
      <c r="CD51">
        <f t="shared" si="21"/>
        <v>0</v>
      </c>
      <c r="CE51">
        <f t="shared" si="23"/>
        <v>0</v>
      </c>
      <c r="CF51">
        <f t="shared" si="23"/>
        <v>0</v>
      </c>
      <c r="CG51">
        <f t="shared" si="23"/>
        <v>0</v>
      </c>
      <c r="CH51">
        <f t="shared" si="23"/>
        <v>0</v>
      </c>
      <c r="CI51">
        <f t="shared" si="23"/>
        <v>0</v>
      </c>
      <c r="CJ51">
        <f t="shared" si="23"/>
        <v>0</v>
      </c>
      <c r="CK51">
        <f t="shared" si="23"/>
        <v>0</v>
      </c>
      <c r="CL51">
        <f t="shared" si="23"/>
        <v>0</v>
      </c>
      <c r="CM51">
        <f t="shared" si="23"/>
        <v>0</v>
      </c>
      <c r="CN51">
        <f t="shared" si="22"/>
        <v>0</v>
      </c>
      <c r="CO51">
        <f t="shared" si="22"/>
        <v>0</v>
      </c>
      <c r="CP51">
        <f t="shared" si="22"/>
        <v>0</v>
      </c>
      <c r="CQ51">
        <f t="shared" si="22"/>
        <v>0</v>
      </c>
      <c r="CR51">
        <f t="shared" si="22"/>
        <v>0</v>
      </c>
      <c r="CS51">
        <f t="shared" si="24"/>
        <v>0</v>
      </c>
      <c r="CT51">
        <f t="shared" si="24"/>
        <v>0</v>
      </c>
      <c r="CU51">
        <f t="shared" si="24"/>
        <v>0</v>
      </c>
      <c r="CV51">
        <f t="shared" si="24"/>
        <v>0</v>
      </c>
      <c r="CW51">
        <f t="shared" si="24"/>
        <v>0</v>
      </c>
      <c r="CX51">
        <f t="shared" si="24"/>
        <v>0</v>
      </c>
      <c r="CY51">
        <f t="shared" si="24"/>
        <v>0</v>
      </c>
      <c r="CZ51">
        <f t="shared" si="24"/>
        <v>0</v>
      </c>
      <c r="DA51">
        <f t="shared" si="24"/>
        <v>0</v>
      </c>
      <c r="DB51" s="74">
        <f t="shared" si="7"/>
        <v>688.79302766201533</v>
      </c>
      <c r="DC51" s="74">
        <f t="shared" si="8"/>
        <v>24.59975098792912</v>
      </c>
      <c r="DD51" s="73">
        <f t="shared" si="9"/>
        <v>1507546.5397932602</v>
      </c>
      <c r="DE51" s="74">
        <f t="shared" si="10"/>
        <v>2775.9449602460531</v>
      </c>
      <c r="DF51" s="74">
        <f t="shared" si="11"/>
        <v>99.140891437359045</v>
      </c>
      <c r="DG51" s="74">
        <f t="shared" si="12"/>
        <v>545968.88914553623</v>
      </c>
      <c r="DH51" s="74">
        <f t="shared" si="13"/>
        <v>71588.499664207455</v>
      </c>
      <c r="DI51" s="74">
        <f t="shared" si="14"/>
        <v>2556.7321308645519</v>
      </c>
      <c r="DJ51" s="74">
        <f t="shared" si="15"/>
        <v>3767.8157718003922</v>
      </c>
      <c r="DK51" s="74">
        <f t="shared" si="16"/>
        <v>2485143.6312003443</v>
      </c>
      <c r="DL51" s="74">
        <f t="shared" si="17"/>
        <v>3662316.9301899811</v>
      </c>
    </row>
    <row r="52" spans="1:116" x14ac:dyDescent="0.2">
      <c r="A52" s="96">
        <v>43525</v>
      </c>
      <c r="B52" s="4">
        <f t="shared" si="0"/>
        <v>2019</v>
      </c>
      <c r="C52" s="4">
        <f t="shared" si="1"/>
        <v>3</v>
      </c>
      <c r="D52" s="59">
        <v>39959681</v>
      </c>
      <c r="E52" s="59">
        <f>IFERROR(VLOOKUP($B52-1,CDM!$I$7:$N$18,2,FALSE)/12,0)+IFERROR(VLOOKUP($B52,CDM!$I$36:$L$46,2,FALSE)/24,0)+IFERROR(VLOOKUP($B52,CDM!$I$36:$L$46,2,FALSE)/2*$C52/78,0)</f>
        <v>2581912.4376800279</v>
      </c>
      <c r="F52" s="59">
        <f t="shared" si="2"/>
        <v>42541593.437680028</v>
      </c>
      <c r="G52" s="73">
        <v>61278</v>
      </c>
      <c r="H52" s="59">
        <v>15138621</v>
      </c>
      <c r="I52" s="59">
        <f>IFERROR(VLOOKUP($B52-1,CDM!$I$7:$N$18,3,FALSE)/12,0)+IFERROR(VLOOKUP($B52,CDM!$I$36:$L$46,3,FALSE)/24,0)+IFERROR(VLOOKUP($B52,CDM!$I$36:$L$46,3,FALSE)/2*$C52/78,0)</f>
        <v>911689.19719545753</v>
      </c>
      <c r="J52" s="59">
        <f t="shared" si="3"/>
        <v>16050310.197195457</v>
      </c>
      <c r="K52" s="59">
        <v>5500</v>
      </c>
      <c r="L52" s="5">
        <v>71747602</v>
      </c>
      <c r="M52" s="2">
        <f>IFERROR(VLOOKUP($B52-1,CDM!$I$7:$N$18,4,FALSE)/12,0)+IFERROR(VLOOKUP($B52,CDM!$I$36:$L$46,4,FALSE)/24,0)+IFERROR(VLOOKUP($B52,CDM!$I$36:$L$46,4,FALSE)/2*$C52/78,0)</f>
        <v>2679025.3635649676</v>
      </c>
      <c r="N52" s="59">
        <f t="shared" si="4"/>
        <v>74426627.363564968</v>
      </c>
      <c r="O52" s="5">
        <v>186476</v>
      </c>
      <c r="P52" s="5">
        <v>972</v>
      </c>
      <c r="Q52" s="5">
        <v>479831.6</v>
      </c>
      <c r="R52" s="5">
        <v>1287.2</v>
      </c>
      <c r="S52" s="5">
        <v>17184</v>
      </c>
      <c r="T52" s="5">
        <v>263490</v>
      </c>
      <c r="U52" s="1">
        <v>24</v>
      </c>
      <c r="V52" s="1">
        <v>563</v>
      </c>
      <c r="W52" s="114">
        <f>Economic!J114</f>
        <v>789531.6</v>
      </c>
      <c r="X52" s="114">
        <f>Economic!K114</f>
        <v>608429.30000000005</v>
      </c>
      <c r="Y52" s="114">
        <f>Economic!L114</f>
        <v>57334.6</v>
      </c>
      <c r="Z52" s="114">
        <f>Economic!M114</f>
        <v>779459</v>
      </c>
      <c r="AA52" s="114">
        <f>Economic!N114</f>
        <v>600187</v>
      </c>
      <c r="AB52" s="114">
        <f>Economic!O114</f>
        <v>31723</v>
      </c>
      <c r="AC52" s="114">
        <f>Economic!D114</f>
        <v>7188.8</v>
      </c>
      <c r="AD52" s="114">
        <f>Economic!E114</f>
        <v>7084.1</v>
      </c>
      <c r="AE52" s="114">
        <f>Economic!F114</f>
        <v>3296.2</v>
      </c>
      <c r="AF52" s="114">
        <f>Economic!G114</f>
        <v>3259.5</v>
      </c>
      <c r="AG52" s="114">
        <f>Economic!H114</f>
        <v>404.8</v>
      </c>
      <c r="AH52" s="114">
        <f>Economic!I114</f>
        <v>400.5</v>
      </c>
      <c r="AI52" s="114">
        <f>Economic!P126</f>
        <v>172.5</v>
      </c>
      <c r="AJ52" s="114">
        <f>Economic!Q126</f>
        <v>172.79999999999927</v>
      </c>
      <c r="AK52" s="114">
        <f>Economic!R126</f>
        <v>62.700000000000273</v>
      </c>
      <c r="AL52" s="114">
        <f>Economic!S126</f>
        <v>65.800000000000182</v>
      </c>
      <c r="AM52" s="114">
        <f>Economic!T126</f>
        <v>17742.900000000023</v>
      </c>
      <c r="AN52" s="114">
        <f>Economic!U126</f>
        <v>1092</v>
      </c>
      <c r="AO52" s="28">
        <f>Weather!D244</f>
        <v>4.8387096774193415E-2</v>
      </c>
      <c r="AP52" s="28">
        <f>Weather!E244</f>
        <v>618.49999999999989</v>
      </c>
      <c r="AQ52" s="28">
        <f>Weather!F244</f>
        <v>0</v>
      </c>
      <c r="AR52" s="28">
        <f>Weather!G244</f>
        <v>556.49999999999989</v>
      </c>
      <c r="AS52" s="28">
        <f>Weather!H244</f>
        <v>0</v>
      </c>
      <c r="AT52" s="28">
        <f>Weather!I244</f>
        <v>494.49999999999989</v>
      </c>
      <c r="AU52" s="28">
        <f>Weather!J244</f>
        <v>0</v>
      </c>
      <c r="AV52" s="28">
        <f>Weather!K244</f>
        <v>432.49999999999989</v>
      </c>
      <c r="AW52" s="28">
        <f>Weather!L244</f>
        <v>0</v>
      </c>
      <c r="AX52" s="28">
        <f>Weather!M244</f>
        <v>370.49999999999989</v>
      </c>
      <c r="AY52" s="28">
        <f>Weather!N244</f>
        <v>0</v>
      </c>
      <c r="AZ52" s="28">
        <f>Weather!O244</f>
        <v>308.49999999999994</v>
      </c>
      <c r="BA52" s="28">
        <f>Weather!P244</f>
        <v>0</v>
      </c>
      <c r="BB52" s="28">
        <f>Weather!Q244</f>
        <v>246.6</v>
      </c>
      <c r="BC52" s="28">
        <f>Weather!R244</f>
        <v>9.9999999999999645E-2</v>
      </c>
      <c r="BD52">
        <v>0</v>
      </c>
      <c r="BE52">
        <v>0</v>
      </c>
      <c r="BF52">
        <v>1</v>
      </c>
      <c r="BG52">
        <v>0</v>
      </c>
      <c r="BH52">
        <v>0</v>
      </c>
      <c r="BI52">
        <v>0</v>
      </c>
      <c r="BJ52">
        <v>0</v>
      </c>
      <c r="BK52">
        <v>0</v>
      </c>
      <c r="BL52">
        <v>0</v>
      </c>
      <c r="BM52">
        <v>0</v>
      </c>
      <c r="BN52">
        <v>0</v>
      </c>
      <c r="BO52">
        <v>0</v>
      </c>
      <c r="BP52" s="1">
        <f t="shared" si="26"/>
        <v>1</v>
      </c>
      <c r="BQ52" s="1">
        <f t="shared" si="26"/>
        <v>0</v>
      </c>
      <c r="BR52" s="1">
        <f t="shared" si="26"/>
        <v>1</v>
      </c>
      <c r="BS52" s="1">
        <f t="shared" si="18"/>
        <v>51</v>
      </c>
      <c r="BT52">
        <f t="shared" si="27"/>
        <v>31</v>
      </c>
      <c r="BU52">
        <v>22</v>
      </c>
      <c r="BV52">
        <v>0</v>
      </c>
      <c r="BW52">
        <v>0</v>
      </c>
      <c r="BX52">
        <v>0</v>
      </c>
      <c r="BY52">
        <v>0</v>
      </c>
      <c r="BZ52">
        <f t="shared" si="21"/>
        <v>0</v>
      </c>
      <c r="CA52">
        <f t="shared" si="21"/>
        <v>0</v>
      </c>
      <c r="CB52">
        <f t="shared" si="21"/>
        <v>0</v>
      </c>
      <c r="CC52">
        <f t="shared" si="21"/>
        <v>0</v>
      </c>
      <c r="CD52">
        <f t="shared" si="21"/>
        <v>0</v>
      </c>
      <c r="CE52">
        <f t="shared" si="23"/>
        <v>0</v>
      </c>
      <c r="CF52">
        <f t="shared" si="23"/>
        <v>0</v>
      </c>
      <c r="CG52">
        <f t="shared" si="23"/>
        <v>0</v>
      </c>
      <c r="CH52">
        <f t="shared" si="23"/>
        <v>0</v>
      </c>
      <c r="CI52">
        <f t="shared" si="23"/>
        <v>0</v>
      </c>
      <c r="CJ52">
        <f t="shared" si="23"/>
        <v>0</v>
      </c>
      <c r="CK52">
        <f t="shared" si="23"/>
        <v>0</v>
      </c>
      <c r="CL52">
        <f t="shared" si="23"/>
        <v>0</v>
      </c>
      <c r="CM52">
        <f t="shared" si="23"/>
        <v>0</v>
      </c>
      <c r="CN52">
        <f t="shared" si="22"/>
        <v>0</v>
      </c>
      <c r="CO52">
        <f t="shared" si="22"/>
        <v>0</v>
      </c>
      <c r="CP52">
        <f t="shared" si="22"/>
        <v>0</v>
      </c>
      <c r="CQ52">
        <f t="shared" si="22"/>
        <v>0</v>
      </c>
      <c r="CR52">
        <f t="shared" si="22"/>
        <v>0</v>
      </c>
      <c r="CS52">
        <f t="shared" si="24"/>
        <v>0</v>
      </c>
      <c r="CT52">
        <f t="shared" si="24"/>
        <v>0</v>
      </c>
      <c r="CU52">
        <f t="shared" si="24"/>
        <v>0</v>
      </c>
      <c r="CV52">
        <f t="shared" si="24"/>
        <v>0</v>
      </c>
      <c r="CW52">
        <f t="shared" si="24"/>
        <v>0</v>
      </c>
      <c r="CX52">
        <f t="shared" si="24"/>
        <v>0</v>
      </c>
      <c r="CY52">
        <f t="shared" si="24"/>
        <v>0</v>
      </c>
      <c r="CZ52">
        <f t="shared" si="24"/>
        <v>0</v>
      </c>
      <c r="DA52">
        <f t="shared" si="24"/>
        <v>0</v>
      </c>
      <c r="DB52" s="74">
        <f t="shared" si="7"/>
        <v>694.23926103462952</v>
      </c>
      <c r="DC52" s="74">
        <f t="shared" si="8"/>
        <v>22.394814872084822</v>
      </c>
      <c r="DD52" s="73">
        <f t="shared" si="9"/>
        <v>1372309.4657316138</v>
      </c>
      <c r="DE52" s="74">
        <f t="shared" si="10"/>
        <v>2918.2382176719011</v>
      </c>
      <c r="DF52" s="74">
        <f t="shared" si="11"/>
        <v>94.136716699093583</v>
      </c>
      <c r="DG52" s="74">
        <f t="shared" si="12"/>
        <v>517751.94184501475</v>
      </c>
      <c r="DH52" s="74">
        <f t="shared" si="13"/>
        <v>76570.604283503053</v>
      </c>
      <c r="DI52" s="74">
        <f t="shared" si="14"/>
        <v>2470.0194930162274</v>
      </c>
      <c r="DJ52" s="74">
        <f t="shared" si="15"/>
        <v>3480.4820128865026</v>
      </c>
      <c r="DK52" s="74">
        <f t="shared" si="16"/>
        <v>2400858.9472117731</v>
      </c>
      <c r="DL52" s="74">
        <f t="shared" si="17"/>
        <v>3383028.5165256802</v>
      </c>
    </row>
    <row r="53" spans="1:116" x14ac:dyDescent="0.2">
      <c r="A53" s="96">
        <v>43556</v>
      </c>
      <c r="B53" s="4">
        <f t="shared" si="0"/>
        <v>2019</v>
      </c>
      <c r="C53" s="4">
        <f t="shared" si="1"/>
        <v>4</v>
      </c>
      <c r="D53" s="59">
        <v>34942768</v>
      </c>
      <c r="E53" s="59">
        <f>IFERROR(VLOOKUP($B53-1,CDM!$I$7:$N$18,2,FALSE)/12,0)+IFERROR(VLOOKUP($B53,CDM!$I$36:$L$46,2,FALSE)/24,0)+IFERROR(VLOOKUP($B53,CDM!$I$36:$L$46,2,FALSE)/2*$C53/78,0)</f>
        <v>2593581.7611487699</v>
      </c>
      <c r="F53" s="59">
        <f t="shared" si="2"/>
        <v>37536349.761148773</v>
      </c>
      <c r="G53" s="73">
        <v>61471</v>
      </c>
      <c r="H53" s="59">
        <v>13349194</v>
      </c>
      <c r="I53" s="59">
        <f>IFERROR(VLOOKUP($B53-1,CDM!$I$7:$N$18,3,FALSE)/12,0)+IFERROR(VLOOKUP($B53,CDM!$I$36:$L$46,3,FALSE)/24,0)+IFERROR(VLOOKUP($B53,CDM!$I$36:$L$46,3,FALSE)/2*$C53/78,0)</f>
        <v>925028.49831590021</v>
      </c>
      <c r="J53" s="59">
        <f t="shared" si="3"/>
        <v>14274222.498315901</v>
      </c>
      <c r="K53" s="59">
        <v>5496</v>
      </c>
      <c r="L53" s="5">
        <v>65493567</v>
      </c>
      <c r="M53" s="2">
        <f>IFERROR(VLOOKUP($B53-1,CDM!$I$7:$N$18,4,FALSE)/12,0)+IFERROR(VLOOKUP($B53,CDM!$I$36:$L$46,4,FALSE)/24,0)+IFERROR(VLOOKUP($B53,CDM!$I$36:$L$46,4,FALSE)/2*$C53/78,0)</f>
        <v>2715406.053520293</v>
      </c>
      <c r="N53" s="59">
        <f t="shared" si="4"/>
        <v>68208973.053520292</v>
      </c>
      <c r="O53" s="5">
        <v>182739</v>
      </c>
      <c r="P53" s="5">
        <v>973</v>
      </c>
      <c r="Q53" s="5">
        <v>407082.6</v>
      </c>
      <c r="R53" s="5">
        <v>1287.2</v>
      </c>
      <c r="S53" s="5">
        <v>17184</v>
      </c>
      <c r="T53" s="5">
        <v>261275</v>
      </c>
      <c r="U53" s="1">
        <v>24</v>
      </c>
      <c r="V53" s="1">
        <v>563</v>
      </c>
      <c r="W53" s="114">
        <f>Economic!J115</f>
        <v>789531.6</v>
      </c>
      <c r="X53" s="114">
        <f>Economic!K115</f>
        <v>608429.30000000005</v>
      </c>
      <c r="Y53" s="114">
        <f>Economic!L115</f>
        <v>57334.6</v>
      </c>
      <c r="Z53" s="114">
        <f>Economic!M115</f>
        <v>784896</v>
      </c>
      <c r="AA53" s="114">
        <f>Economic!N115</f>
        <v>604446</v>
      </c>
      <c r="AB53" s="114">
        <f>Economic!O115</f>
        <v>31589</v>
      </c>
      <c r="AC53" s="114">
        <f>Economic!D115</f>
        <v>7201.1</v>
      </c>
      <c r="AD53" s="114">
        <f>Economic!E115</f>
        <v>7111.6</v>
      </c>
      <c r="AE53" s="114">
        <f>Economic!F115</f>
        <v>3291.6</v>
      </c>
      <c r="AF53" s="114">
        <f>Economic!G115</f>
        <v>3261.1</v>
      </c>
      <c r="AG53" s="114">
        <f>Economic!H115</f>
        <v>401.5</v>
      </c>
      <c r="AH53" s="114">
        <f>Economic!I115</f>
        <v>397.1</v>
      </c>
      <c r="AI53" s="114">
        <f>Economic!P127</f>
        <v>181.19999999999982</v>
      </c>
      <c r="AJ53" s="114">
        <f>Economic!Q127</f>
        <v>182.39999999999964</v>
      </c>
      <c r="AK53" s="114">
        <f>Economic!R127</f>
        <v>89.200000000000273</v>
      </c>
      <c r="AL53" s="114">
        <f>Economic!S127</f>
        <v>89.900000000000091</v>
      </c>
      <c r="AM53" s="114">
        <f>Economic!T127</f>
        <v>17742.900000000023</v>
      </c>
      <c r="AN53" s="114">
        <f>Economic!U127</f>
        <v>5906</v>
      </c>
      <c r="AO53" s="28">
        <f>Weather!D245</f>
        <v>6.2700000000000005</v>
      </c>
      <c r="AP53" s="28">
        <f>Weather!E245</f>
        <v>411.9</v>
      </c>
      <c r="AQ53" s="28">
        <f>Weather!F245</f>
        <v>0</v>
      </c>
      <c r="AR53" s="28">
        <f>Weather!G245</f>
        <v>351.9</v>
      </c>
      <c r="AS53" s="28">
        <f>Weather!H245</f>
        <v>0</v>
      </c>
      <c r="AT53" s="28">
        <f>Weather!I245</f>
        <v>291.89999999999998</v>
      </c>
      <c r="AU53" s="28">
        <f>Weather!J245</f>
        <v>0</v>
      </c>
      <c r="AV53" s="28">
        <f>Weather!K245</f>
        <v>231.89999999999995</v>
      </c>
      <c r="AW53" s="28">
        <f>Weather!L245</f>
        <v>0</v>
      </c>
      <c r="AX53" s="28">
        <f>Weather!M245</f>
        <v>173.29999999999998</v>
      </c>
      <c r="AY53" s="28">
        <f>Weather!N245</f>
        <v>1.4000000000000004</v>
      </c>
      <c r="AZ53" s="28">
        <f>Weather!O245</f>
        <v>116.70000000000002</v>
      </c>
      <c r="BA53" s="28">
        <f>Weather!P245</f>
        <v>4.8000000000000007</v>
      </c>
      <c r="BB53" s="28">
        <f>Weather!Q245</f>
        <v>71.400000000000006</v>
      </c>
      <c r="BC53" s="28">
        <f>Weather!R245</f>
        <v>19.5</v>
      </c>
      <c r="BD53">
        <v>0</v>
      </c>
      <c r="BE53">
        <v>0</v>
      </c>
      <c r="BF53">
        <v>0</v>
      </c>
      <c r="BG53">
        <v>1</v>
      </c>
      <c r="BH53">
        <v>0</v>
      </c>
      <c r="BI53">
        <v>0</v>
      </c>
      <c r="BJ53">
        <v>0</v>
      </c>
      <c r="BK53">
        <v>0</v>
      </c>
      <c r="BL53">
        <v>0</v>
      </c>
      <c r="BM53">
        <v>0</v>
      </c>
      <c r="BN53">
        <v>0</v>
      </c>
      <c r="BO53">
        <v>0</v>
      </c>
      <c r="BP53" s="1">
        <f t="shared" si="26"/>
        <v>1</v>
      </c>
      <c r="BQ53" s="1">
        <f t="shared" si="26"/>
        <v>0</v>
      </c>
      <c r="BR53" s="1">
        <f t="shared" si="26"/>
        <v>1</v>
      </c>
      <c r="BS53" s="1">
        <f t="shared" si="18"/>
        <v>52</v>
      </c>
      <c r="BT53">
        <f t="shared" si="27"/>
        <v>30</v>
      </c>
      <c r="BU53">
        <v>21</v>
      </c>
      <c r="BV53">
        <v>0</v>
      </c>
      <c r="BW53">
        <v>0</v>
      </c>
      <c r="BX53">
        <v>0</v>
      </c>
      <c r="BY53">
        <v>0</v>
      </c>
      <c r="BZ53">
        <f t="shared" si="21"/>
        <v>0</v>
      </c>
      <c r="CA53">
        <f t="shared" si="21"/>
        <v>0</v>
      </c>
      <c r="CB53">
        <f t="shared" si="21"/>
        <v>0</v>
      </c>
      <c r="CC53">
        <f t="shared" si="21"/>
        <v>0</v>
      </c>
      <c r="CD53">
        <f t="shared" si="21"/>
        <v>0</v>
      </c>
      <c r="CE53">
        <f t="shared" si="23"/>
        <v>0</v>
      </c>
      <c r="CF53">
        <f t="shared" si="23"/>
        <v>0</v>
      </c>
      <c r="CG53">
        <f t="shared" si="23"/>
        <v>0</v>
      </c>
      <c r="CH53">
        <f t="shared" si="23"/>
        <v>0</v>
      </c>
      <c r="CI53">
        <f t="shared" si="23"/>
        <v>0</v>
      </c>
      <c r="CJ53">
        <f t="shared" si="23"/>
        <v>0</v>
      </c>
      <c r="CK53">
        <f t="shared" si="23"/>
        <v>0</v>
      </c>
      <c r="CL53">
        <f t="shared" si="23"/>
        <v>0</v>
      </c>
      <c r="CM53">
        <f t="shared" si="23"/>
        <v>0</v>
      </c>
      <c r="CN53">
        <f t="shared" si="22"/>
        <v>0</v>
      </c>
      <c r="CO53">
        <f t="shared" si="22"/>
        <v>0</v>
      </c>
      <c r="CP53">
        <f t="shared" si="22"/>
        <v>0</v>
      </c>
      <c r="CQ53">
        <f t="shared" si="22"/>
        <v>0</v>
      </c>
      <c r="CR53">
        <f t="shared" si="22"/>
        <v>0</v>
      </c>
      <c r="CS53">
        <f t="shared" si="24"/>
        <v>0</v>
      </c>
      <c r="CT53">
        <f t="shared" si="24"/>
        <v>0</v>
      </c>
      <c r="CU53">
        <f t="shared" si="24"/>
        <v>0</v>
      </c>
      <c r="CV53">
        <f t="shared" si="24"/>
        <v>0</v>
      </c>
      <c r="CW53">
        <f t="shared" si="24"/>
        <v>0</v>
      </c>
      <c r="CX53">
        <f t="shared" si="24"/>
        <v>0</v>
      </c>
      <c r="CY53">
        <f t="shared" si="24"/>
        <v>0</v>
      </c>
      <c r="CZ53">
        <f t="shared" si="24"/>
        <v>0</v>
      </c>
      <c r="DA53">
        <f t="shared" si="24"/>
        <v>0</v>
      </c>
      <c r="DB53" s="74">
        <f t="shared" si="7"/>
        <v>610.63509233864386</v>
      </c>
      <c r="DC53" s="74">
        <f t="shared" si="8"/>
        <v>20.354503077954796</v>
      </c>
      <c r="DD53" s="73">
        <f t="shared" si="9"/>
        <v>1251211.6587049591</v>
      </c>
      <c r="DE53" s="74">
        <f t="shared" si="10"/>
        <v>2597.202055734334</v>
      </c>
      <c r="DF53" s="74">
        <f t="shared" si="11"/>
        <v>86.573401857811135</v>
      </c>
      <c r="DG53" s="74">
        <f t="shared" si="12"/>
        <v>475807.41661053</v>
      </c>
      <c r="DH53" s="74">
        <f t="shared" si="13"/>
        <v>70101.719479465872</v>
      </c>
      <c r="DI53" s="74">
        <f t="shared" si="14"/>
        <v>2336.7239826488626</v>
      </c>
      <c r="DJ53" s="74">
        <f t="shared" si="15"/>
        <v>3338.1771180698033</v>
      </c>
      <c r="DK53" s="74">
        <f t="shared" si="16"/>
        <v>2273632.435117343</v>
      </c>
      <c r="DL53" s="74">
        <f t="shared" si="17"/>
        <v>3248046.3358819187</v>
      </c>
    </row>
    <row r="54" spans="1:116" x14ac:dyDescent="0.2">
      <c r="A54" s="96">
        <v>43586</v>
      </c>
      <c r="B54" s="4">
        <f t="shared" ref="B54:B115" si="28">YEAR(A54)</f>
        <v>2019</v>
      </c>
      <c r="C54" s="4">
        <f t="shared" ref="C54:C115" si="29">MONTH(A54)</f>
        <v>5</v>
      </c>
      <c r="D54" s="59">
        <v>35494086</v>
      </c>
      <c r="E54" s="59">
        <f>IFERROR(VLOOKUP($B54-1,CDM!$I$7:$N$18,2,FALSE)/12,0)+IFERROR(VLOOKUP($B54,CDM!$I$36:$L$46,2,FALSE)/24,0)+IFERROR(VLOOKUP($B54,CDM!$I$36:$L$46,2,FALSE)/2*$C54/78,0)</f>
        <v>2605251.0846175118</v>
      </c>
      <c r="F54" s="59">
        <f t="shared" ref="F54:F115" si="30">D54+E54</f>
        <v>38099337.08461751</v>
      </c>
      <c r="G54" s="73">
        <v>61467</v>
      </c>
      <c r="H54" s="59">
        <v>13091106</v>
      </c>
      <c r="I54" s="59">
        <f>IFERROR(VLOOKUP($B54-1,CDM!$I$7:$N$18,3,FALSE)/12,0)+IFERROR(VLOOKUP($B54,CDM!$I$36:$L$46,3,FALSE)/24,0)+IFERROR(VLOOKUP($B54,CDM!$I$36:$L$46,3,FALSE)/2*$C54/78,0)</f>
        <v>938367.79943634302</v>
      </c>
      <c r="J54" s="59">
        <f t="shared" ref="J54:J115" si="31">H54+I54</f>
        <v>14029473.799436344</v>
      </c>
      <c r="K54" s="59">
        <v>5489</v>
      </c>
      <c r="L54" s="5">
        <v>66534124</v>
      </c>
      <c r="M54" s="2">
        <f>IFERROR(VLOOKUP($B54-1,CDM!$I$7:$N$18,4,FALSE)/12,0)+IFERROR(VLOOKUP($B54,CDM!$I$36:$L$46,4,FALSE)/24,0)+IFERROR(VLOOKUP($B54,CDM!$I$36:$L$46,4,FALSE)/2*$C54/78,0)</f>
        <v>2751786.7434756183</v>
      </c>
      <c r="N54" s="59">
        <f t="shared" ref="N54:N115" si="32">L54+M54</f>
        <v>69285910.743475616</v>
      </c>
      <c r="O54" s="5">
        <v>180588</v>
      </c>
      <c r="P54" s="5">
        <v>977</v>
      </c>
      <c r="Q54" s="5">
        <v>370589.6</v>
      </c>
      <c r="R54" s="5">
        <v>1287.2</v>
      </c>
      <c r="S54" s="5">
        <v>17184</v>
      </c>
      <c r="T54" s="5">
        <v>261806</v>
      </c>
      <c r="U54" s="1">
        <v>24</v>
      </c>
      <c r="V54" s="1">
        <v>563</v>
      </c>
      <c r="W54" s="114">
        <f>Economic!J116</f>
        <v>789531.6</v>
      </c>
      <c r="X54" s="114">
        <f>Economic!K116</f>
        <v>608429.30000000005</v>
      </c>
      <c r="Y54" s="114">
        <f>Economic!L116</f>
        <v>57334.6</v>
      </c>
      <c r="Z54" s="114">
        <f>Economic!M116</f>
        <v>784896</v>
      </c>
      <c r="AA54" s="114">
        <f>Economic!N116</f>
        <v>604446</v>
      </c>
      <c r="AB54" s="114">
        <f>Economic!O116</f>
        <v>31589</v>
      </c>
      <c r="AC54" s="114">
        <f>Economic!D116</f>
        <v>7208.5</v>
      </c>
      <c r="AD54" s="114">
        <f>Economic!E116</f>
        <v>7176</v>
      </c>
      <c r="AE54" s="114">
        <f>Economic!F116</f>
        <v>3289.2</v>
      </c>
      <c r="AF54" s="114">
        <f>Economic!G116</f>
        <v>3280</v>
      </c>
      <c r="AG54" s="114">
        <f>Economic!H116</f>
        <v>404.3</v>
      </c>
      <c r="AH54" s="114">
        <f>Economic!I116</f>
        <v>401.5</v>
      </c>
      <c r="AI54" s="114">
        <f>Economic!P128</f>
        <v>190.39999999999964</v>
      </c>
      <c r="AJ54" s="114">
        <f>Economic!Q128</f>
        <v>190.80000000000018</v>
      </c>
      <c r="AK54" s="114">
        <f>Economic!R128</f>
        <v>103.60000000000036</v>
      </c>
      <c r="AL54" s="114">
        <f>Economic!S128</f>
        <v>101.90000000000009</v>
      </c>
      <c r="AM54" s="114">
        <f>Economic!T128</f>
        <v>17742.900000000023</v>
      </c>
      <c r="AN54" s="114">
        <f>Economic!U128</f>
        <v>5906</v>
      </c>
      <c r="AO54" s="28">
        <f>Weather!D246</f>
        <v>11.058064516129033</v>
      </c>
      <c r="AP54" s="28">
        <f>Weather!E246</f>
        <v>277.2</v>
      </c>
      <c r="AQ54" s="28">
        <f>Weather!F246</f>
        <v>0</v>
      </c>
      <c r="AR54" s="28">
        <f>Weather!G246</f>
        <v>215.59999999999997</v>
      </c>
      <c r="AS54" s="28">
        <f>Weather!H246</f>
        <v>0.39999999999999858</v>
      </c>
      <c r="AT54" s="28">
        <f>Weather!I246</f>
        <v>157.79999999999998</v>
      </c>
      <c r="AU54" s="28">
        <f>Weather!J246</f>
        <v>4.5999999999999979</v>
      </c>
      <c r="AV54" s="28">
        <f>Weather!K246</f>
        <v>105.80000000000003</v>
      </c>
      <c r="AW54" s="28">
        <f>Weather!L246</f>
        <v>14.6</v>
      </c>
      <c r="AX54" s="28">
        <f>Weather!M246</f>
        <v>63.5</v>
      </c>
      <c r="AY54" s="28">
        <f>Weather!N246</f>
        <v>34.299999999999997</v>
      </c>
      <c r="AZ54" s="28">
        <f>Weather!O246</f>
        <v>33.1</v>
      </c>
      <c r="BA54" s="28">
        <f>Weather!P246</f>
        <v>65.899999999999991</v>
      </c>
      <c r="BB54" s="28">
        <f>Weather!Q246</f>
        <v>13.399999999999999</v>
      </c>
      <c r="BC54" s="28">
        <f>Weather!R246</f>
        <v>108.19999999999997</v>
      </c>
      <c r="BD54">
        <v>0</v>
      </c>
      <c r="BE54">
        <v>0</v>
      </c>
      <c r="BF54">
        <v>0</v>
      </c>
      <c r="BG54">
        <v>0</v>
      </c>
      <c r="BH54">
        <v>1</v>
      </c>
      <c r="BI54">
        <v>0</v>
      </c>
      <c r="BJ54">
        <v>0</v>
      </c>
      <c r="BK54">
        <v>0</v>
      </c>
      <c r="BL54">
        <v>0</v>
      </c>
      <c r="BM54">
        <v>0</v>
      </c>
      <c r="BN54">
        <v>0</v>
      </c>
      <c r="BO54">
        <v>0</v>
      </c>
      <c r="BP54" s="1">
        <f t="shared" si="26"/>
        <v>1</v>
      </c>
      <c r="BQ54" s="1">
        <f t="shared" si="26"/>
        <v>0</v>
      </c>
      <c r="BR54" s="1">
        <f t="shared" si="26"/>
        <v>1</v>
      </c>
      <c r="BS54" s="1">
        <f t="shared" ref="BS54:BS117" si="33">1+BS53</f>
        <v>53</v>
      </c>
      <c r="BT54">
        <f t="shared" si="27"/>
        <v>31</v>
      </c>
      <c r="BU54">
        <v>20</v>
      </c>
      <c r="BV54">
        <v>0</v>
      </c>
      <c r="BW54">
        <v>0</v>
      </c>
      <c r="BX54">
        <v>0</v>
      </c>
      <c r="BY54">
        <v>0</v>
      </c>
      <c r="BZ54">
        <f t="shared" si="21"/>
        <v>0</v>
      </c>
      <c r="CA54">
        <f t="shared" si="21"/>
        <v>0</v>
      </c>
      <c r="CB54">
        <f t="shared" si="21"/>
        <v>0</v>
      </c>
      <c r="CC54">
        <f t="shared" si="21"/>
        <v>0</v>
      </c>
      <c r="CD54">
        <f t="shared" si="21"/>
        <v>0</v>
      </c>
      <c r="CE54">
        <f t="shared" si="23"/>
        <v>0</v>
      </c>
      <c r="CF54">
        <f t="shared" si="23"/>
        <v>0</v>
      </c>
      <c r="CG54">
        <f t="shared" si="23"/>
        <v>0</v>
      </c>
      <c r="CH54">
        <f t="shared" si="23"/>
        <v>0</v>
      </c>
      <c r="CI54">
        <f t="shared" si="23"/>
        <v>0</v>
      </c>
      <c r="CJ54">
        <f t="shared" si="23"/>
        <v>0</v>
      </c>
      <c r="CK54">
        <f t="shared" si="23"/>
        <v>0</v>
      </c>
      <c r="CL54">
        <f t="shared" si="23"/>
        <v>0</v>
      </c>
      <c r="CM54">
        <f t="shared" si="23"/>
        <v>0</v>
      </c>
      <c r="CN54">
        <f t="shared" si="22"/>
        <v>0</v>
      </c>
      <c r="CO54">
        <f t="shared" si="22"/>
        <v>0</v>
      </c>
      <c r="CP54">
        <f t="shared" si="22"/>
        <v>0</v>
      </c>
      <c r="CQ54">
        <f t="shared" si="22"/>
        <v>0</v>
      </c>
      <c r="CR54">
        <f t="shared" si="22"/>
        <v>0</v>
      </c>
      <c r="CS54">
        <f t="shared" si="24"/>
        <v>0</v>
      </c>
      <c r="CT54">
        <f t="shared" si="24"/>
        <v>0</v>
      </c>
      <c r="CU54">
        <f t="shared" si="24"/>
        <v>0</v>
      </c>
      <c r="CV54">
        <f t="shared" si="24"/>
        <v>0</v>
      </c>
      <c r="CW54">
        <f t="shared" si="24"/>
        <v>0</v>
      </c>
      <c r="CX54">
        <f t="shared" si="24"/>
        <v>0</v>
      </c>
      <c r="CY54">
        <f t="shared" si="24"/>
        <v>0</v>
      </c>
      <c r="CZ54">
        <f t="shared" si="24"/>
        <v>0</v>
      </c>
      <c r="DA54">
        <f t="shared" si="24"/>
        <v>0</v>
      </c>
      <c r="DB54" s="74">
        <f t="shared" ref="DB54:DB115" si="34">F54/G54</f>
        <v>619.83400986899494</v>
      </c>
      <c r="DC54" s="74">
        <f t="shared" ref="DC54:DC61" si="35">DB54/BT54</f>
        <v>19.994645479644998</v>
      </c>
      <c r="DD54" s="73">
        <f t="shared" ref="DD54:DD115" si="36">F54/BT54</f>
        <v>1229010.8736973391</v>
      </c>
      <c r="DE54" s="74">
        <f t="shared" ref="DE54:DE115" si="37">J54/K54</f>
        <v>2555.9252686165682</v>
      </c>
      <c r="DF54" s="74">
        <f t="shared" ref="DF54:DF115" si="38">DE54/BT54</f>
        <v>82.449202213437687</v>
      </c>
      <c r="DG54" s="74">
        <f t="shared" ref="DG54:DG115" si="39">J54/BT54</f>
        <v>452563.67094955948</v>
      </c>
      <c r="DH54" s="74">
        <f t="shared" ref="DH54:DH115" si="40">N54/P54</f>
        <v>70917.001784519569</v>
      </c>
      <c r="DI54" s="74">
        <f t="shared" ref="DI54:DI115" si="41">DH54/BT54</f>
        <v>2287.6452188554699</v>
      </c>
      <c r="DJ54" s="74">
        <f t="shared" ref="DJ54:DJ115" si="42">DH54/BU54</f>
        <v>3545.8500892259785</v>
      </c>
      <c r="DK54" s="74">
        <f t="shared" ref="DK54:DK115" si="43">N54/BT54</f>
        <v>2235029.3788217939</v>
      </c>
      <c r="DL54" s="74">
        <f t="shared" ref="DL54:DL115" si="44">N54/BU54</f>
        <v>3464295.5371737806</v>
      </c>
    </row>
    <row r="55" spans="1:116" x14ac:dyDescent="0.2">
      <c r="A55" s="96">
        <v>43617</v>
      </c>
      <c r="B55" s="4">
        <f t="shared" si="28"/>
        <v>2019</v>
      </c>
      <c r="C55" s="4">
        <f t="shared" si="29"/>
        <v>6</v>
      </c>
      <c r="D55" s="59">
        <v>42615902</v>
      </c>
      <c r="E55" s="59">
        <f>IFERROR(VLOOKUP($B55-1,CDM!$I$7:$N$18,2,FALSE)/12,0)+IFERROR(VLOOKUP($B55,CDM!$I$36:$L$46,2,FALSE)/24,0)+IFERROR(VLOOKUP($B55,CDM!$I$36:$L$46,2,FALSE)/2*$C55/78,0)</f>
        <v>2616920.4080862538</v>
      </c>
      <c r="F55" s="59">
        <f t="shared" si="30"/>
        <v>45232822.408086255</v>
      </c>
      <c r="G55" s="73">
        <v>61472</v>
      </c>
      <c r="H55" s="59">
        <v>13624072</v>
      </c>
      <c r="I55" s="59">
        <f>IFERROR(VLOOKUP($B55-1,CDM!$I$7:$N$18,3,FALSE)/12,0)+IFERROR(VLOOKUP($B55,CDM!$I$36:$L$46,3,FALSE)/24,0)+IFERROR(VLOOKUP($B55,CDM!$I$36:$L$46,3,FALSE)/2*$C55/78,0)</f>
        <v>951707.10055678571</v>
      </c>
      <c r="J55" s="59">
        <f t="shared" si="31"/>
        <v>14575779.100556785</v>
      </c>
      <c r="K55" s="59">
        <v>5489</v>
      </c>
      <c r="L55" s="5">
        <v>67552624</v>
      </c>
      <c r="M55" s="2">
        <f>IFERROR(VLOOKUP($B55-1,CDM!$I$7:$N$18,4,FALSE)/12,0)+IFERROR(VLOOKUP($B55,CDM!$I$36:$L$46,4,FALSE)/24,0)+IFERROR(VLOOKUP($B55,CDM!$I$36:$L$46,4,FALSE)/2*$C55/78,0)</f>
        <v>2788167.4334309436</v>
      </c>
      <c r="N55" s="59">
        <f t="shared" si="32"/>
        <v>70340791.43343094</v>
      </c>
      <c r="O55" s="5">
        <v>184356</v>
      </c>
      <c r="P55" s="5">
        <v>982</v>
      </c>
      <c r="Q55" s="5">
        <v>334161.40000000002</v>
      </c>
      <c r="R55" s="5">
        <v>1287.2</v>
      </c>
      <c r="S55" s="5">
        <v>17184</v>
      </c>
      <c r="T55" s="5">
        <v>261241</v>
      </c>
      <c r="U55" s="1">
        <v>24</v>
      </c>
      <c r="V55" s="1">
        <v>561</v>
      </c>
      <c r="W55" s="114">
        <f>Economic!J117</f>
        <v>789531.6</v>
      </c>
      <c r="X55" s="114">
        <f>Economic!K117</f>
        <v>608429.30000000005</v>
      </c>
      <c r="Y55" s="114">
        <f>Economic!L117</f>
        <v>57334.6</v>
      </c>
      <c r="Z55" s="114">
        <f>Economic!M117</f>
        <v>784896</v>
      </c>
      <c r="AA55" s="114">
        <f>Economic!N117</f>
        <v>604446</v>
      </c>
      <c r="AB55" s="114">
        <f>Economic!O117</f>
        <v>31589</v>
      </c>
      <c r="AC55" s="114">
        <f>Economic!D117</f>
        <v>7221.1</v>
      </c>
      <c r="AD55" s="114">
        <f>Economic!E117</f>
        <v>7264.3</v>
      </c>
      <c r="AE55" s="114">
        <f>Economic!F117</f>
        <v>3293.2</v>
      </c>
      <c r="AF55" s="114">
        <f>Economic!G117</f>
        <v>3312.6</v>
      </c>
      <c r="AG55" s="114">
        <f>Economic!H117</f>
        <v>407.5</v>
      </c>
      <c r="AH55" s="114">
        <f>Economic!I117</f>
        <v>407</v>
      </c>
      <c r="AI55" s="114">
        <f>Economic!P129</f>
        <v>199.19999999999982</v>
      </c>
      <c r="AJ55" s="114">
        <f>Economic!Q129</f>
        <v>196.59999999999945</v>
      </c>
      <c r="AK55" s="114">
        <f>Economic!R129</f>
        <v>108.10000000000036</v>
      </c>
      <c r="AL55" s="114">
        <f>Economic!S129</f>
        <v>105.30000000000018</v>
      </c>
      <c r="AM55" s="114">
        <f>Economic!T129</f>
        <v>17742.900000000023</v>
      </c>
      <c r="AN55" s="114">
        <f>Economic!U129</f>
        <v>5906</v>
      </c>
      <c r="AO55" s="28">
        <f>Weather!D247</f>
        <v>17.306666666666668</v>
      </c>
      <c r="AP55" s="28">
        <f>Weather!E247</f>
        <v>96.9</v>
      </c>
      <c r="AQ55" s="28">
        <f>Weather!F247</f>
        <v>16.100000000000001</v>
      </c>
      <c r="AR55" s="28">
        <f>Weather!G247</f>
        <v>54.899999999999991</v>
      </c>
      <c r="AS55" s="28">
        <f>Weather!H247</f>
        <v>34.1</v>
      </c>
      <c r="AT55" s="28">
        <f>Weather!I247</f>
        <v>22</v>
      </c>
      <c r="AU55" s="28">
        <f>Weather!J247</f>
        <v>61.2</v>
      </c>
      <c r="AV55" s="28">
        <f>Weather!K247</f>
        <v>4.3999999999999986</v>
      </c>
      <c r="AW55" s="28">
        <f>Weather!L247</f>
        <v>103.60000000000002</v>
      </c>
      <c r="AX55" s="28">
        <f>Weather!M247</f>
        <v>0.19999999999999929</v>
      </c>
      <c r="AY55" s="28">
        <f>Weather!N247</f>
        <v>159.4</v>
      </c>
      <c r="AZ55" s="28">
        <f>Weather!O247</f>
        <v>0</v>
      </c>
      <c r="BA55" s="28">
        <f>Weather!P247</f>
        <v>219.2</v>
      </c>
      <c r="BB55" s="28">
        <f>Weather!Q247</f>
        <v>0</v>
      </c>
      <c r="BC55" s="28">
        <f>Weather!R247</f>
        <v>279.2</v>
      </c>
      <c r="BD55">
        <v>0</v>
      </c>
      <c r="BE55">
        <v>0</v>
      </c>
      <c r="BF55">
        <v>0</v>
      </c>
      <c r="BG55">
        <v>0</v>
      </c>
      <c r="BH55">
        <v>0</v>
      </c>
      <c r="BI55">
        <v>1</v>
      </c>
      <c r="BJ55">
        <v>0</v>
      </c>
      <c r="BK55">
        <v>0</v>
      </c>
      <c r="BL55">
        <v>0</v>
      </c>
      <c r="BM55">
        <v>0</v>
      </c>
      <c r="BN55">
        <v>0</v>
      </c>
      <c r="BO55">
        <v>0</v>
      </c>
      <c r="BP55" s="1">
        <f t="shared" si="26"/>
        <v>0</v>
      </c>
      <c r="BQ55" s="1">
        <f t="shared" si="26"/>
        <v>0</v>
      </c>
      <c r="BR55" s="1">
        <f t="shared" si="26"/>
        <v>0</v>
      </c>
      <c r="BS55" s="1">
        <f t="shared" si="33"/>
        <v>54</v>
      </c>
      <c r="BT55">
        <f t="shared" si="27"/>
        <v>30</v>
      </c>
      <c r="BU55">
        <v>22</v>
      </c>
      <c r="BV55">
        <v>0</v>
      </c>
      <c r="BW55">
        <v>0</v>
      </c>
      <c r="BX55">
        <v>0</v>
      </c>
      <c r="BY55">
        <v>0</v>
      </c>
      <c r="BZ55">
        <f t="shared" si="21"/>
        <v>0</v>
      </c>
      <c r="CA55">
        <f t="shared" si="21"/>
        <v>0</v>
      </c>
      <c r="CB55">
        <f t="shared" si="21"/>
        <v>0</v>
      </c>
      <c r="CC55">
        <f t="shared" si="21"/>
        <v>0</v>
      </c>
      <c r="CD55">
        <f t="shared" si="21"/>
        <v>0</v>
      </c>
      <c r="CE55">
        <f t="shared" si="23"/>
        <v>0</v>
      </c>
      <c r="CF55">
        <f t="shared" si="23"/>
        <v>0</v>
      </c>
      <c r="CG55">
        <f t="shared" si="23"/>
        <v>0</v>
      </c>
      <c r="CH55">
        <f t="shared" si="23"/>
        <v>0</v>
      </c>
      <c r="CI55">
        <f t="shared" si="23"/>
        <v>0</v>
      </c>
      <c r="CJ55">
        <f t="shared" si="23"/>
        <v>0</v>
      </c>
      <c r="CK55">
        <f t="shared" si="23"/>
        <v>0</v>
      </c>
      <c r="CL55">
        <f t="shared" si="23"/>
        <v>0</v>
      </c>
      <c r="CM55">
        <f t="shared" si="23"/>
        <v>0</v>
      </c>
      <c r="CN55">
        <f t="shared" si="22"/>
        <v>0</v>
      </c>
      <c r="CO55">
        <f t="shared" si="22"/>
        <v>0</v>
      </c>
      <c r="CP55">
        <f t="shared" si="22"/>
        <v>0</v>
      </c>
      <c r="CQ55">
        <f t="shared" si="22"/>
        <v>0</v>
      </c>
      <c r="CR55">
        <f t="shared" si="22"/>
        <v>0</v>
      </c>
      <c r="CS55">
        <f t="shared" si="24"/>
        <v>0</v>
      </c>
      <c r="CT55">
        <f t="shared" si="24"/>
        <v>0</v>
      </c>
      <c r="CU55">
        <f t="shared" si="24"/>
        <v>0</v>
      </c>
      <c r="CV55">
        <f t="shared" si="24"/>
        <v>0</v>
      </c>
      <c r="CW55">
        <f t="shared" si="24"/>
        <v>0</v>
      </c>
      <c r="CX55">
        <f t="shared" si="24"/>
        <v>0</v>
      </c>
      <c r="CY55">
        <f t="shared" si="24"/>
        <v>0</v>
      </c>
      <c r="CZ55">
        <f t="shared" si="24"/>
        <v>0</v>
      </c>
      <c r="DA55">
        <f t="shared" si="24"/>
        <v>0</v>
      </c>
      <c r="DB55" s="74">
        <f t="shared" si="34"/>
        <v>735.82805843451092</v>
      </c>
      <c r="DC55" s="74">
        <f t="shared" si="35"/>
        <v>24.527601947817029</v>
      </c>
      <c r="DD55" s="73">
        <f t="shared" si="36"/>
        <v>1507760.7469362086</v>
      </c>
      <c r="DE55" s="74">
        <f t="shared" si="37"/>
        <v>2655.4525597662205</v>
      </c>
      <c r="DF55" s="74">
        <f t="shared" si="38"/>
        <v>88.515085325540682</v>
      </c>
      <c r="DG55" s="74">
        <f t="shared" si="39"/>
        <v>485859.30335189286</v>
      </c>
      <c r="DH55" s="74">
        <f t="shared" si="40"/>
        <v>71630.133842597701</v>
      </c>
      <c r="DI55" s="74">
        <f t="shared" si="41"/>
        <v>2387.6711280865902</v>
      </c>
      <c r="DJ55" s="74">
        <f t="shared" si="42"/>
        <v>3255.9151746635321</v>
      </c>
      <c r="DK55" s="74">
        <f t="shared" si="43"/>
        <v>2344693.0477810311</v>
      </c>
      <c r="DL55" s="74">
        <f t="shared" si="44"/>
        <v>3197308.701519588</v>
      </c>
    </row>
    <row r="56" spans="1:116" x14ac:dyDescent="0.2">
      <c r="A56" s="96">
        <v>43647</v>
      </c>
      <c r="B56" s="4">
        <f t="shared" si="28"/>
        <v>2019</v>
      </c>
      <c r="C56" s="4">
        <f t="shared" si="29"/>
        <v>7</v>
      </c>
      <c r="D56" s="59">
        <v>60513434</v>
      </c>
      <c r="E56" s="59">
        <f>IFERROR(VLOOKUP($B56-1,CDM!$I$7:$N$18,2,FALSE)/12,0)+IFERROR(VLOOKUP($B56,CDM!$I$36:$L$46,2,FALSE)/24,0)+IFERROR(VLOOKUP($B56,CDM!$I$36:$L$46,2,FALSE)/2*$C56/78,0)</f>
        <v>2628589.7315549958</v>
      </c>
      <c r="F56" s="59">
        <f t="shared" si="30"/>
        <v>63142023.731554992</v>
      </c>
      <c r="G56" s="73">
        <v>61470</v>
      </c>
      <c r="H56" s="59">
        <v>16138863</v>
      </c>
      <c r="I56" s="59">
        <f>IFERROR(VLOOKUP($B56-1,CDM!$I$7:$N$18,3,FALSE)/12,0)+IFERROR(VLOOKUP($B56,CDM!$I$36:$L$46,3,FALSE)/24,0)+IFERROR(VLOOKUP($B56,CDM!$I$36:$L$46,3,FALSE)/2*$C56/78,0)</f>
        <v>965046.40167722851</v>
      </c>
      <c r="J56" s="59">
        <f t="shared" si="31"/>
        <v>17103909.401677229</v>
      </c>
      <c r="K56" s="59">
        <v>5495</v>
      </c>
      <c r="L56" s="5">
        <v>78868328</v>
      </c>
      <c r="M56" s="2">
        <f>IFERROR(VLOOKUP($B56-1,CDM!$I$7:$N$18,4,FALSE)/12,0)+IFERROR(VLOOKUP($B56,CDM!$I$36:$L$46,4,FALSE)/24,0)+IFERROR(VLOOKUP($B56,CDM!$I$36:$L$46,4,FALSE)/2*$C56/78,0)</f>
        <v>2824548.123386269</v>
      </c>
      <c r="N56" s="59">
        <f t="shared" si="32"/>
        <v>81692876.123386264</v>
      </c>
      <c r="O56" s="5">
        <v>199980</v>
      </c>
      <c r="P56" s="5">
        <v>982</v>
      </c>
      <c r="Q56" s="5">
        <v>358876.3</v>
      </c>
      <c r="R56" s="5">
        <v>1287.2</v>
      </c>
      <c r="S56" s="5">
        <v>17184</v>
      </c>
      <c r="T56" s="5">
        <v>261806</v>
      </c>
      <c r="U56" s="1">
        <v>24</v>
      </c>
      <c r="V56" s="1">
        <v>561</v>
      </c>
      <c r="W56" s="114">
        <f>Economic!J118</f>
        <v>789531.6</v>
      </c>
      <c r="X56" s="114">
        <f>Economic!K118</f>
        <v>608429.30000000005</v>
      </c>
      <c r="Y56" s="114">
        <f>Economic!L118</f>
        <v>57334.6</v>
      </c>
      <c r="Z56" s="114">
        <f>Economic!M118</f>
        <v>794140</v>
      </c>
      <c r="AA56" s="114">
        <f>Economic!N118</f>
        <v>611579</v>
      </c>
      <c r="AB56" s="114">
        <f>Economic!O118</f>
        <v>31769</v>
      </c>
      <c r="AC56" s="114">
        <f>Economic!D118</f>
        <v>7255</v>
      </c>
      <c r="AD56" s="114">
        <f>Economic!E118</f>
        <v>7345.7</v>
      </c>
      <c r="AE56" s="114">
        <f>Economic!F118</f>
        <v>3306.4</v>
      </c>
      <c r="AF56" s="114">
        <f>Economic!G118</f>
        <v>3345</v>
      </c>
      <c r="AG56" s="114">
        <f>Economic!H118</f>
        <v>410.5</v>
      </c>
      <c r="AH56" s="114">
        <f>Economic!I118</f>
        <v>412.8</v>
      </c>
      <c r="AI56" s="114">
        <f>Economic!P130</f>
        <v>168.60000000000036</v>
      </c>
      <c r="AJ56" s="114">
        <f>Economic!Q130</f>
        <v>164.19999999999982</v>
      </c>
      <c r="AK56" s="114">
        <f>Economic!R130</f>
        <v>107.59999999999991</v>
      </c>
      <c r="AL56" s="114">
        <f>Economic!S130</f>
        <v>105.40000000000009</v>
      </c>
      <c r="AM56" s="114">
        <f>Economic!T130</f>
        <v>17742.900000000023</v>
      </c>
      <c r="AN56" s="114">
        <f>Economic!U130</f>
        <v>3717</v>
      </c>
      <c r="AO56" s="28">
        <f>Weather!D248</f>
        <v>22.92258064516129</v>
      </c>
      <c r="AP56" s="28">
        <f>Weather!E248</f>
        <v>1.4000000000000021</v>
      </c>
      <c r="AQ56" s="28">
        <f>Weather!F248</f>
        <v>92</v>
      </c>
      <c r="AR56" s="28">
        <f>Weather!G248</f>
        <v>0</v>
      </c>
      <c r="AS56" s="28">
        <f>Weather!H248</f>
        <v>152.6</v>
      </c>
      <c r="AT56" s="28">
        <f>Weather!I248</f>
        <v>0</v>
      </c>
      <c r="AU56" s="28">
        <f>Weather!J248</f>
        <v>214.60000000000002</v>
      </c>
      <c r="AV56" s="28">
        <f>Weather!K248</f>
        <v>0</v>
      </c>
      <c r="AW56" s="28">
        <f>Weather!L248</f>
        <v>276.59999999999997</v>
      </c>
      <c r="AX56" s="28">
        <f>Weather!M248</f>
        <v>0</v>
      </c>
      <c r="AY56" s="28">
        <f>Weather!N248</f>
        <v>338.59999999999997</v>
      </c>
      <c r="AZ56" s="28">
        <f>Weather!O248</f>
        <v>0</v>
      </c>
      <c r="BA56" s="28">
        <f>Weather!P248</f>
        <v>400.59999999999997</v>
      </c>
      <c r="BB56" s="28">
        <f>Weather!Q248</f>
        <v>0</v>
      </c>
      <c r="BC56" s="28">
        <f>Weather!R248</f>
        <v>462.59999999999997</v>
      </c>
      <c r="BD56">
        <v>0</v>
      </c>
      <c r="BE56">
        <v>0</v>
      </c>
      <c r="BF56">
        <v>0</v>
      </c>
      <c r="BG56">
        <v>0</v>
      </c>
      <c r="BH56">
        <v>0</v>
      </c>
      <c r="BI56">
        <v>0</v>
      </c>
      <c r="BJ56">
        <v>1</v>
      </c>
      <c r="BK56">
        <v>0</v>
      </c>
      <c r="BL56">
        <v>0</v>
      </c>
      <c r="BM56">
        <v>0</v>
      </c>
      <c r="BN56">
        <v>0</v>
      </c>
      <c r="BO56">
        <v>0</v>
      </c>
      <c r="BP56" s="1">
        <f t="shared" si="26"/>
        <v>0</v>
      </c>
      <c r="BQ56" s="1">
        <f t="shared" si="26"/>
        <v>0</v>
      </c>
      <c r="BR56" s="1">
        <f t="shared" si="26"/>
        <v>0</v>
      </c>
      <c r="BS56" s="1">
        <f t="shared" si="33"/>
        <v>55</v>
      </c>
      <c r="BT56">
        <f t="shared" si="27"/>
        <v>31</v>
      </c>
      <c r="BU56">
        <v>22</v>
      </c>
      <c r="BV56">
        <v>0</v>
      </c>
      <c r="BW56">
        <v>0</v>
      </c>
      <c r="BX56">
        <v>0</v>
      </c>
      <c r="BY56">
        <v>0</v>
      </c>
      <c r="BZ56">
        <f t="shared" si="21"/>
        <v>0</v>
      </c>
      <c r="CA56">
        <f t="shared" si="21"/>
        <v>0</v>
      </c>
      <c r="CB56">
        <f t="shared" si="21"/>
        <v>0</v>
      </c>
      <c r="CC56">
        <f t="shared" si="21"/>
        <v>0</v>
      </c>
      <c r="CD56">
        <f t="shared" si="21"/>
        <v>0</v>
      </c>
      <c r="CE56">
        <f t="shared" si="23"/>
        <v>0</v>
      </c>
      <c r="CF56">
        <f t="shared" si="23"/>
        <v>0</v>
      </c>
      <c r="CG56">
        <f t="shared" si="23"/>
        <v>0</v>
      </c>
      <c r="CH56">
        <f t="shared" si="23"/>
        <v>0</v>
      </c>
      <c r="CI56">
        <f t="shared" si="23"/>
        <v>0</v>
      </c>
      <c r="CJ56">
        <f t="shared" si="23"/>
        <v>0</v>
      </c>
      <c r="CK56">
        <f t="shared" si="23"/>
        <v>0</v>
      </c>
      <c r="CL56">
        <f t="shared" si="23"/>
        <v>0</v>
      </c>
      <c r="CM56">
        <f t="shared" si="23"/>
        <v>0</v>
      </c>
      <c r="CN56">
        <f t="shared" si="22"/>
        <v>0</v>
      </c>
      <c r="CO56">
        <f t="shared" si="22"/>
        <v>0</v>
      </c>
      <c r="CP56">
        <f t="shared" si="22"/>
        <v>0</v>
      </c>
      <c r="CQ56">
        <f t="shared" si="22"/>
        <v>0</v>
      </c>
      <c r="CR56">
        <f t="shared" si="22"/>
        <v>0</v>
      </c>
      <c r="CS56">
        <f t="shared" si="24"/>
        <v>0</v>
      </c>
      <c r="CT56">
        <f t="shared" si="24"/>
        <v>0</v>
      </c>
      <c r="CU56">
        <f t="shared" si="24"/>
        <v>0</v>
      </c>
      <c r="CV56">
        <f t="shared" si="24"/>
        <v>0</v>
      </c>
      <c r="CW56">
        <f t="shared" si="24"/>
        <v>0</v>
      </c>
      <c r="CX56">
        <f t="shared" si="24"/>
        <v>0</v>
      </c>
      <c r="CY56">
        <f t="shared" si="24"/>
        <v>0</v>
      </c>
      <c r="CZ56">
        <f t="shared" si="24"/>
        <v>0</v>
      </c>
      <c r="DA56">
        <f t="shared" si="24"/>
        <v>0</v>
      </c>
      <c r="DB56" s="74">
        <f t="shared" si="34"/>
        <v>1027.2006463568407</v>
      </c>
      <c r="DC56" s="74">
        <f t="shared" si="35"/>
        <v>33.135504721188411</v>
      </c>
      <c r="DD56" s="73">
        <f t="shared" si="36"/>
        <v>2036839.4752114513</v>
      </c>
      <c r="DE56" s="74">
        <f t="shared" si="37"/>
        <v>3112.6313742815701</v>
      </c>
      <c r="DF56" s="74">
        <f t="shared" si="38"/>
        <v>100.40746368650225</v>
      </c>
      <c r="DG56" s="74">
        <f t="shared" si="39"/>
        <v>551739.01295732998</v>
      </c>
      <c r="DH56" s="74">
        <f t="shared" si="40"/>
        <v>83190.301551309836</v>
      </c>
      <c r="DI56" s="74">
        <f t="shared" si="41"/>
        <v>2683.5581145583819</v>
      </c>
      <c r="DJ56" s="74">
        <f t="shared" si="42"/>
        <v>3781.3773432413564</v>
      </c>
      <c r="DK56" s="74">
        <f t="shared" si="43"/>
        <v>2635254.0684963311</v>
      </c>
      <c r="DL56" s="74">
        <f t="shared" si="44"/>
        <v>3713312.5510630119</v>
      </c>
    </row>
    <row r="57" spans="1:116" x14ac:dyDescent="0.2">
      <c r="A57" s="96">
        <v>43678</v>
      </c>
      <c r="B57" s="4">
        <f t="shared" si="28"/>
        <v>2019</v>
      </c>
      <c r="C57" s="4">
        <f t="shared" si="29"/>
        <v>8</v>
      </c>
      <c r="D57" s="59">
        <v>55597872</v>
      </c>
      <c r="E57" s="59">
        <f>IFERROR(VLOOKUP($B57-1,CDM!$I$7:$N$18,2,FALSE)/12,0)+IFERROR(VLOOKUP($B57,CDM!$I$36:$L$46,2,FALSE)/24,0)+IFERROR(VLOOKUP($B57,CDM!$I$36:$L$46,2,FALSE)/2*$C57/78,0)</f>
        <v>2640259.0550237377</v>
      </c>
      <c r="F57" s="59">
        <f t="shared" si="30"/>
        <v>58238131.055023737</v>
      </c>
      <c r="G57" s="73">
        <v>61464</v>
      </c>
      <c r="H57" s="59">
        <v>15404829</v>
      </c>
      <c r="I57" s="59">
        <f>IFERROR(VLOOKUP($B57-1,CDM!$I$7:$N$18,3,FALSE)/12,0)+IFERROR(VLOOKUP($B57,CDM!$I$36:$L$46,3,FALSE)/24,0)+IFERROR(VLOOKUP($B57,CDM!$I$36:$L$46,3,FALSE)/2*$C57/78,0)</f>
        <v>978385.70279767131</v>
      </c>
      <c r="J57" s="59">
        <f t="shared" si="31"/>
        <v>16383214.702797672</v>
      </c>
      <c r="K57" s="59">
        <v>5492</v>
      </c>
      <c r="L57" s="5">
        <v>75469633</v>
      </c>
      <c r="M57" s="2">
        <f>IFERROR(VLOOKUP($B57-1,CDM!$I$7:$N$18,4,FALSE)/12,0)+IFERROR(VLOOKUP($B57,CDM!$I$36:$L$46,4,FALSE)/24,0)+IFERROR(VLOOKUP($B57,CDM!$I$36:$L$46,4,FALSE)/2*$C57/78,0)</f>
        <v>2860928.8133415943</v>
      </c>
      <c r="N57" s="59">
        <f t="shared" si="32"/>
        <v>78330561.813341588</v>
      </c>
      <c r="O57" s="5">
        <v>205692</v>
      </c>
      <c r="P57" s="5">
        <v>983</v>
      </c>
      <c r="Q57" s="5">
        <v>403671.4</v>
      </c>
      <c r="R57" s="5">
        <v>1287.2</v>
      </c>
      <c r="S57" s="5">
        <v>17184</v>
      </c>
      <c r="T57" s="5">
        <v>261523</v>
      </c>
      <c r="U57" s="1">
        <v>24</v>
      </c>
      <c r="V57" s="1">
        <v>561</v>
      </c>
      <c r="W57" s="114">
        <f>Economic!J119</f>
        <v>789531.6</v>
      </c>
      <c r="X57" s="114">
        <f>Economic!K119</f>
        <v>608429.30000000005</v>
      </c>
      <c r="Y57" s="114">
        <f>Economic!L119</f>
        <v>57334.6</v>
      </c>
      <c r="Z57" s="114">
        <f>Economic!M119</f>
        <v>794140</v>
      </c>
      <c r="AA57" s="114">
        <f>Economic!N119</f>
        <v>611579</v>
      </c>
      <c r="AB57" s="114">
        <f>Economic!O119</f>
        <v>31769</v>
      </c>
      <c r="AC57" s="114">
        <f>Economic!D119</f>
        <v>7266.2</v>
      </c>
      <c r="AD57" s="114">
        <f>Economic!E119</f>
        <v>7359.5</v>
      </c>
      <c r="AE57" s="114">
        <f>Economic!F119</f>
        <v>3307.5</v>
      </c>
      <c r="AF57" s="114">
        <f>Economic!G119</f>
        <v>3343.9</v>
      </c>
      <c r="AG57" s="114">
        <f>Economic!H119</f>
        <v>407.9</v>
      </c>
      <c r="AH57" s="114">
        <f>Economic!I119</f>
        <v>410.3</v>
      </c>
      <c r="AI57" s="114">
        <f>Economic!P131</f>
        <v>167.60000000000036</v>
      </c>
      <c r="AJ57" s="114">
        <f>Economic!Q131</f>
        <v>163.80000000000018</v>
      </c>
      <c r="AK57" s="114">
        <f>Economic!R131</f>
        <v>114.40000000000009</v>
      </c>
      <c r="AL57" s="114">
        <f>Economic!S131</f>
        <v>112.40000000000009</v>
      </c>
      <c r="AM57" s="114">
        <f>Economic!T131</f>
        <v>17742.900000000023</v>
      </c>
      <c r="AN57" s="114">
        <f>Economic!U131</f>
        <v>3717</v>
      </c>
      <c r="AO57" s="28">
        <f>Weather!D249</f>
        <v>21.267741935483876</v>
      </c>
      <c r="AP57" s="28">
        <f>Weather!E249</f>
        <v>10.700000000000003</v>
      </c>
      <c r="AQ57" s="28">
        <f>Weather!F249</f>
        <v>50</v>
      </c>
      <c r="AR57" s="28">
        <f>Weather!G249</f>
        <v>1.4000000000000021</v>
      </c>
      <c r="AS57" s="28">
        <f>Weather!H249</f>
        <v>102.69999999999999</v>
      </c>
      <c r="AT57" s="28">
        <f>Weather!I249</f>
        <v>0</v>
      </c>
      <c r="AU57" s="28">
        <f>Weather!J249</f>
        <v>163.29999999999998</v>
      </c>
      <c r="AV57" s="28">
        <f>Weather!K249</f>
        <v>0</v>
      </c>
      <c r="AW57" s="28">
        <f>Weather!L249</f>
        <v>225.29999999999998</v>
      </c>
      <c r="AX57" s="28">
        <f>Weather!M249</f>
        <v>0</v>
      </c>
      <c r="AY57" s="28">
        <f>Weather!N249</f>
        <v>287.3</v>
      </c>
      <c r="AZ57" s="28">
        <f>Weather!O249</f>
        <v>0</v>
      </c>
      <c r="BA57" s="28">
        <f>Weather!P249</f>
        <v>349.3</v>
      </c>
      <c r="BB57" s="28">
        <f>Weather!Q249</f>
        <v>0</v>
      </c>
      <c r="BC57" s="28">
        <f>Weather!R249</f>
        <v>411.29999999999995</v>
      </c>
      <c r="BD57">
        <v>0</v>
      </c>
      <c r="BE57">
        <v>0</v>
      </c>
      <c r="BF57">
        <v>0</v>
      </c>
      <c r="BG57">
        <v>0</v>
      </c>
      <c r="BH57">
        <v>0</v>
      </c>
      <c r="BI57">
        <v>0</v>
      </c>
      <c r="BJ57">
        <v>0</v>
      </c>
      <c r="BK57">
        <v>1</v>
      </c>
      <c r="BL57">
        <v>0</v>
      </c>
      <c r="BM57">
        <v>0</v>
      </c>
      <c r="BN57">
        <v>0</v>
      </c>
      <c r="BO57">
        <v>0</v>
      </c>
      <c r="BP57" s="1">
        <f t="shared" si="26"/>
        <v>0</v>
      </c>
      <c r="BQ57" s="1">
        <f t="shared" si="26"/>
        <v>0</v>
      </c>
      <c r="BR57" s="1">
        <f t="shared" si="26"/>
        <v>0</v>
      </c>
      <c r="BS57" s="1">
        <f t="shared" si="33"/>
        <v>56</v>
      </c>
      <c r="BT57">
        <f t="shared" si="27"/>
        <v>31</v>
      </c>
      <c r="BU57">
        <v>20</v>
      </c>
      <c r="BV57">
        <v>0</v>
      </c>
      <c r="BW57">
        <v>0</v>
      </c>
      <c r="BX57">
        <v>0</v>
      </c>
      <c r="BY57">
        <v>0</v>
      </c>
      <c r="BZ57">
        <f t="shared" si="21"/>
        <v>0</v>
      </c>
      <c r="CA57">
        <f t="shared" si="21"/>
        <v>0</v>
      </c>
      <c r="CB57">
        <f t="shared" si="21"/>
        <v>0</v>
      </c>
      <c r="CC57">
        <f t="shared" si="21"/>
        <v>0</v>
      </c>
      <c r="CD57">
        <f t="shared" si="21"/>
        <v>0</v>
      </c>
      <c r="CE57">
        <f t="shared" si="23"/>
        <v>0</v>
      </c>
      <c r="CF57">
        <f t="shared" si="23"/>
        <v>0</v>
      </c>
      <c r="CG57">
        <f t="shared" si="23"/>
        <v>0</v>
      </c>
      <c r="CH57">
        <f t="shared" si="23"/>
        <v>0</v>
      </c>
      <c r="CI57">
        <f t="shared" si="23"/>
        <v>0</v>
      </c>
      <c r="CJ57">
        <f t="shared" si="23"/>
        <v>0</v>
      </c>
      <c r="CK57">
        <f t="shared" si="23"/>
        <v>0</v>
      </c>
      <c r="CL57">
        <f t="shared" si="23"/>
        <v>0</v>
      </c>
      <c r="CM57">
        <f t="shared" si="23"/>
        <v>0</v>
      </c>
      <c r="CN57">
        <f t="shared" si="22"/>
        <v>0</v>
      </c>
      <c r="CO57">
        <f t="shared" si="22"/>
        <v>0</v>
      </c>
      <c r="CP57">
        <f t="shared" si="22"/>
        <v>0</v>
      </c>
      <c r="CQ57">
        <f t="shared" si="22"/>
        <v>0</v>
      </c>
      <c r="CR57">
        <f t="shared" si="22"/>
        <v>0</v>
      </c>
      <c r="CS57">
        <f t="shared" si="24"/>
        <v>0</v>
      </c>
      <c r="CT57">
        <f t="shared" si="24"/>
        <v>0</v>
      </c>
      <c r="CU57">
        <f t="shared" si="24"/>
        <v>0</v>
      </c>
      <c r="CV57">
        <f t="shared" si="24"/>
        <v>0</v>
      </c>
      <c r="CW57">
        <f t="shared" si="24"/>
        <v>0</v>
      </c>
      <c r="CX57">
        <f t="shared" si="24"/>
        <v>0</v>
      </c>
      <c r="CY57">
        <f t="shared" si="24"/>
        <v>0</v>
      </c>
      <c r="CZ57">
        <f t="shared" si="24"/>
        <v>0</v>
      </c>
      <c r="DA57">
        <f t="shared" si="24"/>
        <v>0</v>
      </c>
      <c r="DB57" s="74">
        <f t="shared" si="34"/>
        <v>947.5161241543625</v>
      </c>
      <c r="DC57" s="74">
        <f t="shared" si="35"/>
        <v>30.56503626304395</v>
      </c>
      <c r="DD57" s="73">
        <f t="shared" si="36"/>
        <v>1878649.3888717336</v>
      </c>
      <c r="DE57" s="74">
        <f t="shared" si="37"/>
        <v>2983.1053719587894</v>
      </c>
      <c r="DF57" s="74">
        <f t="shared" si="38"/>
        <v>96.229205547057717</v>
      </c>
      <c r="DG57" s="74">
        <f t="shared" si="39"/>
        <v>528490.79686444101</v>
      </c>
      <c r="DH57" s="74">
        <f t="shared" si="40"/>
        <v>79685.210389971093</v>
      </c>
      <c r="DI57" s="74">
        <f t="shared" si="41"/>
        <v>2570.4906577410029</v>
      </c>
      <c r="DJ57" s="74">
        <f t="shared" si="42"/>
        <v>3984.2605194985545</v>
      </c>
      <c r="DK57" s="74">
        <f t="shared" si="43"/>
        <v>2526792.316559406</v>
      </c>
      <c r="DL57" s="74">
        <f t="shared" si="44"/>
        <v>3916528.0906670792</v>
      </c>
    </row>
    <row r="58" spans="1:116" x14ac:dyDescent="0.2">
      <c r="A58" s="96">
        <v>43709</v>
      </c>
      <c r="B58" s="4">
        <f t="shared" si="28"/>
        <v>2019</v>
      </c>
      <c r="C58" s="4">
        <f t="shared" si="29"/>
        <v>9</v>
      </c>
      <c r="D58" s="59">
        <v>41652448</v>
      </c>
      <c r="E58" s="59">
        <f>IFERROR(VLOOKUP($B58-1,CDM!$I$7:$N$18,2,FALSE)/12,0)+IFERROR(VLOOKUP($B58,CDM!$I$36:$L$46,2,FALSE)/24,0)+IFERROR(VLOOKUP($B58,CDM!$I$36:$L$46,2,FALSE)/2*$C58/78,0)</f>
        <v>2651928.3784924797</v>
      </c>
      <c r="F58" s="59">
        <f t="shared" si="30"/>
        <v>44304376.378492482</v>
      </c>
      <c r="G58" s="73">
        <v>61464</v>
      </c>
      <c r="H58" s="59">
        <v>13545211</v>
      </c>
      <c r="I58" s="59">
        <f>IFERROR(VLOOKUP($B58-1,CDM!$I$7:$N$18,3,FALSE)/12,0)+IFERROR(VLOOKUP($B58,CDM!$I$36:$L$46,3,FALSE)/24,0)+IFERROR(VLOOKUP($B58,CDM!$I$36:$L$46,3,FALSE)/2*$C58/78,0)</f>
        <v>991725.003918114</v>
      </c>
      <c r="J58" s="59">
        <f t="shared" si="31"/>
        <v>14536936.003918113</v>
      </c>
      <c r="K58" s="59">
        <v>5496</v>
      </c>
      <c r="L58" s="5">
        <v>68830744</v>
      </c>
      <c r="M58" s="2">
        <f>IFERROR(VLOOKUP($B58-1,CDM!$I$7:$N$18,4,FALSE)/12,0)+IFERROR(VLOOKUP($B58,CDM!$I$36:$L$46,4,FALSE)/24,0)+IFERROR(VLOOKUP($B58,CDM!$I$36:$L$46,4,FALSE)/2*$C58/78,0)</f>
        <v>2897309.5032969201</v>
      </c>
      <c r="N58" s="59">
        <f t="shared" si="32"/>
        <v>71728053.503296927</v>
      </c>
      <c r="O58" s="5">
        <v>201400</v>
      </c>
      <c r="P58" s="5">
        <v>981</v>
      </c>
      <c r="Q58" s="5">
        <v>445569.9</v>
      </c>
      <c r="R58" s="5">
        <v>1287.2</v>
      </c>
      <c r="S58" s="5">
        <v>17184</v>
      </c>
      <c r="T58" s="5">
        <v>261241</v>
      </c>
      <c r="U58" s="1">
        <v>24</v>
      </c>
      <c r="V58" s="1">
        <v>561</v>
      </c>
      <c r="W58" s="114">
        <f>Economic!J120</f>
        <v>789531.6</v>
      </c>
      <c r="X58" s="114">
        <f>Economic!K120</f>
        <v>608429.30000000005</v>
      </c>
      <c r="Y58" s="114">
        <f>Economic!L120</f>
        <v>57334.6</v>
      </c>
      <c r="Z58" s="114">
        <f>Economic!M120</f>
        <v>794140</v>
      </c>
      <c r="AA58" s="114">
        <f>Economic!N120</f>
        <v>611579</v>
      </c>
      <c r="AB58" s="114">
        <f>Economic!O120</f>
        <v>31769</v>
      </c>
      <c r="AC58" s="114">
        <f>Economic!D120</f>
        <v>7279.6</v>
      </c>
      <c r="AD58" s="114">
        <f>Economic!E120</f>
        <v>7324.4</v>
      </c>
      <c r="AE58" s="114">
        <f>Economic!F120</f>
        <v>3300.1</v>
      </c>
      <c r="AF58" s="114">
        <f>Economic!G120</f>
        <v>3312.6</v>
      </c>
      <c r="AG58" s="114">
        <f>Economic!H120</f>
        <v>408.1</v>
      </c>
      <c r="AH58" s="114">
        <f>Economic!I120</f>
        <v>408.2</v>
      </c>
      <c r="AI58" s="114">
        <f>Economic!P132</f>
        <v>168.89999999999964</v>
      </c>
      <c r="AJ58" s="114">
        <f>Economic!Q132</f>
        <v>180.70000000000073</v>
      </c>
      <c r="AK58" s="114">
        <f>Economic!R132</f>
        <v>140</v>
      </c>
      <c r="AL58" s="114">
        <f>Economic!S132</f>
        <v>149.40000000000009</v>
      </c>
      <c r="AM58" s="114">
        <f>Economic!T132</f>
        <v>17742.900000000023</v>
      </c>
      <c r="AN58" s="114">
        <f>Economic!U132</f>
        <v>3717</v>
      </c>
      <c r="AO58" s="28">
        <f>Weather!D250</f>
        <v>18.453333333333333</v>
      </c>
      <c r="AP58" s="28">
        <f>Weather!E250</f>
        <v>58</v>
      </c>
      <c r="AQ58" s="28">
        <f>Weather!F250</f>
        <v>11.599999999999994</v>
      </c>
      <c r="AR58" s="28">
        <f>Weather!G250</f>
        <v>21.8</v>
      </c>
      <c r="AS58" s="28">
        <f>Weather!H250</f>
        <v>35.4</v>
      </c>
      <c r="AT58" s="28">
        <f>Weather!I250</f>
        <v>5.0999999999999996</v>
      </c>
      <c r="AU58" s="28">
        <f>Weather!J250</f>
        <v>78.7</v>
      </c>
      <c r="AV58" s="28">
        <f>Weather!K250</f>
        <v>0.30000000000000071</v>
      </c>
      <c r="AW58" s="28">
        <f>Weather!L250</f>
        <v>133.90000000000003</v>
      </c>
      <c r="AX58" s="28">
        <f>Weather!M250</f>
        <v>0</v>
      </c>
      <c r="AY58" s="28">
        <f>Weather!N250</f>
        <v>193.6</v>
      </c>
      <c r="AZ58" s="28">
        <f>Weather!O250</f>
        <v>0</v>
      </c>
      <c r="BA58" s="28">
        <f>Weather!P250</f>
        <v>253.59999999999997</v>
      </c>
      <c r="BB58" s="28">
        <f>Weather!Q250</f>
        <v>0</v>
      </c>
      <c r="BC58" s="28">
        <f>Weather!R250</f>
        <v>313.59999999999997</v>
      </c>
      <c r="BD58">
        <v>0</v>
      </c>
      <c r="BE58">
        <v>0</v>
      </c>
      <c r="BF58">
        <v>0</v>
      </c>
      <c r="BG58">
        <v>0</v>
      </c>
      <c r="BH58">
        <v>0</v>
      </c>
      <c r="BI58">
        <v>0</v>
      </c>
      <c r="BJ58">
        <v>0</v>
      </c>
      <c r="BK58">
        <v>0</v>
      </c>
      <c r="BL58">
        <v>1</v>
      </c>
      <c r="BM58">
        <v>0</v>
      </c>
      <c r="BN58">
        <v>0</v>
      </c>
      <c r="BO58">
        <v>0</v>
      </c>
      <c r="BP58" s="1">
        <f t="shared" si="26"/>
        <v>0</v>
      </c>
      <c r="BQ58" s="1">
        <f t="shared" si="26"/>
        <v>1</v>
      </c>
      <c r="BR58" s="1">
        <f t="shared" si="26"/>
        <v>1</v>
      </c>
      <c r="BS58" s="1">
        <f t="shared" si="33"/>
        <v>57</v>
      </c>
      <c r="BT58">
        <f t="shared" si="27"/>
        <v>30</v>
      </c>
      <c r="BU58">
        <v>21</v>
      </c>
      <c r="BV58">
        <v>0</v>
      </c>
      <c r="BW58">
        <v>0</v>
      </c>
      <c r="BX58">
        <v>0</v>
      </c>
      <c r="BY58">
        <v>0</v>
      </c>
      <c r="BZ58">
        <f t="shared" si="21"/>
        <v>0</v>
      </c>
      <c r="CA58">
        <f t="shared" si="21"/>
        <v>0</v>
      </c>
      <c r="CB58">
        <f t="shared" si="21"/>
        <v>0</v>
      </c>
      <c r="CC58">
        <f t="shared" si="21"/>
        <v>0</v>
      </c>
      <c r="CD58">
        <f t="shared" si="21"/>
        <v>0</v>
      </c>
      <c r="CE58">
        <f t="shared" si="23"/>
        <v>0</v>
      </c>
      <c r="CF58">
        <f t="shared" si="23"/>
        <v>0</v>
      </c>
      <c r="CG58">
        <f t="shared" si="23"/>
        <v>0</v>
      </c>
      <c r="CH58">
        <f t="shared" si="23"/>
        <v>0</v>
      </c>
      <c r="CI58">
        <f t="shared" si="23"/>
        <v>0</v>
      </c>
      <c r="CJ58">
        <f t="shared" si="23"/>
        <v>0</v>
      </c>
      <c r="CK58">
        <f t="shared" si="23"/>
        <v>0</v>
      </c>
      <c r="CL58">
        <f t="shared" si="23"/>
        <v>0</v>
      </c>
      <c r="CM58">
        <f t="shared" si="23"/>
        <v>0</v>
      </c>
      <c r="CN58">
        <f t="shared" si="22"/>
        <v>0</v>
      </c>
      <c r="CO58">
        <f t="shared" si="22"/>
        <v>0</v>
      </c>
      <c r="CP58">
        <f t="shared" si="22"/>
        <v>0</v>
      </c>
      <c r="CQ58">
        <f t="shared" si="22"/>
        <v>0</v>
      </c>
      <c r="CR58">
        <f t="shared" si="22"/>
        <v>0</v>
      </c>
      <c r="CS58">
        <f t="shared" si="24"/>
        <v>0</v>
      </c>
      <c r="CT58">
        <f t="shared" si="24"/>
        <v>0</v>
      </c>
      <c r="CU58">
        <f t="shared" si="24"/>
        <v>0</v>
      </c>
      <c r="CV58">
        <f t="shared" si="24"/>
        <v>0</v>
      </c>
      <c r="CW58">
        <f t="shared" si="24"/>
        <v>0</v>
      </c>
      <c r="CX58">
        <f t="shared" si="24"/>
        <v>0</v>
      </c>
      <c r="CY58">
        <f t="shared" si="24"/>
        <v>0</v>
      </c>
      <c r="CZ58">
        <f t="shared" si="24"/>
        <v>0</v>
      </c>
      <c r="DA58">
        <f t="shared" si="24"/>
        <v>0</v>
      </c>
      <c r="DB58" s="74">
        <f t="shared" si="34"/>
        <v>720.81830630112722</v>
      </c>
      <c r="DC58" s="74">
        <f t="shared" si="35"/>
        <v>24.027276876704242</v>
      </c>
      <c r="DD58" s="73">
        <f t="shared" si="36"/>
        <v>1476812.5459497494</v>
      </c>
      <c r="DE58" s="74">
        <f t="shared" si="37"/>
        <v>2645.002911921054</v>
      </c>
      <c r="DF58" s="74">
        <f t="shared" si="38"/>
        <v>88.166763730701803</v>
      </c>
      <c r="DG58" s="74">
        <f t="shared" si="39"/>
        <v>484564.53346393711</v>
      </c>
      <c r="DH58" s="74">
        <f t="shared" si="40"/>
        <v>73117.281858610528</v>
      </c>
      <c r="DI58" s="74">
        <f t="shared" si="41"/>
        <v>2437.242728620351</v>
      </c>
      <c r="DJ58" s="74">
        <f t="shared" si="42"/>
        <v>3481.7753266005011</v>
      </c>
      <c r="DK58" s="74">
        <f t="shared" si="43"/>
        <v>2390935.1167765642</v>
      </c>
      <c r="DL58" s="74">
        <f t="shared" si="44"/>
        <v>3415621.5953950919</v>
      </c>
    </row>
    <row r="59" spans="1:116" x14ac:dyDescent="0.2">
      <c r="A59" s="96">
        <v>43739</v>
      </c>
      <c r="B59" s="4">
        <f t="shared" si="28"/>
        <v>2019</v>
      </c>
      <c r="C59" s="4">
        <f t="shared" si="29"/>
        <v>10</v>
      </c>
      <c r="D59" s="59">
        <v>36759662</v>
      </c>
      <c r="E59" s="59">
        <f>IFERROR(VLOOKUP($B59-1,CDM!$I$7:$N$18,2,FALSE)/12,0)+IFERROR(VLOOKUP($B59,CDM!$I$36:$L$46,2,FALSE)/24,0)+IFERROR(VLOOKUP($B59,CDM!$I$36:$L$46,2,FALSE)/2*$C59/78,0)</f>
        <v>2663597.7019612216</v>
      </c>
      <c r="F59" s="59">
        <f t="shared" si="30"/>
        <v>39423259.701961219</v>
      </c>
      <c r="G59" s="73">
        <v>61500</v>
      </c>
      <c r="H59" s="59">
        <v>12862432</v>
      </c>
      <c r="I59" s="59">
        <f>IFERROR(VLOOKUP($B59-1,CDM!$I$7:$N$18,3,FALSE)/12,0)+IFERROR(VLOOKUP($B59,CDM!$I$36:$L$46,3,FALSE)/24,0)+IFERROR(VLOOKUP($B59,CDM!$I$36:$L$46,3,FALSE)/2*$C59/78,0)</f>
        <v>1005064.3050385568</v>
      </c>
      <c r="J59" s="59">
        <f t="shared" si="31"/>
        <v>13867496.305038556</v>
      </c>
      <c r="K59" s="59">
        <v>5495</v>
      </c>
      <c r="L59" s="5">
        <v>66661539</v>
      </c>
      <c r="M59" s="2">
        <f>IFERROR(VLOOKUP($B59-1,CDM!$I$7:$N$18,4,FALSE)/12,0)+IFERROR(VLOOKUP($B59,CDM!$I$36:$L$46,4,FALSE)/24,0)+IFERROR(VLOOKUP($B59,CDM!$I$36:$L$46,4,FALSE)/2*$C59/78,0)</f>
        <v>2933690.1932522454</v>
      </c>
      <c r="N59" s="59">
        <f t="shared" si="32"/>
        <v>69595229.193252251</v>
      </c>
      <c r="O59" s="5">
        <v>195686</v>
      </c>
      <c r="P59" s="5">
        <v>980</v>
      </c>
      <c r="Q59" s="5">
        <v>519107</v>
      </c>
      <c r="R59" s="5">
        <v>1287</v>
      </c>
      <c r="S59" s="5">
        <v>17184</v>
      </c>
      <c r="T59" s="5">
        <v>261806</v>
      </c>
      <c r="U59" s="1">
        <v>24</v>
      </c>
      <c r="V59" s="1">
        <v>561</v>
      </c>
      <c r="W59" s="114">
        <f>Economic!J121</f>
        <v>789531.6</v>
      </c>
      <c r="X59" s="114">
        <f>Economic!K121</f>
        <v>608429.30000000005</v>
      </c>
      <c r="Y59" s="114">
        <f>Economic!L121</f>
        <v>57334.6</v>
      </c>
      <c r="Z59" s="114">
        <f>Economic!M121</f>
        <v>799632</v>
      </c>
      <c r="AA59" s="114">
        <f>Economic!N121</f>
        <v>617505</v>
      </c>
      <c r="AB59" s="114">
        <f>Economic!O121</f>
        <v>31552</v>
      </c>
      <c r="AC59" s="114">
        <f>Economic!D121</f>
        <v>7270.3</v>
      </c>
      <c r="AD59" s="114">
        <f>Economic!E121</f>
        <v>7290.6</v>
      </c>
      <c r="AE59" s="114">
        <f>Economic!F121</f>
        <v>3299.2</v>
      </c>
      <c r="AF59" s="114">
        <f>Economic!G121</f>
        <v>3293.4</v>
      </c>
      <c r="AG59" s="114">
        <f>Economic!H121</f>
        <v>409.2</v>
      </c>
      <c r="AH59" s="114">
        <f>Economic!I121</f>
        <v>407.5</v>
      </c>
      <c r="AI59" s="114">
        <f>Economic!P133</f>
        <v>191.89999999999964</v>
      </c>
      <c r="AJ59" s="114">
        <f>Economic!Q133</f>
        <v>210.59999999999945</v>
      </c>
      <c r="AK59" s="114">
        <f>Economic!R133</f>
        <v>137.30000000000018</v>
      </c>
      <c r="AL59" s="114">
        <f>Economic!S133</f>
        <v>146.69999999999982</v>
      </c>
      <c r="AM59" s="114">
        <f>Economic!T133</f>
        <v>17742.900000000023</v>
      </c>
      <c r="AN59" s="114">
        <f>Economic!U133</f>
        <v>1050</v>
      </c>
      <c r="AO59" s="28">
        <f>Weather!D251</f>
        <v>12.125806451612904</v>
      </c>
      <c r="AP59" s="28">
        <f>Weather!E251</f>
        <v>247.00000000000003</v>
      </c>
      <c r="AQ59" s="28">
        <f>Weather!F251</f>
        <v>2.8999999999999986</v>
      </c>
      <c r="AR59" s="28">
        <f>Weather!G251</f>
        <v>187.00000000000003</v>
      </c>
      <c r="AS59" s="28">
        <f>Weather!H251</f>
        <v>4.8999999999999986</v>
      </c>
      <c r="AT59" s="28">
        <f>Weather!I251</f>
        <v>128.5</v>
      </c>
      <c r="AU59" s="28">
        <f>Weather!J251</f>
        <v>8.3999999999999986</v>
      </c>
      <c r="AV59" s="28">
        <f>Weather!K251</f>
        <v>74.100000000000009</v>
      </c>
      <c r="AW59" s="28">
        <f>Weather!L251</f>
        <v>15.999999999999998</v>
      </c>
      <c r="AX59" s="28">
        <f>Weather!M251</f>
        <v>32</v>
      </c>
      <c r="AY59" s="28">
        <f>Weather!N251</f>
        <v>35.9</v>
      </c>
      <c r="AZ59" s="28">
        <f>Weather!O251</f>
        <v>10.4</v>
      </c>
      <c r="BA59" s="28">
        <f>Weather!P251</f>
        <v>76.299999999999983</v>
      </c>
      <c r="BB59" s="28">
        <f>Weather!Q251</f>
        <v>0.29999999999999982</v>
      </c>
      <c r="BC59" s="28">
        <f>Weather!R251</f>
        <v>128.19999999999999</v>
      </c>
      <c r="BD59">
        <v>0</v>
      </c>
      <c r="BE59">
        <v>0</v>
      </c>
      <c r="BF59">
        <v>0</v>
      </c>
      <c r="BG59">
        <v>0</v>
      </c>
      <c r="BH59">
        <v>0</v>
      </c>
      <c r="BI59">
        <v>0</v>
      </c>
      <c r="BJ59">
        <v>0</v>
      </c>
      <c r="BK59">
        <v>0</v>
      </c>
      <c r="BL59">
        <v>0</v>
      </c>
      <c r="BM59">
        <v>1</v>
      </c>
      <c r="BN59">
        <v>0</v>
      </c>
      <c r="BO59">
        <v>0</v>
      </c>
      <c r="BP59" s="1">
        <f t="shared" si="26"/>
        <v>0</v>
      </c>
      <c r="BQ59" s="1">
        <f t="shared" si="26"/>
        <v>1</v>
      </c>
      <c r="BR59" s="1">
        <f t="shared" si="26"/>
        <v>1</v>
      </c>
      <c r="BS59" s="1">
        <f t="shared" si="33"/>
        <v>58</v>
      </c>
      <c r="BT59">
        <f t="shared" si="27"/>
        <v>31</v>
      </c>
      <c r="BU59">
        <v>21</v>
      </c>
      <c r="BV59">
        <v>0</v>
      </c>
      <c r="BW59">
        <v>0</v>
      </c>
      <c r="BX59">
        <v>0</v>
      </c>
      <c r="BY59">
        <v>0</v>
      </c>
      <c r="BZ59">
        <f t="shared" si="21"/>
        <v>0</v>
      </c>
      <c r="CA59">
        <f t="shared" si="21"/>
        <v>0</v>
      </c>
      <c r="CB59">
        <f t="shared" si="21"/>
        <v>0</v>
      </c>
      <c r="CC59">
        <f t="shared" si="21"/>
        <v>0</v>
      </c>
      <c r="CD59">
        <f t="shared" si="21"/>
        <v>0</v>
      </c>
      <c r="CE59">
        <f t="shared" si="23"/>
        <v>0</v>
      </c>
      <c r="CF59">
        <f t="shared" si="23"/>
        <v>0</v>
      </c>
      <c r="CG59">
        <f t="shared" si="23"/>
        <v>0</v>
      </c>
      <c r="CH59">
        <f t="shared" ref="CH59:CM101" si="45">$BW59*AX59</f>
        <v>0</v>
      </c>
      <c r="CI59">
        <f t="shared" si="45"/>
        <v>0</v>
      </c>
      <c r="CJ59">
        <f t="shared" si="45"/>
        <v>0</v>
      </c>
      <c r="CK59">
        <f t="shared" si="45"/>
        <v>0</v>
      </c>
      <c r="CL59">
        <f t="shared" si="45"/>
        <v>0</v>
      </c>
      <c r="CM59">
        <f t="shared" si="45"/>
        <v>0</v>
      </c>
      <c r="CN59">
        <f t="shared" si="22"/>
        <v>0</v>
      </c>
      <c r="CO59">
        <f t="shared" si="22"/>
        <v>0</v>
      </c>
      <c r="CP59">
        <f t="shared" si="22"/>
        <v>0</v>
      </c>
      <c r="CQ59">
        <f t="shared" si="22"/>
        <v>0</v>
      </c>
      <c r="CR59">
        <f t="shared" si="22"/>
        <v>0</v>
      </c>
      <c r="CS59">
        <f t="shared" si="24"/>
        <v>0</v>
      </c>
      <c r="CT59">
        <f t="shared" si="24"/>
        <v>0</v>
      </c>
      <c r="CU59">
        <f t="shared" si="24"/>
        <v>0</v>
      </c>
      <c r="CV59">
        <f t="shared" ref="CV59:DA101" si="46">$BX59*AX59</f>
        <v>0</v>
      </c>
      <c r="CW59">
        <f t="shared" si="46"/>
        <v>0</v>
      </c>
      <c r="CX59">
        <f t="shared" si="46"/>
        <v>0</v>
      </c>
      <c r="CY59">
        <f t="shared" si="46"/>
        <v>0</v>
      </c>
      <c r="CZ59">
        <f t="shared" si="46"/>
        <v>0</v>
      </c>
      <c r="DA59">
        <f t="shared" si="46"/>
        <v>0</v>
      </c>
      <c r="DB59" s="74">
        <f t="shared" si="34"/>
        <v>641.02861304001988</v>
      </c>
      <c r="DC59" s="74">
        <f t="shared" si="35"/>
        <v>20.678342356129672</v>
      </c>
      <c r="DD59" s="73">
        <f t="shared" si="36"/>
        <v>1271718.0549019747</v>
      </c>
      <c r="DE59" s="74">
        <f t="shared" si="37"/>
        <v>2523.6571983691642</v>
      </c>
      <c r="DF59" s="74">
        <f t="shared" si="38"/>
        <v>81.408296721585941</v>
      </c>
      <c r="DG59" s="74">
        <f t="shared" si="39"/>
        <v>447338.59048511472</v>
      </c>
      <c r="DH59" s="74">
        <f t="shared" si="40"/>
        <v>71015.539993114537</v>
      </c>
      <c r="DI59" s="74">
        <f t="shared" si="41"/>
        <v>2290.8238707456303</v>
      </c>
      <c r="DJ59" s="74">
        <f t="shared" si="42"/>
        <v>3381.6923806245018</v>
      </c>
      <c r="DK59" s="74">
        <f t="shared" si="43"/>
        <v>2245007.3933307179</v>
      </c>
      <c r="DL59" s="74">
        <f t="shared" si="44"/>
        <v>3314058.533012012</v>
      </c>
    </row>
    <row r="60" spans="1:116" x14ac:dyDescent="0.2">
      <c r="A60" s="96">
        <v>43770</v>
      </c>
      <c r="B60" s="4">
        <f t="shared" si="28"/>
        <v>2019</v>
      </c>
      <c r="C60" s="4">
        <f t="shared" si="29"/>
        <v>11</v>
      </c>
      <c r="D60" s="59">
        <v>37785130</v>
      </c>
      <c r="E60" s="59">
        <f>IFERROR(VLOOKUP($B60-1,CDM!$I$7:$N$18,2,FALSE)/12,0)+IFERROR(VLOOKUP($B60,CDM!$I$36:$L$46,2,FALSE)/24,0)+IFERROR(VLOOKUP($B60,CDM!$I$36:$L$46,2,FALSE)/2*$C60/78,0)</f>
        <v>2675267.0254299636</v>
      </c>
      <c r="F60" s="59">
        <f t="shared" si="30"/>
        <v>40460397.025429964</v>
      </c>
      <c r="G60" s="73">
        <v>61496</v>
      </c>
      <c r="H60" s="59">
        <v>13334890</v>
      </c>
      <c r="I60" s="59">
        <f>IFERROR(VLOOKUP($B60-1,CDM!$I$7:$N$18,3,FALSE)/12,0)+IFERROR(VLOOKUP($B60,CDM!$I$36:$L$46,3,FALSE)/24,0)+IFERROR(VLOOKUP($B60,CDM!$I$36:$L$46,3,FALSE)/2*$C60/78,0)</f>
        <v>1018403.6061589995</v>
      </c>
      <c r="J60" s="59">
        <f t="shared" si="31"/>
        <v>14353293.606159</v>
      </c>
      <c r="K60" s="59">
        <v>5456</v>
      </c>
      <c r="L60" s="5">
        <v>67091476</v>
      </c>
      <c r="M60" s="2">
        <f>IFERROR(VLOOKUP($B60-1,CDM!$I$7:$N$18,4,FALSE)/12,0)+IFERROR(VLOOKUP($B60,CDM!$I$36:$L$46,4,FALSE)/24,0)+IFERROR(VLOOKUP($B60,CDM!$I$36:$L$46,4,FALSE)/2*$C60/78,0)</f>
        <v>2970070.8832075708</v>
      </c>
      <c r="N60" s="59">
        <f t="shared" si="32"/>
        <v>70061546.883207574</v>
      </c>
      <c r="O60" s="5">
        <v>196909</v>
      </c>
      <c r="P60" s="5">
        <v>1020</v>
      </c>
      <c r="Q60" s="5">
        <v>552268</v>
      </c>
      <c r="R60" s="5">
        <v>1287</v>
      </c>
      <c r="S60" s="5">
        <v>17184</v>
      </c>
      <c r="T60" s="5">
        <v>261241</v>
      </c>
      <c r="U60" s="1">
        <v>24</v>
      </c>
      <c r="V60" s="1">
        <v>561</v>
      </c>
      <c r="W60" s="114">
        <f>Economic!J122</f>
        <v>789531.6</v>
      </c>
      <c r="X60" s="114">
        <f>Economic!K122</f>
        <v>608429.30000000005</v>
      </c>
      <c r="Y60" s="114">
        <f>Economic!L122</f>
        <v>57334.6</v>
      </c>
      <c r="Z60" s="114">
        <f>Economic!M122</f>
        <v>799632</v>
      </c>
      <c r="AA60" s="114">
        <f>Economic!N122</f>
        <v>617505</v>
      </c>
      <c r="AB60" s="114">
        <f>Economic!O122</f>
        <v>31552</v>
      </c>
      <c r="AC60" s="114">
        <f>Economic!D122</f>
        <v>7290</v>
      </c>
      <c r="AD60" s="114">
        <f>Economic!E122</f>
        <v>7288.9</v>
      </c>
      <c r="AE60" s="114">
        <f>Economic!F122</f>
        <v>3311.1</v>
      </c>
      <c r="AF60" s="114">
        <f>Economic!G122</f>
        <v>3295.4</v>
      </c>
      <c r="AG60" s="114">
        <f>Economic!H122</f>
        <v>412.1</v>
      </c>
      <c r="AH60" s="114">
        <f>Economic!I122</f>
        <v>409.7</v>
      </c>
      <c r="AI60" s="114">
        <f>Economic!P134</f>
        <v>180.10000000000036</v>
      </c>
      <c r="AJ60" s="114">
        <f>Economic!Q134</f>
        <v>199.40000000000055</v>
      </c>
      <c r="AK60" s="114">
        <f>Economic!R134</f>
        <v>130.90000000000009</v>
      </c>
      <c r="AL60" s="114">
        <f>Economic!S134</f>
        <v>142.29999999999973</v>
      </c>
      <c r="AM60" s="114">
        <f>Economic!T134</f>
        <v>17742.900000000023</v>
      </c>
      <c r="AN60" s="114">
        <f>Economic!U134</f>
        <v>1050</v>
      </c>
      <c r="AO60" s="28">
        <f>Weather!D252</f>
        <v>2.5333333333333332</v>
      </c>
      <c r="AP60" s="28">
        <f>Weather!E252</f>
        <v>524</v>
      </c>
      <c r="AQ60" s="28">
        <f>Weather!F252</f>
        <v>0</v>
      </c>
      <c r="AR60" s="28">
        <f>Weather!G252</f>
        <v>464</v>
      </c>
      <c r="AS60" s="28">
        <f>Weather!H252</f>
        <v>0</v>
      </c>
      <c r="AT60" s="28">
        <f>Weather!I252</f>
        <v>403.99999999999994</v>
      </c>
      <c r="AU60" s="28">
        <f>Weather!J252</f>
        <v>0</v>
      </c>
      <c r="AV60" s="28">
        <f>Weather!K252</f>
        <v>343.99999999999994</v>
      </c>
      <c r="AW60" s="28">
        <f>Weather!L252</f>
        <v>0</v>
      </c>
      <c r="AX60" s="28">
        <f>Weather!M252</f>
        <v>284</v>
      </c>
      <c r="AY60" s="28">
        <f>Weather!N252</f>
        <v>0</v>
      </c>
      <c r="AZ60" s="28">
        <f>Weather!O252</f>
        <v>224.00000000000006</v>
      </c>
      <c r="BA60" s="28">
        <f>Weather!P252</f>
        <v>0</v>
      </c>
      <c r="BB60" s="28">
        <f>Weather!Q252</f>
        <v>165.8</v>
      </c>
      <c r="BC60" s="28">
        <f>Weather!R252</f>
        <v>1.8000000000000007</v>
      </c>
      <c r="BD60">
        <v>0</v>
      </c>
      <c r="BE60">
        <v>0</v>
      </c>
      <c r="BF60">
        <v>0</v>
      </c>
      <c r="BG60">
        <v>0</v>
      </c>
      <c r="BH60">
        <v>0</v>
      </c>
      <c r="BI60">
        <v>0</v>
      </c>
      <c r="BJ60">
        <v>0</v>
      </c>
      <c r="BK60">
        <v>0</v>
      </c>
      <c r="BL60">
        <v>0</v>
      </c>
      <c r="BM60">
        <v>0</v>
      </c>
      <c r="BN60">
        <v>1</v>
      </c>
      <c r="BO60">
        <v>0</v>
      </c>
      <c r="BP60" s="1">
        <f t="shared" si="26"/>
        <v>0</v>
      </c>
      <c r="BQ60" s="1">
        <f t="shared" si="26"/>
        <v>1</v>
      </c>
      <c r="BR60" s="1">
        <f t="shared" si="26"/>
        <v>1</v>
      </c>
      <c r="BS60" s="1">
        <f t="shared" si="33"/>
        <v>59</v>
      </c>
      <c r="BT60">
        <f t="shared" si="27"/>
        <v>30</v>
      </c>
      <c r="BU60">
        <v>21</v>
      </c>
      <c r="BV60">
        <v>0</v>
      </c>
      <c r="BW60">
        <v>0</v>
      </c>
      <c r="BX60">
        <v>0</v>
      </c>
      <c r="BY60">
        <v>0</v>
      </c>
      <c r="BZ60">
        <f t="shared" si="21"/>
        <v>0</v>
      </c>
      <c r="CA60">
        <f t="shared" si="21"/>
        <v>0</v>
      </c>
      <c r="CB60">
        <f t="shared" si="21"/>
        <v>0</v>
      </c>
      <c r="CC60">
        <f t="shared" si="21"/>
        <v>0</v>
      </c>
      <c r="CD60">
        <f t="shared" si="21"/>
        <v>0</v>
      </c>
      <c r="CE60">
        <f t="shared" si="21"/>
        <v>0</v>
      </c>
      <c r="CF60">
        <f t="shared" si="21"/>
        <v>0</v>
      </c>
      <c r="CG60">
        <f t="shared" si="21"/>
        <v>0</v>
      </c>
      <c r="CH60">
        <f t="shared" si="45"/>
        <v>0</v>
      </c>
      <c r="CI60">
        <f t="shared" si="45"/>
        <v>0</v>
      </c>
      <c r="CJ60">
        <f t="shared" si="45"/>
        <v>0</v>
      </c>
      <c r="CK60">
        <f t="shared" si="45"/>
        <v>0</v>
      </c>
      <c r="CL60">
        <f t="shared" si="45"/>
        <v>0</v>
      </c>
      <c r="CM60">
        <f t="shared" si="45"/>
        <v>0</v>
      </c>
      <c r="CN60">
        <f t="shared" si="22"/>
        <v>0</v>
      </c>
      <c r="CO60">
        <f t="shared" si="22"/>
        <v>0</v>
      </c>
      <c r="CP60">
        <f t="shared" si="22"/>
        <v>0</v>
      </c>
      <c r="CQ60">
        <f t="shared" si="22"/>
        <v>0</v>
      </c>
      <c r="CR60">
        <f t="shared" si="22"/>
        <v>0</v>
      </c>
      <c r="CS60">
        <f t="shared" si="22"/>
        <v>0</v>
      </c>
      <c r="CT60">
        <f t="shared" si="22"/>
        <v>0</v>
      </c>
      <c r="CU60">
        <f t="shared" si="22"/>
        <v>0</v>
      </c>
      <c r="CV60">
        <f t="shared" si="46"/>
        <v>0</v>
      </c>
      <c r="CW60">
        <f t="shared" si="46"/>
        <v>0</v>
      </c>
      <c r="CX60">
        <f t="shared" si="46"/>
        <v>0</v>
      </c>
      <c r="CY60">
        <f t="shared" si="46"/>
        <v>0</v>
      </c>
      <c r="CZ60">
        <f t="shared" si="46"/>
        <v>0</v>
      </c>
      <c r="DA60">
        <f t="shared" si="46"/>
        <v>0</v>
      </c>
      <c r="DB60" s="74">
        <f t="shared" si="34"/>
        <v>657.93542710794145</v>
      </c>
      <c r="DC60" s="74">
        <f t="shared" si="35"/>
        <v>21.931180903598047</v>
      </c>
      <c r="DD60" s="73">
        <f t="shared" si="36"/>
        <v>1348679.9008476655</v>
      </c>
      <c r="DE60" s="74">
        <f t="shared" si="37"/>
        <v>2630.7356316273826</v>
      </c>
      <c r="DF60" s="74">
        <f t="shared" si="38"/>
        <v>87.691187720912751</v>
      </c>
      <c r="DG60" s="74">
        <f t="shared" si="39"/>
        <v>478443.12020529999</v>
      </c>
      <c r="DH60" s="74">
        <f t="shared" si="40"/>
        <v>68687.791061968208</v>
      </c>
      <c r="DI60" s="74">
        <f t="shared" si="41"/>
        <v>2289.5930353989402</v>
      </c>
      <c r="DJ60" s="74">
        <f t="shared" si="42"/>
        <v>3270.8471934270574</v>
      </c>
      <c r="DK60" s="74">
        <f t="shared" si="43"/>
        <v>2335384.8961069193</v>
      </c>
      <c r="DL60" s="74">
        <f t="shared" si="44"/>
        <v>3336264.1372955986</v>
      </c>
    </row>
    <row r="61" spans="1:116" x14ac:dyDescent="0.2">
      <c r="A61" s="96">
        <v>43800</v>
      </c>
      <c r="B61" s="4">
        <f t="shared" si="28"/>
        <v>2019</v>
      </c>
      <c r="C61" s="4">
        <f t="shared" si="29"/>
        <v>12</v>
      </c>
      <c r="D61" s="59">
        <v>42866511</v>
      </c>
      <c r="E61" s="59">
        <f>IFERROR(VLOOKUP($B61-1,CDM!$I$7:$N$18,2,FALSE)/12,0)+IFERROR(VLOOKUP($B61,CDM!$I$36:$L$46,2,FALSE)/24,0)+IFERROR(VLOOKUP($B61,CDM!$I$36:$L$46,2,FALSE)/2*$C61/78,0)</f>
        <v>2686936.3488987056</v>
      </c>
      <c r="F61" s="59">
        <f t="shared" si="30"/>
        <v>45553447.348898709</v>
      </c>
      <c r="G61" s="73">
        <v>61500</v>
      </c>
      <c r="H61" s="59">
        <v>14175336</v>
      </c>
      <c r="I61" s="59">
        <f>IFERROR(VLOOKUP($B61-1,CDM!$I$7:$N$18,3,FALSE)/12,0)+IFERROR(VLOOKUP($B61,CDM!$I$36:$L$46,3,FALSE)/24,0)+IFERROR(VLOOKUP($B61,CDM!$I$36:$L$46,3,FALSE)/2*$C61/78,0)</f>
        <v>1031742.9072794423</v>
      </c>
      <c r="J61" s="59">
        <f t="shared" si="31"/>
        <v>15207078.907279443</v>
      </c>
      <c r="K61" s="59">
        <v>5460</v>
      </c>
      <c r="L61" s="5">
        <v>67934124</v>
      </c>
      <c r="M61" s="2">
        <f>IFERROR(VLOOKUP($B61-1,CDM!$I$7:$N$18,4,FALSE)/12,0)+IFERROR(VLOOKUP($B61,CDM!$I$36:$L$46,4,FALSE)/24,0)+IFERROR(VLOOKUP($B61,CDM!$I$36:$L$46,4,FALSE)/2*$C61/78,0)</f>
        <v>3006451.5731628961</v>
      </c>
      <c r="N61" s="59">
        <f t="shared" si="32"/>
        <v>70940575.573162898</v>
      </c>
      <c r="O61" s="5">
        <v>171774</v>
      </c>
      <c r="P61" s="5">
        <v>1022</v>
      </c>
      <c r="Q61" s="5">
        <v>597205.1</v>
      </c>
      <c r="R61" s="5">
        <v>1287</v>
      </c>
      <c r="S61" s="5">
        <v>17184</v>
      </c>
      <c r="T61" s="5">
        <v>264551</v>
      </c>
      <c r="U61" s="1">
        <v>24</v>
      </c>
      <c r="V61" s="1">
        <v>561</v>
      </c>
      <c r="W61" s="114">
        <f>Economic!J123</f>
        <v>789531.6</v>
      </c>
      <c r="X61" s="114">
        <f>Economic!K123</f>
        <v>608429.30000000005</v>
      </c>
      <c r="Y61" s="114">
        <f>Economic!L123</f>
        <v>57334.6</v>
      </c>
      <c r="Z61" s="114">
        <f>Economic!M123</f>
        <v>799632</v>
      </c>
      <c r="AA61" s="114">
        <f>Economic!N123</f>
        <v>617505</v>
      </c>
      <c r="AB61" s="114">
        <f>Economic!O123</f>
        <v>31552</v>
      </c>
      <c r="AC61" s="114">
        <f>Economic!D123</f>
        <v>7300.1</v>
      </c>
      <c r="AD61" s="114">
        <f>Economic!E123</f>
        <v>7310.7</v>
      </c>
      <c r="AE61" s="114">
        <f>Economic!F123</f>
        <v>3323</v>
      </c>
      <c r="AF61" s="114">
        <f>Economic!G123</f>
        <v>3320.7</v>
      </c>
      <c r="AG61" s="114">
        <f>Economic!H123</f>
        <v>413.7</v>
      </c>
      <c r="AH61" s="114">
        <f>Economic!I123</f>
        <v>413.9</v>
      </c>
      <c r="AI61" s="114">
        <f>Economic!P135</f>
        <v>182.5</v>
      </c>
      <c r="AJ61" s="114">
        <f>Economic!Q135</f>
        <v>183.10000000000036</v>
      </c>
      <c r="AK61" s="114">
        <f>Economic!R135</f>
        <v>120.19999999999982</v>
      </c>
      <c r="AL61" s="114">
        <f>Economic!S135</f>
        <v>122.40000000000009</v>
      </c>
      <c r="AM61" s="114">
        <f>Economic!T135</f>
        <v>17742.900000000023</v>
      </c>
      <c r="AN61" s="114">
        <f>Economic!U135</f>
        <v>1050</v>
      </c>
      <c r="AO61" s="28">
        <f>Weather!D253</f>
        <v>1.2129032258064516</v>
      </c>
      <c r="AP61" s="28">
        <f>Weather!E253</f>
        <v>582.39999999999986</v>
      </c>
      <c r="AQ61" s="28">
        <f>Weather!F253</f>
        <v>0</v>
      </c>
      <c r="AR61" s="28">
        <f>Weather!G253</f>
        <v>520.39999999999986</v>
      </c>
      <c r="AS61" s="28">
        <f>Weather!H253</f>
        <v>0</v>
      </c>
      <c r="AT61" s="28">
        <f>Weather!I253</f>
        <v>458.4</v>
      </c>
      <c r="AU61" s="28">
        <f>Weather!J253</f>
        <v>0</v>
      </c>
      <c r="AV61" s="28">
        <f>Weather!K253</f>
        <v>396.4</v>
      </c>
      <c r="AW61" s="28">
        <f>Weather!L253</f>
        <v>0</v>
      </c>
      <c r="AX61" s="28">
        <f>Weather!M253</f>
        <v>334.40000000000003</v>
      </c>
      <c r="AY61" s="28">
        <f>Weather!N253</f>
        <v>0</v>
      </c>
      <c r="AZ61" s="28">
        <f>Weather!O253</f>
        <v>272.40000000000003</v>
      </c>
      <c r="BA61" s="28">
        <f>Weather!P253</f>
        <v>0</v>
      </c>
      <c r="BB61" s="28">
        <f>Weather!Q253</f>
        <v>210.40000000000006</v>
      </c>
      <c r="BC61" s="28">
        <f>Weather!R253</f>
        <v>0</v>
      </c>
      <c r="BD61">
        <v>0</v>
      </c>
      <c r="BE61">
        <v>0</v>
      </c>
      <c r="BF61">
        <v>0</v>
      </c>
      <c r="BG61">
        <v>0</v>
      </c>
      <c r="BH61">
        <v>0</v>
      </c>
      <c r="BI61">
        <v>0</v>
      </c>
      <c r="BJ61">
        <v>0</v>
      </c>
      <c r="BK61">
        <v>0</v>
      </c>
      <c r="BL61">
        <v>0</v>
      </c>
      <c r="BM61">
        <v>0</v>
      </c>
      <c r="BN61">
        <v>0</v>
      </c>
      <c r="BO61">
        <v>1</v>
      </c>
      <c r="BP61" s="1">
        <f t="shared" si="26"/>
        <v>0</v>
      </c>
      <c r="BQ61" s="1">
        <f t="shared" si="26"/>
        <v>0</v>
      </c>
      <c r="BR61" s="1">
        <f t="shared" si="26"/>
        <v>0</v>
      </c>
      <c r="BS61" s="1">
        <f t="shared" si="33"/>
        <v>60</v>
      </c>
      <c r="BT61">
        <f t="shared" si="27"/>
        <v>31</v>
      </c>
      <c r="BU61">
        <v>21</v>
      </c>
      <c r="BV61">
        <v>0</v>
      </c>
      <c r="BW61">
        <v>0</v>
      </c>
      <c r="BX61">
        <v>0</v>
      </c>
      <c r="BY61">
        <v>0</v>
      </c>
      <c r="BZ61">
        <f t="shared" si="21"/>
        <v>0</v>
      </c>
      <c r="CA61">
        <f t="shared" si="21"/>
        <v>0</v>
      </c>
      <c r="CB61">
        <f t="shared" si="21"/>
        <v>0</v>
      </c>
      <c r="CC61">
        <f t="shared" si="21"/>
        <v>0</v>
      </c>
      <c r="CD61">
        <f t="shared" si="21"/>
        <v>0</v>
      </c>
      <c r="CE61">
        <f t="shared" si="21"/>
        <v>0</v>
      </c>
      <c r="CF61">
        <f t="shared" si="21"/>
        <v>0</v>
      </c>
      <c r="CG61">
        <f t="shared" si="21"/>
        <v>0</v>
      </c>
      <c r="CH61">
        <f t="shared" si="45"/>
        <v>0</v>
      </c>
      <c r="CI61">
        <f t="shared" si="45"/>
        <v>0</v>
      </c>
      <c r="CJ61">
        <f t="shared" si="45"/>
        <v>0</v>
      </c>
      <c r="CK61">
        <f t="shared" si="45"/>
        <v>0</v>
      </c>
      <c r="CL61">
        <f t="shared" si="45"/>
        <v>0</v>
      </c>
      <c r="CM61">
        <f t="shared" si="45"/>
        <v>0</v>
      </c>
      <c r="CN61">
        <f t="shared" si="22"/>
        <v>0</v>
      </c>
      <c r="CO61">
        <f t="shared" si="22"/>
        <v>0</v>
      </c>
      <c r="CP61">
        <f t="shared" si="22"/>
        <v>0</v>
      </c>
      <c r="CQ61">
        <f t="shared" si="22"/>
        <v>0</v>
      </c>
      <c r="CR61">
        <f t="shared" si="22"/>
        <v>0</v>
      </c>
      <c r="CS61">
        <f t="shared" si="22"/>
        <v>0</v>
      </c>
      <c r="CT61">
        <f t="shared" si="22"/>
        <v>0</v>
      </c>
      <c r="CU61">
        <f t="shared" si="22"/>
        <v>0</v>
      </c>
      <c r="CV61">
        <f t="shared" si="46"/>
        <v>0</v>
      </c>
      <c r="CW61">
        <f t="shared" si="46"/>
        <v>0</v>
      </c>
      <c r="CX61">
        <f t="shared" si="46"/>
        <v>0</v>
      </c>
      <c r="CY61">
        <f t="shared" si="46"/>
        <v>0</v>
      </c>
      <c r="CZ61">
        <f t="shared" si="46"/>
        <v>0</v>
      </c>
      <c r="DA61">
        <f t="shared" si="46"/>
        <v>0</v>
      </c>
      <c r="DB61" s="74">
        <f t="shared" si="34"/>
        <v>740.70646095770257</v>
      </c>
      <c r="DC61" s="74">
        <f t="shared" si="35"/>
        <v>23.893756805087179</v>
      </c>
      <c r="DD61" s="73">
        <f t="shared" si="36"/>
        <v>1469466.0435128615</v>
      </c>
      <c r="DE61" s="74">
        <f t="shared" si="37"/>
        <v>2785.1792870475169</v>
      </c>
      <c r="DF61" s="74">
        <f t="shared" si="38"/>
        <v>89.844493130565056</v>
      </c>
      <c r="DG61" s="74">
        <f t="shared" si="39"/>
        <v>490550.93249288527</v>
      </c>
      <c r="DH61" s="74">
        <f t="shared" si="40"/>
        <v>69413.479034405973</v>
      </c>
      <c r="DI61" s="74">
        <f t="shared" si="41"/>
        <v>2239.1444849808377</v>
      </c>
      <c r="DJ61" s="74">
        <f t="shared" si="42"/>
        <v>3305.4037635431414</v>
      </c>
      <c r="DK61" s="74">
        <f t="shared" si="43"/>
        <v>2288405.6636504163</v>
      </c>
      <c r="DL61" s="74">
        <f t="shared" si="44"/>
        <v>3378122.6463410906</v>
      </c>
    </row>
    <row r="62" spans="1:116" x14ac:dyDescent="0.2">
      <c r="A62" s="96">
        <v>43831</v>
      </c>
      <c r="B62" s="4">
        <f t="shared" si="28"/>
        <v>2020</v>
      </c>
      <c r="C62" s="4">
        <f t="shared" si="29"/>
        <v>1</v>
      </c>
      <c r="D62" s="59">
        <v>42289435</v>
      </c>
      <c r="E62" s="59">
        <f>IFERROR(VLOOKUP($B62-1,CDM!$I$7:$N$18,2,FALSE)/12,0)+IFERROR(VLOOKUP($B62,CDM!$I$36:$L$46,2,FALSE)/24,0)+IFERROR(VLOOKUP($B62,CDM!$I$36:$L$46,2,FALSE)/2*$C62/78,0)</f>
        <v>2622158.7134409063</v>
      </c>
      <c r="F62" s="59">
        <f t="shared" si="30"/>
        <v>44911593.71344091</v>
      </c>
      <c r="G62" s="59">
        <v>61510</v>
      </c>
      <c r="H62" s="59">
        <v>14474298</v>
      </c>
      <c r="I62" s="59">
        <f>IFERROR(VLOOKUP($B62-1,CDM!$I$7:$N$18,3,FALSE)/12,0)+IFERROR(VLOOKUP($B62,CDM!$I$36:$L$46,3,FALSE)/24,0)+IFERROR(VLOOKUP($B62,CDM!$I$36:$L$46,3,FALSE)/2*$C62/78,0)</f>
        <v>986316.93239479337</v>
      </c>
      <c r="J62" s="59">
        <f t="shared" si="31"/>
        <v>15460614.932394793</v>
      </c>
      <c r="K62" s="59">
        <v>5491</v>
      </c>
      <c r="L62" s="59">
        <v>73485973</v>
      </c>
      <c r="M62" s="2">
        <f>IFERROR(VLOOKUP($B62-1,CDM!$I$7:$N$18,4,FALSE)/12,0)+IFERROR(VLOOKUP($B62,CDM!$I$36:$L$46,4,FALSE)/24,0)+IFERROR(VLOOKUP($B62,CDM!$I$36:$L$46,4,FALSE)/2*$C62/78,0)</f>
        <v>2946052.2579734935</v>
      </c>
      <c r="N62" s="59">
        <f t="shared" si="32"/>
        <v>76432025.257973492</v>
      </c>
      <c r="O62" s="59">
        <v>192953</v>
      </c>
      <c r="P62" s="59">
        <v>1011</v>
      </c>
      <c r="Q62" s="59">
        <v>568158</v>
      </c>
      <c r="R62" s="59">
        <v>1288</v>
      </c>
      <c r="S62" s="59">
        <v>17184</v>
      </c>
      <c r="T62" s="59">
        <v>262417</v>
      </c>
      <c r="U62" s="1">
        <v>24</v>
      </c>
      <c r="V62" s="59">
        <v>578</v>
      </c>
      <c r="W62" s="114">
        <f>Economic!J124</f>
        <v>807274.5</v>
      </c>
      <c r="X62" s="114">
        <f>Economic!K124</f>
        <v>626103.1</v>
      </c>
      <c r="Y62" s="114">
        <f>Economic!L124</f>
        <v>59751.3</v>
      </c>
      <c r="Z62" s="114">
        <f>Economic!M124</f>
        <v>800724</v>
      </c>
      <c r="AA62" s="114">
        <f>Economic!N124</f>
        <v>619045</v>
      </c>
      <c r="AB62" s="114">
        <f>Economic!O124</f>
        <v>31743</v>
      </c>
      <c r="AC62" s="114">
        <f>Economic!D124</f>
        <v>7318</v>
      </c>
      <c r="AD62" s="114">
        <f>Economic!E124</f>
        <v>7289.4</v>
      </c>
      <c r="AE62" s="114">
        <f>Economic!F124</f>
        <v>3325.1</v>
      </c>
      <c r="AF62" s="114">
        <f>Economic!G124</f>
        <v>3317.7</v>
      </c>
      <c r="AG62" s="114">
        <f>Economic!H124</f>
        <v>413.8</v>
      </c>
      <c r="AH62" s="114">
        <f>Economic!I124</f>
        <v>413.4</v>
      </c>
      <c r="AI62" s="114">
        <f>Economic!P136</f>
        <v>186.89999999999964</v>
      </c>
      <c r="AJ62" s="114">
        <f>Economic!Q136</f>
        <v>182.20000000000073</v>
      </c>
      <c r="AK62" s="114">
        <f>Economic!R136</f>
        <v>141.59999999999991</v>
      </c>
      <c r="AL62" s="114">
        <f>Economic!S136</f>
        <v>144.70000000000027</v>
      </c>
      <c r="AM62" s="114">
        <f>Economic!T136</f>
        <v>-37332.5</v>
      </c>
      <c r="AN62" s="114">
        <f>Economic!U136</f>
        <v>-11271</v>
      </c>
      <c r="AO62" s="28">
        <f>Weather!D254</f>
        <v>0.20000000000000021</v>
      </c>
      <c r="AP62" s="28">
        <f>Weather!E254</f>
        <v>613.79999999999995</v>
      </c>
      <c r="AQ62" s="28">
        <f>Weather!F254</f>
        <v>0</v>
      </c>
      <c r="AR62" s="28">
        <f>Weather!G254</f>
        <v>551.79999999999995</v>
      </c>
      <c r="AS62" s="28">
        <f>Weather!H254</f>
        <v>0</v>
      </c>
      <c r="AT62" s="28">
        <f>Weather!I254</f>
        <v>489.79999999999995</v>
      </c>
      <c r="AU62" s="28">
        <f>Weather!J254</f>
        <v>0</v>
      </c>
      <c r="AV62" s="28">
        <f>Weather!K254</f>
        <v>427.8</v>
      </c>
      <c r="AW62" s="28">
        <f>Weather!L254</f>
        <v>0</v>
      </c>
      <c r="AX62" s="28">
        <f>Weather!M254</f>
        <v>365.8</v>
      </c>
      <c r="AY62" s="28">
        <f>Weather!N254</f>
        <v>0</v>
      </c>
      <c r="AZ62" s="28">
        <f>Weather!O254</f>
        <v>303.8</v>
      </c>
      <c r="BA62" s="28">
        <f>Weather!P254</f>
        <v>0</v>
      </c>
      <c r="BB62" s="28">
        <f>Weather!Q254</f>
        <v>241.9</v>
      </c>
      <c r="BC62" s="28">
        <f>Weather!R254</f>
        <v>9.9999999999999645E-2</v>
      </c>
      <c r="BD62">
        <f>BD50</f>
        <v>1</v>
      </c>
      <c r="BE62">
        <f t="shared" ref="BE62:BO62" si="47">BE50</f>
        <v>0</v>
      </c>
      <c r="BF62">
        <f t="shared" si="47"/>
        <v>0</v>
      </c>
      <c r="BG62">
        <f t="shared" si="47"/>
        <v>0</v>
      </c>
      <c r="BH62">
        <f t="shared" si="47"/>
        <v>0</v>
      </c>
      <c r="BI62">
        <f t="shared" si="47"/>
        <v>0</v>
      </c>
      <c r="BJ62">
        <f t="shared" si="47"/>
        <v>0</v>
      </c>
      <c r="BK62">
        <f t="shared" si="47"/>
        <v>0</v>
      </c>
      <c r="BL62">
        <f t="shared" si="47"/>
        <v>0</v>
      </c>
      <c r="BM62">
        <f t="shared" si="47"/>
        <v>0</v>
      </c>
      <c r="BN62">
        <f t="shared" si="47"/>
        <v>0</v>
      </c>
      <c r="BO62">
        <f t="shared" si="47"/>
        <v>0</v>
      </c>
      <c r="BP62" s="1">
        <f t="shared" si="26"/>
        <v>0</v>
      </c>
      <c r="BQ62" s="1">
        <f t="shared" si="26"/>
        <v>0</v>
      </c>
      <c r="BR62" s="1">
        <f t="shared" si="26"/>
        <v>0</v>
      </c>
      <c r="BS62" s="1">
        <f t="shared" si="33"/>
        <v>61</v>
      </c>
      <c r="BT62">
        <f t="shared" si="27"/>
        <v>31</v>
      </c>
      <c r="BU62" s="1">
        <v>22</v>
      </c>
      <c r="BV62" s="1">
        <v>0</v>
      </c>
      <c r="BW62" s="1">
        <v>0</v>
      </c>
      <c r="BX62" s="1">
        <v>0</v>
      </c>
      <c r="BY62" s="1">
        <v>0</v>
      </c>
      <c r="BZ62">
        <f t="shared" si="21"/>
        <v>0</v>
      </c>
      <c r="CA62">
        <f t="shared" si="21"/>
        <v>0</v>
      </c>
      <c r="CB62">
        <f t="shared" si="21"/>
        <v>0</v>
      </c>
      <c r="CC62">
        <f t="shared" si="21"/>
        <v>0</v>
      </c>
      <c r="CD62">
        <f t="shared" si="21"/>
        <v>0</v>
      </c>
      <c r="CE62">
        <f t="shared" si="21"/>
        <v>0</v>
      </c>
      <c r="CF62">
        <f t="shared" si="21"/>
        <v>0</v>
      </c>
      <c r="CG62">
        <f t="shared" si="21"/>
        <v>0</v>
      </c>
      <c r="CH62">
        <f t="shared" si="45"/>
        <v>0</v>
      </c>
      <c r="CI62">
        <f t="shared" si="45"/>
        <v>0</v>
      </c>
      <c r="CJ62">
        <f t="shared" si="45"/>
        <v>0</v>
      </c>
      <c r="CK62">
        <f t="shared" si="45"/>
        <v>0</v>
      </c>
      <c r="CL62">
        <f t="shared" si="45"/>
        <v>0</v>
      </c>
      <c r="CM62">
        <f t="shared" si="45"/>
        <v>0</v>
      </c>
      <c r="CN62">
        <f t="shared" si="22"/>
        <v>0</v>
      </c>
      <c r="CO62">
        <f t="shared" si="22"/>
        <v>0</v>
      </c>
      <c r="CP62">
        <f t="shared" si="22"/>
        <v>0</v>
      </c>
      <c r="CQ62">
        <f t="shared" si="22"/>
        <v>0</v>
      </c>
      <c r="CR62">
        <f t="shared" si="22"/>
        <v>0</v>
      </c>
      <c r="CS62">
        <f t="shared" si="22"/>
        <v>0</v>
      </c>
      <c r="CT62">
        <f t="shared" si="22"/>
        <v>0</v>
      </c>
      <c r="CU62">
        <f t="shared" si="22"/>
        <v>0</v>
      </c>
      <c r="CV62">
        <f t="shared" si="46"/>
        <v>0</v>
      </c>
      <c r="CW62">
        <f t="shared" si="46"/>
        <v>0</v>
      </c>
      <c r="CX62">
        <f t="shared" si="46"/>
        <v>0</v>
      </c>
      <c r="CY62">
        <f t="shared" si="46"/>
        <v>0</v>
      </c>
      <c r="CZ62">
        <f t="shared" si="46"/>
        <v>0</v>
      </c>
      <c r="DA62">
        <f t="shared" si="46"/>
        <v>0</v>
      </c>
      <c r="DB62" s="74">
        <f t="shared" si="34"/>
        <v>730.15109272379959</v>
      </c>
      <c r="DC62" s="74">
        <f>DB62/BT62</f>
        <v>23.553261055606438</v>
      </c>
      <c r="DD62" s="73">
        <f t="shared" si="36"/>
        <v>1448761.0875303519</v>
      </c>
      <c r="DE62" s="74">
        <f t="shared" si="37"/>
        <v>2815.6282885439432</v>
      </c>
      <c r="DF62" s="74">
        <f t="shared" si="38"/>
        <v>90.826718985288494</v>
      </c>
      <c r="DG62" s="74">
        <f t="shared" si="39"/>
        <v>498729.51394821913</v>
      </c>
      <c r="DH62" s="74">
        <f t="shared" si="40"/>
        <v>75600.420631032131</v>
      </c>
      <c r="DI62" s="74">
        <f t="shared" si="41"/>
        <v>2438.7232461623266</v>
      </c>
      <c r="DJ62" s="74">
        <f t="shared" si="42"/>
        <v>3436.3827559560059</v>
      </c>
      <c r="DK62" s="74">
        <f t="shared" si="43"/>
        <v>2465549.2018701127</v>
      </c>
      <c r="DL62" s="74">
        <f t="shared" si="44"/>
        <v>3474182.9662715225</v>
      </c>
    </row>
    <row r="63" spans="1:116" x14ac:dyDescent="0.2">
      <c r="A63" s="96">
        <v>43862</v>
      </c>
      <c r="B63" s="4">
        <f t="shared" si="28"/>
        <v>2020</v>
      </c>
      <c r="C63" s="4">
        <f t="shared" si="29"/>
        <v>2</v>
      </c>
      <c r="D63" s="59">
        <v>38283093</v>
      </c>
      <c r="E63" s="59">
        <f>IFERROR(VLOOKUP($B63-1,CDM!$I$7:$N$18,2,FALSE)/12,0)+IFERROR(VLOOKUP($B63,CDM!$I$36:$L$46,2,FALSE)/24,0)+IFERROR(VLOOKUP($B63,CDM!$I$36:$L$46,2,FALSE)/2*$C63/78,0)</f>
        <v>2622079.1992569435</v>
      </c>
      <c r="F63" s="59">
        <f t="shared" si="30"/>
        <v>40905172.199256942</v>
      </c>
      <c r="G63" s="59">
        <v>61517</v>
      </c>
      <c r="H63" s="59">
        <v>13572038</v>
      </c>
      <c r="I63" s="59">
        <f>IFERROR(VLOOKUP($B63-1,CDM!$I$7:$N$18,3,FALSE)/12,0)+IFERROR(VLOOKUP($B63,CDM!$I$36:$L$46,3,FALSE)/24,0)+IFERROR(VLOOKUP($B63,CDM!$I$36:$L$46,3,FALSE)/2*$C63/78,0)</f>
        <v>990042.28989849822</v>
      </c>
      <c r="J63" s="59">
        <f t="shared" si="31"/>
        <v>14562080.289898498</v>
      </c>
      <c r="K63" s="59">
        <v>5489</v>
      </c>
      <c r="L63" s="59">
        <v>68265538</v>
      </c>
      <c r="M63" s="2">
        <f>IFERROR(VLOOKUP($B63-1,CDM!$I$7:$N$18,4,FALSE)/12,0)+IFERROR(VLOOKUP($B63,CDM!$I$36:$L$46,4,FALSE)/24,0)+IFERROR(VLOOKUP($B63,CDM!$I$36:$L$46,4,FALSE)/2*$C63/78,0)</f>
        <v>2964678.1885821451</v>
      </c>
      <c r="N63" s="59">
        <f t="shared" si="32"/>
        <v>71230216.188582152</v>
      </c>
      <c r="O63" s="59">
        <v>188802</v>
      </c>
      <c r="P63" s="59">
        <v>1013</v>
      </c>
      <c r="Q63" s="59">
        <v>490975</v>
      </c>
      <c r="R63" s="59">
        <v>1288</v>
      </c>
      <c r="S63" s="59">
        <v>17184</v>
      </c>
      <c r="T63" s="59">
        <v>261632</v>
      </c>
      <c r="U63" s="1">
        <v>24</v>
      </c>
      <c r="V63" s="59">
        <v>578</v>
      </c>
      <c r="W63" s="114">
        <f>Economic!J125</f>
        <v>807274.5</v>
      </c>
      <c r="X63" s="114">
        <f>Economic!K125</f>
        <v>626103.1</v>
      </c>
      <c r="Y63" s="114">
        <f>Economic!L125</f>
        <v>59751.3</v>
      </c>
      <c r="Z63" s="114">
        <f>Economic!M125</f>
        <v>800724</v>
      </c>
      <c r="AA63" s="114">
        <f>Economic!N125</f>
        <v>619045</v>
      </c>
      <c r="AB63" s="114">
        <f>Economic!O125</f>
        <v>31743</v>
      </c>
      <c r="AC63" s="114">
        <f>Economic!D125</f>
        <v>7345.4</v>
      </c>
      <c r="AD63" s="114">
        <f>Economic!E125</f>
        <v>7278.4</v>
      </c>
      <c r="AE63" s="114">
        <f>Economic!F125</f>
        <v>3340.8</v>
      </c>
      <c r="AF63" s="114">
        <f>Economic!G125</f>
        <v>3325.3</v>
      </c>
      <c r="AG63" s="114">
        <f>Economic!H125</f>
        <v>414.2</v>
      </c>
      <c r="AH63" s="114">
        <f>Economic!I125</f>
        <v>413.3</v>
      </c>
      <c r="AI63" s="114">
        <f>Economic!P137</f>
        <v>166.90000000000055</v>
      </c>
      <c r="AJ63" s="114">
        <f>Economic!Q137</f>
        <v>163.70000000000073</v>
      </c>
      <c r="AK63" s="114">
        <f>Economic!R137</f>
        <v>130.59999999999991</v>
      </c>
      <c r="AL63" s="114">
        <f>Economic!S137</f>
        <v>133.89999999999964</v>
      </c>
      <c r="AM63" s="114">
        <f>Economic!T137</f>
        <v>-37332.5</v>
      </c>
      <c r="AN63" s="114">
        <f>Economic!U137</f>
        <v>-11271</v>
      </c>
      <c r="AO63" s="28">
        <f>Weather!D255</f>
        <v>-1.3517241379310343</v>
      </c>
      <c r="AP63" s="28">
        <f>Weather!E255</f>
        <v>619.19999999999993</v>
      </c>
      <c r="AQ63" s="28">
        <f>Weather!F255</f>
        <v>0</v>
      </c>
      <c r="AR63" s="28">
        <f>Weather!G255</f>
        <v>561.20000000000005</v>
      </c>
      <c r="AS63" s="28">
        <f>Weather!H255</f>
        <v>0</v>
      </c>
      <c r="AT63" s="28">
        <f>Weather!I255</f>
        <v>503.20000000000005</v>
      </c>
      <c r="AU63" s="28">
        <f>Weather!J255</f>
        <v>0</v>
      </c>
      <c r="AV63" s="28">
        <f>Weather!K255</f>
        <v>445.2</v>
      </c>
      <c r="AW63" s="28">
        <f>Weather!L255</f>
        <v>0</v>
      </c>
      <c r="AX63" s="28">
        <f>Weather!M255</f>
        <v>387.2</v>
      </c>
      <c r="AY63" s="28">
        <f>Weather!N255</f>
        <v>0</v>
      </c>
      <c r="AZ63" s="28">
        <f>Weather!O255</f>
        <v>329.2</v>
      </c>
      <c r="BA63" s="28">
        <f>Weather!P255</f>
        <v>0</v>
      </c>
      <c r="BB63" s="28">
        <f>Weather!Q255</f>
        <v>271.20000000000005</v>
      </c>
      <c r="BC63" s="28">
        <f>Weather!R255</f>
        <v>0</v>
      </c>
      <c r="BD63">
        <f t="shared" ref="BD63:BR78" si="48">BD51</f>
        <v>0</v>
      </c>
      <c r="BE63">
        <f t="shared" si="48"/>
        <v>1</v>
      </c>
      <c r="BF63">
        <f t="shared" si="48"/>
        <v>0</v>
      </c>
      <c r="BG63">
        <f t="shared" si="48"/>
        <v>0</v>
      </c>
      <c r="BH63">
        <f t="shared" si="48"/>
        <v>0</v>
      </c>
      <c r="BI63">
        <f t="shared" si="48"/>
        <v>0</v>
      </c>
      <c r="BJ63">
        <f t="shared" si="48"/>
        <v>0</v>
      </c>
      <c r="BK63">
        <f t="shared" si="48"/>
        <v>0</v>
      </c>
      <c r="BL63">
        <f t="shared" si="48"/>
        <v>0</v>
      </c>
      <c r="BM63">
        <f t="shared" si="48"/>
        <v>0</v>
      </c>
      <c r="BN63">
        <f t="shared" si="48"/>
        <v>0</v>
      </c>
      <c r="BO63">
        <f t="shared" si="48"/>
        <v>0</v>
      </c>
      <c r="BP63" s="1">
        <f t="shared" si="26"/>
        <v>0</v>
      </c>
      <c r="BQ63" s="1">
        <f t="shared" si="26"/>
        <v>0</v>
      </c>
      <c r="BR63" s="1">
        <f t="shared" si="26"/>
        <v>0</v>
      </c>
      <c r="BS63" s="1">
        <f t="shared" si="33"/>
        <v>62</v>
      </c>
      <c r="BT63">
        <f t="shared" si="27"/>
        <v>29</v>
      </c>
      <c r="BU63" s="1">
        <v>19</v>
      </c>
      <c r="BV63" s="1">
        <v>0</v>
      </c>
      <c r="BW63" s="1">
        <v>0</v>
      </c>
      <c r="BX63" s="1">
        <v>0</v>
      </c>
      <c r="BY63" s="1">
        <v>0</v>
      </c>
      <c r="BZ63">
        <f t="shared" si="21"/>
        <v>0</v>
      </c>
      <c r="CA63">
        <f t="shared" si="21"/>
        <v>0</v>
      </c>
      <c r="CB63">
        <f t="shared" si="21"/>
        <v>0</v>
      </c>
      <c r="CC63">
        <f t="shared" si="21"/>
        <v>0</v>
      </c>
      <c r="CD63">
        <f t="shared" si="21"/>
        <v>0</v>
      </c>
      <c r="CE63">
        <f t="shared" si="21"/>
        <v>0</v>
      </c>
      <c r="CF63">
        <f t="shared" si="21"/>
        <v>0</v>
      </c>
      <c r="CG63">
        <f t="shared" si="21"/>
        <v>0</v>
      </c>
      <c r="CH63">
        <f t="shared" si="45"/>
        <v>0</v>
      </c>
      <c r="CI63">
        <f t="shared" si="45"/>
        <v>0</v>
      </c>
      <c r="CJ63">
        <f t="shared" si="45"/>
        <v>0</v>
      </c>
      <c r="CK63">
        <f t="shared" si="45"/>
        <v>0</v>
      </c>
      <c r="CL63">
        <f t="shared" si="45"/>
        <v>0</v>
      </c>
      <c r="CM63">
        <f t="shared" si="45"/>
        <v>0</v>
      </c>
      <c r="CN63">
        <f t="shared" si="22"/>
        <v>0</v>
      </c>
      <c r="CO63">
        <f t="shared" si="22"/>
        <v>0</v>
      </c>
      <c r="CP63">
        <f t="shared" si="22"/>
        <v>0</v>
      </c>
      <c r="CQ63">
        <f t="shared" si="22"/>
        <v>0</v>
      </c>
      <c r="CR63">
        <f t="shared" si="22"/>
        <v>0</v>
      </c>
      <c r="CS63">
        <f t="shared" si="22"/>
        <v>0</v>
      </c>
      <c r="CT63">
        <f t="shared" si="22"/>
        <v>0</v>
      </c>
      <c r="CU63">
        <f t="shared" si="22"/>
        <v>0</v>
      </c>
      <c r="CV63">
        <f t="shared" si="46"/>
        <v>0</v>
      </c>
      <c r="CW63">
        <f t="shared" si="46"/>
        <v>0</v>
      </c>
      <c r="CX63">
        <f t="shared" si="46"/>
        <v>0</v>
      </c>
      <c r="CY63">
        <f t="shared" si="46"/>
        <v>0</v>
      </c>
      <c r="CZ63">
        <f t="shared" si="46"/>
        <v>0</v>
      </c>
      <c r="DA63">
        <f t="shared" si="46"/>
        <v>0</v>
      </c>
      <c r="DB63" s="74">
        <f t="shared" si="34"/>
        <v>664.94094639297987</v>
      </c>
      <c r="DC63" s="74">
        <f t="shared" ref="DC63:DC115" si="49">DB63/BT63</f>
        <v>22.928998151482066</v>
      </c>
      <c r="DD63" s="73">
        <f t="shared" si="36"/>
        <v>1410523.1792847221</v>
      </c>
      <c r="DE63" s="74">
        <f t="shared" si="37"/>
        <v>2652.9568755508285</v>
      </c>
      <c r="DF63" s="74">
        <f t="shared" si="38"/>
        <v>91.481271570718221</v>
      </c>
      <c r="DG63" s="74">
        <f t="shared" si="39"/>
        <v>502140.69965167233</v>
      </c>
      <c r="DH63" s="74">
        <f t="shared" si="40"/>
        <v>70316.106800179812</v>
      </c>
      <c r="DI63" s="74">
        <f t="shared" si="41"/>
        <v>2424.6933379372349</v>
      </c>
      <c r="DJ63" s="74">
        <f t="shared" si="42"/>
        <v>3700.8477263252535</v>
      </c>
      <c r="DK63" s="74">
        <f t="shared" si="43"/>
        <v>2456214.3513304191</v>
      </c>
      <c r="DL63" s="74">
        <f t="shared" si="44"/>
        <v>3748958.7467674818</v>
      </c>
    </row>
    <row r="64" spans="1:116" x14ac:dyDescent="0.2">
      <c r="A64" s="96">
        <v>43891</v>
      </c>
      <c r="B64" s="4">
        <f t="shared" si="28"/>
        <v>2020</v>
      </c>
      <c r="C64" s="4">
        <f t="shared" si="29"/>
        <v>3</v>
      </c>
      <c r="D64" s="59">
        <v>39542843</v>
      </c>
      <c r="E64" s="59">
        <f>IFERROR(VLOOKUP($B64-1,CDM!$I$7:$N$18,2,FALSE)/12,0)+IFERROR(VLOOKUP($B64,CDM!$I$36:$L$46,2,FALSE)/24,0)+IFERROR(VLOOKUP($B64,CDM!$I$36:$L$46,2,FALSE)/2*$C64/78,0)</f>
        <v>2621999.6850729813</v>
      </c>
      <c r="F64" s="59">
        <f t="shared" si="30"/>
        <v>42164842.685072981</v>
      </c>
      <c r="G64" s="59">
        <v>61554</v>
      </c>
      <c r="H64" s="59">
        <v>12834880</v>
      </c>
      <c r="I64" s="59">
        <f>IFERROR(VLOOKUP($B64-1,CDM!$I$7:$N$18,3,FALSE)/12,0)+IFERROR(VLOOKUP($B64,CDM!$I$36:$L$46,3,FALSE)/24,0)+IFERROR(VLOOKUP($B64,CDM!$I$36:$L$46,3,FALSE)/2*$C64/78,0)</f>
        <v>993767.64740220294</v>
      </c>
      <c r="J64" s="59">
        <f t="shared" si="31"/>
        <v>13828647.647402203</v>
      </c>
      <c r="K64" s="59">
        <v>5500</v>
      </c>
      <c r="L64" s="59">
        <v>68018357</v>
      </c>
      <c r="M64" s="2">
        <f>IFERROR(VLOOKUP($B64-1,CDM!$I$7:$N$18,4,FALSE)/12,0)+IFERROR(VLOOKUP($B64,CDM!$I$36:$L$46,4,FALSE)/24,0)+IFERROR(VLOOKUP($B64,CDM!$I$36:$L$46,4,FALSE)/2*$C64/78,0)</f>
        <v>2983304.1191907967</v>
      </c>
      <c r="N64" s="59">
        <f t="shared" si="32"/>
        <v>71001661.119190797</v>
      </c>
      <c r="O64" s="59">
        <v>182773</v>
      </c>
      <c r="P64" s="59">
        <v>1013</v>
      </c>
      <c r="Q64" s="59">
        <v>469007</v>
      </c>
      <c r="R64" s="59">
        <v>1288</v>
      </c>
      <c r="S64" s="59">
        <v>17184</v>
      </c>
      <c r="T64" s="59">
        <v>262826</v>
      </c>
      <c r="U64" s="1">
        <v>24</v>
      </c>
      <c r="V64" s="59">
        <v>578</v>
      </c>
      <c r="W64" s="114">
        <f>Economic!J126</f>
        <v>807274.5</v>
      </c>
      <c r="X64" s="114">
        <f>Economic!K126</f>
        <v>626103.1</v>
      </c>
      <c r="Y64" s="114">
        <f>Economic!L126</f>
        <v>59751.3</v>
      </c>
      <c r="Z64" s="114">
        <f>Economic!M126</f>
        <v>800724</v>
      </c>
      <c r="AA64" s="114">
        <f>Economic!N126</f>
        <v>619045</v>
      </c>
      <c r="AB64" s="114">
        <f>Economic!O126</f>
        <v>31743</v>
      </c>
      <c r="AC64" s="114">
        <f>Economic!D126</f>
        <v>7361.3</v>
      </c>
      <c r="AD64" s="114">
        <f>Economic!E126</f>
        <v>7256.9</v>
      </c>
      <c r="AE64" s="114">
        <f>Economic!F126</f>
        <v>3358.9</v>
      </c>
      <c r="AF64" s="114">
        <f>Economic!G126</f>
        <v>3325.3</v>
      </c>
      <c r="AG64" s="114">
        <f>Economic!H126</f>
        <v>411.4</v>
      </c>
      <c r="AH64" s="114">
        <f>Economic!I126</f>
        <v>408</v>
      </c>
      <c r="AI64" s="114">
        <f>Economic!P138</f>
        <v>-3.3000000000001819</v>
      </c>
      <c r="AJ64" s="114">
        <f>Economic!Q138</f>
        <v>-0.6999999999998181</v>
      </c>
      <c r="AK64" s="114">
        <f>Economic!R138</f>
        <v>34.400000000000091</v>
      </c>
      <c r="AL64" s="114">
        <f>Economic!S138</f>
        <v>37.099999999999909</v>
      </c>
      <c r="AM64" s="114">
        <f>Economic!T138</f>
        <v>-37332.5</v>
      </c>
      <c r="AN64" s="114">
        <f>Economic!U138</f>
        <v>-11271</v>
      </c>
      <c r="AO64" s="28">
        <f>Weather!D256</f>
        <v>3.8064516129032264</v>
      </c>
      <c r="AP64" s="28">
        <f>Weather!E256</f>
        <v>502</v>
      </c>
      <c r="AQ64" s="28">
        <f>Weather!F256</f>
        <v>0</v>
      </c>
      <c r="AR64" s="28">
        <f>Weather!G256</f>
        <v>440.00000000000006</v>
      </c>
      <c r="AS64" s="28">
        <f>Weather!H256</f>
        <v>0</v>
      </c>
      <c r="AT64" s="28">
        <f>Weather!I256</f>
        <v>378.00000000000006</v>
      </c>
      <c r="AU64" s="28">
        <f>Weather!J256</f>
        <v>0</v>
      </c>
      <c r="AV64" s="28">
        <f>Weather!K256</f>
        <v>316</v>
      </c>
      <c r="AW64" s="28">
        <f>Weather!L256</f>
        <v>0</v>
      </c>
      <c r="AX64" s="28">
        <f>Weather!M256</f>
        <v>254.00000000000006</v>
      </c>
      <c r="AY64" s="28">
        <f>Weather!N256</f>
        <v>0</v>
      </c>
      <c r="AZ64" s="28">
        <f>Weather!O256</f>
        <v>195.30000000000007</v>
      </c>
      <c r="BA64" s="28">
        <f>Weather!P256</f>
        <v>3.3000000000000007</v>
      </c>
      <c r="BB64" s="28">
        <f>Weather!Q256</f>
        <v>138.1</v>
      </c>
      <c r="BC64" s="28">
        <f>Weather!R256</f>
        <v>8.1000000000000014</v>
      </c>
      <c r="BD64">
        <f t="shared" si="48"/>
        <v>0</v>
      </c>
      <c r="BE64">
        <f t="shared" si="48"/>
        <v>0</v>
      </c>
      <c r="BF64">
        <f t="shared" si="48"/>
        <v>1</v>
      </c>
      <c r="BG64">
        <f t="shared" si="48"/>
        <v>0</v>
      </c>
      <c r="BH64">
        <f t="shared" si="48"/>
        <v>0</v>
      </c>
      <c r="BI64">
        <f t="shared" si="48"/>
        <v>0</v>
      </c>
      <c r="BJ64">
        <f t="shared" si="48"/>
        <v>0</v>
      </c>
      <c r="BK64">
        <f t="shared" si="48"/>
        <v>0</v>
      </c>
      <c r="BL64">
        <f t="shared" si="48"/>
        <v>0</v>
      </c>
      <c r="BM64">
        <f t="shared" si="48"/>
        <v>0</v>
      </c>
      <c r="BN64">
        <f t="shared" si="48"/>
        <v>0</v>
      </c>
      <c r="BO64">
        <f t="shared" si="48"/>
        <v>0</v>
      </c>
      <c r="BP64" s="1">
        <f t="shared" si="26"/>
        <v>1</v>
      </c>
      <c r="BQ64" s="1">
        <f t="shared" si="26"/>
        <v>0</v>
      </c>
      <c r="BR64" s="1">
        <f t="shared" si="26"/>
        <v>1</v>
      </c>
      <c r="BS64" s="1">
        <f t="shared" si="33"/>
        <v>63</v>
      </c>
      <c r="BT64">
        <f t="shared" si="27"/>
        <v>31</v>
      </c>
      <c r="BU64" s="1">
        <v>22</v>
      </c>
      <c r="BV64" s="1">
        <v>1</v>
      </c>
      <c r="BW64" s="1">
        <v>0.5</v>
      </c>
      <c r="BX64" s="1">
        <v>0.5</v>
      </c>
      <c r="BY64" s="1">
        <v>0.5</v>
      </c>
      <c r="BZ64">
        <f t="shared" si="21"/>
        <v>251</v>
      </c>
      <c r="CA64">
        <f t="shared" si="21"/>
        <v>0</v>
      </c>
      <c r="CB64">
        <f t="shared" si="21"/>
        <v>220.00000000000003</v>
      </c>
      <c r="CC64">
        <f t="shared" si="21"/>
        <v>0</v>
      </c>
      <c r="CD64">
        <f t="shared" si="21"/>
        <v>189.00000000000003</v>
      </c>
      <c r="CE64">
        <f t="shared" si="21"/>
        <v>0</v>
      </c>
      <c r="CF64">
        <f t="shared" si="21"/>
        <v>158</v>
      </c>
      <c r="CG64">
        <f t="shared" si="21"/>
        <v>0</v>
      </c>
      <c r="CH64">
        <f t="shared" si="45"/>
        <v>127.00000000000003</v>
      </c>
      <c r="CI64">
        <f t="shared" si="45"/>
        <v>0</v>
      </c>
      <c r="CJ64">
        <f t="shared" si="45"/>
        <v>97.650000000000034</v>
      </c>
      <c r="CK64">
        <f t="shared" si="45"/>
        <v>1.6500000000000004</v>
      </c>
      <c r="CL64">
        <f t="shared" si="45"/>
        <v>69.05</v>
      </c>
      <c r="CM64">
        <f t="shared" si="45"/>
        <v>4.0500000000000007</v>
      </c>
      <c r="CN64">
        <f t="shared" si="22"/>
        <v>251</v>
      </c>
      <c r="CO64">
        <f t="shared" si="22"/>
        <v>0</v>
      </c>
      <c r="CP64">
        <f t="shared" si="22"/>
        <v>220.00000000000003</v>
      </c>
      <c r="CQ64">
        <f t="shared" si="22"/>
        <v>0</v>
      </c>
      <c r="CR64">
        <f t="shared" si="22"/>
        <v>189.00000000000003</v>
      </c>
      <c r="CS64">
        <f t="shared" si="22"/>
        <v>0</v>
      </c>
      <c r="CT64">
        <f t="shared" si="22"/>
        <v>158</v>
      </c>
      <c r="CU64">
        <f t="shared" si="22"/>
        <v>0</v>
      </c>
      <c r="CV64">
        <f t="shared" si="46"/>
        <v>127.00000000000003</v>
      </c>
      <c r="CW64">
        <f t="shared" si="46"/>
        <v>0</v>
      </c>
      <c r="CX64">
        <f t="shared" si="46"/>
        <v>97.650000000000034</v>
      </c>
      <c r="CY64">
        <f t="shared" si="46"/>
        <v>1.6500000000000004</v>
      </c>
      <c r="CZ64">
        <f t="shared" si="46"/>
        <v>69.05</v>
      </c>
      <c r="DA64">
        <f t="shared" si="46"/>
        <v>4.0500000000000007</v>
      </c>
      <c r="DB64" s="74">
        <f t="shared" si="34"/>
        <v>685.00572968569031</v>
      </c>
      <c r="DC64" s="74">
        <f t="shared" si="49"/>
        <v>22.096959022119041</v>
      </c>
      <c r="DD64" s="73">
        <f t="shared" si="36"/>
        <v>1360156.2156475156</v>
      </c>
      <c r="DE64" s="74">
        <f t="shared" si="37"/>
        <v>2514.2995722549458</v>
      </c>
      <c r="DF64" s="74">
        <f t="shared" si="38"/>
        <v>81.106437814675672</v>
      </c>
      <c r="DG64" s="74">
        <f t="shared" si="39"/>
        <v>446085.40798071621</v>
      </c>
      <c r="DH64" s="74">
        <f t="shared" si="40"/>
        <v>70090.484816575321</v>
      </c>
      <c r="DI64" s="74">
        <f t="shared" si="41"/>
        <v>2260.9833811798489</v>
      </c>
      <c r="DJ64" s="74">
        <f t="shared" si="42"/>
        <v>3185.9311280261509</v>
      </c>
      <c r="DK64" s="74">
        <f t="shared" si="43"/>
        <v>2290376.1651351871</v>
      </c>
      <c r="DL64" s="74">
        <f t="shared" si="44"/>
        <v>3227348.2326904908</v>
      </c>
    </row>
    <row r="65" spans="1:116" x14ac:dyDescent="0.2">
      <c r="A65" s="96">
        <v>43922</v>
      </c>
      <c r="B65" s="4">
        <f t="shared" si="28"/>
        <v>2020</v>
      </c>
      <c r="C65" s="4">
        <f t="shared" si="29"/>
        <v>4</v>
      </c>
      <c r="D65" s="59">
        <v>37928777</v>
      </c>
      <c r="E65" s="59">
        <f>IFERROR(VLOOKUP($B65-1,CDM!$I$7:$N$18,2,FALSE)/12,0)+IFERROR(VLOOKUP($B65,CDM!$I$36:$L$46,2,FALSE)/24,0)+IFERROR(VLOOKUP($B65,CDM!$I$36:$L$46,2,FALSE)/2*$C65/78,0)</f>
        <v>2621920.1708890186</v>
      </c>
      <c r="F65" s="59">
        <f t="shared" si="30"/>
        <v>40550697.17088902</v>
      </c>
      <c r="G65" s="59">
        <v>61567</v>
      </c>
      <c r="H65" s="59">
        <v>10364414</v>
      </c>
      <c r="I65" s="59">
        <f>IFERROR(VLOOKUP($B65-1,CDM!$I$7:$N$18,3,FALSE)/12,0)+IFERROR(VLOOKUP($B65,CDM!$I$36:$L$46,3,FALSE)/24,0)+IFERROR(VLOOKUP($B65,CDM!$I$36:$L$46,3,FALSE)/2*$C65/78,0)</f>
        <v>997493.00490590779</v>
      </c>
      <c r="J65" s="59">
        <f t="shared" si="31"/>
        <v>11361907.004905907</v>
      </c>
      <c r="K65" s="59">
        <v>5502</v>
      </c>
      <c r="L65" s="59">
        <v>57881735</v>
      </c>
      <c r="M65" s="2">
        <f>IFERROR(VLOOKUP($B65-1,CDM!$I$7:$N$18,4,FALSE)/12,0)+IFERROR(VLOOKUP($B65,CDM!$I$36:$L$46,4,FALSE)/24,0)+IFERROR(VLOOKUP($B65,CDM!$I$36:$L$46,4,FALSE)/2*$C65/78,0)</f>
        <v>3001930.0497994488</v>
      </c>
      <c r="N65" s="59">
        <f t="shared" si="32"/>
        <v>60883665.04979945</v>
      </c>
      <c r="O65" s="59">
        <v>179877</v>
      </c>
      <c r="P65" s="59">
        <v>1013</v>
      </c>
      <c r="Q65" s="59">
        <v>398218</v>
      </c>
      <c r="R65" s="59">
        <v>1288</v>
      </c>
      <c r="S65" s="59">
        <v>17184</v>
      </c>
      <c r="T65" s="59">
        <v>261234</v>
      </c>
      <c r="U65" s="1">
        <v>24</v>
      </c>
      <c r="V65" s="59">
        <v>577</v>
      </c>
      <c r="W65" s="114">
        <f>Economic!J127</f>
        <v>807274.5</v>
      </c>
      <c r="X65" s="114">
        <f>Economic!K127</f>
        <v>626103.1</v>
      </c>
      <c r="Y65" s="114">
        <f>Economic!L127</f>
        <v>59751.3</v>
      </c>
      <c r="Z65" s="114">
        <f>Economic!M127</f>
        <v>806630</v>
      </c>
      <c r="AA65" s="114">
        <f>Economic!N127</f>
        <v>624723</v>
      </c>
      <c r="AB65" s="114">
        <f>Economic!O127</f>
        <v>32769</v>
      </c>
      <c r="AC65" s="114">
        <f>Economic!D127</f>
        <v>7382.3</v>
      </c>
      <c r="AD65" s="114">
        <f>Economic!E127</f>
        <v>7294</v>
      </c>
      <c r="AE65" s="114">
        <f>Economic!F127</f>
        <v>3380.8</v>
      </c>
      <c r="AF65" s="114">
        <f>Economic!G127</f>
        <v>3351</v>
      </c>
      <c r="AG65" s="114">
        <f>Economic!H127</f>
        <v>408.7</v>
      </c>
      <c r="AH65" s="114">
        <f>Economic!I127</f>
        <v>405.2</v>
      </c>
      <c r="AI65" s="114">
        <f>Economic!P139</f>
        <v>-418.60000000000036</v>
      </c>
      <c r="AJ65" s="114">
        <f>Economic!Q139</f>
        <v>-408.80000000000018</v>
      </c>
      <c r="AK65" s="114">
        <f>Economic!R139</f>
        <v>-184.10000000000036</v>
      </c>
      <c r="AL65" s="114">
        <f>Economic!S139</f>
        <v>-183</v>
      </c>
      <c r="AM65" s="114">
        <f>Economic!T139</f>
        <v>-37332.5</v>
      </c>
      <c r="AN65" s="114">
        <f>Economic!U139</f>
        <v>-93587</v>
      </c>
      <c r="AO65" s="28">
        <f>Weather!D257</f>
        <v>5.9666666666666659</v>
      </c>
      <c r="AP65" s="28">
        <f>Weather!E257</f>
        <v>421</v>
      </c>
      <c r="AQ65" s="28">
        <f>Weather!F257</f>
        <v>0</v>
      </c>
      <c r="AR65" s="28">
        <f>Weather!G257</f>
        <v>360.99999999999994</v>
      </c>
      <c r="AS65" s="28">
        <f>Weather!H257</f>
        <v>0</v>
      </c>
      <c r="AT65" s="28">
        <f>Weather!I257</f>
        <v>300.99999999999994</v>
      </c>
      <c r="AU65" s="28">
        <f>Weather!J257</f>
        <v>0</v>
      </c>
      <c r="AV65" s="28">
        <f>Weather!K257</f>
        <v>241.00000000000003</v>
      </c>
      <c r="AW65" s="28">
        <f>Weather!L257</f>
        <v>0</v>
      </c>
      <c r="AX65" s="28">
        <f>Weather!M257</f>
        <v>181.00000000000003</v>
      </c>
      <c r="AY65" s="28">
        <f>Weather!N257</f>
        <v>0</v>
      </c>
      <c r="AZ65" s="28">
        <f>Weather!O257</f>
        <v>121.19999999999999</v>
      </c>
      <c r="BA65" s="28">
        <f>Weather!P257</f>
        <v>0.19999999999999929</v>
      </c>
      <c r="BB65" s="28">
        <f>Weather!Q257</f>
        <v>67.40000000000002</v>
      </c>
      <c r="BC65" s="28">
        <f>Weather!R257</f>
        <v>6.3999999999999986</v>
      </c>
      <c r="BD65">
        <f t="shared" si="48"/>
        <v>0</v>
      </c>
      <c r="BE65">
        <f t="shared" si="48"/>
        <v>0</v>
      </c>
      <c r="BF65">
        <f t="shared" si="48"/>
        <v>0</v>
      </c>
      <c r="BG65">
        <f t="shared" si="48"/>
        <v>1</v>
      </c>
      <c r="BH65">
        <f t="shared" si="48"/>
        <v>0</v>
      </c>
      <c r="BI65">
        <f t="shared" si="48"/>
        <v>0</v>
      </c>
      <c r="BJ65">
        <f t="shared" si="48"/>
        <v>0</v>
      </c>
      <c r="BK65">
        <f t="shared" si="48"/>
        <v>0</v>
      </c>
      <c r="BL65">
        <f t="shared" si="48"/>
        <v>0</v>
      </c>
      <c r="BM65">
        <f t="shared" si="48"/>
        <v>0</v>
      </c>
      <c r="BN65">
        <f t="shared" si="48"/>
        <v>0</v>
      </c>
      <c r="BO65">
        <f t="shared" si="48"/>
        <v>0</v>
      </c>
      <c r="BP65" s="1">
        <f t="shared" si="26"/>
        <v>1</v>
      </c>
      <c r="BQ65" s="1">
        <f t="shared" si="26"/>
        <v>0</v>
      </c>
      <c r="BR65" s="1">
        <f t="shared" si="26"/>
        <v>1</v>
      </c>
      <c r="BS65" s="1">
        <f t="shared" si="33"/>
        <v>64</v>
      </c>
      <c r="BT65">
        <f t="shared" si="27"/>
        <v>30</v>
      </c>
      <c r="BU65" s="1">
        <v>21</v>
      </c>
      <c r="BV65" s="1">
        <v>1</v>
      </c>
      <c r="BW65" s="1">
        <v>1</v>
      </c>
      <c r="BX65" s="1">
        <v>1</v>
      </c>
      <c r="BY65" s="1">
        <v>1</v>
      </c>
      <c r="BZ65">
        <f t="shared" si="21"/>
        <v>421</v>
      </c>
      <c r="CA65">
        <f t="shared" si="21"/>
        <v>0</v>
      </c>
      <c r="CB65">
        <f t="shared" si="21"/>
        <v>360.99999999999994</v>
      </c>
      <c r="CC65">
        <f t="shared" si="21"/>
        <v>0</v>
      </c>
      <c r="CD65">
        <f t="shared" si="21"/>
        <v>300.99999999999994</v>
      </c>
      <c r="CE65">
        <f t="shared" si="21"/>
        <v>0</v>
      </c>
      <c r="CF65">
        <f t="shared" ref="CF65:CJ115" si="50">$BW65*AV65</f>
        <v>241.00000000000003</v>
      </c>
      <c r="CG65">
        <f t="shared" si="50"/>
        <v>0</v>
      </c>
      <c r="CH65">
        <f t="shared" si="45"/>
        <v>181.00000000000003</v>
      </c>
      <c r="CI65">
        <f t="shared" si="45"/>
        <v>0</v>
      </c>
      <c r="CJ65">
        <f t="shared" si="45"/>
        <v>121.19999999999999</v>
      </c>
      <c r="CK65">
        <f t="shared" si="45"/>
        <v>0.19999999999999929</v>
      </c>
      <c r="CL65">
        <f t="shared" si="45"/>
        <v>67.40000000000002</v>
      </c>
      <c r="CM65">
        <f t="shared" si="45"/>
        <v>6.3999999999999986</v>
      </c>
      <c r="CN65">
        <f t="shared" si="22"/>
        <v>421</v>
      </c>
      <c r="CO65">
        <f t="shared" si="22"/>
        <v>0</v>
      </c>
      <c r="CP65">
        <f t="shared" si="22"/>
        <v>360.99999999999994</v>
      </c>
      <c r="CQ65">
        <f t="shared" si="22"/>
        <v>0</v>
      </c>
      <c r="CR65">
        <f t="shared" si="22"/>
        <v>300.99999999999994</v>
      </c>
      <c r="CS65">
        <f t="shared" si="22"/>
        <v>0</v>
      </c>
      <c r="CT65">
        <f t="shared" ref="CT65:CX115" si="51">$BX65*AV65</f>
        <v>241.00000000000003</v>
      </c>
      <c r="CU65">
        <f t="shared" si="51"/>
        <v>0</v>
      </c>
      <c r="CV65">
        <f t="shared" si="46"/>
        <v>181.00000000000003</v>
      </c>
      <c r="CW65">
        <f t="shared" si="46"/>
        <v>0</v>
      </c>
      <c r="CX65">
        <f t="shared" si="46"/>
        <v>121.19999999999999</v>
      </c>
      <c r="CY65">
        <f t="shared" si="46"/>
        <v>0.19999999999999929</v>
      </c>
      <c r="CZ65">
        <f t="shared" si="46"/>
        <v>67.40000000000002</v>
      </c>
      <c r="DA65">
        <f t="shared" si="46"/>
        <v>6.3999999999999986</v>
      </c>
      <c r="DB65" s="74">
        <f t="shared" si="34"/>
        <v>658.64338315800705</v>
      </c>
      <c r="DC65" s="74">
        <f t="shared" si="49"/>
        <v>21.954779438600234</v>
      </c>
      <c r="DD65" s="73">
        <f t="shared" si="36"/>
        <v>1351689.9056963006</v>
      </c>
      <c r="DE65" s="74">
        <f t="shared" si="37"/>
        <v>2065.0503462206302</v>
      </c>
      <c r="DF65" s="74">
        <f t="shared" si="38"/>
        <v>68.835011540687674</v>
      </c>
      <c r="DG65" s="74">
        <f t="shared" si="39"/>
        <v>378730.23349686357</v>
      </c>
      <c r="DH65" s="74">
        <f t="shared" si="40"/>
        <v>60102.334698716142</v>
      </c>
      <c r="DI65" s="74">
        <f t="shared" si="41"/>
        <v>2003.4111566238714</v>
      </c>
      <c r="DJ65" s="74">
        <f t="shared" si="42"/>
        <v>2862.015938034102</v>
      </c>
      <c r="DK65" s="74">
        <f t="shared" si="43"/>
        <v>2029455.5016599817</v>
      </c>
      <c r="DL65" s="74">
        <f t="shared" si="44"/>
        <v>2899222.1452285452</v>
      </c>
    </row>
    <row r="66" spans="1:116" x14ac:dyDescent="0.2">
      <c r="A66" s="96">
        <v>43952</v>
      </c>
      <c r="B66" s="4">
        <f t="shared" si="28"/>
        <v>2020</v>
      </c>
      <c r="C66" s="4">
        <f t="shared" si="29"/>
        <v>5</v>
      </c>
      <c r="D66" s="59">
        <v>43033456</v>
      </c>
      <c r="E66" s="59">
        <f>IFERROR(VLOOKUP($B66-1,CDM!$I$7:$N$18,2,FALSE)/12,0)+IFERROR(VLOOKUP($B66,CDM!$I$36:$L$46,2,FALSE)/24,0)+IFERROR(VLOOKUP($B66,CDM!$I$36:$L$46,2,FALSE)/2*$C66/78,0)</f>
        <v>2621840.6567050563</v>
      </c>
      <c r="F66" s="59">
        <f t="shared" si="30"/>
        <v>45655296.656705059</v>
      </c>
      <c r="G66" s="59">
        <v>61593</v>
      </c>
      <c r="H66" s="59">
        <v>10648178</v>
      </c>
      <c r="I66" s="59">
        <f>IFERROR(VLOOKUP($B66-1,CDM!$I$7:$N$18,3,FALSE)/12,0)+IFERROR(VLOOKUP($B66,CDM!$I$36:$L$46,3,FALSE)/24,0)+IFERROR(VLOOKUP($B66,CDM!$I$36:$L$46,3,FALSE)/2*$C66/78,0)</f>
        <v>1001218.3624096126</v>
      </c>
      <c r="J66" s="59">
        <f t="shared" si="31"/>
        <v>11649396.362409612</v>
      </c>
      <c r="K66" s="59">
        <v>5501</v>
      </c>
      <c r="L66" s="59">
        <v>60871118</v>
      </c>
      <c r="M66" s="2">
        <f>IFERROR(VLOOKUP($B66-1,CDM!$I$7:$N$18,4,FALSE)/12,0)+IFERROR(VLOOKUP($B66,CDM!$I$36:$L$46,4,FALSE)/24,0)+IFERROR(VLOOKUP($B66,CDM!$I$36:$L$46,4,FALSE)/2*$C66/78,0)</f>
        <v>3020555.9804081004</v>
      </c>
      <c r="N66" s="59">
        <f t="shared" si="32"/>
        <v>63891673.980408102</v>
      </c>
      <c r="O66" s="59">
        <v>159046</v>
      </c>
      <c r="P66" s="59">
        <v>1011</v>
      </c>
      <c r="Q66" s="59">
        <v>362565</v>
      </c>
      <c r="R66" s="59">
        <v>1288</v>
      </c>
      <c r="S66" s="59">
        <v>17186</v>
      </c>
      <c r="T66" s="59">
        <v>261693</v>
      </c>
      <c r="U66" s="1">
        <v>24</v>
      </c>
      <c r="V66" s="59">
        <v>576</v>
      </c>
      <c r="W66" s="114">
        <f>Economic!J128</f>
        <v>807274.5</v>
      </c>
      <c r="X66" s="114">
        <f>Economic!K128</f>
        <v>626103.1</v>
      </c>
      <c r="Y66" s="114">
        <f>Economic!L128</f>
        <v>59751.3</v>
      </c>
      <c r="Z66" s="114">
        <f>Economic!M128</f>
        <v>806630</v>
      </c>
      <c r="AA66" s="114">
        <f>Economic!N128</f>
        <v>624723</v>
      </c>
      <c r="AB66" s="114">
        <f>Economic!O128</f>
        <v>32769</v>
      </c>
      <c r="AC66" s="114">
        <f>Economic!D128</f>
        <v>7398.9</v>
      </c>
      <c r="AD66" s="114">
        <f>Economic!E128</f>
        <v>7366.8</v>
      </c>
      <c r="AE66" s="114">
        <f>Economic!F128</f>
        <v>3392.8</v>
      </c>
      <c r="AF66" s="114">
        <f>Economic!G128</f>
        <v>3381.9</v>
      </c>
      <c r="AG66" s="114">
        <f>Economic!H128</f>
        <v>408.5</v>
      </c>
      <c r="AH66" s="114">
        <f>Economic!I128</f>
        <v>405.7</v>
      </c>
      <c r="AI66" s="114">
        <f>Economic!P140</f>
        <v>-830.69999999999982</v>
      </c>
      <c r="AJ66" s="114">
        <f>Economic!Q140</f>
        <v>-830.10000000000036</v>
      </c>
      <c r="AK66" s="114">
        <f>Economic!R140</f>
        <v>-407.60000000000036</v>
      </c>
      <c r="AL66" s="114">
        <f>Economic!S140</f>
        <v>-408.70000000000027</v>
      </c>
      <c r="AM66" s="114">
        <f>Economic!T140</f>
        <v>-37332.5</v>
      </c>
      <c r="AN66" s="114">
        <f>Economic!U140</f>
        <v>-93587</v>
      </c>
      <c r="AO66" s="28">
        <f>Weather!D258</f>
        <v>11.177419354838708</v>
      </c>
      <c r="AP66" s="28">
        <f>Weather!E258</f>
        <v>276.90000000000003</v>
      </c>
      <c r="AQ66" s="28">
        <f>Weather!F258</f>
        <v>3.3999999999999986</v>
      </c>
      <c r="AR66" s="28">
        <f>Weather!G258</f>
        <v>221.5</v>
      </c>
      <c r="AS66" s="28">
        <f>Weather!H258</f>
        <v>9.9999999999999964</v>
      </c>
      <c r="AT66" s="28">
        <f>Weather!I258</f>
        <v>168.8</v>
      </c>
      <c r="AU66" s="28">
        <f>Weather!J258</f>
        <v>19.299999999999997</v>
      </c>
      <c r="AV66" s="28">
        <f>Weather!K258</f>
        <v>122.60000000000001</v>
      </c>
      <c r="AW66" s="28">
        <f>Weather!L258</f>
        <v>35.1</v>
      </c>
      <c r="AX66" s="28">
        <f>Weather!M258</f>
        <v>83.199999999999989</v>
      </c>
      <c r="AY66" s="28">
        <f>Weather!N258</f>
        <v>57.7</v>
      </c>
      <c r="AZ66" s="28">
        <f>Weather!O258</f>
        <v>48.400000000000006</v>
      </c>
      <c r="BA66" s="28">
        <f>Weather!P258</f>
        <v>84.9</v>
      </c>
      <c r="BB66" s="28">
        <f>Weather!Q258</f>
        <v>23.700000000000003</v>
      </c>
      <c r="BC66" s="28">
        <f>Weather!R258</f>
        <v>122.19999999999999</v>
      </c>
      <c r="BD66">
        <f t="shared" si="48"/>
        <v>0</v>
      </c>
      <c r="BE66">
        <f t="shared" si="48"/>
        <v>0</v>
      </c>
      <c r="BF66">
        <f t="shared" si="48"/>
        <v>0</v>
      </c>
      <c r="BG66">
        <f t="shared" si="48"/>
        <v>0</v>
      </c>
      <c r="BH66">
        <f t="shared" si="48"/>
        <v>1</v>
      </c>
      <c r="BI66">
        <f t="shared" si="48"/>
        <v>0</v>
      </c>
      <c r="BJ66">
        <f t="shared" si="48"/>
        <v>0</v>
      </c>
      <c r="BK66">
        <f t="shared" si="48"/>
        <v>0</v>
      </c>
      <c r="BL66">
        <f t="shared" si="48"/>
        <v>0</v>
      </c>
      <c r="BM66">
        <f t="shared" si="48"/>
        <v>0</v>
      </c>
      <c r="BN66">
        <f t="shared" si="48"/>
        <v>0</v>
      </c>
      <c r="BO66">
        <f t="shared" si="48"/>
        <v>0</v>
      </c>
      <c r="BP66" s="1">
        <f t="shared" si="26"/>
        <v>1</v>
      </c>
      <c r="BQ66" s="1">
        <f t="shared" si="26"/>
        <v>0</v>
      </c>
      <c r="BR66" s="1">
        <f t="shared" si="26"/>
        <v>1</v>
      </c>
      <c r="BS66" s="1">
        <f t="shared" si="33"/>
        <v>65</v>
      </c>
      <c r="BT66">
        <f t="shared" si="27"/>
        <v>31</v>
      </c>
      <c r="BU66" s="1">
        <v>20</v>
      </c>
      <c r="BV66" s="1">
        <v>1</v>
      </c>
      <c r="BW66" s="1">
        <v>1</v>
      </c>
      <c r="BX66" s="1">
        <v>1</v>
      </c>
      <c r="BY66" s="1">
        <v>1</v>
      </c>
      <c r="BZ66">
        <f t="shared" ref="BZ66:CE108" si="52">$BW66*AP66</f>
        <v>276.90000000000003</v>
      </c>
      <c r="CA66">
        <f t="shared" si="52"/>
        <v>3.3999999999999986</v>
      </c>
      <c r="CB66">
        <f t="shared" si="52"/>
        <v>221.5</v>
      </c>
      <c r="CC66">
        <f t="shared" si="52"/>
        <v>9.9999999999999964</v>
      </c>
      <c r="CD66">
        <f t="shared" si="52"/>
        <v>168.8</v>
      </c>
      <c r="CE66">
        <f t="shared" si="52"/>
        <v>19.299999999999997</v>
      </c>
      <c r="CF66">
        <f t="shared" si="50"/>
        <v>122.60000000000001</v>
      </c>
      <c r="CG66">
        <f t="shared" si="50"/>
        <v>35.1</v>
      </c>
      <c r="CH66">
        <f t="shared" si="45"/>
        <v>83.199999999999989</v>
      </c>
      <c r="CI66">
        <f t="shared" si="45"/>
        <v>57.7</v>
      </c>
      <c r="CJ66">
        <f t="shared" si="45"/>
        <v>48.400000000000006</v>
      </c>
      <c r="CK66">
        <f t="shared" si="45"/>
        <v>84.9</v>
      </c>
      <c r="CL66">
        <f t="shared" si="45"/>
        <v>23.700000000000003</v>
      </c>
      <c r="CM66">
        <f t="shared" si="45"/>
        <v>122.19999999999999</v>
      </c>
      <c r="CN66">
        <f t="shared" ref="CN66:CS108" si="53">$BX66*AP66</f>
        <v>276.90000000000003</v>
      </c>
      <c r="CO66">
        <f t="shared" si="53"/>
        <v>3.3999999999999986</v>
      </c>
      <c r="CP66">
        <f t="shared" si="53"/>
        <v>221.5</v>
      </c>
      <c r="CQ66">
        <f t="shared" si="53"/>
        <v>9.9999999999999964</v>
      </c>
      <c r="CR66">
        <f t="shared" si="53"/>
        <v>168.8</v>
      </c>
      <c r="CS66">
        <f t="shared" si="53"/>
        <v>19.299999999999997</v>
      </c>
      <c r="CT66">
        <f t="shared" si="51"/>
        <v>122.60000000000001</v>
      </c>
      <c r="CU66">
        <f t="shared" si="51"/>
        <v>35.1</v>
      </c>
      <c r="CV66">
        <f t="shared" si="46"/>
        <v>83.199999999999989</v>
      </c>
      <c r="CW66">
        <f t="shared" si="46"/>
        <v>57.7</v>
      </c>
      <c r="CX66">
        <f t="shared" si="46"/>
        <v>48.400000000000006</v>
      </c>
      <c r="CY66">
        <f t="shared" si="46"/>
        <v>84.9</v>
      </c>
      <c r="CZ66">
        <f t="shared" si="46"/>
        <v>23.700000000000003</v>
      </c>
      <c r="DA66">
        <f t="shared" si="46"/>
        <v>122.19999999999999</v>
      </c>
      <c r="DB66" s="74">
        <f t="shared" si="34"/>
        <v>741.24164526334255</v>
      </c>
      <c r="DC66" s="74">
        <f t="shared" si="49"/>
        <v>23.911020814946532</v>
      </c>
      <c r="DD66" s="73">
        <f t="shared" si="36"/>
        <v>1472751.5050550019</v>
      </c>
      <c r="DE66" s="74">
        <f t="shared" si="37"/>
        <v>2117.6870318868591</v>
      </c>
      <c r="DF66" s="74">
        <f t="shared" si="38"/>
        <v>68.312484899576106</v>
      </c>
      <c r="DG66" s="74">
        <f t="shared" si="39"/>
        <v>375786.97943256813</v>
      </c>
      <c r="DH66" s="74">
        <f t="shared" si="40"/>
        <v>63196.512344617309</v>
      </c>
      <c r="DI66" s="74">
        <f t="shared" si="41"/>
        <v>2038.59717240701</v>
      </c>
      <c r="DJ66" s="74">
        <f t="shared" si="42"/>
        <v>3159.8256172308656</v>
      </c>
      <c r="DK66" s="74">
        <f t="shared" si="43"/>
        <v>2061021.7413034872</v>
      </c>
      <c r="DL66" s="74">
        <f t="shared" si="44"/>
        <v>3194583.6990204053</v>
      </c>
    </row>
    <row r="67" spans="1:116" x14ac:dyDescent="0.2">
      <c r="A67" s="96">
        <v>43983</v>
      </c>
      <c r="B67" s="4">
        <f t="shared" si="28"/>
        <v>2020</v>
      </c>
      <c r="C67" s="4">
        <f t="shared" si="29"/>
        <v>6</v>
      </c>
      <c r="D67" s="59">
        <v>56911237</v>
      </c>
      <c r="E67" s="59">
        <f>IFERROR(VLOOKUP($B67-1,CDM!$I$7:$N$18,2,FALSE)/12,0)+IFERROR(VLOOKUP($B67,CDM!$I$36:$L$46,2,FALSE)/24,0)+IFERROR(VLOOKUP($B67,CDM!$I$36:$L$46,2,FALSE)/2*$C67/78,0)</f>
        <v>2621761.1425210936</v>
      </c>
      <c r="F67" s="59">
        <f t="shared" si="30"/>
        <v>59532998.142521091</v>
      </c>
      <c r="G67" s="59">
        <v>61616</v>
      </c>
      <c r="H67" s="59">
        <v>12511579</v>
      </c>
      <c r="I67" s="59">
        <f>IFERROR(VLOOKUP($B67-1,CDM!$I$7:$N$18,3,FALSE)/12,0)+IFERROR(VLOOKUP($B67,CDM!$I$36:$L$46,3,FALSE)/24,0)+IFERROR(VLOOKUP($B67,CDM!$I$36:$L$46,3,FALSE)/2*$C67/78,0)</f>
        <v>1004943.7199133175</v>
      </c>
      <c r="J67" s="59">
        <f t="shared" si="31"/>
        <v>13516522.719913317</v>
      </c>
      <c r="K67" s="59">
        <v>5504</v>
      </c>
      <c r="L67" s="59">
        <v>67644764</v>
      </c>
      <c r="M67" s="2">
        <f>IFERROR(VLOOKUP($B67-1,CDM!$I$7:$N$18,4,FALSE)/12,0)+IFERROR(VLOOKUP($B67,CDM!$I$36:$L$46,4,FALSE)/24,0)+IFERROR(VLOOKUP($B67,CDM!$I$36:$L$46,4,FALSE)/2*$C67/78,0)</f>
        <v>3039181.911016752</v>
      </c>
      <c r="N67" s="59">
        <f t="shared" si="32"/>
        <v>70683945.911016747</v>
      </c>
      <c r="O67" s="59">
        <v>186270</v>
      </c>
      <c r="P67" s="59">
        <v>1010</v>
      </c>
      <c r="Q67" s="59">
        <v>326305</v>
      </c>
      <c r="R67" s="59">
        <v>1289</v>
      </c>
      <c r="S67" s="59">
        <v>17186</v>
      </c>
      <c r="T67" s="59">
        <v>261018</v>
      </c>
      <c r="U67" s="1">
        <v>24</v>
      </c>
      <c r="V67" s="59">
        <v>576</v>
      </c>
      <c r="W67" s="114">
        <f>Economic!J129</f>
        <v>807274.5</v>
      </c>
      <c r="X67" s="114">
        <f>Economic!K129</f>
        <v>626103.1</v>
      </c>
      <c r="Y67" s="114">
        <f>Economic!L129</f>
        <v>59751.3</v>
      </c>
      <c r="Z67" s="114">
        <f>Economic!M129</f>
        <v>806630</v>
      </c>
      <c r="AA67" s="114">
        <f>Economic!N129</f>
        <v>624723</v>
      </c>
      <c r="AB67" s="114">
        <f>Economic!O129</f>
        <v>32769</v>
      </c>
      <c r="AC67" s="114">
        <f>Economic!D129</f>
        <v>7420.3</v>
      </c>
      <c r="AD67" s="114">
        <f>Economic!E129</f>
        <v>7460.9</v>
      </c>
      <c r="AE67" s="114">
        <f>Economic!F129</f>
        <v>3401.3</v>
      </c>
      <c r="AF67" s="114">
        <f>Economic!G129</f>
        <v>3417.9</v>
      </c>
      <c r="AG67" s="114">
        <f>Economic!H129</f>
        <v>411.2</v>
      </c>
      <c r="AH67" s="114">
        <f>Economic!I129</f>
        <v>410.4</v>
      </c>
      <c r="AI67" s="114">
        <f>Economic!P141</f>
        <v>-960.60000000000036</v>
      </c>
      <c r="AJ67" s="114">
        <f>Economic!Q141</f>
        <v>-962.39999999999964</v>
      </c>
      <c r="AK67" s="114">
        <f>Economic!R141</f>
        <v>-482.30000000000018</v>
      </c>
      <c r="AL67" s="114">
        <f>Economic!S141</f>
        <v>-482.09999999999991</v>
      </c>
      <c r="AM67" s="114">
        <f>Economic!T141</f>
        <v>-37332.5</v>
      </c>
      <c r="AN67" s="114">
        <f>Economic!U141</f>
        <v>-93587</v>
      </c>
      <c r="AO67" s="28">
        <f>Weather!D259</f>
        <v>19.97666666666667</v>
      </c>
      <c r="AP67" s="28">
        <f>Weather!E259</f>
        <v>48</v>
      </c>
      <c r="AQ67" s="28">
        <f>Weather!F259</f>
        <v>47.300000000000018</v>
      </c>
      <c r="AR67" s="28">
        <f>Weather!G259</f>
        <v>26.8</v>
      </c>
      <c r="AS67" s="28">
        <f>Weather!H259</f>
        <v>86.100000000000023</v>
      </c>
      <c r="AT67" s="28">
        <f>Weather!I259</f>
        <v>11.700000000000001</v>
      </c>
      <c r="AU67" s="28">
        <f>Weather!J259</f>
        <v>131</v>
      </c>
      <c r="AV67" s="28">
        <f>Weather!K259</f>
        <v>3.0999999999999996</v>
      </c>
      <c r="AW67" s="28">
        <f>Weather!L259</f>
        <v>182.39999999999995</v>
      </c>
      <c r="AX67" s="28">
        <f>Weather!M259</f>
        <v>0</v>
      </c>
      <c r="AY67" s="28">
        <f>Weather!N259</f>
        <v>239.29999999999998</v>
      </c>
      <c r="AZ67" s="28">
        <f>Weather!O259</f>
        <v>0</v>
      </c>
      <c r="BA67" s="28">
        <f>Weather!P259</f>
        <v>299.29999999999995</v>
      </c>
      <c r="BB67" s="28">
        <f>Weather!Q259</f>
        <v>0</v>
      </c>
      <c r="BC67" s="28">
        <f>Weather!R259</f>
        <v>359.29999999999995</v>
      </c>
      <c r="BD67">
        <f t="shared" si="48"/>
        <v>0</v>
      </c>
      <c r="BE67">
        <f t="shared" si="48"/>
        <v>0</v>
      </c>
      <c r="BF67">
        <f t="shared" si="48"/>
        <v>0</v>
      </c>
      <c r="BG67">
        <f t="shared" si="48"/>
        <v>0</v>
      </c>
      <c r="BH67">
        <f t="shared" si="48"/>
        <v>0</v>
      </c>
      <c r="BI67">
        <f t="shared" si="48"/>
        <v>1</v>
      </c>
      <c r="BJ67">
        <f t="shared" si="48"/>
        <v>0</v>
      </c>
      <c r="BK67">
        <f t="shared" si="48"/>
        <v>0</v>
      </c>
      <c r="BL67">
        <f t="shared" si="48"/>
        <v>0</v>
      </c>
      <c r="BM67">
        <f t="shared" si="48"/>
        <v>0</v>
      </c>
      <c r="BN67">
        <f t="shared" si="48"/>
        <v>0</v>
      </c>
      <c r="BO67">
        <f t="shared" si="48"/>
        <v>0</v>
      </c>
      <c r="BP67" s="1">
        <f t="shared" si="48"/>
        <v>0</v>
      </c>
      <c r="BQ67" s="1">
        <f t="shared" si="48"/>
        <v>0</v>
      </c>
      <c r="BR67" s="1">
        <f t="shared" si="48"/>
        <v>0</v>
      </c>
      <c r="BS67" s="1">
        <f t="shared" si="33"/>
        <v>66</v>
      </c>
      <c r="BT67">
        <f t="shared" si="27"/>
        <v>30</v>
      </c>
      <c r="BU67" s="1">
        <v>22</v>
      </c>
      <c r="BV67" s="1">
        <v>1</v>
      </c>
      <c r="BW67" s="1">
        <v>0.5</v>
      </c>
      <c r="BX67" s="1">
        <v>1</v>
      </c>
      <c r="BY67" s="1">
        <v>0.5</v>
      </c>
      <c r="BZ67">
        <f t="shared" si="52"/>
        <v>24</v>
      </c>
      <c r="CA67">
        <f t="shared" si="52"/>
        <v>23.650000000000009</v>
      </c>
      <c r="CB67">
        <f t="shared" si="52"/>
        <v>13.4</v>
      </c>
      <c r="CC67">
        <f t="shared" si="52"/>
        <v>43.050000000000011</v>
      </c>
      <c r="CD67">
        <f t="shared" si="52"/>
        <v>5.8500000000000005</v>
      </c>
      <c r="CE67">
        <f t="shared" si="52"/>
        <v>65.5</v>
      </c>
      <c r="CF67">
        <f t="shared" si="50"/>
        <v>1.5499999999999998</v>
      </c>
      <c r="CG67">
        <f t="shared" si="50"/>
        <v>91.199999999999974</v>
      </c>
      <c r="CH67">
        <f t="shared" si="45"/>
        <v>0</v>
      </c>
      <c r="CI67">
        <f t="shared" si="45"/>
        <v>119.64999999999999</v>
      </c>
      <c r="CJ67">
        <f t="shared" si="45"/>
        <v>0</v>
      </c>
      <c r="CK67">
        <f t="shared" si="45"/>
        <v>149.64999999999998</v>
      </c>
      <c r="CL67">
        <f t="shared" si="45"/>
        <v>0</v>
      </c>
      <c r="CM67">
        <f t="shared" si="45"/>
        <v>179.64999999999998</v>
      </c>
      <c r="CN67">
        <f t="shared" si="53"/>
        <v>48</v>
      </c>
      <c r="CO67">
        <f t="shared" si="53"/>
        <v>47.300000000000018</v>
      </c>
      <c r="CP67">
        <f t="shared" si="53"/>
        <v>26.8</v>
      </c>
      <c r="CQ67">
        <f t="shared" si="53"/>
        <v>86.100000000000023</v>
      </c>
      <c r="CR67">
        <f t="shared" si="53"/>
        <v>11.700000000000001</v>
      </c>
      <c r="CS67">
        <f t="shared" si="53"/>
        <v>131</v>
      </c>
      <c r="CT67">
        <f t="shared" si="51"/>
        <v>3.0999999999999996</v>
      </c>
      <c r="CU67">
        <f t="shared" si="51"/>
        <v>182.39999999999995</v>
      </c>
      <c r="CV67">
        <f t="shared" si="46"/>
        <v>0</v>
      </c>
      <c r="CW67">
        <f t="shared" si="46"/>
        <v>239.29999999999998</v>
      </c>
      <c r="CX67">
        <f t="shared" si="46"/>
        <v>0</v>
      </c>
      <c r="CY67">
        <f t="shared" si="46"/>
        <v>299.29999999999995</v>
      </c>
      <c r="CZ67">
        <f t="shared" si="46"/>
        <v>0</v>
      </c>
      <c r="DA67">
        <f t="shared" si="46"/>
        <v>359.29999999999995</v>
      </c>
      <c r="DB67" s="74">
        <f t="shared" si="34"/>
        <v>966.19381560830129</v>
      </c>
      <c r="DC67" s="74">
        <f t="shared" si="49"/>
        <v>32.206460520276707</v>
      </c>
      <c r="DD67" s="73">
        <f t="shared" si="36"/>
        <v>1984433.2714173696</v>
      </c>
      <c r="DE67" s="74">
        <f t="shared" si="37"/>
        <v>2455.7635755656461</v>
      </c>
      <c r="DF67" s="74">
        <f t="shared" si="38"/>
        <v>81.858785852188205</v>
      </c>
      <c r="DG67" s="74">
        <f t="shared" si="39"/>
        <v>450550.75733044388</v>
      </c>
      <c r="DH67" s="74">
        <f t="shared" si="40"/>
        <v>69984.104862392822</v>
      </c>
      <c r="DI67" s="74">
        <f t="shared" si="41"/>
        <v>2332.803495413094</v>
      </c>
      <c r="DJ67" s="74">
        <f t="shared" si="42"/>
        <v>3181.0956755633101</v>
      </c>
      <c r="DK67" s="74">
        <f t="shared" si="43"/>
        <v>2356131.5303672249</v>
      </c>
      <c r="DL67" s="74">
        <f t="shared" si="44"/>
        <v>3212906.6323189433</v>
      </c>
    </row>
    <row r="68" spans="1:116" x14ac:dyDescent="0.2">
      <c r="A68" s="96">
        <v>44013</v>
      </c>
      <c r="B68" s="4">
        <f t="shared" si="28"/>
        <v>2020</v>
      </c>
      <c r="C68" s="4">
        <f t="shared" si="29"/>
        <v>7</v>
      </c>
      <c r="D68" s="59">
        <v>69684073</v>
      </c>
      <c r="E68" s="59">
        <f>IFERROR(VLOOKUP($B68-1,CDM!$I$7:$N$18,2,FALSE)/12,0)+IFERROR(VLOOKUP($B68,CDM!$I$36:$L$46,2,FALSE)/24,0)+IFERROR(VLOOKUP($B68,CDM!$I$36:$L$46,2,FALSE)/2*$C68/78,0)</f>
        <v>2621681.6283371313</v>
      </c>
      <c r="F68" s="59">
        <f t="shared" si="30"/>
        <v>72305754.62833713</v>
      </c>
      <c r="G68" s="59">
        <v>61659</v>
      </c>
      <c r="H68" s="59">
        <v>14820077</v>
      </c>
      <c r="I68" s="59">
        <f>IFERROR(VLOOKUP($B68-1,CDM!$I$7:$N$18,3,FALSE)/12,0)+IFERROR(VLOOKUP($B68,CDM!$I$36:$L$46,3,FALSE)/24,0)+IFERROR(VLOOKUP($B68,CDM!$I$36:$L$46,3,FALSE)/2*$C68/78,0)</f>
        <v>1008669.0774170223</v>
      </c>
      <c r="J68" s="59">
        <f t="shared" si="31"/>
        <v>15828746.077417022</v>
      </c>
      <c r="K68" s="59">
        <v>5501</v>
      </c>
      <c r="L68" s="59">
        <v>72681258</v>
      </c>
      <c r="M68" s="2">
        <f>IFERROR(VLOOKUP($B68-1,CDM!$I$7:$N$18,4,FALSE)/12,0)+IFERROR(VLOOKUP($B68,CDM!$I$36:$L$46,4,FALSE)/24,0)+IFERROR(VLOOKUP($B68,CDM!$I$36:$L$46,4,FALSE)/2*$C68/78,0)</f>
        <v>3057807.8416254036</v>
      </c>
      <c r="N68" s="59">
        <f t="shared" si="32"/>
        <v>75739065.841625407</v>
      </c>
      <c r="O68" s="59">
        <v>198892</v>
      </c>
      <c r="P68" s="59">
        <v>1009</v>
      </c>
      <c r="Q68" s="59">
        <v>349162</v>
      </c>
      <c r="R68" s="59">
        <v>1289</v>
      </c>
      <c r="S68" s="59">
        <v>17186</v>
      </c>
      <c r="T68" s="59">
        <v>261579</v>
      </c>
      <c r="U68" s="1">
        <v>24</v>
      </c>
      <c r="V68" s="59">
        <v>576</v>
      </c>
      <c r="W68" s="114">
        <f>Economic!J130</f>
        <v>807274.5</v>
      </c>
      <c r="X68" s="114">
        <f>Economic!K130</f>
        <v>626103.1</v>
      </c>
      <c r="Y68" s="114">
        <f>Economic!L130</f>
        <v>59751.3</v>
      </c>
      <c r="Z68" s="114">
        <f>Economic!M130</f>
        <v>810347</v>
      </c>
      <c r="AA68" s="114">
        <f>Economic!N130</f>
        <v>628879</v>
      </c>
      <c r="AB68" s="114">
        <f>Economic!O130</f>
        <v>33162</v>
      </c>
      <c r="AC68" s="114">
        <f>Economic!D130</f>
        <v>7423.6</v>
      </c>
      <c r="AD68" s="114">
        <f>Economic!E130</f>
        <v>7509.9</v>
      </c>
      <c r="AE68" s="114">
        <f>Economic!F130</f>
        <v>3414</v>
      </c>
      <c r="AF68" s="114">
        <f>Economic!G130</f>
        <v>3450.4</v>
      </c>
      <c r="AG68" s="114">
        <f>Economic!H130</f>
        <v>410.1</v>
      </c>
      <c r="AH68" s="114">
        <f>Economic!I130</f>
        <v>411.4</v>
      </c>
      <c r="AI68" s="114">
        <f>Economic!P142</f>
        <v>-780.10000000000036</v>
      </c>
      <c r="AJ68" s="114">
        <f>Economic!Q142</f>
        <v>-798</v>
      </c>
      <c r="AK68" s="114">
        <f>Economic!R142</f>
        <v>-432.80000000000018</v>
      </c>
      <c r="AL68" s="114">
        <f>Economic!S142</f>
        <v>-432.5</v>
      </c>
      <c r="AM68" s="114">
        <f>Economic!T142</f>
        <v>-37332.5</v>
      </c>
      <c r="AN68" s="114">
        <f>Economic!U142</f>
        <v>70686</v>
      </c>
      <c r="AO68" s="28">
        <f>Weather!D260</f>
        <v>24.532258064516125</v>
      </c>
      <c r="AP68" s="28">
        <f>Weather!E260</f>
        <v>0.39999999999999858</v>
      </c>
      <c r="AQ68" s="28">
        <f>Weather!F260</f>
        <v>140.9</v>
      </c>
      <c r="AR68" s="28">
        <f>Weather!G260</f>
        <v>0</v>
      </c>
      <c r="AS68" s="28">
        <f>Weather!H260</f>
        <v>202.5</v>
      </c>
      <c r="AT68" s="28">
        <f>Weather!I260</f>
        <v>0</v>
      </c>
      <c r="AU68" s="28">
        <f>Weather!J260</f>
        <v>264.5</v>
      </c>
      <c r="AV68" s="28">
        <f>Weather!K260</f>
        <v>0</v>
      </c>
      <c r="AW68" s="28">
        <f>Weather!L260</f>
        <v>326.5</v>
      </c>
      <c r="AX68" s="28">
        <f>Weather!M260</f>
        <v>0</v>
      </c>
      <c r="AY68" s="28">
        <f>Weather!N260</f>
        <v>388.5</v>
      </c>
      <c r="AZ68" s="28">
        <f>Weather!O260</f>
        <v>0</v>
      </c>
      <c r="BA68" s="28">
        <f>Weather!P260</f>
        <v>450.49999999999994</v>
      </c>
      <c r="BB68" s="28">
        <f>Weather!Q260</f>
        <v>0</v>
      </c>
      <c r="BC68" s="28">
        <f>Weather!R260</f>
        <v>512.5</v>
      </c>
      <c r="BD68">
        <f t="shared" si="48"/>
        <v>0</v>
      </c>
      <c r="BE68">
        <f t="shared" si="48"/>
        <v>0</v>
      </c>
      <c r="BF68">
        <f t="shared" si="48"/>
        <v>0</v>
      </c>
      <c r="BG68">
        <f t="shared" si="48"/>
        <v>0</v>
      </c>
      <c r="BH68">
        <f t="shared" si="48"/>
        <v>0</v>
      </c>
      <c r="BI68">
        <f t="shared" si="48"/>
        <v>0</v>
      </c>
      <c r="BJ68">
        <f t="shared" si="48"/>
        <v>1</v>
      </c>
      <c r="BK68">
        <f t="shared" si="48"/>
        <v>0</v>
      </c>
      <c r="BL68">
        <f t="shared" si="48"/>
        <v>0</v>
      </c>
      <c r="BM68">
        <f t="shared" si="48"/>
        <v>0</v>
      </c>
      <c r="BN68">
        <f t="shared" si="48"/>
        <v>0</v>
      </c>
      <c r="BO68">
        <f t="shared" si="48"/>
        <v>0</v>
      </c>
      <c r="BP68" s="1">
        <f t="shared" si="48"/>
        <v>0</v>
      </c>
      <c r="BQ68" s="1">
        <f t="shared" si="48"/>
        <v>0</v>
      </c>
      <c r="BR68" s="1">
        <f t="shared" si="48"/>
        <v>0</v>
      </c>
      <c r="BS68" s="1">
        <f t="shared" si="33"/>
        <v>67</v>
      </c>
      <c r="BT68">
        <f t="shared" si="27"/>
        <v>31</v>
      </c>
      <c r="BU68" s="1">
        <v>22</v>
      </c>
      <c r="BV68" s="1">
        <v>1</v>
      </c>
      <c r="BW68" s="1">
        <v>0.5</v>
      </c>
      <c r="BX68" s="1">
        <v>1</v>
      </c>
      <c r="BY68" s="1">
        <v>0</v>
      </c>
      <c r="BZ68">
        <f t="shared" si="52"/>
        <v>0.19999999999999929</v>
      </c>
      <c r="CA68">
        <f t="shared" si="52"/>
        <v>70.45</v>
      </c>
      <c r="CB68">
        <f t="shared" si="52"/>
        <v>0</v>
      </c>
      <c r="CC68">
        <f t="shared" si="52"/>
        <v>101.25</v>
      </c>
      <c r="CD68">
        <f t="shared" si="52"/>
        <v>0</v>
      </c>
      <c r="CE68">
        <f t="shared" si="52"/>
        <v>132.25</v>
      </c>
      <c r="CF68">
        <f t="shared" si="50"/>
        <v>0</v>
      </c>
      <c r="CG68">
        <f t="shared" si="50"/>
        <v>163.25</v>
      </c>
      <c r="CH68">
        <f t="shared" si="45"/>
        <v>0</v>
      </c>
      <c r="CI68">
        <f t="shared" si="45"/>
        <v>194.25</v>
      </c>
      <c r="CJ68">
        <f t="shared" si="45"/>
        <v>0</v>
      </c>
      <c r="CK68">
        <f t="shared" si="45"/>
        <v>225.24999999999997</v>
      </c>
      <c r="CL68">
        <f t="shared" si="45"/>
        <v>0</v>
      </c>
      <c r="CM68">
        <f t="shared" si="45"/>
        <v>256.25</v>
      </c>
      <c r="CN68">
        <f t="shared" si="53"/>
        <v>0.39999999999999858</v>
      </c>
      <c r="CO68">
        <f t="shared" si="53"/>
        <v>140.9</v>
      </c>
      <c r="CP68">
        <f t="shared" si="53"/>
        <v>0</v>
      </c>
      <c r="CQ68">
        <f t="shared" si="53"/>
        <v>202.5</v>
      </c>
      <c r="CR68">
        <f t="shared" si="53"/>
        <v>0</v>
      </c>
      <c r="CS68">
        <f t="shared" si="53"/>
        <v>264.5</v>
      </c>
      <c r="CT68">
        <f t="shared" si="51"/>
        <v>0</v>
      </c>
      <c r="CU68">
        <f t="shared" si="51"/>
        <v>326.5</v>
      </c>
      <c r="CV68">
        <f t="shared" si="46"/>
        <v>0</v>
      </c>
      <c r="CW68">
        <f t="shared" si="46"/>
        <v>388.5</v>
      </c>
      <c r="CX68">
        <f t="shared" si="46"/>
        <v>0</v>
      </c>
      <c r="CY68">
        <f t="shared" si="46"/>
        <v>450.49999999999994</v>
      </c>
      <c r="CZ68">
        <f t="shared" si="46"/>
        <v>0</v>
      </c>
      <c r="DA68">
        <f t="shared" si="46"/>
        <v>512.5</v>
      </c>
      <c r="DB68" s="74">
        <f t="shared" si="34"/>
        <v>1172.6715423269454</v>
      </c>
      <c r="DC68" s="74">
        <f t="shared" si="49"/>
        <v>37.828114268611145</v>
      </c>
      <c r="DD68" s="73">
        <f t="shared" si="36"/>
        <v>2332443.6976882946</v>
      </c>
      <c r="DE68" s="74">
        <f t="shared" si="37"/>
        <v>2877.4306630461774</v>
      </c>
      <c r="DF68" s="74">
        <f t="shared" si="38"/>
        <v>92.82034396923153</v>
      </c>
      <c r="DG68" s="74">
        <f t="shared" si="39"/>
        <v>510604.71217474266</v>
      </c>
      <c r="DH68" s="74">
        <f t="shared" si="40"/>
        <v>75063.494392096545</v>
      </c>
      <c r="DI68" s="74">
        <f t="shared" si="41"/>
        <v>2421.4030449063403</v>
      </c>
      <c r="DJ68" s="74">
        <f t="shared" si="42"/>
        <v>3411.9770178225704</v>
      </c>
      <c r="DK68" s="74">
        <f t="shared" si="43"/>
        <v>2443195.6723104971</v>
      </c>
      <c r="DL68" s="74">
        <f t="shared" si="44"/>
        <v>3442684.8109829728</v>
      </c>
    </row>
    <row r="69" spans="1:116" x14ac:dyDescent="0.2">
      <c r="A69" s="96">
        <v>44044</v>
      </c>
      <c r="B69" s="4">
        <f t="shared" si="28"/>
        <v>2020</v>
      </c>
      <c r="C69" s="4">
        <f t="shared" si="29"/>
        <v>8</v>
      </c>
      <c r="D69" s="59">
        <v>61257784</v>
      </c>
      <c r="E69" s="59">
        <f>IFERROR(VLOOKUP($B69-1,CDM!$I$7:$N$18,2,FALSE)/12,0)+IFERROR(VLOOKUP($B69,CDM!$I$36:$L$46,2,FALSE)/24,0)+IFERROR(VLOOKUP($B69,CDM!$I$36:$L$46,2,FALSE)/2*$C69/78,0)</f>
        <v>2621602.1141531686</v>
      </c>
      <c r="F69" s="59">
        <f t="shared" si="30"/>
        <v>63879386.114153169</v>
      </c>
      <c r="G69" s="59">
        <v>61687</v>
      </c>
      <c r="H69" s="59">
        <v>14463392</v>
      </c>
      <c r="I69" s="59">
        <f>IFERROR(VLOOKUP($B69-1,CDM!$I$7:$N$18,3,FALSE)/12,0)+IFERROR(VLOOKUP($B69,CDM!$I$36:$L$46,3,FALSE)/24,0)+IFERROR(VLOOKUP($B69,CDM!$I$36:$L$46,3,FALSE)/2*$C69/78,0)</f>
        <v>1012394.4349207272</v>
      </c>
      <c r="J69" s="59">
        <f t="shared" si="31"/>
        <v>15475786.434920726</v>
      </c>
      <c r="K69" s="59">
        <v>5502</v>
      </c>
      <c r="L69" s="59">
        <v>72454418</v>
      </c>
      <c r="M69" s="2">
        <f>IFERROR(VLOOKUP($B69-1,CDM!$I$7:$N$18,4,FALSE)/12,0)+IFERROR(VLOOKUP($B69,CDM!$I$36:$L$46,4,FALSE)/24,0)+IFERROR(VLOOKUP($B69,CDM!$I$36:$L$46,4,FALSE)/2*$C69/78,0)</f>
        <v>3076433.7722340552</v>
      </c>
      <c r="N69" s="59">
        <f t="shared" si="32"/>
        <v>75530851.772234052</v>
      </c>
      <c r="O69" s="59">
        <v>196673</v>
      </c>
      <c r="P69" s="59">
        <v>1011</v>
      </c>
      <c r="Q69" s="59">
        <v>391816</v>
      </c>
      <c r="R69" s="59">
        <v>1289</v>
      </c>
      <c r="S69" s="59">
        <v>17186</v>
      </c>
      <c r="T69" s="59">
        <v>261297</v>
      </c>
      <c r="U69" s="1">
        <v>24</v>
      </c>
      <c r="V69" s="59">
        <v>576</v>
      </c>
      <c r="W69" s="114">
        <f>Economic!J131</f>
        <v>807274.5</v>
      </c>
      <c r="X69" s="114">
        <f>Economic!K131</f>
        <v>626103.1</v>
      </c>
      <c r="Y69" s="114">
        <f>Economic!L131</f>
        <v>59751.3</v>
      </c>
      <c r="Z69" s="114">
        <f>Economic!M131</f>
        <v>810347</v>
      </c>
      <c r="AA69" s="114">
        <f>Economic!N131</f>
        <v>628879</v>
      </c>
      <c r="AB69" s="114">
        <f>Economic!O131</f>
        <v>33162</v>
      </c>
      <c r="AC69" s="114">
        <f>Economic!D131</f>
        <v>7433.8</v>
      </c>
      <c r="AD69" s="114">
        <f>Economic!E131</f>
        <v>7523.3</v>
      </c>
      <c r="AE69" s="114">
        <f>Economic!F131</f>
        <v>3421.9</v>
      </c>
      <c r="AF69" s="114">
        <f>Economic!G131</f>
        <v>3456.3</v>
      </c>
      <c r="AG69" s="114">
        <f>Economic!H131</f>
        <v>413.1</v>
      </c>
      <c r="AH69" s="114">
        <f>Economic!I131</f>
        <v>414.9</v>
      </c>
      <c r="AI69" s="114">
        <f>Economic!P143</f>
        <v>-554.69999999999982</v>
      </c>
      <c r="AJ69" s="114">
        <f>Economic!Q143</f>
        <v>-572.40000000000055</v>
      </c>
      <c r="AK69" s="114">
        <f>Economic!R143</f>
        <v>-307.30000000000018</v>
      </c>
      <c r="AL69" s="114">
        <f>Economic!S143</f>
        <v>-305.80000000000018</v>
      </c>
      <c r="AM69" s="114">
        <f>Economic!T143</f>
        <v>-37332.5</v>
      </c>
      <c r="AN69" s="114">
        <f>Economic!U143</f>
        <v>70686</v>
      </c>
      <c r="AO69" s="28">
        <f>Weather!D261</f>
        <v>21.920967741935485</v>
      </c>
      <c r="AP69" s="28">
        <f>Weather!E261</f>
        <v>9.0999999999999979</v>
      </c>
      <c r="AQ69" s="28">
        <f>Weather!F261</f>
        <v>68.650000000000006</v>
      </c>
      <c r="AR69" s="28">
        <f>Weather!G261</f>
        <v>0</v>
      </c>
      <c r="AS69" s="28">
        <f>Weather!H261</f>
        <v>121.55</v>
      </c>
      <c r="AT69" s="28">
        <f>Weather!I261</f>
        <v>0</v>
      </c>
      <c r="AU69" s="28">
        <f>Weather!J261</f>
        <v>183.54999999999998</v>
      </c>
      <c r="AV69" s="28">
        <f>Weather!K261</f>
        <v>0</v>
      </c>
      <c r="AW69" s="28">
        <f>Weather!L261</f>
        <v>245.54999999999998</v>
      </c>
      <c r="AX69" s="28">
        <f>Weather!M261</f>
        <v>0</v>
      </c>
      <c r="AY69" s="28">
        <f>Weather!N261</f>
        <v>307.55</v>
      </c>
      <c r="AZ69" s="28">
        <f>Weather!O261</f>
        <v>0</v>
      </c>
      <c r="BA69" s="28">
        <f>Weather!P261</f>
        <v>369.55</v>
      </c>
      <c r="BB69" s="28">
        <f>Weather!Q261</f>
        <v>0</v>
      </c>
      <c r="BC69" s="28">
        <f>Weather!R261</f>
        <v>431.55</v>
      </c>
      <c r="BD69">
        <f t="shared" si="48"/>
        <v>0</v>
      </c>
      <c r="BE69">
        <f t="shared" si="48"/>
        <v>0</v>
      </c>
      <c r="BF69">
        <f t="shared" si="48"/>
        <v>0</v>
      </c>
      <c r="BG69">
        <f t="shared" si="48"/>
        <v>0</v>
      </c>
      <c r="BH69">
        <f t="shared" si="48"/>
        <v>0</v>
      </c>
      <c r="BI69">
        <f t="shared" si="48"/>
        <v>0</v>
      </c>
      <c r="BJ69">
        <f t="shared" si="48"/>
        <v>0</v>
      </c>
      <c r="BK69">
        <f t="shared" si="48"/>
        <v>1</v>
      </c>
      <c r="BL69">
        <f t="shared" si="48"/>
        <v>0</v>
      </c>
      <c r="BM69">
        <f t="shared" si="48"/>
        <v>0</v>
      </c>
      <c r="BN69">
        <f t="shared" si="48"/>
        <v>0</v>
      </c>
      <c r="BO69">
        <f t="shared" si="48"/>
        <v>0</v>
      </c>
      <c r="BP69" s="1">
        <f t="shared" si="48"/>
        <v>0</v>
      </c>
      <c r="BQ69" s="1">
        <f t="shared" si="48"/>
        <v>0</v>
      </c>
      <c r="BR69" s="1">
        <f t="shared" si="48"/>
        <v>0</v>
      </c>
      <c r="BS69" s="1">
        <f t="shared" si="33"/>
        <v>68</v>
      </c>
      <c r="BT69">
        <f t="shared" si="27"/>
        <v>31</v>
      </c>
      <c r="BU69" s="1">
        <v>20</v>
      </c>
      <c r="BV69" s="1">
        <v>1</v>
      </c>
      <c r="BW69" s="1">
        <v>0.5</v>
      </c>
      <c r="BX69" s="1">
        <v>1</v>
      </c>
      <c r="BY69" s="1">
        <v>0</v>
      </c>
      <c r="BZ69">
        <f t="shared" si="52"/>
        <v>4.5499999999999989</v>
      </c>
      <c r="CA69">
        <f t="shared" si="52"/>
        <v>34.325000000000003</v>
      </c>
      <c r="CB69">
        <f t="shared" si="52"/>
        <v>0</v>
      </c>
      <c r="CC69">
        <f t="shared" si="52"/>
        <v>60.774999999999999</v>
      </c>
      <c r="CD69">
        <f t="shared" si="52"/>
        <v>0</v>
      </c>
      <c r="CE69">
        <f t="shared" si="52"/>
        <v>91.774999999999991</v>
      </c>
      <c r="CF69">
        <f t="shared" si="50"/>
        <v>0</v>
      </c>
      <c r="CG69">
        <f t="shared" si="50"/>
        <v>122.77499999999999</v>
      </c>
      <c r="CH69">
        <f t="shared" si="45"/>
        <v>0</v>
      </c>
      <c r="CI69">
        <f t="shared" si="45"/>
        <v>153.77500000000001</v>
      </c>
      <c r="CJ69">
        <f t="shared" si="45"/>
        <v>0</v>
      </c>
      <c r="CK69">
        <f t="shared" si="45"/>
        <v>184.77500000000001</v>
      </c>
      <c r="CL69">
        <f t="shared" si="45"/>
        <v>0</v>
      </c>
      <c r="CM69">
        <f t="shared" si="45"/>
        <v>215.77500000000001</v>
      </c>
      <c r="CN69">
        <f t="shared" si="53"/>
        <v>9.0999999999999979</v>
      </c>
      <c r="CO69">
        <f t="shared" si="53"/>
        <v>68.650000000000006</v>
      </c>
      <c r="CP69">
        <f t="shared" si="53"/>
        <v>0</v>
      </c>
      <c r="CQ69">
        <f t="shared" si="53"/>
        <v>121.55</v>
      </c>
      <c r="CR69">
        <f t="shared" si="53"/>
        <v>0</v>
      </c>
      <c r="CS69">
        <f t="shared" si="53"/>
        <v>183.54999999999998</v>
      </c>
      <c r="CT69">
        <f t="shared" si="51"/>
        <v>0</v>
      </c>
      <c r="CU69">
        <f t="shared" si="51"/>
        <v>245.54999999999998</v>
      </c>
      <c r="CV69">
        <f t="shared" si="46"/>
        <v>0</v>
      </c>
      <c r="CW69">
        <f t="shared" si="46"/>
        <v>307.55</v>
      </c>
      <c r="CX69">
        <f t="shared" si="46"/>
        <v>0</v>
      </c>
      <c r="CY69">
        <f t="shared" si="46"/>
        <v>369.55</v>
      </c>
      <c r="CZ69">
        <f t="shared" si="46"/>
        <v>0</v>
      </c>
      <c r="DA69">
        <f t="shared" si="46"/>
        <v>431.55</v>
      </c>
      <c r="DB69" s="74">
        <f t="shared" si="34"/>
        <v>1035.54048850087</v>
      </c>
      <c r="DC69" s="74">
        <f t="shared" si="49"/>
        <v>33.40453188712484</v>
      </c>
      <c r="DD69" s="73">
        <f t="shared" si="36"/>
        <v>2060625.3585210699</v>
      </c>
      <c r="DE69" s="74">
        <f t="shared" si="37"/>
        <v>2812.7565312469515</v>
      </c>
      <c r="DF69" s="74">
        <f t="shared" si="38"/>
        <v>90.734081653127461</v>
      </c>
      <c r="DG69" s="74">
        <f t="shared" si="39"/>
        <v>499218.91725550732</v>
      </c>
      <c r="DH69" s="74">
        <f t="shared" si="40"/>
        <v>74709.052198055448</v>
      </c>
      <c r="DI69" s="74">
        <f t="shared" si="41"/>
        <v>2409.9694257437241</v>
      </c>
      <c r="DJ69" s="74">
        <f t="shared" si="42"/>
        <v>3735.4526099027726</v>
      </c>
      <c r="DK69" s="74">
        <f t="shared" si="43"/>
        <v>2436479.0894269049</v>
      </c>
      <c r="DL69" s="74">
        <f t="shared" si="44"/>
        <v>3776542.5886117024</v>
      </c>
    </row>
    <row r="70" spans="1:116" x14ac:dyDescent="0.2">
      <c r="A70" s="96">
        <v>44075</v>
      </c>
      <c r="B70" s="4">
        <f t="shared" si="28"/>
        <v>2020</v>
      </c>
      <c r="C70" s="4">
        <f t="shared" si="29"/>
        <v>9</v>
      </c>
      <c r="D70" s="59">
        <v>44347498</v>
      </c>
      <c r="E70" s="59">
        <f>IFERROR(VLOOKUP($B70-1,CDM!$I$7:$N$18,2,FALSE)/12,0)+IFERROR(VLOOKUP($B70,CDM!$I$36:$L$46,2,FALSE)/24,0)+IFERROR(VLOOKUP($B70,CDM!$I$36:$L$46,2,FALSE)/2*$C70/78,0)</f>
        <v>2621522.5999692064</v>
      </c>
      <c r="F70" s="59">
        <f t="shared" si="30"/>
        <v>46969020.599969208</v>
      </c>
      <c r="G70" s="59">
        <v>61707</v>
      </c>
      <c r="H70" s="59">
        <v>12332709</v>
      </c>
      <c r="I70" s="59">
        <f>IFERROR(VLOOKUP($B70-1,CDM!$I$7:$N$18,3,FALSE)/12,0)+IFERROR(VLOOKUP($B70,CDM!$I$36:$L$46,3,FALSE)/24,0)+IFERROR(VLOOKUP($B70,CDM!$I$36:$L$46,3,FALSE)/2*$C70/78,0)</f>
        <v>1016119.7924244319</v>
      </c>
      <c r="J70" s="59">
        <f t="shared" si="31"/>
        <v>13348828.792424431</v>
      </c>
      <c r="K70" s="59">
        <v>5550</v>
      </c>
      <c r="L70" s="59">
        <v>62255762</v>
      </c>
      <c r="M70" s="2">
        <f>IFERROR(VLOOKUP($B70-1,CDM!$I$7:$N$18,4,FALSE)/12,0)+IFERROR(VLOOKUP($B70,CDM!$I$36:$L$46,4,FALSE)/24,0)+IFERROR(VLOOKUP($B70,CDM!$I$36:$L$46,4,FALSE)/2*$C70/78,0)</f>
        <v>3095059.7028427068</v>
      </c>
      <c r="N70" s="59">
        <f t="shared" si="32"/>
        <v>65350821.702842705</v>
      </c>
      <c r="O70" s="59">
        <v>189871</v>
      </c>
      <c r="P70" s="59">
        <v>964</v>
      </c>
      <c r="Q70" s="59">
        <v>432252</v>
      </c>
      <c r="R70" s="59">
        <v>1289</v>
      </c>
      <c r="S70" s="59">
        <v>17186</v>
      </c>
      <c r="T70" s="59">
        <v>260794</v>
      </c>
      <c r="U70" s="1">
        <v>24</v>
      </c>
      <c r="V70" s="59">
        <v>574</v>
      </c>
      <c r="W70" s="114">
        <f>Economic!J132</f>
        <v>807274.5</v>
      </c>
      <c r="X70" s="114">
        <f>Economic!K132</f>
        <v>626103.1</v>
      </c>
      <c r="Y70" s="114">
        <f>Economic!L132</f>
        <v>59751.3</v>
      </c>
      <c r="Z70" s="114">
        <f>Economic!M132</f>
        <v>810347</v>
      </c>
      <c r="AA70" s="114">
        <f>Economic!N132</f>
        <v>628879</v>
      </c>
      <c r="AB70" s="114">
        <f>Economic!O132</f>
        <v>33162</v>
      </c>
      <c r="AC70" s="114">
        <f>Economic!D132</f>
        <v>7448.5</v>
      </c>
      <c r="AD70" s="114">
        <f>Economic!E132</f>
        <v>7505.1</v>
      </c>
      <c r="AE70" s="114">
        <f>Economic!F132</f>
        <v>3440.1</v>
      </c>
      <c r="AF70" s="114">
        <f>Economic!G132</f>
        <v>3462</v>
      </c>
      <c r="AG70" s="114">
        <f>Economic!H132</f>
        <v>412.8</v>
      </c>
      <c r="AH70" s="114">
        <f>Economic!I132</f>
        <v>413.7</v>
      </c>
      <c r="AI70" s="114">
        <f>Economic!P144</f>
        <v>-407.69999999999982</v>
      </c>
      <c r="AJ70" s="114">
        <f>Economic!Q144</f>
        <v>-429.60000000000036</v>
      </c>
      <c r="AK70" s="114">
        <f>Economic!R144</f>
        <v>-220</v>
      </c>
      <c r="AL70" s="114">
        <f>Economic!S144</f>
        <v>-224.30000000000018</v>
      </c>
      <c r="AM70" s="114">
        <f>Economic!T144</f>
        <v>-37332.5</v>
      </c>
      <c r="AN70" s="114">
        <f>Economic!U144</f>
        <v>70686</v>
      </c>
      <c r="AO70" s="28">
        <f>Weather!D262</f>
        <v>17.376666666666665</v>
      </c>
      <c r="AP70" s="28">
        <f>Weather!E262</f>
        <v>92.700000000000031</v>
      </c>
      <c r="AQ70" s="28">
        <f>Weather!F262</f>
        <v>13.999999999999996</v>
      </c>
      <c r="AR70" s="28">
        <f>Weather!G262</f>
        <v>52.900000000000006</v>
      </c>
      <c r="AS70" s="28">
        <f>Weather!H262</f>
        <v>34.199999999999989</v>
      </c>
      <c r="AT70" s="28">
        <f>Weather!I262</f>
        <v>23.400000000000002</v>
      </c>
      <c r="AU70" s="28">
        <f>Weather!J262</f>
        <v>64.699999999999989</v>
      </c>
      <c r="AV70" s="28">
        <f>Weather!K262</f>
        <v>6.7999999999999989</v>
      </c>
      <c r="AW70" s="28">
        <f>Weather!L262</f>
        <v>108.09999999999998</v>
      </c>
      <c r="AX70" s="28">
        <f>Weather!M262</f>
        <v>1.5999999999999996</v>
      </c>
      <c r="AY70" s="28">
        <f>Weather!N262</f>
        <v>162.9</v>
      </c>
      <c r="AZ70" s="28">
        <f>Weather!O262</f>
        <v>0</v>
      </c>
      <c r="BA70" s="28">
        <f>Weather!P262</f>
        <v>221.3</v>
      </c>
      <c r="BB70" s="28">
        <f>Weather!Q262</f>
        <v>0</v>
      </c>
      <c r="BC70" s="28">
        <f>Weather!R262</f>
        <v>281.3</v>
      </c>
      <c r="BD70">
        <f t="shared" si="48"/>
        <v>0</v>
      </c>
      <c r="BE70">
        <f t="shared" si="48"/>
        <v>0</v>
      </c>
      <c r="BF70">
        <f t="shared" si="48"/>
        <v>0</v>
      </c>
      <c r="BG70">
        <f t="shared" si="48"/>
        <v>0</v>
      </c>
      <c r="BH70">
        <f t="shared" si="48"/>
        <v>0</v>
      </c>
      <c r="BI70">
        <f t="shared" si="48"/>
        <v>0</v>
      </c>
      <c r="BJ70">
        <f t="shared" si="48"/>
        <v>0</v>
      </c>
      <c r="BK70">
        <f t="shared" si="48"/>
        <v>0</v>
      </c>
      <c r="BL70">
        <f t="shared" si="48"/>
        <v>1</v>
      </c>
      <c r="BM70">
        <f t="shared" si="48"/>
        <v>0</v>
      </c>
      <c r="BN70">
        <f t="shared" si="48"/>
        <v>0</v>
      </c>
      <c r="BO70">
        <f t="shared" si="48"/>
        <v>0</v>
      </c>
      <c r="BP70" s="1">
        <f t="shared" si="48"/>
        <v>0</v>
      </c>
      <c r="BQ70" s="1">
        <f t="shared" si="48"/>
        <v>1</v>
      </c>
      <c r="BR70" s="1">
        <f t="shared" si="48"/>
        <v>1</v>
      </c>
      <c r="BS70" s="1">
        <f t="shared" si="33"/>
        <v>69</v>
      </c>
      <c r="BT70">
        <f t="shared" si="27"/>
        <v>30</v>
      </c>
      <c r="BU70" s="1">
        <v>21</v>
      </c>
      <c r="BV70" s="1">
        <v>1</v>
      </c>
      <c r="BW70" s="1">
        <v>0.5</v>
      </c>
      <c r="BX70" s="1">
        <v>1</v>
      </c>
      <c r="BY70" s="1">
        <v>0</v>
      </c>
      <c r="BZ70">
        <f t="shared" si="52"/>
        <v>46.350000000000016</v>
      </c>
      <c r="CA70">
        <f t="shared" si="52"/>
        <v>6.9999999999999982</v>
      </c>
      <c r="CB70">
        <f t="shared" si="52"/>
        <v>26.450000000000003</v>
      </c>
      <c r="CC70">
        <f t="shared" si="52"/>
        <v>17.099999999999994</v>
      </c>
      <c r="CD70">
        <f t="shared" si="52"/>
        <v>11.700000000000001</v>
      </c>
      <c r="CE70">
        <f t="shared" si="52"/>
        <v>32.349999999999994</v>
      </c>
      <c r="CF70">
        <f t="shared" si="50"/>
        <v>3.3999999999999995</v>
      </c>
      <c r="CG70">
        <f t="shared" si="50"/>
        <v>54.04999999999999</v>
      </c>
      <c r="CH70">
        <f t="shared" si="45"/>
        <v>0.79999999999999982</v>
      </c>
      <c r="CI70">
        <f t="shared" si="45"/>
        <v>81.45</v>
      </c>
      <c r="CJ70">
        <f t="shared" si="45"/>
        <v>0</v>
      </c>
      <c r="CK70">
        <f t="shared" si="45"/>
        <v>110.65</v>
      </c>
      <c r="CL70">
        <f t="shared" si="45"/>
        <v>0</v>
      </c>
      <c r="CM70">
        <f t="shared" si="45"/>
        <v>140.65</v>
      </c>
      <c r="CN70">
        <f t="shared" si="53"/>
        <v>92.700000000000031</v>
      </c>
      <c r="CO70">
        <f t="shared" si="53"/>
        <v>13.999999999999996</v>
      </c>
      <c r="CP70">
        <f t="shared" si="53"/>
        <v>52.900000000000006</v>
      </c>
      <c r="CQ70">
        <f t="shared" si="53"/>
        <v>34.199999999999989</v>
      </c>
      <c r="CR70">
        <f t="shared" si="53"/>
        <v>23.400000000000002</v>
      </c>
      <c r="CS70">
        <f t="shared" si="53"/>
        <v>64.699999999999989</v>
      </c>
      <c r="CT70">
        <f t="shared" si="51"/>
        <v>6.7999999999999989</v>
      </c>
      <c r="CU70">
        <f t="shared" si="51"/>
        <v>108.09999999999998</v>
      </c>
      <c r="CV70">
        <f t="shared" si="46"/>
        <v>1.5999999999999996</v>
      </c>
      <c r="CW70">
        <f t="shared" si="46"/>
        <v>162.9</v>
      </c>
      <c r="CX70">
        <f t="shared" si="46"/>
        <v>0</v>
      </c>
      <c r="CY70">
        <f t="shared" si="46"/>
        <v>221.3</v>
      </c>
      <c r="CZ70">
        <f t="shared" si="46"/>
        <v>0</v>
      </c>
      <c r="DA70">
        <f t="shared" si="46"/>
        <v>281.3</v>
      </c>
      <c r="DB70" s="74">
        <f t="shared" si="34"/>
        <v>761.16195245222116</v>
      </c>
      <c r="DC70" s="74">
        <f t="shared" si="49"/>
        <v>25.372065081740704</v>
      </c>
      <c r="DD70" s="73">
        <f t="shared" si="36"/>
        <v>1565634.0199989737</v>
      </c>
      <c r="DE70" s="74">
        <f t="shared" si="37"/>
        <v>2405.1943770134112</v>
      </c>
      <c r="DF70" s="74">
        <f t="shared" si="38"/>
        <v>80.173145900447039</v>
      </c>
      <c r="DG70" s="74">
        <f t="shared" si="39"/>
        <v>444960.95974748104</v>
      </c>
      <c r="DH70" s="74">
        <f t="shared" si="40"/>
        <v>67791.308820376245</v>
      </c>
      <c r="DI70" s="74">
        <f t="shared" si="41"/>
        <v>2259.7102940125415</v>
      </c>
      <c r="DJ70" s="74">
        <f t="shared" si="42"/>
        <v>3228.1575628750593</v>
      </c>
      <c r="DK70" s="74">
        <f t="shared" si="43"/>
        <v>2178360.7234280901</v>
      </c>
      <c r="DL70" s="74">
        <f t="shared" si="44"/>
        <v>3111943.8906115573</v>
      </c>
    </row>
    <row r="71" spans="1:116" x14ac:dyDescent="0.2">
      <c r="A71" s="96">
        <v>44105</v>
      </c>
      <c r="B71" s="4">
        <f t="shared" si="28"/>
        <v>2020</v>
      </c>
      <c r="C71" s="4">
        <f t="shared" si="29"/>
        <v>10</v>
      </c>
      <c r="D71" s="59">
        <v>38176923</v>
      </c>
      <c r="E71" s="59">
        <f>IFERROR(VLOOKUP($B71-1,CDM!$I$7:$N$18,2,FALSE)/12,0)+IFERROR(VLOOKUP($B71,CDM!$I$36:$L$46,2,FALSE)/24,0)+IFERROR(VLOOKUP($B71,CDM!$I$36:$L$46,2,FALSE)/2*$C71/78,0)</f>
        <v>2621443.0857852437</v>
      </c>
      <c r="F71" s="59">
        <f t="shared" si="30"/>
        <v>40798366.08578524</v>
      </c>
      <c r="G71" s="59">
        <v>61698</v>
      </c>
      <c r="H71" s="59">
        <v>11938451</v>
      </c>
      <c r="I71" s="59">
        <f>IFERROR(VLOOKUP($B71-1,CDM!$I$7:$N$18,3,FALSE)/12,0)+IFERROR(VLOOKUP($B71,CDM!$I$36:$L$46,3,FALSE)/24,0)+IFERROR(VLOOKUP($B71,CDM!$I$36:$L$46,3,FALSE)/2*$C71/78,0)</f>
        <v>1019845.1499281367</v>
      </c>
      <c r="J71" s="59">
        <f t="shared" si="31"/>
        <v>12958296.149928138</v>
      </c>
      <c r="K71" s="59">
        <v>5531</v>
      </c>
      <c r="L71" s="59">
        <v>60564018</v>
      </c>
      <c r="M71" s="2">
        <f>IFERROR(VLOOKUP($B71-1,CDM!$I$7:$N$18,4,FALSE)/12,0)+IFERROR(VLOOKUP($B71,CDM!$I$36:$L$46,4,FALSE)/24,0)+IFERROR(VLOOKUP($B71,CDM!$I$36:$L$46,4,FALSE)/2*$C71/78,0)</f>
        <v>3113685.6334513589</v>
      </c>
      <c r="N71" s="59">
        <f t="shared" si="32"/>
        <v>63677703.633451357</v>
      </c>
      <c r="O71" s="59">
        <v>176413</v>
      </c>
      <c r="P71" s="59">
        <v>986</v>
      </c>
      <c r="Q71" s="59">
        <v>503915</v>
      </c>
      <c r="R71" s="59">
        <v>1289</v>
      </c>
      <c r="S71" s="59">
        <v>17186</v>
      </c>
      <c r="T71" s="59">
        <v>261351</v>
      </c>
      <c r="U71" s="1">
        <v>24</v>
      </c>
      <c r="V71" s="59">
        <v>574</v>
      </c>
      <c r="W71" s="114">
        <f>Economic!J133</f>
        <v>807274.5</v>
      </c>
      <c r="X71" s="114">
        <f>Economic!K133</f>
        <v>626103.1</v>
      </c>
      <c r="Y71" s="114">
        <f>Economic!L133</f>
        <v>59751.3</v>
      </c>
      <c r="Z71" s="114">
        <f>Economic!M133</f>
        <v>811397</v>
      </c>
      <c r="AA71" s="114">
        <f>Economic!N133</f>
        <v>631766</v>
      </c>
      <c r="AB71" s="114">
        <f>Economic!O133</f>
        <v>33770</v>
      </c>
      <c r="AC71" s="114">
        <f>Economic!D133</f>
        <v>7462.2</v>
      </c>
      <c r="AD71" s="114">
        <f>Economic!E133</f>
        <v>7501.2</v>
      </c>
      <c r="AE71" s="114">
        <f>Economic!F133</f>
        <v>3436.5</v>
      </c>
      <c r="AF71" s="114">
        <f>Economic!G133</f>
        <v>3440.1</v>
      </c>
      <c r="AG71" s="114">
        <f>Economic!H133</f>
        <v>420.2</v>
      </c>
      <c r="AH71" s="114">
        <f>Economic!I133</f>
        <v>422.6</v>
      </c>
      <c r="AI71" s="114">
        <f>Economic!P145</f>
        <v>-303.09999999999945</v>
      </c>
      <c r="AJ71" s="114">
        <f>Economic!Q145</f>
        <v>-317.09999999999945</v>
      </c>
      <c r="AK71" s="114">
        <f>Economic!R145</f>
        <v>-113.5</v>
      </c>
      <c r="AL71" s="114">
        <f>Economic!S145</f>
        <v>-117.09999999999991</v>
      </c>
      <c r="AM71" s="114">
        <f>Economic!T145</f>
        <v>-37332.5</v>
      </c>
      <c r="AN71" s="114">
        <f>Economic!U145</f>
        <v>18654</v>
      </c>
      <c r="AO71" s="28">
        <f>Weather!D263</f>
        <v>10.483870967741934</v>
      </c>
      <c r="AP71" s="28">
        <f>Weather!E263</f>
        <v>295.00000000000006</v>
      </c>
      <c r="AQ71" s="28">
        <f>Weather!F263</f>
        <v>0</v>
      </c>
      <c r="AR71" s="28">
        <f>Weather!G263</f>
        <v>233</v>
      </c>
      <c r="AS71" s="28">
        <f>Weather!H263</f>
        <v>0</v>
      </c>
      <c r="AT71" s="28">
        <f>Weather!I263</f>
        <v>172.3</v>
      </c>
      <c r="AU71" s="28">
        <f>Weather!J263</f>
        <v>1.3000000000000007</v>
      </c>
      <c r="AV71" s="28">
        <f>Weather!K263</f>
        <v>116.69999999999999</v>
      </c>
      <c r="AW71" s="28">
        <f>Weather!L263</f>
        <v>7.6999999999999993</v>
      </c>
      <c r="AX71" s="28">
        <f>Weather!M263</f>
        <v>72.5</v>
      </c>
      <c r="AY71" s="28">
        <f>Weather!N263</f>
        <v>25.5</v>
      </c>
      <c r="AZ71" s="28">
        <f>Weather!O263</f>
        <v>39.5</v>
      </c>
      <c r="BA71" s="28">
        <f>Weather!P263</f>
        <v>54.499999999999986</v>
      </c>
      <c r="BB71" s="28">
        <f>Weather!Q263</f>
        <v>16.299999999999997</v>
      </c>
      <c r="BC71" s="28">
        <f>Weather!R263</f>
        <v>93.3</v>
      </c>
      <c r="BD71">
        <f t="shared" si="48"/>
        <v>0</v>
      </c>
      <c r="BE71">
        <f t="shared" si="48"/>
        <v>0</v>
      </c>
      <c r="BF71">
        <f t="shared" si="48"/>
        <v>0</v>
      </c>
      <c r="BG71">
        <f t="shared" si="48"/>
        <v>0</v>
      </c>
      <c r="BH71">
        <f t="shared" si="48"/>
        <v>0</v>
      </c>
      <c r="BI71">
        <f t="shared" si="48"/>
        <v>0</v>
      </c>
      <c r="BJ71">
        <f t="shared" si="48"/>
        <v>0</v>
      </c>
      <c r="BK71">
        <f t="shared" si="48"/>
        <v>0</v>
      </c>
      <c r="BL71">
        <f t="shared" si="48"/>
        <v>0</v>
      </c>
      <c r="BM71">
        <f t="shared" si="48"/>
        <v>1</v>
      </c>
      <c r="BN71">
        <f t="shared" si="48"/>
        <v>0</v>
      </c>
      <c r="BO71">
        <f t="shared" si="48"/>
        <v>0</v>
      </c>
      <c r="BP71" s="1">
        <f t="shared" si="48"/>
        <v>0</v>
      </c>
      <c r="BQ71" s="1">
        <f t="shared" si="48"/>
        <v>1</v>
      </c>
      <c r="BR71" s="1">
        <f t="shared" si="48"/>
        <v>1</v>
      </c>
      <c r="BS71" s="1">
        <f t="shared" si="33"/>
        <v>70</v>
      </c>
      <c r="BT71">
        <f t="shared" si="27"/>
        <v>31</v>
      </c>
      <c r="BU71" s="1">
        <v>21</v>
      </c>
      <c r="BV71" s="1">
        <v>1</v>
      </c>
      <c r="BW71" s="1">
        <v>0.5</v>
      </c>
      <c r="BX71" s="1">
        <v>1</v>
      </c>
      <c r="BY71" s="1">
        <v>0</v>
      </c>
      <c r="BZ71">
        <f t="shared" si="52"/>
        <v>147.50000000000003</v>
      </c>
      <c r="CA71">
        <f t="shared" si="52"/>
        <v>0</v>
      </c>
      <c r="CB71">
        <f t="shared" si="52"/>
        <v>116.5</v>
      </c>
      <c r="CC71">
        <f t="shared" si="52"/>
        <v>0</v>
      </c>
      <c r="CD71">
        <f t="shared" si="52"/>
        <v>86.15</v>
      </c>
      <c r="CE71">
        <f t="shared" si="52"/>
        <v>0.65000000000000036</v>
      </c>
      <c r="CF71">
        <f t="shared" si="50"/>
        <v>58.349999999999994</v>
      </c>
      <c r="CG71">
        <f t="shared" si="50"/>
        <v>3.8499999999999996</v>
      </c>
      <c r="CH71">
        <f t="shared" si="45"/>
        <v>36.25</v>
      </c>
      <c r="CI71">
        <f t="shared" si="45"/>
        <v>12.75</v>
      </c>
      <c r="CJ71">
        <f t="shared" si="45"/>
        <v>19.75</v>
      </c>
      <c r="CK71">
        <f t="shared" si="45"/>
        <v>27.249999999999993</v>
      </c>
      <c r="CL71">
        <f t="shared" si="45"/>
        <v>8.1499999999999986</v>
      </c>
      <c r="CM71">
        <f t="shared" si="45"/>
        <v>46.65</v>
      </c>
      <c r="CN71">
        <f t="shared" si="53"/>
        <v>295.00000000000006</v>
      </c>
      <c r="CO71">
        <f t="shared" si="53"/>
        <v>0</v>
      </c>
      <c r="CP71">
        <f t="shared" si="53"/>
        <v>233</v>
      </c>
      <c r="CQ71">
        <f t="shared" si="53"/>
        <v>0</v>
      </c>
      <c r="CR71">
        <f t="shared" si="53"/>
        <v>172.3</v>
      </c>
      <c r="CS71">
        <f t="shared" si="53"/>
        <v>1.3000000000000007</v>
      </c>
      <c r="CT71">
        <f t="shared" si="51"/>
        <v>116.69999999999999</v>
      </c>
      <c r="CU71">
        <f t="shared" si="51"/>
        <v>7.6999999999999993</v>
      </c>
      <c r="CV71">
        <f t="shared" si="46"/>
        <v>72.5</v>
      </c>
      <c r="CW71">
        <f t="shared" si="46"/>
        <v>25.5</v>
      </c>
      <c r="CX71">
        <f t="shared" si="46"/>
        <v>39.5</v>
      </c>
      <c r="CY71">
        <f t="shared" si="46"/>
        <v>54.499999999999986</v>
      </c>
      <c r="CZ71">
        <f t="shared" si="46"/>
        <v>16.299999999999997</v>
      </c>
      <c r="DA71">
        <f t="shared" si="46"/>
        <v>93.3</v>
      </c>
      <c r="DB71" s="74">
        <f t="shared" si="34"/>
        <v>661.2591345875918</v>
      </c>
      <c r="DC71" s="74">
        <f t="shared" si="49"/>
        <v>21.330939825406187</v>
      </c>
      <c r="DD71" s="73">
        <f t="shared" si="36"/>
        <v>1316076.3253479109</v>
      </c>
      <c r="DE71" s="74">
        <f t="shared" si="37"/>
        <v>2342.8486982332556</v>
      </c>
      <c r="DF71" s="74">
        <f t="shared" si="38"/>
        <v>75.575764459137275</v>
      </c>
      <c r="DG71" s="74">
        <f t="shared" si="39"/>
        <v>418009.55322348833</v>
      </c>
      <c r="DH71" s="74">
        <f t="shared" si="40"/>
        <v>64581.849526826933</v>
      </c>
      <c r="DI71" s="74">
        <f t="shared" si="41"/>
        <v>2083.2854686073206</v>
      </c>
      <c r="DJ71" s="74">
        <f t="shared" si="42"/>
        <v>3075.3261679441398</v>
      </c>
      <c r="DK71" s="74">
        <f t="shared" si="43"/>
        <v>2054119.4720468179</v>
      </c>
      <c r="DL71" s="74">
        <f t="shared" si="44"/>
        <v>3032271.6015929217</v>
      </c>
    </row>
    <row r="72" spans="1:116" x14ac:dyDescent="0.2">
      <c r="A72" s="96">
        <v>44136</v>
      </c>
      <c r="B72" s="4">
        <f t="shared" si="28"/>
        <v>2020</v>
      </c>
      <c r="C72" s="4">
        <f t="shared" si="29"/>
        <v>11</v>
      </c>
      <c r="D72" s="59">
        <v>38521603</v>
      </c>
      <c r="E72" s="59">
        <f>IFERROR(VLOOKUP($B72-1,CDM!$I$7:$N$18,2,FALSE)/12,0)+IFERROR(VLOOKUP($B72,CDM!$I$36:$L$46,2,FALSE)/24,0)+IFERROR(VLOOKUP($B72,CDM!$I$36:$L$46,2,FALSE)/2*$C72/78,0)</f>
        <v>2621363.5716012814</v>
      </c>
      <c r="F72" s="59">
        <f t="shared" si="30"/>
        <v>41142966.571601279</v>
      </c>
      <c r="G72" s="59">
        <v>61769</v>
      </c>
      <c r="H72" s="59">
        <v>12246528</v>
      </c>
      <c r="I72" s="59">
        <f>IFERROR(VLOOKUP($B72-1,CDM!$I$7:$N$18,3,FALSE)/12,0)+IFERROR(VLOOKUP($B72,CDM!$I$36:$L$46,3,FALSE)/24,0)+IFERROR(VLOOKUP($B72,CDM!$I$36:$L$46,3,FALSE)/2*$C72/78,0)</f>
        <v>1023570.5074318416</v>
      </c>
      <c r="J72" s="59">
        <f t="shared" si="31"/>
        <v>13270098.507431842</v>
      </c>
      <c r="K72" s="59">
        <v>5535</v>
      </c>
      <c r="L72" s="59">
        <v>60293747</v>
      </c>
      <c r="M72" s="2">
        <f>IFERROR(VLOOKUP($B72-1,CDM!$I$7:$N$18,4,FALSE)/12,0)+IFERROR(VLOOKUP($B72,CDM!$I$36:$L$46,4,FALSE)/24,0)+IFERROR(VLOOKUP($B72,CDM!$I$36:$L$46,4,FALSE)/2*$C72/78,0)</f>
        <v>3132311.5640600105</v>
      </c>
      <c r="N72" s="59">
        <f t="shared" si="32"/>
        <v>63426058.56406001</v>
      </c>
      <c r="O72" s="59">
        <v>164967</v>
      </c>
      <c r="P72" s="59">
        <v>988</v>
      </c>
      <c r="Q72" s="59">
        <v>536445</v>
      </c>
      <c r="R72" s="59">
        <v>1289</v>
      </c>
      <c r="S72" s="59">
        <v>17186</v>
      </c>
      <c r="T72" s="59">
        <v>260787</v>
      </c>
      <c r="U72" s="1">
        <v>24</v>
      </c>
      <c r="V72" s="59">
        <v>574</v>
      </c>
      <c r="W72" s="114">
        <f>Economic!J134</f>
        <v>807274.5</v>
      </c>
      <c r="X72" s="114">
        <f>Economic!K134</f>
        <v>626103.1</v>
      </c>
      <c r="Y72" s="114">
        <f>Economic!L134</f>
        <v>59751.3</v>
      </c>
      <c r="Z72" s="114">
        <f>Economic!M134</f>
        <v>811397</v>
      </c>
      <c r="AA72" s="114">
        <f>Economic!N134</f>
        <v>631766</v>
      </c>
      <c r="AB72" s="114">
        <f>Economic!O134</f>
        <v>33770</v>
      </c>
      <c r="AC72" s="114">
        <f>Economic!D134</f>
        <v>7470.1</v>
      </c>
      <c r="AD72" s="114">
        <f>Economic!E134</f>
        <v>7488.3</v>
      </c>
      <c r="AE72" s="114">
        <f>Economic!F134</f>
        <v>3442</v>
      </c>
      <c r="AF72" s="114">
        <f>Economic!G134</f>
        <v>3437.7</v>
      </c>
      <c r="AG72" s="114">
        <f>Economic!H134</f>
        <v>419.4</v>
      </c>
      <c r="AH72" s="114">
        <f>Economic!I134</f>
        <v>423.8</v>
      </c>
      <c r="AI72" s="114">
        <f>Economic!P146</f>
        <v>-227.60000000000036</v>
      </c>
      <c r="AJ72" s="114">
        <f>Economic!Q146</f>
        <v>-233.10000000000036</v>
      </c>
      <c r="AK72" s="114">
        <f>Economic!R146</f>
        <v>-64.5</v>
      </c>
      <c r="AL72" s="114">
        <f>Economic!S146</f>
        <v>-67.5</v>
      </c>
      <c r="AM72" s="114">
        <f>Economic!T146</f>
        <v>-37332.5</v>
      </c>
      <c r="AN72" s="114">
        <f>Economic!U146</f>
        <v>18654</v>
      </c>
      <c r="AO72" s="28">
        <f>Weather!D264</f>
        <v>8.1366666666666667</v>
      </c>
      <c r="AP72" s="28">
        <f>Weather!E264</f>
        <v>355.90000000000003</v>
      </c>
      <c r="AQ72" s="28">
        <f>Weather!F264</f>
        <v>0</v>
      </c>
      <c r="AR72" s="28">
        <f>Weather!G264</f>
        <v>295.90000000000003</v>
      </c>
      <c r="AS72" s="28">
        <f>Weather!H264</f>
        <v>0</v>
      </c>
      <c r="AT72" s="28">
        <f>Weather!I264</f>
        <v>236.6</v>
      </c>
      <c r="AU72" s="28">
        <f>Weather!J264</f>
        <v>0.69999999999999929</v>
      </c>
      <c r="AV72" s="28">
        <f>Weather!K264</f>
        <v>184.59999999999997</v>
      </c>
      <c r="AW72" s="28">
        <f>Weather!L264</f>
        <v>8.6999999999999993</v>
      </c>
      <c r="AX72" s="28">
        <f>Weather!M264</f>
        <v>137</v>
      </c>
      <c r="AY72" s="28">
        <f>Weather!N264</f>
        <v>21.099999999999998</v>
      </c>
      <c r="AZ72" s="28">
        <f>Weather!O264</f>
        <v>95.699999999999989</v>
      </c>
      <c r="BA72" s="28">
        <f>Weather!P264</f>
        <v>39.799999999999997</v>
      </c>
      <c r="BB72" s="28">
        <f>Weather!Q264</f>
        <v>58.5</v>
      </c>
      <c r="BC72" s="28">
        <f>Weather!R264</f>
        <v>62.600000000000009</v>
      </c>
      <c r="BD72">
        <f t="shared" si="48"/>
        <v>0</v>
      </c>
      <c r="BE72">
        <f t="shared" si="48"/>
        <v>0</v>
      </c>
      <c r="BF72">
        <f t="shared" si="48"/>
        <v>0</v>
      </c>
      <c r="BG72">
        <f t="shared" si="48"/>
        <v>0</v>
      </c>
      <c r="BH72">
        <f t="shared" si="48"/>
        <v>0</v>
      </c>
      <c r="BI72">
        <f t="shared" si="48"/>
        <v>0</v>
      </c>
      <c r="BJ72">
        <f t="shared" si="48"/>
        <v>0</v>
      </c>
      <c r="BK72">
        <f t="shared" si="48"/>
        <v>0</v>
      </c>
      <c r="BL72">
        <f t="shared" si="48"/>
        <v>0</v>
      </c>
      <c r="BM72">
        <f t="shared" si="48"/>
        <v>0</v>
      </c>
      <c r="BN72">
        <f t="shared" si="48"/>
        <v>1</v>
      </c>
      <c r="BO72">
        <f t="shared" si="48"/>
        <v>0</v>
      </c>
      <c r="BP72" s="1">
        <f t="shared" si="48"/>
        <v>0</v>
      </c>
      <c r="BQ72" s="1">
        <f t="shared" si="48"/>
        <v>1</v>
      </c>
      <c r="BR72" s="1">
        <f t="shared" si="48"/>
        <v>1</v>
      </c>
      <c r="BS72" s="1">
        <f t="shared" si="33"/>
        <v>71</v>
      </c>
      <c r="BT72">
        <f t="shared" si="27"/>
        <v>30</v>
      </c>
      <c r="BU72" s="1">
        <v>21</v>
      </c>
      <c r="BV72" s="1">
        <v>1</v>
      </c>
      <c r="BW72" s="1">
        <v>0.5</v>
      </c>
      <c r="BX72" s="1">
        <v>1</v>
      </c>
      <c r="BY72" s="1">
        <v>0</v>
      </c>
      <c r="BZ72">
        <f t="shared" si="52"/>
        <v>177.95000000000002</v>
      </c>
      <c r="CA72">
        <f t="shared" si="52"/>
        <v>0</v>
      </c>
      <c r="CB72">
        <f t="shared" si="52"/>
        <v>147.95000000000002</v>
      </c>
      <c r="CC72">
        <f t="shared" si="52"/>
        <v>0</v>
      </c>
      <c r="CD72">
        <f t="shared" si="52"/>
        <v>118.3</v>
      </c>
      <c r="CE72">
        <f t="shared" si="52"/>
        <v>0.34999999999999964</v>
      </c>
      <c r="CF72">
        <f t="shared" si="50"/>
        <v>92.299999999999983</v>
      </c>
      <c r="CG72">
        <f t="shared" si="50"/>
        <v>4.3499999999999996</v>
      </c>
      <c r="CH72">
        <f t="shared" si="45"/>
        <v>68.5</v>
      </c>
      <c r="CI72">
        <f t="shared" si="45"/>
        <v>10.549999999999999</v>
      </c>
      <c r="CJ72">
        <f t="shared" si="45"/>
        <v>47.849999999999994</v>
      </c>
      <c r="CK72">
        <f t="shared" si="45"/>
        <v>19.899999999999999</v>
      </c>
      <c r="CL72">
        <f t="shared" si="45"/>
        <v>29.25</v>
      </c>
      <c r="CM72">
        <f t="shared" si="45"/>
        <v>31.300000000000004</v>
      </c>
      <c r="CN72">
        <f t="shared" si="53"/>
        <v>355.90000000000003</v>
      </c>
      <c r="CO72">
        <f t="shared" si="53"/>
        <v>0</v>
      </c>
      <c r="CP72">
        <f t="shared" si="53"/>
        <v>295.90000000000003</v>
      </c>
      <c r="CQ72">
        <f t="shared" si="53"/>
        <v>0</v>
      </c>
      <c r="CR72">
        <f t="shared" si="53"/>
        <v>236.6</v>
      </c>
      <c r="CS72">
        <f t="shared" si="53"/>
        <v>0.69999999999999929</v>
      </c>
      <c r="CT72">
        <f t="shared" si="51"/>
        <v>184.59999999999997</v>
      </c>
      <c r="CU72">
        <f t="shared" si="51"/>
        <v>8.6999999999999993</v>
      </c>
      <c r="CV72">
        <f t="shared" si="46"/>
        <v>137</v>
      </c>
      <c r="CW72">
        <f t="shared" si="46"/>
        <v>21.099999999999998</v>
      </c>
      <c r="CX72">
        <f t="shared" si="46"/>
        <v>95.699999999999989</v>
      </c>
      <c r="CY72">
        <f t="shared" si="46"/>
        <v>39.799999999999997</v>
      </c>
      <c r="CZ72">
        <f t="shared" si="46"/>
        <v>58.5</v>
      </c>
      <c r="DA72">
        <f t="shared" si="46"/>
        <v>62.600000000000009</v>
      </c>
      <c r="DB72" s="74">
        <f t="shared" si="34"/>
        <v>666.07791240915799</v>
      </c>
      <c r="DC72" s="74">
        <f t="shared" si="49"/>
        <v>22.202597080305267</v>
      </c>
      <c r="DD72" s="73">
        <f t="shared" si="36"/>
        <v>1371432.219053376</v>
      </c>
      <c r="DE72" s="74">
        <f t="shared" si="37"/>
        <v>2397.488438560405</v>
      </c>
      <c r="DF72" s="74">
        <f t="shared" si="38"/>
        <v>79.916281285346841</v>
      </c>
      <c r="DG72" s="74">
        <f t="shared" si="39"/>
        <v>442336.61691439472</v>
      </c>
      <c r="DH72" s="74">
        <f t="shared" si="40"/>
        <v>64196.415550668025</v>
      </c>
      <c r="DI72" s="74">
        <f t="shared" si="41"/>
        <v>2139.880518355601</v>
      </c>
      <c r="DJ72" s="74">
        <f t="shared" si="42"/>
        <v>3056.9721690794299</v>
      </c>
      <c r="DK72" s="74">
        <f t="shared" si="43"/>
        <v>2114201.9521353338</v>
      </c>
      <c r="DL72" s="74">
        <f t="shared" si="44"/>
        <v>3020288.5030504768</v>
      </c>
    </row>
    <row r="73" spans="1:116" x14ac:dyDescent="0.2">
      <c r="A73" s="96">
        <v>44166</v>
      </c>
      <c r="B73" s="4">
        <f t="shared" si="28"/>
        <v>2020</v>
      </c>
      <c r="C73" s="4">
        <f t="shared" si="29"/>
        <v>12</v>
      </c>
      <c r="D73" s="59">
        <v>45309909</v>
      </c>
      <c r="E73" s="59">
        <f>IFERROR(VLOOKUP($B73-1,CDM!$I$7:$N$18,2,FALSE)/12,0)+IFERROR(VLOOKUP($B73,CDM!$I$36:$L$46,2,FALSE)/24,0)+IFERROR(VLOOKUP($B73,CDM!$I$36:$L$46,2,FALSE)/2*$C73/78,0)</f>
        <v>2621284.0574173187</v>
      </c>
      <c r="F73" s="59">
        <f t="shared" si="30"/>
        <v>47931193.057417318</v>
      </c>
      <c r="G73" s="59">
        <v>61803</v>
      </c>
      <c r="H73" s="59">
        <v>13116029</v>
      </c>
      <c r="I73" s="59">
        <f>IFERROR(VLOOKUP($B73-1,CDM!$I$7:$N$18,3,FALSE)/12,0)+IFERROR(VLOOKUP($B73,CDM!$I$36:$L$46,3,FALSE)/24,0)+IFERROR(VLOOKUP($B73,CDM!$I$36:$L$46,3,FALSE)/2*$C73/78,0)</f>
        <v>1027295.8649355464</v>
      </c>
      <c r="J73" s="59">
        <f t="shared" si="31"/>
        <v>14143324.864935547</v>
      </c>
      <c r="K73" s="59">
        <v>5560</v>
      </c>
      <c r="L73" s="59">
        <v>63216261</v>
      </c>
      <c r="M73" s="2">
        <f>IFERROR(VLOOKUP($B73-1,CDM!$I$7:$N$18,4,FALSE)/12,0)+IFERROR(VLOOKUP($B73,CDM!$I$36:$L$46,4,FALSE)/24,0)+IFERROR(VLOOKUP($B73,CDM!$I$36:$L$46,4,FALSE)/2*$C73/78,0)</f>
        <v>3150937.4946686621</v>
      </c>
      <c r="N73" s="59">
        <f t="shared" si="32"/>
        <v>66367198.494668663</v>
      </c>
      <c r="O73" s="59">
        <v>166682</v>
      </c>
      <c r="P73" s="59">
        <v>989</v>
      </c>
      <c r="Q73" s="59">
        <v>581018</v>
      </c>
      <c r="R73" s="59">
        <v>1289</v>
      </c>
      <c r="S73" s="59">
        <v>17186</v>
      </c>
      <c r="T73" s="59">
        <v>264097</v>
      </c>
      <c r="U73" s="1">
        <v>24</v>
      </c>
      <c r="V73" s="59">
        <v>575</v>
      </c>
      <c r="W73" s="114">
        <f>Economic!J135</f>
        <v>807274.5</v>
      </c>
      <c r="X73" s="114">
        <f>Economic!K135</f>
        <v>626103.1</v>
      </c>
      <c r="Y73" s="114">
        <f>Economic!L135</f>
        <v>59751.3</v>
      </c>
      <c r="Z73" s="114">
        <f>Economic!M135</f>
        <v>811397</v>
      </c>
      <c r="AA73" s="114">
        <f>Economic!N135</f>
        <v>631766</v>
      </c>
      <c r="AB73" s="114">
        <f>Economic!O135</f>
        <v>33770</v>
      </c>
      <c r="AC73" s="114">
        <f>Economic!D135</f>
        <v>7482.6</v>
      </c>
      <c r="AD73" s="114">
        <f>Economic!E135</f>
        <v>7493.8</v>
      </c>
      <c r="AE73" s="114">
        <f>Economic!F135</f>
        <v>3443.2</v>
      </c>
      <c r="AF73" s="114">
        <f>Economic!G135</f>
        <v>3443.1</v>
      </c>
      <c r="AG73" s="114">
        <f>Economic!H135</f>
        <v>419.3</v>
      </c>
      <c r="AH73" s="114">
        <f>Economic!I135</f>
        <v>427</v>
      </c>
      <c r="AI73" s="114">
        <f>Economic!P147</f>
        <v>-224.5</v>
      </c>
      <c r="AJ73" s="114">
        <f>Economic!Q147</f>
        <v>-220.5</v>
      </c>
      <c r="AK73" s="114">
        <f>Economic!R147</f>
        <v>-73.199999999999818</v>
      </c>
      <c r="AL73" s="114">
        <f>Economic!S147</f>
        <v>-70.799999999999727</v>
      </c>
      <c r="AM73" s="114">
        <f>Economic!T147</f>
        <v>-37332.5</v>
      </c>
      <c r="AN73" s="114">
        <f>Economic!U147</f>
        <v>18654</v>
      </c>
      <c r="AO73" s="28">
        <f>Weather!D265</f>
        <v>1.4806451612903222</v>
      </c>
      <c r="AP73" s="28">
        <f>Weather!E265</f>
        <v>574.10000000000014</v>
      </c>
      <c r="AQ73" s="28">
        <f>Weather!F265</f>
        <v>0</v>
      </c>
      <c r="AR73" s="28">
        <f>Weather!G265</f>
        <v>512.10000000000014</v>
      </c>
      <c r="AS73" s="28">
        <f>Weather!H265</f>
        <v>0</v>
      </c>
      <c r="AT73" s="28">
        <f>Weather!I265</f>
        <v>450.10000000000008</v>
      </c>
      <c r="AU73" s="28">
        <f>Weather!J265</f>
        <v>0</v>
      </c>
      <c r="AV73" s="28">
        <f>Weather!K265</f>
        <v>388.10000000000008</v>
      </c>
      <c r="AW73" s="28">
        <f>Weather!L265</f>
        <v>0</v>
      </c>
      <c r="AX73" s="28">
        <f>Weather!M265</f>
        <v>326.09999999999997</v>
      </c>
      <c r="AY73" s="28">
        <f>Weather!N265</f>
        <v>0</v>
      </c>
      <c r="AZ73" s="28">
        <f>Weather!O265</f>
        <v>264.09999999999997</v>
      </c>
      <c r="BA73" s="28">
        <f>Weather!P265</f>
        <v>0</v>
      </c>
      <c r="BB73" s="28">
        <f>Weather!Q265</f>
        <v>202.29999999999998</v>
      </c>
      <c r="BC73" s="28">
        <f>Weather!R265</f>
        <v>0.19999999999999929</v>
      </c>
      <c r="BD73">
        <f t="shared" si="48"/>
        <v>0</v>
      </c>
      <c r="BE73">
        <f t="shared" si="48"/>
        <v>0</v>
      </c>
      <c r="BF73">
        <f t="shared" si="48"/>
        <v>0</v>
      </c>
      <c r="BG73">
        <f t="shared" si="48"/>
        <v>0</v>
      </c>
      <c r="BH73">
        <f t="shared" si="48"/>
        <v>0</v>
      </c>
      <c r="BI73">
        <f t="shared" si="48"/>
        <v>0</v>
      </c>
      <c r="BJ73">
        <f t="shared" si="48"/>
        <v>0</v>
      </c>
      <c r="BK73">
        <f t="shared" si="48"/>
        <v>0</v>
      </c>
      <c r="BL73">
        <f t="shared" si="48"/>
        <v>0</v>
      </c>
      <c r="BM73">
        <f t="shared" si="48"/>
        <v>0</v>
      </c>
      <c r="BN73">
        <f t="shared" si="48"/>
        <v>0</v>
      </c>
      <c r="BO73">
        <f t="shared" si="48"/>
        <v>1</v>
      </c>
      <c r="BP73" s="1">
        <f t="shared" si="48"/>
        <v>0</v>
      </c>
      <c r="BQ73" s="1">
        <f t="shared" si="48"/>
        <v>0</v>
      </c>
      <c r="BR73" s="1">
        <f t="shared" si="48"/>
        <v>0</v>
      </c>
      <c r="BS73" s="1">
        <f t="shared" si="33"/>
        <v>72</v>
      </c>
      <c r="BT73">
        <f t="shared" si="27"/>
        <v>31</v>
      </c>
      <c r="BU73" s="1">
        <v>21</v>
      </c>
      <c r="BV73" s="1">
        <v>1</v>
      </c>
      <c r="BW73" s="1">
        <v>0.5</v>
      </c>
      <c r="BX73" s="1">
        <v>1</v>
      </c>
      <c r="BY73" s="1">
        <v>0</v>
      </c>
      <c r="BZ73">
        <f t="shared" si="52"/>
        <v>287.05000000000007</v>
      </c>
      <c r="CA73">
        <f t="shared" si="52"/>
        <v>0</v>
      </c>
      <c r="CB73">
        <f t="shared" si="52"/>
        <v>256.05000000000007</v>
      </c>
      <c r="CC73">
        <f t="shared" si="52"/>
        <v>0</v>
      </c>
      <c r="CD73">
        <f t="shared" si="52"/>
        <v>225.05000000000004</v>
      </c>
      <c r="CE73">
        <f t="shared" si="52"/>
        <v>0</v>
      </c>
      <c r="CF73">
        <f t="shared" si="50"/>
        <v>194.05000000000004</v>
      </c>
      <c r="CG73">
        <f t="shared" si="50"/>
        <v>0</v>
      </c>
      <c r="CH73">
        <f t="shared" si="45"/>
        <v>163.04999999999998</v>
      </c>
      <c r="CI73">
        <f t="shared" si="45"/>
        <v>0</v>
      </c>
      <c r="CJ73">
        <f t="shared" si="45"/>
        <v>132.04999999999998</v>
      </c>
      <c r="CK73">
        <f t="shared" si="45"/>
        <v>0</v>
      </c>
      <c r="CL73">
        <f t="shared" si="45"/>
        <v>101.14999999999999</v>
      </c>
      <c r="CM73">
        <f t="shared" si="45"/>
        <v>9.9999999999999645E-2</v>
      </c>
      <c r="CN73">
        <f t="shared" si="53"/>
        <v>574.10000000000014</v>
      </c>
      <c r="CO73">
        <f t="shared" si="53"/>
        <v>0</v>
      </c>
      <c r="CP73">
        <f t="shared" si="53"/>
        <v>512.10000000000014</v>
      </c>
      <c r="CQ73">
        <f t="shared" si="53"/>
        <v>0</v>
      </c>
      <c r="CR73">
        <f t="shared" si="53"/>
        <v>450.10000000000008</v>
      </c>
      <c r="CS73">
        <f t="shared" si="53"/>
        <v>0</v>
      </c>
      <c r="CT73">
        <f t="shared" si="51"/>
        <v>388.10000000000008</v>
      </c>
      <c r="CU73">
        <f t="shared" si="51"/>
        <v>0</v>
      </c>
      <c r="CV73">
        <f t="shared" si="46"/>
        <v>326.09999999999997</v>
      </c>
      <c r="CW73">
        <f t="shared" si="46"/>
        <v>0</v>
      </c>
      <c r="CX73">
        <f t="shared" si="46"/>
        <v>264.09999999999997</v>
      </c>
      <c r="CY73">
        <f t="shared" si="46"/>
        <v>0</v>
      </c>
      <c r="CZ73">
        <f t="shared" si="46"/>
        <v>202.29999999999998</v>
      </c>
      <c r="DA73">
        <f t="shared" si="46"/>
        <v>0.19999999999999929</v>
      </c>
      <c r="DB73" s="74">
        <f t="shared" si="34"/>
        <v>775.54800021709821</v>
      </c>
      <c r="DC73" s="74">
        <f t="shared" si="49"/>
        <v>25.017677426358006</v>
      </c>
      <c r="DD73" s="73">
        <f t="shared" si="36"/>
        <v>1546167.5179812037</v>
      </c>
      <c r="DE73" s="74">
        <f t="shared" si="37"/>
        <v>2543.7634649164652</v>
      </c>
      <c r="DF73" s="74">
        <f t="shared" si="38"/>
        <v>82.056885965047258</v>
      </c>
      <c r="DG73" s="74">
        <f t="shared" si="39"/>
        <v>456236.2859656628</v>
      </c>
      <c r="DH73" s="74">
        <f t="shared" si="40"/>
        <v>67105.357426358605</v>
      </c>
      <c r="DI73" s="74">
        <f t="shared" si="41"/>
        <v>2164.6889492373743</v>
      </c>
      <c r="DJ73" s="74">
        <f t="shared" si="42"/>
        <v>3195.4932107789814</v>
      </c>
      <c r="DK73" s="74">
        <f t="shared" si="43"/>
        <v>2140877.3707957631</v>
      </c>
      <c r="DL73" s="74">
        <f t="shared" si="44"/>
        <v>3160342.7854604125</v>
      </c>
    </row>
    <row r="74" spans="1:116" x14ac:dyDescent="0.2">
      <c r="A74" s="96">
        <v>44197</v>
      </c>
      <c r="B74" s="4">
        <f t="shared" si="28"/>
        <v>2021</v>
      </c>
      <c r="C74" s="4">
        <f t="shared" si="29"/>
        <v>1</v>
      </c>
      <c r="D74" s="59">
        <v>46412924</v>
      </c>
      <c r="E74" s="59">
        <f>IFERROR(VLOOKUP($B74-1,CDM!$I$7:$N$18,2,FALSE)/12,0)+IFERROR(VLOOKUP($B74,CDM!$I$36:$L$46,2,FALSE)/24,0)+IFERROR(VLOOKUP($B74,CDM!$I$36:$L$46,2,FALSE)/2*$C74/78,0)</f>
        <v>2623675.0200433782</v>
      </c>
      <c r="F74" s="59">
        <f t="shared" si="30"/>
        <v>49036599.020043381</v>
      </c>
      <c r="G74" s="59">
        <v>61821</v>
      </c>
      <c r="H74" s="59">
        <v>13354544</v>
      </c>
      <c r="I74" s="59">
        <f>IFERROR(VLOOKUP($B74-1,CDM!$I$7:$N$18,3,FALSE)/12,0)+IFERROR(VLOOKUP($B74,CDM!$I$36:$L$46,3,FALSE)/24,0)+IFERROR(VLOOKUP($B74,CDM!$I$36:$L$46,3,FALSE)/2*$C74/78,0)</f>
        <v>1026990.3916570892</v>
      </c>
      <c r="J74" s="59">
        <f t="shared" si="31"/>
        <v>14381534.39165709</v>
      </c>
      <c r="K74" s="59">
        <v>5573</v>
      </c>
      <c r="L74" s="59">
        <v>63560686</v>
      </c>
      <c r="M74" s="2">
        <f>IFERROR(VLOOKUP($B74-1,CDM!$I$7:$N$18,4,FALSE)/12,0)+IFERROR(VLOOKUP($B74,CDM!$I$36:$L$46,4,FALSE)/24,0)+IFERROR(VLOOKUP($B74,CDM!$I$36:$L$46,4,FALSE)/2*$C74/78,0)</f>
        <v>3201204.6203582976</v>
      </c>
      <c r="N74" s="59">
        <f t="shared" si="32"/>
        <v>66761890.620358296</v>
      </c>
      <c r="O74" s="59">
        <v>165287</v>
      </c>
      <c r="P74" s="59">
        <v>984</v>
      </c>
      <c r="Q74" s="59">
        <v>594452</v>
      </c>
      <c r="R74" s="59">
        <v>1288</v>
      </c>
      <c r="S74" s="59">
        <v>17186</v>
      </c>
      <c r="T74" s="59">
        <v>261685</v>
      </c>
      <c r="U74" s="1">
        <v>24</v>
      </c>
      <c r="V74" s="59">
        <v>575</v>
      </c>
      <c r="W74" s="114">
        <f>Economic!J136</f>
        <v>769942</v>
      </c>
      <c r="X74" s="114">
        <f>Economic!K136</f>
        <v>596521.6</v>
      </c>
      <c r="Y74" s="114">
        <f>Economic!L136</f>
        <v>58159</v>
      </c>
      <c r="Z74" s="114">
        <f>Economic!M136</f>
        <v>800126</v>
      </c>
      <c r="AA74" s="114">
        <f>Economic!N136</f>
        <v>621238</v>
      </c>
      <c r="AB74" s="114">
        <f>Economic!O136</f>
        <v>30738</v>
      </c>
      <c r="AC74" s="114">
        <f>Economic!D136</f>
        <v>7504.9</v>
      </c>
      <c r="AD74" s="114">
        <f>Economic!E136</f>
        <v>7471.6</v>
      </c>
      <c r="AE74" s="114">
        <f>Economic!F136</f>
        <v>3466.7</v>
      </c>
      <c r="AF74" s="114">
        <f>Economic!G136</f>
        <v>3462.4</v>
      </c>
      <c r="AG74" s="114">
        <f>Economic!H136</f>
        <v>416</v>
      </c>
      <c r="AH74" s="114">
        <f>Economic!I136</f>
        <v>420.5</v>
      </c>
      <c r="AI74" s="114">
        <f>Economic!P148</f>
        <v>-300.19999999999982</v>
      </c>
      <c r="AJ74" s="114">
        <f>Economic!Q148</f>
        <v>-291.20000000000073</v>
      </c>
      <c r="AK74" s="114">
        <f>Economic!R148</f>
        <v>-146.39999999999964</v>
      </c>
      <c r="AL74" s="114">
        <f>Economic!S148</f>
        <v>-144.30000000000018</v>
      </c>
      <c r="AM74" s="114">
        <f>Economic!T148</f>
        <v>47323.5</v>
      </c>
      <c r="AN74" s="114">
        <f>Economic!U148</f>
        <v>12705</v>
      </c>
      <c r="AO74" s="28">
        <f>Weather!D266</f>
        <v>-0.8999999999999998</v>
      </c>
      <c r="AP74" s="28">
        <f>Weather!E266</f>
        <v>647.89999999999986</v>
      </c>
      <c r="AQ74" s="28">
        <f>Weather!F266</f>
        <v>0</v>
      </c>
      <c r="AR74" s="28">
        <f>Weather!G266</f>
        <v>585.9</v>
      </c>
      <c r="AS74" s="28">
        <f>Weather!H266</f>
        <v>0</v>
      </c>
      <c r="AT74" s="28">
        <f>Weather!I266</f>
        <v>523.9</v>
      </c>
      <c r="AU74" s="28">
        <f>Weather!J266</f>
        <v>0</v>
      </c>
      <c r="AV74" s="28">
        <f>Weather!K266</f>
        <v>461.9</v>
      </c>
      <c r="AW74" s="28">
        <f>Weather!L266</f>
        <v>0</v>
      </c>
      <c r="AX74" s="28">
        <f>Weather!M266</f>
        <v>399.90000000000003</v>
      </c>
      <c r="AY74" s="28">
        <f>Weather!N266</f>
        <v>0</v>
      </c>
      <c r="AZ74" s="28">
        <f>Weather!O266</f>
        <v>337.90000000000009</v>
      </c>
      <c r="BA74" s="28">
        <f>Weather!P266</f>
        <v>0</v>
      </c>
      <c r="BB74" s="28">
        <f>Weather!Q266</f>
        <v>275.89999999999998</v>
      </c>
      <c r="BC74" s="28">
        <f>Weather!R266</f>
        <v>0</v>
      </c>
      <c r="BD74">
        <f t="shared" si="48"/>
        <v>1</v>
      </c>
      <c r="BE74">
        <f t="shared" si="48"/>
        <v>0</v>
      </c>
      <c r="BF74">
        <f t="shared" si="48"/>
        <v>0</v>
      </c>
      <c r="BG74">
        <f t="shared" si="48"/>
        <v>0</v>
      </c>
      <c r="BH74">
        <f t="shared" si="48"/>
        <v>0</v>
      </c>
      <c r="BI74">
        <f t="shared" si="48"/>
        <v>0</v>
      </c>
      <c r="BJ74">
        <f t="shared" si="48"/>
        <v>0</v>
      </c>
      <c r="BK74">
        <f t="shared" si="48"/>
        <v>0</v>
      </c>
      <c r="BL74">
        <f t="shared" si="48"/>
        <v>0</v>
      </c>
      <c r="BM74">
        <f t="shared" si="48"/>
        <v>0</v>
      </c>
      <c r="BN74">
        <f t="shared" si="48"/>
        <v>0</v>
      </c>
      <c r="BO74">
        <f t="shared" si="48"/>
        <v>0</v>
      </c>
      <c r="BP74" s="1">
        <f t="shared" si="48"/>
        <v>0</v>
      </c>
      <c r="BQ74" s="1">
        <f t="shared" si="48"/>
        <v>0</v>
      </c>
      <c r="BR74" s="1">
        <f t="shared" si="48"/>
        <v>0</v>
      </c>
      <c r="BS74" s="1">
        <f t="shared" si="33"/>
        <v>73</v>
      </c>
      <c r="BT74">
        <f t="shared" si="27"/>
        <v>31</v>
      </c>
      <c r="BU74" s="1">
        <v>20</v>
      </c>
      <c r="BV74" s="1">
        <v>1</v>
      </c>
      <c r="BW74" s="1">
        <v>0.5</v>
      </c>
      <c r="BX74" s="1">
        <v>0.75</v>
      </c>
      <c r="BY74" s="1">
        <v>0</v>
      </c>
      <c r="BZ74">
        <f t="shared" si="52"/>
        <v>323.94999999999993</v>
      </c>
      <c r="CA74">
        <f t="shared" si="52"/>
        <v>0</v>
      </c>
      <c r="CB74">
        <f t="shared" si="52"/>
        <v>292.95</v>
      </c>
      <c r="CC74">
        <f t="shared" si="52"/>
        <v>0</v>
      </c>
      <c r="CD74">
        <f t="shared" si="52"/>
        <v>261.95</v>
      </c>
      <c r="CE74">
        <f t="shared" si="52"/>
        <v>0</v>
      </c>
      <c r="CF74">
        <f t="shared" si="50"/>
        <v>230.95</v>
      </c>
      <c r="CG74">
        <f t="shared" si="50"/>
        <v>0</v>
      </c>
      <c r="CH74">
        <f t="shared" si="45"/>
        <v>199.95000000000002</v>
      </c>
      <c r="CI74">
        <f t="shared" si="45"/>
        <v>0</v>
      </c>
      <c r="CJ74">
        <f t="shared" si="45"/>
        <v>168.95000000000005</v>
      </c>
      <c r="CK74">
        <f t="shared" si="45"/>
        <v>0</v>
      </c>
      <c r="CL74">
        <f t="shared" si="45"/>
        <v>137.94999999999999</v>
      </c>
      <c r="CM74">
        <f t="shared" si="45"/>
        <v>0</v>
      </c>
      <c r="CN74">
        <f t="shared" si="53"/>
        <v>485.9249999999999</v>
      </c>
      <c r="CO74">
        <f t="shared" si="53"/>
        <v>0</v>
      </c>
      <c r="CP74">
        <f t="shared" si="53"/>
        <v>439.42499999999995</v>
      </c>
      <c r="CQ74">
        <f t="shared" si="53"/>
        <v>0</v>
      </c>
      <c r="CR74">
        <f t="shared" si="53"/>
        <v>392.92499999999995</v>
      </c>
      <c r="CS74">
        <f t="shared" si="53"/>
        <v>0</v>
      </c>
      <c r="CT74">
        <f t="shared" si="51"/>
        <v>346.42499999999995</v>
      </c>
      <c r="CU74">
        <f t="shared" si="51"/>
        <v>0</v>
      </c>
      <c r="CV74">
        <f t="shared" si="46"/>
        <v>299.92500000000001</v>
      </c>
      <c r="CW74">
        <f t="shared" si="46"/>
        <v>0</v>
      </c>
      <c r="CX74">
        <f t="shared" si="46"/>
        <v>253.42500000000007</v>
      </c>
      <c r="CY74">
        <f t="shared" si="46"/>
        <v>0</v>
      </c>
      <c r="CZ74">
        <f t="shared" si="46"/>
        <v>206.92499999999998</v>
      </c>
      <c r="DA74">
        <f t="shared" si="46"/>
        <v>0</v>
      </c>
      <c r="DB74" s="74">
        <f t="shared" si="34"/>
        <v>793.20294107250584</v>
      </c>
      <c r="DC74" s="74">
        <f t="shared" si="49"/>
        <v>25.587191647500187</v>
      </c>
      <c r="DD74" s="73">
        <f t="shared" si="36"/>
        <v>1581825.7748401091</v>
      </c>
      <c r="DE74" s="74">
        <f t="shared" si="37"/>
        <v>2580.5731906795422</v>
      </c>
      <c r="DF74" s="74">
        <f t="shared" si="38"/>
        <v>83.244296473533623</v>
      </c>
      <c r="DG74" s="74">
        <f t="shared" si="39"/>
        <v>463920.46424700291</v>
      </c>
      <c r="DH74" s="74">
        <f t="shared" si="40"/>
        <v>67847.449817437286</v>
      </c>
      <c r="DI74" s="74">
        <f t="shared" si="41"/>
        <v>2188.6274134657187</v>
      </c>
      <c r="DJ74" s="74">
        <f t="shared" si="42"/>
        <v>3392.3724908718641</v>
      </c>
      <c r="DK74" s="74">
        <f t="shared" si="43"/>
        <v>2153609.3748502675</v>
      </c>
      <c r="DL74" s="74">
        <f t="shared" si="44"/>
        <v>3338094.5310179149</v>
      </c>
    </row>
    <row r="75" spans="1:116" x14ac:dyDescent="0.2">
      <c r="A75" s="96">
        <v>44228</v>
      </c>
      <c r="B75" s="4">
        <f t="shared" si="28"/>
        <v>2021</v>
      </c>
      <c r="C75" s="4">
        <f t="shared" si="29"/>
        <v>2</v>
      </c>
      <c r="D75" s="59">
        <v>41615656</v>
      </c>
      <c r="E75" s="59">
        <f>IFERROR(VLOOKUP($B75-1,CDM!$I$7:$N$18,2,FALSE)/12,0)+IFERROR(VLOOKUP($B75,CDM!$I$36:$L$46,2,FALSE)/24,0)+IFERROR(VLOOKUP($B75,CDM!$I$36:$L$46,2,FALSE)/2*$C75/78,0)</f>
        <v>2623935.5046586134</v>
      </c>
      <c r="F75" s="59">
        <f t="shared" si="30"/>
        <v>44239591.50465861</v>
      </c>
      <c r="G75" s="59">
        <v>61829</v>
      </c>
      <c r="H75" s="59">
        <v>12637438</v>
      </c>
      <c r="I75" s="59">
        <f>IFERROR(VLOOKUP($B75-1,CDM!$I$7:$N$18,3,FALSE)/12,0)+IFERROR(VLOOKUP($B75,CDM!$I$36:$L$46,3,FALSE)/24,0)+IFERROR(VLOOKUP($B75,CDM!$I$36:$L$46,3,FALSE)/2*$C75/78,0)</f>
        <v>1029681.5907226786</v>
      </c>
      <c r="J75" s="59">
        <f t="shared" si="31"/>
        <v>13667119.590722678</v>
      </c>
      <c r="K75" s="59">
        <v>5585</v>
      </c>
      <c r="L75" s="59">
        <v>60137402</v>
      </c>
      <c r="M75" s="2">
        <f>IFERROR(VLOOKUP($B75-1,CDM!$I$7:$N$18,4,FALSE)/12,0)+IFERROR(VLOOKUP($B75,CDM!$I$36:$L$46,4,FALSE)/24,0)+IFERROR(VLOOKUP($B75,CDM!$I$36:$L$46,4,FALSE)/2*$C75/78,0)</f>
        <v>3221565.9195632599</v>
      </c>
      <c r="N75" s="59">
        <f t="shared" si="32"/>
        <v>63358967.919563264</v>
      </c>
      <c r="O75" s="59">
        <v>162172</v>
      </c>
      <c r="P75" s="59">
        <v>985</v>
      </c>
      <c r="Q75" s="59">
        <v>486026</v>
      </c>
      <c r="R75" s="59">
        <v>1288</v>
      </c>
      <c r="S75" s="59">
        <v>17186</v>
      </c>
      <c r="T75" s="59">
        <v>260829</v>
      </c>
      <c r="U75" s="1">
        <v>24</v>
      </c>
      <c r="V75" s="59">
        <v>575</v>
      </c>
      <c r="W75" s="114">
        <f>Economic!J137</f>
        <v>769942</v>
      </c>
      <c r="X75" s="114">
        <f>Economic!K137</f>
        <v>596521.6</v>
      </c>
      <c r="Y75" s="114">
        <f>Economic!L137</f>
        <v>58159</v>
      </c>
      <c r="Z75" s="114">
        <f>Economic!M137</f>
        <v>800126</v>
      </c>
      <c r="AA75" s="114">
        <f>Economic!N137</f>
        <v>621238</v>
      </c>
      <c r="AB75" s="114">
        <f>Economic!O137</f>
        <v>30738</v>
      </c>
      <c r="AC75" s="114">
        <f>Economic!D137</f>
        <v>7512.3</v>
      </c>
      <c r="AD75" s="114">
        <f>Economic!E137</f>
        <v>7442.1</v>
      </c>
      <c r="AE75" s="114">
        <f>Economic!F137</f>
        <v>3471.4</v>
      </c>
      <c r="AF75" s="114">
        <f>Economic!G137</f>
        <v>3459.2</v>
      </c>
      <c r="AG75" s="114">
        <f>Economic!H137</f>
        <v>415.2</v>
      </c>
      <c r="AH75" s="114">
        <f>Economic!I137</f>
        <v>416.9</v>
      </c>
      <c r="AI75" s="114">
        <f>Economic!P149</f>
        <v>-331.10000000000036</v>
      </c>
      <c r="AJ75" s="114">
        <f>Economic!Q149</f>
        <v>-317.30000000000018</v>
      </c>
      <c r="AK75" s="114">
        <f>Economic!R149</f>
        <v>-191.30000000000018</v>
      </c>
      <c r="AL75" s="114">
        <f>Economic!S149</f>
        <v>-191.5</v>
      </c>
      <c r="AM75" s="114">
        <f>Economic!T149</f>
        <v>47323.5</v>
      </c>
      <c r="AN75" s="114">
        <f>Economic!U149</f>
        <v>12705</v>
      </c>
      <c r="AO75" s="28">
        <f>Weather!D267</f>
        <v>-3.7500000000000004</v>
      </c>
      <c r="AP75" s="28">
        <f>Weather!E267</f>
        <v>665.00000000000011</v>
      </c>
      <c r="AQ75" s="28">
        <f>Weather!F267</f>
        <v>0</v>
      </c>
      <c r="AR75" s="28">
        <f>Weather!G267</f>
        <v>609</v>
      </c>
      <c r="AS75" s="28">
        <f>Weather!H267</f>
        <v>0</v>
      </c>
      <c r="AT75" s="28">
        <f>Weather!I267</f>
        <v>553</v>
      </c>
      <c r="AU75" s="28">
        <f>Weather!J267</f>
        <v>0</v>
      </c>
      <c r="AV75" s="28">
        <f>Weather!K267</f>
        <v>496.99999999999994</v>
      </c>
      <c r="AW75" s="28">
        <f>Weather!L267</f>
        <v>0</v>
      </c>
      <c r="AX75" s="28">
        <f>Weather!M267</f>
        <v>440.99999999999994</v>
      </c>
      <c r="AY75" s="28">
        <f>Weather!N267</f>
        <v>0</v>
      </c>
      <c r="AZ75" s="28">
        <f>Weather!O267</f>
        <v>384.99999999999994</v>
      </c>
      <c r="BA75" s="28">
        <f>Weather!P267</f>
        <v>0</v>
      </c>
      <c r="BB75" s="28">
        <f>Weather!Q267</f>
        <v>329</v>
      </c>
      <c r="BC75" s="28">
        <f>Weather!R267</f>
        <v>0</v>
      </c>
      <c r="BD75">
        <f t="shared" si="48"/>
        <v>0</v>
      </c>
      <c r="BE75">
        <f t="shared" si="48"/>
        <v>1</v>
      </c>
      <c r="BF75">
        <f t="shared" si="48"/>
        <v>0</v>
      </c>
      <c r="BG75">
        <f t="shared" si="48"/>
        <v>0</v>
      </c>
      <c r="BH75">
        <f t="shared" si="48"/>
        <v>0</v>
      </c>
      <c r="BI75">
        <f t="shared" si="48"/>
        <v>0</v>
      </c>
      <c r="BJ75">
        <f t="shared" si="48"/>
        <v>0</v>
      </c>
      <c r="BK75">
        <f t="shared" si="48"/>
        <v>0</v>
      </c>
      <c r="BL75">
        <f t="shared" si="48"/>
        <v>0</v>
      </c>
      <c r="BM75">
        <f t="shared" si="48"/>
        <v>0</v>
      </c>
      <c r="BN75">
        <f t="shared" si="48"/>
        <v>0</v>
      </c>
      <c r="BO75">
        <f t="shared" si="48"/>
        <v>0</v>
      </c>
      <c r="BP75" s="1">
        <f t="shared" si="48"/>
        <v>0</v>
      </c>
      <c r="BQ75" s="1">
        <f t="shared" si="48"/>
        <v>0</v>
      </c>
      <c r="BR75" s="1">
        <f t="shared" si="48"/>
        <v>0</v>
      </c>
      <c r="BS75" s="1">
        <f t="shared" si="33"/>
        <v>74</v>
      </c>
      <c r="BT75">
        <f t="shared" si="27"/>
        <v>28</v>
      </c>
      <c r="BU75" s="1">
        <v>19</v>
      </c>
      <c r="BV75" s="1">
        <v>1</v>
      </c>
      <c r="BW75" s="1">
        <v>0.5</v>
      </c>
      <c r="BX75" s="1">
        <v>0.75</v>
      </c>
      <c r="BY75" s="1">
        <v>0</v>
      </c>
      <c r="BZ75">
        <f t="shared" si="52"/>
        <v>332.50000000000006</v>
      </c>
      <c r="CA75">
        <f t="shared" si="52"/>
        <v>0</v>
      </c>
      <c r="CB75">
        <f t="shared" si="52"/>
        <v>304.5</v>
      </c>
      <c r="CC75">
        <f t="shared" si="52"/>
        <v>0</v>
      </c>
      <c r="CD75">
        <f t="shared" si="52"/>
        <v>276.5</v>
      </c>
      <c r="CE75">
        <f t="shared" si="52"/>
        <v>0</v>
      </c>
      <c r="CF75">
        <f t="shared" si="50"/>
        <v>248.49999999999997</v>
      </c>
      <c r="CG75">
        <f t="shared" si="50"/>
        <v>0</v>
      </c>
      <c r="CH75">
        <f t="shared" si="45"/>
        <v>220.49999999999997</v>
      </c>
      <c r="CI75">
        <f t="shared" si="45"/>
        <v>0</v>
      </c>
      <c r="CJ75">
        <f t="shared" si="45"/>
        <v>192.49999999999997</v>
      </c>
      <c r="CK75">
        <f t="shared" si="45"/>
        <v>0</v>
      </c>
      <c r="CL75">
        <f t="shared" si="45"/>
        <v>164.5</v>
      </c>
      <c r="CM75">
        <f t="shared" si="45"/>
        <v>0</v>
      </c>
      <c r="CN75">
        <f t="shared" si="53"/>
        <v>498.75000000000011</v>
      </c>
      <c r="CO75">
        <f t="shared" si="53"/>
        <v>0</v>
      </c>
      <c r="CP75">
        <f t="shared" si="53"/>
        <v>456.75</v>
      </c>
      <c r="CQ75">
        <f t="shared" si="53"/>
        <v>0</v>
      </c>
      <c r="CR75">
        <f t="shared" si="53"/>
        <v>414.75</v>
      </c>
      <c r="CS75">
        <f t="shared" si="53"/>
        <v>0</v>
      </c>
      <c r="CT75">
        <f t="shared" si="51"/>
        <v>372.74999999999994</v>
      </c>
      <c r="CU75">
        <f t="shared" si="51"/>
        <v>0</v>
      </c>
      <c r="CV75">
        <f t="shared" si="46"/>
        <v>330.74999999999994</v>
      </c>
      <c r="CW75">
        <f t="shared" si="46"/>
        <v>0</v>
      </c>
      <c r="CX75">
        <f t="shared" si="46"/>
        <v>288.74999999999994</v>
      </c>
      <c r="CY75">
        <f t="shared" si="46"/>
        <v>0</v>
      </c>
      <c r="CZ75">
        <f t="shared" si="46"/>
        <v>246.75</v>
      </c>
      <c r="DA75">
        <f t="shared" si="46"/>
        <v>0</v>
      </c>
      <c r="DB75" s="74">
        <f t="shared" si="34"/>
        <v>715.51523564441618</v>
      </c>
      <c r="DC75" s="74">
        <f t="shared" si="49"/>
        <v>25.554115558729148</v>
      </c>
      <c r="DD75" s="73">
        <f t="shared" si="36"/>
        <v>1579985.4108806646</v>
      </c>
      <c r="DE75" s="74">
        <f t="shared" si="37"/>
        <v>2447.1118336119389</v>
      </c>
      <c r="DF75" s="74">
        <f t="shared" si="38"/>
        <v>87.396851200426383</v>
      </c>
      <c r="DG75" s="74">
        <f t="shared" si="39"/>
        <v>488111.41395438137</v>
      </c>
      <c r="DH75" s="74">
        <f t="shared" si="40"/>
        <v>64323.825299049</v>
      </c>
      <c r="DI75" s="74">
        <f t="shared" si="41"/>
        <v>2297.2794749660357</v>
      </c>
      <c r="DJ75" s="74">
        <f t="shared" si="42"/>
        <v>3385.4644894236317</v>
      </c>
      <c r="DK75" s="74">
        <f t="shared" si="43"/>
        <v>2262820.2828415451</v>
      </c>
      <c r="DL75" s="74">
        <f t="shared" si="44"/>
        <v>3334682.5220822771</v>
      </c>
    </row>
    <row r="76" spans="1:116" x14ac:dyDescent="0.2">
      <c r="A76" s="96">
        <v>44256</v>
      </c>
      <c r="B76" s="4">
        <f t="shared" si="28"/>
        <v>2021</v>
      </c>
      <c r="C76" s="4">
        <f t="shared" si="29"/>
        <v>3</v>
      </c>
      <c r="D76" s="59">
        <v>40594338</v>
      </c>
      <c r="E76" s="59">
        <f>IFERROR(VLOOKUP($B76-1,CDM!$I$7:$N$18,2,FALSE)/12,0)+IFERROR(VLOOKUP($B76,CDM!$I$36:$L$46,2,FALSE)/24,0)+IFERROR(VLOOKUP($B76,CDM!$I$36:$L$46,2,FALSE)/2*$C76/78,0)</f>
        <v>2624195.9892738489</v>
      </c>
      <c r="F76" s="59">
        <f t="shared" si="30"/>
        <v>43218533.989273846</v>
      </c>
      <c r="G76" s="59">
        <v>61842</v>
      </c>
      <c r="H76" s="59">
        <v>13277619</v>
      </c>
      <c r="I76" s="59">
        <f>IFERROR(VLOOKUP($B76-1,CDM!$I$7:$N$18,3,FALSE)/12,0)+IFERROR(VLOOKUP($B76,CDM!$I$36:$L$46,3,FALSE)/24,0)+IFERROR(VLOOKUP($B76,CDM!$I$36:$L$46,3,FALSE)/2*$C76/78,0)</f>
        <v>1032372.7897882678</v>
      </c>
      <c r="J76" s="59">
        <f t="shared" si="31"/>
        <v>14309991.789788269</v>
      </c>
      <c r="K76" s="59">
        <v>5589</v>
      </c>
      <c r="L76" s="59">
        <v>64279025</v>
      </c>
      <c r="M76" s="2">
        <f>IFERROR(VLOOKUP($B76-1,CDM!$I$7:$N$18,4,FALSE)/12,0)+IFERROR(VLOOKUP($B76,CDM!$I$36:$L$46,4,FALSE)/24,0)+IFERROR(VLOOKUP($B76,CDM!$I$36:$L$46,4,FALSE)/2*$C76/78,0)</f>
        <v>3241927.2187682227</v>
      </c>
      <c r="N76" s="59">
        <f t="shared" si="32"/>
        <v>67520952.218768224</v>
      </c>
      <c r="O76" s="59">
        <v>166711</v>
      </c>
      <c r="P76" s="59">
        <v>985</v>
      </c>
      <c r="Q76" s="59">
        <v>482066</v>
      </c>
      <c r="R76" s="59">
        <v>1288</v>
      </c>
      <c r="S76" s="59">
        <v>17186</v>
      </c>
      <c r="T76" s="59">
        <v>262664</v>
      </c>
      <c r="U76" s="1">
        <v>24</v>
      </c>
      <c r="V76" s="59">
        <v>575</v>
      </c>
      <c r="W76" s="114">
        <f>Economic!J138</f>
        <v>769942</v>
      </c>
      <c r="X76" s="114">
        <f>Economic!K138</f>
        <v>596521.6</v>
      </c>
      <c r="Y76" s="114">
        <f>Economic!L138</f>
        <v>58159</v>
      </c>
      <c r="Z76" s="114">
        <f>Economic!M138</f>
        <v>800126</v>
      </c>
      <c r="AA76" s="114">
        <f>Economic!N138</f>
        <v>621238</v>
      </c>
      <c r="AB76" s="114">
        <f>Economic!O138</f>
        <v>30738</v>
      </c>
      <c r="AC76" s="114">
        <f>Economic!D138</f>
        <v>7358</v>
      </c>
      <c r="AD76" s="114">
        <f>Economic!E138</f>
        <v>7256.2</v>
      </c>
      <c r="AE76" s="114">
        <f>Economic!F138</f>
        <v>3393.3</v>
      </c>
      <c r="AF76" s="114">
        <f>Economic!G138</f>
        <v>3362.4</v>
      </c>
      <c r="AG76" s="114">
        <f>Economic!H138</f>
        <v>409.1</v>
      </c>
      <c r="AH76" s="114">
        <f>Economic!I138</f>
        <v>406.9</v>
      </c>
      <c r="AI76" s="114">
        <f>Economic!P150</f>
        <v>-139.89999999999964</v>
      </c>
      <c r="AJ76" s="114">
        <f>Economic!Q150</f>
        <v>-126.69999999999982</v>
      </c>
      <c r="AK76" s="114">
        <f>Economic!R150</f>
        <v>-110.70000000000027</v>
      </c>
      <c r="AL76" s="114">
        <f>Economic!S150</f>
        <v>-110.59999999999991</v>
      </c>
      <c r="AM76" s="114">
        <f>Economic!T150</f>
        <v>47323.5</v>
      </c>
      <c r="AN76" s="114">
        <f>Economic!U150</f>
        <v>12705</v>
      </c>
      <c r="AO76" s="28">
        <f>Weather!D268</f>
        <v>3.5161290322580645</v>
      </c>
      <c r="AP76" s="28">
        <f>Weather!E268</f>
        <v>511.00000000000006</v>
      </c>
      <c r="AQ76" s="28">
        <f>Weather!F268</f>
        <v>0</v>
      </c>
      <c r="AR76" s="28">
        <f>Weather!G268</f>
        <v>449</v>
      </c>
      <c r="AS76" s="28">
        <f>Weather!H268</f>
        <v>0</v>
      </c>
      <c r="AT76" s="28">
        <f>Weather!I268</f>
        <v>387</v>
      </c>
      <c r="AU76" s="28">
        <f>Weather!J268</f>
        <v>0</v>
      </c>
      <c r="AV76" s="28">
        <f>Weather!K268</f>
        <v>325.00000000000006</v>
      </c>
      <c r="AW76" s="28">
        <f>Weather!L268</f>
        <v>0</v>
      </c>
      <c r="AX76" s="28">
        <f>Weather!M268</f>
        <v>264.5</v>
      </c>
      <c r="AY76" s="28">
        <f>Weather!N268</f>
        <v>1.5</v>
      </c>
      <c r="AZ76" s="28">
        <f>Weather!O268</f>
        <v>207.8</v>
      </c>
      <c r="BA76" s="28">
        <f>Weather!P268</f>
        <v>6.8000000000000007</v>
      </c>
      <c r="BB76" s="28">
        <f>Weather!Q268</f>
        <v>154.79999999999998</v>
      </c>
      <c r="BC76" s="28">
        <f>Weather!R268</f>
        <v>15.8</v>
      </c>
      <c r="BD76">
        <f t="shared" si="48"/>
        <v>0</v>
      </c>
      <c r="BE76">
        <f t="shared" si="48"/>
        <v>0</v>
      </c>
      <c r="BF76">
        <f t="shared" si="48"/>
        <v>1</v>
      </c>
      <c r="BG76">
        <f t="shared" si="48"/>
        <v>0</v>
      </c>
      <c r="BH76">
        <f t="shared" si="48"/>
        <v>0</v>
      </c>
      <c r="BI76">
        <f t="shared" si="48"/>
        <v>0</v>
      </c>
      <c r="BJ76">
        <f t="shared" si="48"/>
        <v>0</v>
      </c>
      <c r="BK76">
        <f t="shared" si="48"/>
        <v>0</v>
      </c>
      <c r="BL76">
        <f t="shared" si="48"/>
        <v>0</v>
      </c>
      <c r="BM76">
        <f t="shared" si="48"/>
        <v>0</v>
      </c>
      <c r="BN76">
        <f t="shared" si="48"/>
        <v>0</v>
      </c>
      <c r="BO76">
        <f t="shared" si="48"/>
        <v>0</v>
      </c>
      <c r="BP76" s="1">
        <f t="shared" si="48"/>
        <v>1</v>
      </c>
      <c r="BQ76" s="1">
        <f t="shared" si="48"/>
        <v>0</v>
      </c>
      <c r="BR76" s="1">
        <f t="shared" si="48"/>
        <v>1</v>
      </c>
      <c r="BS76" s="1">
        <f t="shared" si="33"/>
        <v>75</v>
      </c>
      <c r="BT76">
        <f t="shared" si="27"/>
        <v>31</v>
      </c>
      <c r="BU76" s="1">
        <v>23</v>
      </c>
      <c r="BV76" s="1">
        <v>1</v>
      </c>
      <c r="BW76" s="1">
        <v>0.5</v>
      </c>
      <c r="BX76" s="1">
        <v>0.75</v>
      </c>
      <c r="BY76" s="1">
        <v>0</v>
      </c>
      <c r="BZ76">
        <f t="shared" si="52"/>
        <v>255.50000000000003</v>
      </c>
      <c r="CA76">
        <f t="shared" si="52"/>
        <v>0</v>
      </c>
      <c r="CB76">
        <f t="shared" si="52"/>
        <v>224.5</v>
      </c>
      <c r="CC76">
        <f t="shared" si="52"/>
        <v>0</v>
      </c>
      <c r="CD76">
        <f t="shared" si="52"/>
        <v>193.5</v>
      </c>
      <c r="CE76">
        <f t="shared" si="52"/>
        <v>0</v>
      </c>
      <c r="CF76">
        <f t="shared" si="50"/>
        <v>162.50000000000003</v>
      </c>
      <c r="CG76">
        <f t="shared" si="50"/>
        <v>0</v>
      </c>
      <c r="CH76">
        <f t="shared" si="45"/>
        <v>132.25</v>
      </c>
      <c r="CI76">
        <f t="shared" si="45"/>
        <v>0.75</v>
      </c>
      <c r="CJ76">
        <f t="shared" si="45"/>
        <v>103.9</v>
      </c>
      <c r="CK76">
        <f t="shared" si="45"/>
        <v>3.4000000000000004</v>
      </c>
      <c r="CL76">
        <f t="shared" si="45"/>
        <v>77.399999999999991</v>
      </c>
      <c r="CM76">
        <f t="shared" si="45"/>
        <v>7.9</v>
      </c>
      <c r="CN76">
        <f t="shared" si="53"/>
        <v>383.25000000000006</v>
      </c>
      <c r="CO76">
        <f t="shared" si="53"/>
        <v>0</v>
      </c>
      <c r="CP76">
        <f t="shared" si="53"/>
        <v>336.75</v>
      </c>
      <c r="CQ76">
        <f t="shared" si="53"/>
        <v>0</v>
      </c>
      <c r="CR76">
        <f t="shared" si="53"/>
        <v>290.25</v>
      </c>
      <c r="CS76">
        <f t="shared" si="53"/>
        <v>0</v>
      </c>
      <c r="CT76">
        <f t="shared" si="51"/>
        <v>243.75000000000006</v>
      </c>
      <c r="CU76">
        <f t="shared" si="51"/>
        <v>0</v>
      </c>
      <c r="CV76">
        <f t="shared" si="46"/>
        <v>198.375</v>
      </c>
      <c r="CW76">
        <f t="shared" si="46"/>
        <v>1.125</v>
      </c>
      <c r="CX76">
        <f t="shared" si="46"/>
        <v>155.85000000000002</v>
      </c>
      <c r="CY76">
        <f t="shared" si="46"/>
        <v>5.1000000000000005</v>
      </c>
      <c r="CZ76">
        <f t="shared" si="46"/>
        <v>116.1</v>
      </c>
      <c r="DA76">
        <f t="shared" si="46"/>
        <v>11.850000000000001</v>
      </c>
      <c r="DB76" s="74">
        <f t="shared" si="34"/>
        <v>698.85407957818063</v>
      </c>
      <c r="DC76" s="74">
        <f t="shared" si="49"/>
        <v>22.543679986392924</v>
      </c>
      <c r="DD76" s="73">
        <f t="shared" si="36"/>
        <v>1394146.2577185112</v>
      </c>
      <c r="DE76" s="74">
        <f t="shared" si="37"/>
        <v>2560.3850044351884</v>
      </c>
      <c r="DF76" s="74">
        <f t="shared" si="38"/>
        <v>82.593064659199626</v>
      </c>
      <c r="DG76" s="74">
        <f t="shared" si="39"/>
        <v>461612.63838026673</v>
      </c>
      <c r="DH76" s="74">
        <f t="shared" si="40"/>
        <v>68549.19006981545</v>
      </c>
      <c r="DI76" s="74">
        <f t="shared" si="41"/>
        <v>2211.2641958004983</v>
      </c>
      <c r="DJ76" s="74">
        <f t="shared" si="42"/>
        <v>2980.3995682528457</v>
      </c>
      <c r="DK76" s="74">
        <f t="shared" si="43"/>
        <v>2178095.2328634909</v>
      </c>
      <c r="DL76" s="74">
        <f t="shared" si="44"/>
        <v>2935693.5747290533</v>
      </c>
    </row>
    <row r="77" spans="1:116" x14ac:dyDescent="0.2">
      <c r="A77" s="96">
        <v>44287</v>
      </c>
      <c r="B77" s="4">
        <f t="shared" si="28"/>
        <v>2021</v>
      </c>
      <c r="C77" s="4">
        <f t="shared" si="29"/>
        <v>4</v>
      </c>
      <c r="D77" s="59">
        <v>36540713</v>
      </c>
      <c r="E77" s="59">
        <f>IFERROR(VLOOKUP($B77-1,CDM!$I$7:$N$18,2,FALSE)/12,0)+IFERROR(VLOOKUP($B77,CDM!$I$36:$L$46,2,FALSE)/24,0)+IFERROR(VLOOKUP($B77,CDM!$I$36:$L$46,2,FALSE)/2*$C77/78,0)</f>
        <v>2624456.4738890841</v>
      </c>
      <c r="F77" s="59">
        <f t="shared" si="30"/>
        <v>39165169.473889083</v>
      </c>
      <c r="G77" s="59">
        <v>61843</v>
      </c>
      <c r="H77" s="59">
        <v>11537729</v>
      </c>
      <c r="I77" s="59">
        <f>IFERROR(VLOOKUP($B77-1,CDM!$I$7:$N$18,3,FALSE)/12,0)+IFERROR(VLOOKUP($B77,CDM!$I$36:$L$46,3,FALSE)/24,0)+IFERROR(VLOOKUP($B77,CDM!$I$36:$L$46,3,FALSE)/2*$C77/78,0)</f>
        <v>1035063.988853857</v>
      </c>
      <c r="J77" s="59">
        <f t="shared" si="31"/>
        <v>12572792.988853857</v>
      </c>
      <c r="K77" s="59">
        <v>5595</v>
      </c>
      <c r="L77" s="59">
        <v>57732433</v>
      </c>
      <c r="M77" s="2">
        <f>IFERROR(VLOOKUP($B77-1,CDM!$I$7:$N$18,4,FALSE)/12,0)+IFERROR(VLOOKUP($B77,CDM!$I$36:$L$46,4,FALSE)/24,0)+IFERROR(VLOOKUP($B77,CDM!$I$36:$L$46,4,FALSE)/2*$C77/78,0)</f>
        <v>3262288.5179731851</v>
      </c>
      <c r="N77" s="59">
        <f t="shared" si="32"/>
        <v>60994721.517973185</v>
      </c>
      <c r="O77" s="59">
        <v>164425</v>
      </c>
      <c r="P77" s="59">
        <v>983</v>
      </c>
      <c r="Q77" s="59">
        <v>407679</v>
      </c>
      <c r="R77" s="59">
        <v>1288</v>
      </c>
      <c r="S77" s="59">
        <v>17186</v>
      </c>
      <c r="T77" s="59">
        <v>260674</v>
      </c>
      <c r="U77" s="1">
        <v>24</v>
      </c>
      <c r="V77" s="59">
        <v>575</v>
      </c>
      <c r="W77" s="114">
        <f>Economic!J139</f>
        <v>769942</v>
      </c>
      <c r="X77" s="114">
        <f>Economic!K139</f>
        <v>596521.6</v>
      </c>
      <c r="Y77" s="114">
        <f>Economic!L139</f>
        <v>58159</v>
      </c>
      <c r="Z77" s="114">
        <f>Economic!M139</f>
        <v>706539</v>
      </c>
      <c r="AA77" s="114">
        <f>Economic!N139</f>
        <v>552481</v>
      </c>
      <c r="AB77" s="114">
        <f>Economic!O139</f>
        <v>20965</v>
      </c>
      <c r="AC77" s="114">
        <f>Economic!D139</f>
        <v>6963.7</v>
      </c>
      <c r="AD77" s="114">
        <f>Economic!E139</f>
        <v>6885.2</v>
      </c>
      <c r="AE77" s="114">
        <f>Economic!F139</f>
        <v>3196.7</v>
      </c>
      <c r="AF77" s="114">
        <f>Economic!G139</f>
        <v>3168</v>
      </c>
      <c r="AG77" s="114">
        <f>Economic!H139</f>
        <v>388.4</v>
      </c>
      <c r="AH77" s="114">
        <f>Economic!I139</f>
        <v>386.1</v>
      </c>
      <c r="AI77" s="114">
        <f>Economic!P151</f>
        <v>300.30000000000018</v>
      </c>
      <c r="AJ77" s="114">
        <f>Economic!Q151</f>
        <v>311.80000000000018</v>
      </c>
      <c r="AK77" s="114">
        <f>Economic!R151</f>
        <v>97</v>
      </c>
      <c r="AL77" s="114">
        <f>Economic!S151</f>
        <v>97.099999999999909</v>
      </c>
      <c r="AM77" s="114">
        <f>Economic!T151</f>
        <v>47323.5</v>
      </c>
      <c r="AN77" s="114">
        <f>Economic!U151</f>
        <v>-6066</v>
      </c>
      <c r="AO77" s="28">
        <f>Weather!D269</f>
        <v>6.7766666666666673</v>
      </c>
      <c r="AP77" s="28">
        <f>Weather!E269</f>
        <v>396.7</v>
      </c>
      <c r="AQ77" s="28">
        <f>Weather!F269</f>
        <v>0</v>
      </c>
      <c r="AR77" s="28">
        <f>Weather!G269</f>
        <v>336.7</v>
      </c>
      <c r="AS77" s="28">
        <f>Weather!H269</f>
        <v>0</v>
      </c>
      <c r="AT77" s="28">
        <f>Weather!I269</f>
        <v>276.69999999999993</v>
      </c>
      <c r="AU77" s="28">
        <f>Weather!J269</f>
        <v>0</v>
      </c>
      <c r="AV77" s="28">
        <f>Weather!K269</f>
        <v>216.7</v>
      </c>
      <c r="AW77" s="28">
        <f>Weather!L269</f>
        <v>0</v>
      </c>
      <c r="AX77" s="28">
        <f>Weather!M269</f>
        <v>156.9</v>
      </c>
      <c r="AY77" s="28">
        <f>Weather!N269</f>
        <v>0.19999999999999929</v>
      </c>
      <c r="AZ77" s="28">
        <f>Weather!O269</f>
        <v>100.4</v>
      </c>
      <c r="BA77" s="28">
        <f>Weather!P269</f>
        <v>3.6999999999999993</v>
      </c>
      <c r="BB77" s="28">
        <f>Weather!Q269</f>
        <v>51.5</v>
      </c>
      <c r="BC77" s="28">
        <f>Weather!R269</f>
        <v>14.8</v>
      </c>
      <c r="BD77">
        <f t="shared" si="48"/>
        <v>0</v>
      </c>
      <c r="BE77">
        <f t="shared" si="48"/>
        <v>0</v>
      </c>
      <c r="BF77">
        <f t="shared" si="48"/>
        <v>0</v>
      </c>
      <c r="BG77">
        <f t="shared" si="48"/>
        <v>1</v>
      </c>
      <c r="BH77">
        <f t="shared" si="48"/>
        <v>0</v>
      </c>
      <c r="BI77">
        <f t="shared" si="48"/>
        <v>0</v>
      </c>
      <c r="BJ77">
        <f t="shared" si="48"/>
        <v>0</v>
      </c>
      <c r="BK77">
        <f t="shared" si="48"/>
        <v>0</v>
      </c>
      <c r="BL77">
        <f t="shared" si="48"/>
        <v>0</v>
      </c>
      <c r="BM77">
        <f t="shared" si="48"/>
        <v>0</v>
      </c>
      <c r="BN77">
        <f t="shared" si="48"/>
        <v>0</v>
      </c>
      <c r="BO77">
        <f t="shared" si="48"/>
        <v>0</v>
      </c>
      <c r="BP77" s="1">
        <f t="shared" si="48"/>
        <v>1</v>
      </c>
      <c r="BQ77" s="1">
        <f t="shared" si="48"/>
        <v>0</v>
      </c>
      <c r="BR77" s="1">
        <f t="shared" si="48"/>
        <v>1</v>
      </c>
      <c r="BS77" s="1">
        <f t="shared" si="33"/>
        <v>76</v>
      </c>
      <c r="BT77">
        <f t="shared" si="27"/>
        <v>30</v>
      </c>
      <c r="BU77" s="1">
        <v>21</v>
      </c>
      <c r="BV77" s="1">
        <v>1</v>
      </c>
      <c r="BW77" s="1">
        <v>0.5</v>
      </c>
      <c r="BX77" s="1">
        <v>0.75</v>
      </c>
      <c r="BY77" s="1">
        <v>0</v>
      </c>
      <c r="BZ77">
        <f t="shared" si="52"/>
        <v>198.35</v>
      </c>
      <c r="CA77">
        <f t="shared" si="52"/>
        <v>0</v>
      </c>
      <c r="CB77">
        <f t="shared" si="52"/>
        <v>168.35</v>
      </c>
      <c r="CC77">
        <f t="shared" si="52"/>
        <v>0</v>
      </c>
      <c r="CD77">
        <f t="shared" si="52"/>
        <v>138.34999999999997</v>
      </c>
      <c r="CE77">
        <f t="shared" si="52"/>
        <v>0</v>
      </c>
      <c r="CF77">
        <f t="shared" si="50"/>
        <v>108.35</v>
      </c>
      <c r="CG77">
        <f t="shared" si="50"/>
        <v>0</v>
      </c>
      <c r="CH77">
        <f t="shared" si="45"/>
        <v>78.45</v>
      </c>
      <c r="CI77">
        <f t="shared" si="45"/>
        <v>9.9999999999999645E-2</v>
      </c>
      <c r="CJ77">
        <f t="shared" si="45"/>
        <v>50.2</v>
      </c>
      <c r="CK77">
        <f t="shared" si="45"/>
        <v>1.8499999999999996</v>
      </c>
      <c r="CL77">
        <f t="shared" si="45"/>
        <v>25.75</v>
      </c>
      <c r="CM77">
        <f t="shared" si="45"/>
        <v>7.4</v>
      </c>
      <c r="CN77">
        <f t="shared" si="53"/>
        <v>297.52499999999998</v>
      </c>
      <c r="CO77">
        <f t="shared" si="53"/>
        <v>0</v>
      </c>
      <c r="CP77">
        <f t="shared" si="53"/>
        <v>252.52499999999998</v>
      </c>
      <c r="CQ77">
        <f t="shared" si="53"/>
        <v>0</v>
      </c>
      <c r="CR77">
        <f t="shared" si="53"/>
        <v>207.52499999999995</v>
      </c>
      <c r="CS77">
        <f t="shared" si="53"/>
        <v>0</v>
      </c>
      <c r="CT77">
        <f t="shared" si="51"/>
        <v>162.52499999999998</v>
      </c>
      <c r="CU77">
        <f t="shared" si="51"/>
        <v>0</v>
      </c>
      <c r="CV77">
        <f t="shared" si="46"/>
        <v>117.67500000000001</v>
      </c>
      <c r="CW77">
        <f t="shared" si="46"/>
        <v>0.14999999999999947</v>
      </c>
      <c r="CX77">
        <f t="shared" si="46"/>
        <v>75.300000000000011</v>
      </c>
      <c r="CY77">
        <f t="shared" si="46"/>
        <v>2.7749999999999995</v>
      </c>
      <c r="CZ77">
        <f t="shared" si="46"/>
        <v>38.625</v>
      </c>
      <c r="DA77">
        <f t="shared" si="46"/>
        <v>11.100000000000001</v>
      </c>
      <c r="DB77" s="74">
        <f t="shared" si="34"/>
        <v>633.29996076983787</v>
      </c>
      <c r="DC77" s="74">
        <f t="shared" si="49"/>
        <v>21.109998692327927</v>
      </c>
      <c r="DD77" s="73">
        <f t="shared" si="36"/>
        <v>1305505.6491296361</v>
      </c>
      <c r="DE77" s="74">
        <f t="shared" si="37"/>
        <v>2247.1479872839782</v>
      </c>
      <c r="DF77" s="74">
        <f t="shared" si="38"/>
        <v>74.904932909465941</v>
      </c>
      <c r="DG77" s="74">
        <f t="shared" si="39"/>
        <v>419093.09962846187</v>
      </c>
      <c r="DH77" s="74">
        <f t="shared" si="40"/>
        <v>62049.564107805883</v>
      </c>
      <c r="DI77" s="74">
        <f t="shared" si="41"/>
        <v>2068.3188035935295</v>
      </c>
      <c r="DJ77" s="74">
        <f t="shared" si="42"/>
        <v>2954.7411479907564</v>
      </c>
      <c r="DK77" s="74">
        <f t="shared" si="43"/>
        <v>2033157.3839324394</v>
      </c>
      <c r="DL77" s="74">
        <f t="shared" si="44"/>
        <v>2904510.5484749135</v>
      </c>
    </row>
    <row r="78" spans="1:116" x14ac:dyDescent="0.2">
      <c r="A78" s="96">
        <v>44317</v>
      </c>
      <c r="B78" s="4">
        <f t="shared" si="28"/>
        <v>2021</v>
      </c>
      <c r="C78" s="4">
        <f t="shared" si="29"/>
        <v>5</v>
      </c>
      <c r="D78" s="59">
        <v>44492349</v>
      </c>
      <c r="E78" s="59">
        <f>IFERROR(VLOOKUP($B78-1,CDM!$I$7:$N$18,2,FALSE)/12,0)+IFERROR(VLOOKUP($B78,CDM!$I$36:$L$46,2,FALSE)/24,0)+IFERROR(VLOOKUP($B78,CDM!$I$36:$L$46,2,FALSE)/2*$C78/78,0)</f>
        <v>2624716.9585043197</v>
      </c>
      <c r="F78" s="59">
        <f t="shared" si="30"/>
        <v>47117065.958504319</v>
      </c>
      <c r="G78" s="59">
        <v>61858</v>
      </c>
      <c r="H78" s="59">
        <v>12109495</v>
      </c>
      <c r="I78" s="59">
        <f>IFERROR(VLOOKUP($B78-1,CDM!$I$7:$N$18,3,FALSE)/12,0)+IFERROR(VLOOKUP($B78,CDM!$I$36:$L$46,3,FALSE)/24,0)+IFERROR(VLOOKUP($B78,CDM!$I$36:$L$46,3,FALSE)/2*$C78/78,0)</f>
        <v>1037755.1879194463</v>
      </c>
      <c r="J78" s="59">
        <f t="shared" si="31"/>
        <v>13147250.187919445</v>
      </c>
      <c r="K78" s="59">
        <v>5611</v>
      </c>
      <c r="L78" s="59">
        <v>60945365</v>
      </c>
      <c r="M78" s="2">
        <f>IFERROR(VLOOKUP($B78-1,CDM!$I$7:$N$18,4,FALSE)/12,0)+IFERROR(VLOOKUP($B78,CDM!$I$36:$L$46,4,FALSE)/24,0)+IFERROR(VLOOKUP($B78,CDM!$I$36:$L$46,4,FALSE)/2*$C78/78,0)</f>
        <v>3282649.8171781478</v>
      </c>
      <c r="N78" s="59">
        <f t="shared" si="32"/>
        <v>64228014.817178145</v>
      </c>
      <c r="O78" s="59">
        <v>178621</v>
      </c>
      <c r="P78" s="59">
        <v>986</v>
      </c>
      <c r="Q78" s="59">
        <v>370955</v>
      </c>
      <c r="R78" s="59">
        <v>1288</v>
      </c>
      <c r="S78" s="59">
        <v>17186</v>
      </c>
      <c r="T78" s="59">
        <v>261211</v>
      </c>
      <c r="U78" s="1">
        <v>24</v>
      </c>
      <c r="V78" s="59">
        <v>575</v>
      </c>
      <c r="W78" s="114">
        <f>Economic!J140</f>
        <v>769942</v>
      </c>
      <c r="X78" s="114">
        <f>Economic!K140</f>
        <v>596521.6</v>
      </c>
      <c r="Y78" s="114">
        <f>Economic!L140</f>
        <v>58159</v>
      </c>
      <c r="Z78" s="114">
        <f>Economic!M140</f>
        <v>706539</v>
      </c>
      <c r="AA78" s="114">
        <f>Economic!N140</f>
        <v>552481</v>
      </c>
      <c r="AB78" s="114">
        <f>Economic!O140</f>
        <v>20965</v>
      </c>
      <c r="AC78" s="114">
        <f>Economic!D140</f>
        <v>6568.2</v>
      </c>
      <c r="AD78" s="114">
        <f>Economic!E140</f>
        <v>6536.7</v>
      </c>
      <c r="AE78" s="114">
        <f>Economic!F140</f>
        <v>2985.2</v>
      </c>
      <c r="AF78" s="114">
        <f>Economic!G140</f>
        <v>2973.2</v>
      </c>
      <c r="AG78" s="114">
        <f>Economic!H140</f>
        <v>363</v>
      </c>
      <c r="AH78" s="114">
        <f>Economic!I140</f>
        <v>360.3</v>
      </c>
      <c r="AI78" s="114">
        <f>Economic!P152</f>
        <v>691.10000000000036</v>
      </c>
      <c r="AJ78" s="114">
        <f>Economic!Q152</f>
        <v>701</v>
      </c>
      <c r="AK78" s="114">
        <f>Economic!R152</f>
        <v>302.90000000000009</v>
      </c>
      <c r="AL78" s="114">
        <f>Economic!S152</f>
        <v>305.40000000000009</v>
      </c>
      <c r="AM78" s="114">
        <f>Economic!T152</f>
        <v>47323.5</v>
      </c>
      <c r="AN78" s="114">
        <f>Economic!U152</f>
        <v>-6066</v>
      </c>
      <c r="AO78" s="28">
        <f>Weather!D270</f>
        <v>13.167741935483869</v>
      </c>
      <c r="AP78" s="28">
        <f>Weather!E270</f>
        <v>219.29999999999998</v>
      </c>
      <c r="AQ78" s="28">
        <f>Weather!F270</f>
        <v>7.5</v>
      </c>
      <c r="AR78" s="28">
        <f>Weather!G270</f>
        <v>166.4</v>
      </c>
      <c r="AS78" s="28">
        <f>Weather!H270</f>
        <v>16.600000000000001</v>
      </c>
      <c r="AT78" s="28">
        <f>Weather!I270</f>
        <v>119.70000000000002</v>
      </c>
      <c r="AU78" s="28">
        <f>Weather!J270</f>
        <v>31.900000000000002</v>
      </c>
      <c r="AV78" s="28">
        <f>Weather!K270</f>
        <v>79.400000000000006</v>
      </c>
      <c r="AW78" s="28">
        <f>Weather!L270</f>
        <v>53.6</v>
      </c>
      <c r="AX78" s="28">
        <f>Weather!M270</f>
        <v>45.9</v>
      </c>
      <c r="AY78" s="28">
        <f>Weather!N270</f>
        <v>82.100000000000023</v>
      </c>
      <c r="AZ78" s="28">
        <f>Weather!O270</f>
        <v>19.300000000000004</v>
      </c>
      <c r="BA78" s="28">
        <f>Weather!P270</f>
        <v>117.50000000000003</v>
      </c>
      <c r="BB78" s="28">
        <f>Weather!Q270</f>
        <v>3.8</v>
      </c>
      <c r="BC78" s="28">
        <f>Weather!R270</f>
        <v>164.00000000000003</v>
      </c>
      <c r="BD78">
        <f t="shared" si="48"/>
        <v>0</v>
      </c>
      <c r="BE78">
        <f t="shared" si="48"/>
        <v>0</v>
      </c>
      <c r="BF78">
        <f t="shared" si="48"/>
        <v>0</v>
      </c>
      <c r="BG78">
        <f t="shared" si="48"/>
        <v>0</v>
      </c>
      <c r="BH78">
        <f t="shared" si="48"/>
        <v>1</v>
      </c>
      <c r="BI78">
        <f t="shared" si="48"/>
        <v>0</v>
      </c>
      <c r="BJ78">
        <f t="shared" si="48"/>
        <v>0</v>
      </c>
      <c r="BK78">
        <f t="shared" si="48"/>
        <v>0</v>
      </c>
      <c r="BL78">
        <f t="shared" si="48"/>
        <v>0</v>
      </c>
      <c r="BM78">
        <f t="shared" si="48"/>
        <v>0</v>
      </c>
      <c r="BN78">
        <f t="shared" si="48"/>
        <v>0</v>
      </c>
      <c r="BO78">
        <f t="shared" si="48"/>
        <v>0</v>
      </c>
      <c r="BP78" s="1">
        <f t="shared" si="48"/>
        <v>1</v>
      </c>
      <c r="BQ78" s="1">
        <f t="shared" si="48"/>
        <v>0</v>
      </c>
      <c r="BR78" s="1">
        <f t="shared" si="48"/>
        <v>1</v>
      </c>
      <c r="BS78" s="1">
        <f t="shared" si="33"/>
        <v>77</v>
      </c>
      <c r="BT78">
        <f t="shared" si="27"/>
        <v>31</v>
      </c>
      <c r="BU78" s="1">
        <v>20</v>
      </c>
      <c r="BV78" s="1">
        <v>1</v>
      </c>
      <c r="BW78" s="1">
        <v>0.5</v>
      </c>
      <c r="BX78" s="1">
        <v>0.75</v>
      </c>
      <c r="BY78" s="1">
        <v>0</v>
      </c>
      <c r="BZ78">
        <f t="shared" si="52"/>
        <v>109.64999999999999</v>
      </c>
      <c r="CA78">
        <f t="shared" si="52"/>
        <v>3.75</v>
      </c>
      <c r="CB78">
        <f t="shared" si="52"/>
        <v>83.2</v>
      </c>
      <c r="CC78">
        <f t="shared" si="52"/>
        <v>8.3000000000000007</v>
      </c>
      <c r="CD78">
        <f t="shared" si="52"/>
        <v>59.850000000000009</v>
      </c>
      <c r="CE78">
        <f t="shared" si="52"/>
        <v>15.950000000000001</v>
      </c>
      <c r="CF78">
        <f t="shared" si="50"/>
        <v>39.700000000000003</v>
      </c>
      <c r="CG78">
        <f t="shared" si="50"/>
        <v>26.8</v>
      </c>
      <c r="CH78">
        <f t="shared" si="45"/>
        <v>22.95</v>
      </c>
      <c r="CI78">
        <f t="shared" si="45"/>
        <v>41.050000000000011</v>
      </c>
      <c r="CJ78">
        <f t="shared" si="45"/>
        <v>9.6500000000000021</v>
      </c>
      <c r="CK78">
        <f t="shared" si="45"/>
        <v>58.750000000000014</v>
      </c>
      <c r="CL78">
        <f t="shared" si="45"/>
        <v>1.9</v>
      </c>
      <c r="CM78">
        <f t="shared" si="45"/>
        <v>82.000000000000014</v>
      </c>
      <c r="CN78">
        <f t="shared" si="53"/>
        <v>164.47499999999999</v>
      </c>
      <c r="CO78">
        <f t="shared" si="53"/>
        <v>5.625</v>
      </c>
      <c r="CP78">
        <f t="shared" si="53"/>
        <v>124.80000000000001</v>
      </c>
      <c r="CQ78">
        <f t="shared" si="53"/>
        <v>12.450000000000001</v>
      </c>
      <c r="CR78">
        <f t="shared" si="53"/>
        <v>89.775000000000006</v>
      </c>
      <c r="CS78">
        <f t="shared" si="53"/>
        <v>23.925000000000001</v>
      </c>
      <c r="CT78">
        <f t="shared" si="51"/>
        <v>59.550000000000004</v>
      </c>
      <c r="CU78">
        <f t="shared" si="51"/>
        <v>40.200000000000003</v>
      </c>
      <c r="CV78">
        <f t="shared" si="46"/>
        <v>34.424999999999997</v>
      </c>
      <c r="CW78">
        <f t="shared" si="46"/>
        <v>61.575000000000017</v>
      </c>
      <c r="CX78">
        <f t="shared" si="46"/>
        <v>14.475000000000003</v>
      </c>
      <c r="CY78">
        <f t="shared" si="46"/>
        <v>88.125000000000028</v>
      </c>
      <c r="CZ78">
        <f t="shared" si="46"/>
        <v>2.8499999999999996</v>
      </c>
      <c r="DA78">
        <f t="shared" si="46"/>
        <v>123.00000000000003</v>
      </c>
      <c r="DB78" s="74">
        <f t="shared" si="34"/>
        <v>761.69720906761165</v>
      </c>
      <c r="DC78" s="74">
        <f t="shared" si="49"/>
        <v>24.57087771185844</v>
      </c>
      <c r="DD78" s="73">
        <f t="shared" si="36"/>
        <v>1519905.3535001394</v>
      </c>
      <c r="DE78" s="74">
        <f t="shared" si="37"/>
        <v>2343.1206893458289</v>
      </c>
      <c r="DF78" s="74">
        <f t="shared" si="38"/>
        <v>75.584538365994476</v>
      </c>
      <c r="DG78" s="74">
        <f t="shared" si="39"/>
        <v>424104.84477159503</v>
      </c>
      <c r="DH78" s="74">
        <f t="shared" si="40"/>
        <v>65139.97445961272</v>
      </c>
      <c r="DI78" s="74">
        <f t="shared" si="41"/>
        <v>2101.2894986971846</v>
      </c>
      <c r="DJ78" s="74">
        <f t="shared" si="42"/>
        <v>3256.9987229806361</v>
      </c>
      <c r="DK78" s="74">
        <f t="shared" si="43"/>
        <v>2071871.4457154241</v>
      </c>
      <c r="DL78" s="74">
        <f t="shared" si="44"/>
        <v>3211400.7408589073</v>
      </c>
    </row>
    <row r="79" spans="1:116" x14ac:dyDescent="0.2">
      <c r="A79" s="96">
        <v>44348</v>
      </c>
      <c r="B79" s="4">
        <f t="shared" si="28"/>
        <v>2021</v>
      </c>
      <c r="C79" s="4">
        <f t="shared" si="29"/>
        <v>6</v>
      </c>
      <c r="D79" s="59">
        <v>51882413</v>
      </c>
      <c r="E79" s="59">
        <f>IFERROR(VLOOKUP($B79-1,CDM!$I$7:$N$18,2,FALSE)/12,0)+IFERROR(VLOOKUP($B79,CDM!$I$36:$L$46,2,FALSE)/24,0)+IFERROR(VLOOKUP($B79,CDM!$I$36:$L$46,2,FALSE)/2*$C79/78,0)</f>
        <v>2624977.4431195552</v>
      </c>
      <c r="F79" s="59">
        <f t="shared" si="30"/>
        <v>54507390.443119556</v>
      </c>
      <c r="G79" s="59">
        <v>61804</v>
      </c>
      <c r="H79" s="59">
        <v>12471362</v>
      </c>
      <c r="I79" s="59">
        <f>IFERROR(VLOOKUP($B79-1,CDM!$I$7:$N$18,3,FALSE)/12,0)+IFERROR(VLOOKUP($B79,CDM!$I$36:$L$46,3,FALSE)/24,0)+IFERROR(VLOOKUP($B79,CDM!$I$36:$L$46,3,FALSE)/2*$C79/78,0)</f>
        <v>1040446.3869850356</v>
      </c>
      <c r="J79" s="59">
        <f t="shared" si="31"/>
        <v>13511808.386985036</v>
      </c>
      <c r="K79" s="59">
        <v>5608</v>
      </c>
      <c r="L79" s="59">
        <v>70459060</v>
      </c>
      <c r="M79" s="2">
        <f>IFERROR(VLOOKUP($B79-1,CDM!$I$7:$N$18,4,FALSE)/12,0)+IFERROR(VLOOKUP($B79,CDM!$I$36:$L$46,4,FALSE)/24,0)+IFERROR(VLOOKUP($B79,CDM!$I$36:$L$46,4,FALSE)/2*$C79/78,0)</f>
        <v>3303011.1163831106</v>
      </c>
      <c r="N79" s="59">
        <f t="shared" si="32"/>
        <v>73762071.116383106</v>
      </c>
      <c r="O79" s="59">
        <v>196847</v>
      </c>
      <c r="P79" s="59">
        <v>989</v>
      </c>
      <c r="Q79" s="59">
        <v>333043</v>
      </c>
      <c r="R79" s="59">
        <v>1288</v>
      </c>
      <c r="S79" s="59">
        <v>17186</v>
      </c>
      <c r="T79" s="59">
        <v>261182</v>
      </c>
      <c r="U79" s="1">
        <v>24</v>
      </c>
      <c r="V79" s="59">
        <v>573</v>
      </c>
      <c r="W79" s="114">
        <f>Economic!J141</f>
        <v>769942</v>
      </c>
      <c r="X79" s="114">
        <f>Economic!K141</f>
        <v>596521.6</v>
      </c>
      <c r="Y79" s="114">
        <f>Economic!L141</f>
        <v>58159</v>
      </c>
      <c r="Z79" s="114">
        <f>Economic!M141</f>
        <v>706539</v>
      </c>
      <c r="AA79" s="114">
        <f>Economic!N141</f>
        <v>552481</v>
      </c>
      <c r="AB79" s="114">
        <f>Economic!O141</f>
        <v>20965</v>
      </c>
      <c r="AC79" s="114">
        <f>Economic!D141</f>
        <v>6459.7</v>
      </c>
      <c r="AD79" s="114">
        <f>Economic!E141</f>
        <v>6498.5</v>
      </c>
      <c r="AE79" s="114">
        <f>Economic!F141</f>
        <v>2919</v>
      </c>
      <c r="AF79" s="114">
        <f>Economic!G141</f>
        <v>2935.8</v>
      </c>
      <c r="AG79" s="114">
        <f>Economic!H141</f>
        <v>354.1</v>
      </c>
      <c r="AH79" s="114">
        <f>Economic!I141</f>
        <v>352.6</v>
      </c>
      <c r="AI79" s="114">
        <f>Economic!P153</f>
        <v>785.60000000000036</v>
      </c>
      <c r="AJ79" s="114">
        <f>Economic!Q153</f>
        <v>794.5</v>
      </c>
      <c r="AK79" s="114">
        <f>Economic!R153</f>
        <v>372.30000000000018</v>
      </c>
      <c r="AL79" s="114">
        <f>Economic!S153</f>
        <v>375.69999999999982</v>
      </c>
      <c r="AM79" s="114">
        <f>Economic!T153</f>
        <v>47323.5</v>
      </c>
      <c r="AN79" s="114">
        <f>Economic!U153</f>
        <v>-6066</v>
      </c>
      <c r="AO79" s="28">
        <f>Weather!D271</f>
        <v>20.980000000000004</v>
      </c>
      <c r="AP79" s="28">
        <f>Weather!E271</f>
        <v>28.7</v>
      </c>
      <c r="AQ79" s="28">
        <f>Weather!F271</f>
        <v>58.1</v>
      </c>
      <c r="AR79" s="28">
        <f>Weather!G271</f>
        <v>7.7999999999999989</v>
      </c>
      <c r="AS79" s="28">
        <f>Weather!H271</f>
        <v>97.200000000000017</v>
      </c>
      <c r="AT79" s="28">
        <f>Weather!I271</f>
        <v>1.4000000000000004</v>
      </c>
      <c r="AU79" s="28">
        <f>Weather!J271</f>
        <v>150.79999999999998</v>
      </c>
      <c r="AV79" s="28">
        <f>Weather!K271</f>
        <v>0</v>
      </c>
      <c r="AW79" s="28">
        <f>Weather!L271</f>
        <v>209.39999999999995</v>
      </c>
      <c r="AX79" s="28">
        <f>Weather!M271</f>
        <v>0</v>
      </c>
      <c r="AY79" s="28">
        <f>Weather!N271</f>
        <v>269.39999999999998</v>
      </c>
      <c r="AZ79" s="28">
        <f>Weather!O271</f>
        <v>0</v>
      </c>
      <c r="BA79" s="28">
        <f>Weather!P271</f>
        <v>329.39999999999992</v>
      </c>
      <c r="BB79" s="28">
        <f>Weather!Q271</f>
        <v>0</v>
      </c>
      <c r="BC79" s="28">
        <f>Weather!R271</f>
        <v>389.40000000000003</v>
      </c>
      <c r="BD79">
        <f t="shared" ref="BD79:BR94" si="54">BD67</f>
        <v>0</v>
      </c>
      <c r="BE79">
        <f t="shared" si="54"/>
        <v>0</v>
      </c>
      <c r="BF79">
        <f t="shared" si="54"/>
        <v>0</v>
      </c>
      <c r="BG79">
        <f t="shared" si="54"/>
        <v>0</v>
      </c>
      <c r="BH79">
        <f t="shared" si="54"/>
        <v>0</v>
      </c>
      <c r="BI79">
        <f t="shared" si="54"/>
        <v>1</v>
      </c>
      <c r="BJ79">
        <f t="shared" si="54"/>
        <v>0</v>
      </c>
      <c r="BK79">
        <f t="shared" si="54"/>
        <v>0</v>
      </c>
      <c r="BL79">
        <f t="shared" si="54"/>
        <v>0</v>
      </c>
      <c r="BM79">
        <f t="shared" si="54"/>
        <v>0</v>
      </c>
      <c r="BN79">
        <f t="shared" si="54"/>
        <v>0</v>
      </c>
      <c r="BO79">
        <f t="shared" si="54"/>
        <v>0</v>
      </c>
      <c r="BP79" s="1">
        <f t="shared" si="54"/>
        <v>0</v>
      </c>
      <c r="BQ79" s="1">
        <f t="shared" si="54"/>
        <v>0</v>
      </c>
      <c r="BR79" s="1">
        <f t="shared" si="54"/>
        <v>0</v>
      </c>
      <c r="BS79" s="1">
        <f t="shared" si="33"/>
        <v>78</v>
      </c>
      <c r="BT79">
        <f t="shared" si="27"/>
        <v>30</v>
      </c>
      <c r="BU79" s="1">
        <v>22</v>
      </c>
      <c r="BV79" s="1">
        <v>1</v>
      </c>
      <c r="BW79" s="1">
        <v>0.5</v>
      </c>
      <c r="BX79" s="1">
        <v>0.75</v>
      </c>
      <c r="BY79" s="1">
        <v>0</v>
      </c>
      <c r="BZ79">
        <f t="shared" si="52"/>
        <v>14.35</v>
      </c>
      <c r="CA79">
        <f t="shared" si="52"/>
        <v>29.05</v>
      </c>
      <c r="CB79">
        <f t="shared" si="52"/>
        <v>3.8999999999999995</v>
      </c>
      <c r="CC79">
        <f t="shared" si="52"/>
        <v>48.600000000000009</v>
      </c>
      <c r="CD79">
        <f t="shared" si="52"/>
        <v>0.70000000000000018</v>
      </c>
      <c r="CE79">
        <f t="shared" si="52"/>
        <v>75.399999999999991</v>
      </c>
      <c r="CF79">
        <f t="shared" si="50"/>
        <v>0</v>
      </c>
      <c r="CG79">
        <f t="shared" si="50"/>
        <v>104.69999999999997</v>
      </c>
      <c r="CH79">
        <f t="shared" si="45"/>
        <v>0</v>
      </c>
      <c r="CI79">
        <f t="shared" si="45"/>
        <v>134.69999999999999</v>
      </c>
      <c r="CJ79">
        <f t="shared" si="45"/>
        <v>0</v>
      </c>
      <c r="CK79">
        <f t="shared" si="45"/>
        <v>164.69999999999996</v>
      </c>
      <c r="CL79">
        <f t="shared" si="45"/>
        <v>0</v>
      </c>
      <c r="CM79">
        <f t="shared" si="45"/>
        <v>194.70000000000002</v>
      </c>
      <c r="CN79">
        <f t="shared" si="53"/>
        <v>21.524999999999999</v>
      </c>
      <c r="CO79">
        <f t="shared" si="53"/>
        <v>43.575000000000003</v>
      </c>
      <c r="CP79">
        <f t="shared" si="53"/>
        <v>5.85</v>
      </c>
      <c r="CQ79">
        <f t="shared" si="53"/>
        <v>72.900000000000006</v>
      </c>
      <c r="CR79">
        <f t="shared" si="53"/>
        <v>1.0500000000000003</v>
      </c>
      <c r="CS79">
        <f t="shared" si="53"/>
        <v>113.1</v>
      </c>
      <c r="CT79">
        <f t="shared" si="51"/>
        <v>0</v>
      </c>
      <c r="CU79">
        <f t="shared" si="51"/>
        <v>157.04999999999995</v>
      </c>
      <c r="CV79">
        <f t="shared" si="46"/>
        <v>0</v>
      </c>
      <c r="CW79">
        <f t="shared" si="46"/>
        <v>202.04999999999998</v>
      </c>
      <c r="CX79">
        <f t="shared" si="46"/>
        <v>0</v>
      </c>
      <c r="CY79">
        <f t="shared" si="46"/>
        <v>247.04999999999995</v>
      </c>
      <c r="CZ79">
        <f t="shared" si="46"/>
        <v>0</v>
      </c>
      <c r="DA79">
        <f t="shared" si="46"/>
        <v>292.05</v>
      </c>
      <c r="DB79" s="74">
        <f t="shared" si="34"/>
        <v>881.93952564752374</v>
      </c>
      <c r="DC79" s="74">
        <f t="shared" si="49"/>
        <v>29.397984188250792</v>
      </c>
      <c r="DD79" s="73">
        <f t="shared" si="36"/>
        <v>1816913.0147706519</v>
      </c>
      <c r="DE79" s="74">
        <f t="shared" si="37"/>
        <v>2409.3809534566753</v>
      </c>
      <c r="DF79" s="74">
        <f t="shared" si="38"/>
        <v>80.312698448555849</v>
      </c>
      <c r="DG79" s="74">
        <f t="shared" si="39"/>
        <v>450393.61289950117</v>
      </c>
      <c r="DH79" s="74">
        <f t="shared" si="40"/>
        <v>74582.478378547123</v>
      </c>
      <c r="DI79" s="74">
        <f t="shared" si="41"/>
        <v>2486.0826126182374</v>
      </c>
      <c r="DJ79" s="74">
        <f t="shared" si="42"/>
        <v>3390.1126535703238</v>
      </c>
      <c r="DK79" s="74">
        <f t="shared" si="43"/>
        <v>2458735.7038794369</v>
      </c>
      <c r="DL79" s="74">
        <f t="shared" si="44"/>
        <v>3352821.41438105</v>
      </c>
    </row>
    <row r="80" spans="1:116" x14ac:dyDescent="0.2">
      <c r="A80" s="96">
        <v>44378</v>
      </c>
      <c r="B80" s="4">
        <f t="shared" si="28"/>
        <v>2021</v>
      </c>
      <c r="C80" s="4">
        <f t="shared" si="29"/>
        <v>7</v>
      </c>
      <c r="D80" s="59">
        <v>59111033</v>
      </c>
      <c r="E80" s="59">
        <f>IFERROR(VLOOKUP($B80-1,CDM!$I$7:$N$18,2,FALSE)/12,0)+IFERROR(VLOOKUP($B80,CDM!$I$36:$L$46,2,FALSE)/24,0)+IFERROR(VLOOKUP($B80,CDM!$I$36:$L$46,2,FALSE)/2*$C80/78,0)</f>
        <v>2625237.9277347904</v>
      </c>
      <c r="F80" s="59">
        <f t="shared" si="30"/>
        <v>61736270.927734792</v>
      </c>
      <c r="G80" s="59">
        <v>61813</v>
      </c>
      <c r="H80" s="59">
        <v>14306818</v>
      </c>
      <c r="I80" s="59">
        <f>IFERROR(VLOOKUP($B80-1,CDM!$I$7:$N$18,3,FALSE)/12,0)+IFERROR(VLOOKUP($B80,CDM!$I$36:$L$46,3,FALSE)/24,0)+IFERROR(VLOOKUP($B80,CDM!$I$36:$L$46,3,FALSE)/2*$C80/78,0)</f>
        <v>1043137.5860506248</v>
      </c>
      <c r="J80" s="59">
        <f t="shared" si="31"/>
        <v>15349955.586050624</v>
      </c>
      <c r="K80" s="59">
        <v>5611</v>
      </c>
      <c r="L80" s="59">
        <v>73455746</v>
      </c>
      <c r="M80" s="2">
        <f>IFERROR(VLOOKUP($B80-1,CDM!$I$7:$N$18,4,FALSE)/12,0)+IFERROR(VLOOKUP($B80,CDM!$I$36:$L$46,4,FALSE)/24,0)+IFERROR(VLOOKUP($B80,CDM!$I$36:$L$46,4,FALSE)/2*$C80/78,0)</f>
        <v>3323372.415588073</v>
      </c>
      <c r="N80" s="59">
        <f t="shared" si="32"/>
        <v>76779118.415588066</v>
      </c>
      <c r="O80" s="59">
        <v>194537</v>
      </c>
      <c r="P80" s="59">
        <v>986</v>
      </c>
      <c r="Q80" s="59">
        <v>357675</v>
      </c>
      <c r="R80" s="59">
        <v>1288</v>
      </c>
      <c r="S80" s="59">
        <v>17186</v>
      </c>
      <c r="T80" s="59">
        <v>261182</v>
      </c>
      <c r="U80" s="1">
        <v>24</v>
      </c>
      <c r="V80" s="59">
        <v>573</v>
      </c>
      <c r="W80" s="114">
        <f>Economic!J142</f>
        <v>769942</v>
      </c>
      <c r="X80" s="114">
        <f>Economic!K142</f>
        <v>596521.6</v>
      </c>
      <c r="Y80" s="114">
        <f>Economic!L142</f>
        <v>58159</v>
      </c>
      <c r="Z80" s="114">
        <f>Economic!M142</f>
        <v>777225</v>
      </c>
      <c r="AA80" s="114">
        <f>Economic!N142</f>
        <v>598852</v>
      </c>
      <c r="AB80" s="114">
        <f>Economic!O142</f>
        <v>22145</v>
      </c>
      <c r="AC80" s="114">
        <f>Economic!D142</f>
        <v>6643.5</v>
      </c>
      <c r="AD80" s="114">
        <f>Economic!E142</f>
        <v>6711.9</v>
      </c>
      <c r="AE80" s="114">
        <f>Economic!F142</f>
        <v>2981.2</v>
      </c>
      <c r="AF80" s="114">
        <f>Economic!G142</f>
        <v>3017.9</v>
      </c>
      <c r="AG80" s="114">
        <f>Economic!H142</f>
        <v>364.7</v>
      </c>
      <c r="AH80" s="114">
        <f>Economic!I142</f>
        <v>363.9</v>
      </c>
      <c r="AI80" s="114">
        <f>Economic!P154</f>
        <v>667.89999999999964</v>
      </c>
      <c r="AJ80" s="114">
        <f>Economic!Q154</f>
        <v>679.90000000000055</v>
      </c>
      <c r="AK80" s="114">
        <f>Economic!R154</f>
        <v>350.30000000000018</v>
      </c>
      <c r="AL80" s="114">
        <f>Economic!S154</f>
        <v>354.59999999999991</v>
      </c>
      <c r="AM80" s="114">
        <f>Economic!T154</f>
        <v>47323.5</v>
      </c>
      <c r="AN80" s="114">
        <f>Economic!U154</f>
        <v>17046</v>
      </c>
      <c r="AO80" s="28">
        <f>Weather!D272</f>
        <v>21.56451612903226</v>
      </c>
      <c r="AP80" s="28">
        <f>Weather!E272</f>
        <v>15</v>
      </c>
      <c r="AQ80" s="28">
        <f>Weather!F272</f>
        <v>63.5</v>
      </c>
      <c r="AR80" s="28">
        <f>Weather!G272</f>
        <v>0.70000000000000284</v>
      </c>
      <c r="AS80" s="28">
        <f>Weather!H272</f>
        <v>111.20000000000002</v>
      </c>
      <c r="AT80" s="28">
        <f>Weather!I272</f>
        <v>0</v>
      </c>
      <c r="AU80" s="28">
        <f>Weather!J272</f>
        <v>172.5</v>
      </c>
      <c r="AV80" s="28">
        <f>Weather!K272</f>
        <v>0</v>
      </c>
      <c r="AW80" s="28">
        <f>Weather!L272</f>
        <v>234.5</v>
      </c>
      <c r="AX80" s="28">
        <f>Weather!M272</f>
        <v>0</v>
      </c>
      <c r="AY80" s="28">
        <f>Weather!N272</f>
        <v>296.5</v>
      </c>
      <c r="AZ80" s="28">
        <f>Weather!O272</f>
        <v>0</v>
      </c>
      <c r="BA80" s="28">
        <f>Weather!P272</f>
        <v>358.50000000000006</v>
      </c>
      <c r="BB80" s="28">
        <f>Weather!Q272</f>
        <v>0</v>
      </c>
      <c r="BC80" s="28">
        <f>Weather!R272</f>
        <v>420.5</v>
      </c>
      <c r="BD80">
        <f t="shared" si="54"/>
        <v>0</v>
      </c>
      <c r="BE80">
        <f t="shared" si="54"/>
        <v>0</v>
      </c>
      <c r="BF80">
        <f t="shared" si="54"/>
        <v>0</v>
      </c>
      <c r="BG80">
        <f t="shared" si="54"/>
        <v>0</v>
      </c>
      <c r="BH80">
        <f t="shared" si="54"/>
        <v>0</v>
      </c>
      <c r="BI80">
        <f t="shared" si="54"/>
        <v>0</v>
      </c>
      <c r="BJ80">
        <f t="shared" si="54"/>
        <v>1</v>
      </c>
      <c r="BK80">
        <f t="shared" si="54"/>
        <v>0</v>
      </c>
      <c r="BL80">
        <f t="shared" si="54"/>
        <v>0</v>
      </c>
      <c r="BM80">
        <f t="shared" si="54"/>
        <v>0</v>
      </c>
      <c r="BN80">
        <f t="shared" si="54"/>
        <v>0</v>
      </c>
      <c r="BO80">
        <f t="shared" si="54"/>
        <v>0</v>
      </c>
      <c r="BP80" s="1">
        <f t="shared" si="54"/>
        <v>0</v>
      </c>
      <c r="BQ80" s="1">
        <f t="shared" si="54"/>
        <v>0</v>
      </c>
      <c r="BR80" s="1">
        <f t="shared" si="54"/>
        <v>0</v>
      </c>
      <c r="BS80" s="1">
        <f t="shared" si="33"/>
        <v>79</v>
      </c>
      <c r="BT80">
        <f t="shared" si="27"/>
        <v>31</v>
      </c>
      <c r="BU80" s="1">
        <v>21</v>
      </c>
      <c r="BV80" s="1">
        <v>1</v>
      </c>
      <c r="BW80" s="1">
        <v>0.5</v>
      </c>
      <c r="BX80" s="1">
        <v>0.75</v>
      </c>
      <c r="BY80" s="1">
        <v>0</v>
      </c>
      <c r="BZ80">
        <f t="shared" si="52"/>
        <v>7.5</v>
      </c>
      <c r="CA80">
        <f t="shared" si="52"/>
        <v>31.75</v>
      </c>
      <c r="CB80">
        <f t="shared" si="52"/>
        <v>0.35000000000000142</v>
      </c>
      <c r="CC80">
        <f t="shared" si="52"/>
        <v>55.600000000000009</v>
      </c>
      <c r="CD80">
        <f t="shared" si="52"/>
        <v>0</v>
      </c>
      <c r="CE80">
        <f t="shared" si="52"/>
        <v>86.25</v>
      </c>
      <c r="CF80">
        <f t="shared" si="50"/>
        <v>0</v>
      </c>
      <c r="CG80">
        <f t="shared" si="50"/>
        <v>117.25</v>
      </c>
      <c r="CH80">
        <f t="shared" si="45"/>
        <v>0</v>
      </c>
      <c r="CI80">
        <f t="shared" si="45"/>
        <v>148.25</v>
      </c>
      <c r="CJ80">
        <f t="shared" si="45"/>
        <v>0</v>
      </c>
      <c r="CK80">
        <f t="shared" si="45"/>
        <v>179.25000000000003</v>
      </c>
      <c r="CL80">
        <f t="shared" si="45"/>
        <v>0</v>
      </c>
      <c r="CM80">
        <f t="shared" si="45"/>
        <v>210.25</v>
      </c>
      <c r="CN80">
        <f t="shared" si="53"/>
        <v>11.25</v>
      </c>
      <c r="CO80">
        <f t="shared" si="53"/>
        <v>47.625</v>
      </c>
      <c r="CP80">
        <f t="shared" si="53"/>
        <v>0.52500000000000213</v>
      </c>
      <c r="CQ80">
        <f t="shared" si="53"/>
        <v>83.4</v>
      </c>
      <c r="CR80">
        <f t="shared" si="53"/>
        <v>0</v>
      </c>
      <c r="CS80">
        <f t="shared" si="53"/>
        <v>129.375</v>
      </c>
      <c r="CT80">
        <f t="shared" si="51"/>
        <v>0</v>
      </c>
      <c r="CU80">
        <f t="shared" si="51"/>
        <v>175.875</v>
      </c>
      <c r="CV80">
        <f t="shared" si="46"/>
        <v>0</v>
      </c>
      <c r="CW80">
        <f t="shared" si="46"/>
        <v>222.375</v>
      </c>
      <c r="CX80">
        <f t="shared" si="46"/>
        <v>0</v>
      </c>
      <c r="CY80">
        <f t="shared" si="46"/>
        <v>268.87500000000006</v>
      </c>
      <c r="CZ80">
        <f t="shared" si="46"/>
        <v>0</v>
      </c>
      <c r="DA80">
        <f t="shared" si="46"/>
        <v>315.375</v>
      </c>
      <c r="DB80" s="74">
        <f t="shared" si="34"/>
        <v>998.75869036828487</v>
      </c>
      <c r="DC80" s="74">
        <f t="shared" si="49"/>
        <v>32.218022269944676</v>
      </c>
      <c r="DD80" s="73">
        <f t="shared" si="36"/>
        <v>1991492.6105720901</v>
      </c>
      <c r="DE80" s="74">
        <f t="shared" si="37"/>
        <v>2735.6898210747859</v>
      </c>
      <c r="DF80" s="74">
        <f t="shared" si="38"/>
        <v>88.248058744347929</v>
      </c>
      <c r="DG80" s="74">
        <f t="shared" si="39"/>
        <v>495159.85761453625</v>
      </c>
      <c r="DH80" s="74">
        <f t="shared" si="40"/>
        <v>77869.288453943271</v>
      </c>
      <c r="DI80" s="74">
        <f t="shared" si="41"/>
        <v>2511.9125307723634</v>
      </c>
      <c r="DJ80" s="74">
        <f t="shared" si="42"/>
        <v>3708.0613549496798</v>
      </c>
      <c r="DK80" s="74">
        <f t="shared" si="43"/>
        <v>2476745.7553415503</v>
      </c>
      <c r="DL80" s="74">
        <f t="shared" si="44"/>
        <v>3656148.4959803843</v>
      </c>
    </row>
    <row r="81" spans="1:116" x14ac:dyDescent="0.2">
      <c r="A81" s="96">
        <v>44409</v>
      </c>
      <c r="B81" s="4">
        <f t="shared" si="28"/>
        <v>2021</v>
      </c>
      <c r="C81" s="4">
        <f t="shared" si="29"/>
        <v>8</v>
      </c>
      <c r="D81" s="59">
        <v>61848374</v>
      </c>
      <c r="E81" s="59">
        <f>IFERROR(VLOOKUP($B81-1,CDM!$I$7:$N$18,2,FALSE)/12,0)+IFERROR(VLOOKUP($B81,CDM!$I$36:$L$46,2,FALSE)/24,0)+IFERROR(VLOOKUP($B81,CDM!$I$36:$L$46,2,FALSE)/2*$C81/78,0)</f>
        <v>2625498.412350026</v>
      </c>
      <c r="F81" s="59">
        <f t="shared" si="30"/>
        <v>64473872.412350029</v>
      </c>
      <c r="G81" s="59">
        <v>61915</v>
      </c>
      <c r="H81" s="59">
        <v>15329714</v>
      </c>
      <c r="I81" s="59">
        <f>IFERROR(VLOOKUP($B81-1,CDM!$I$7:$N$18,3,FALSE)/12,0)+IFERROR(VLOOKUP($B81,CDM!$I$36:$L$46,3,FALSE)/24,0)+IFERROR(VLOOKUP($B81,CDM!$I$36:$L$46,3,FALSE)/2*$C81/78,0)</f>
        <v>1045828.7851162141</v>
      </c>
      <c r="J81" s="59">
        <f t="shared" si="31"/>
        <v>16375542.785116214</v>
      </c>
      <c r="K81" s="59">
        <v>5615</v>
      </c>
      <c r="L81" s="59">
        <v>78943838</v>
      </c>
      <c r="M81" s="2">
        <f>IFERROR(VLOOKUP($B81-1,CDM!$I$7:$N$18,4,FALSE)/12,0)+IFERROR(VLOOKUP($B81,CDM!$I$36:$L$46,4,FALSE)/24,0)+IFERROR(VLOOKUP($B81,CDM!$I$36:$L$46,4,FALSE)/2*$C81/78,0)</f>
        <v>3343733.7147930358</v>
      </c>
      <c r="N81" s="59">
        <f t="shared" si="32"/>
        <v>82287571.714793041</v>
      </c>
      <c r="O81" s="59">
        <v>203904</v>
      </c>
      <c r="P81" s="59">
        <v>987</v>
      </c>
      <c r="Q81" s="59">
        <v>402320</v>
      </c>
      <c r="R81" s="59">
        <v>1288</v>
      </c>
      <c r="S81" s="59">
        <v>17186</v>
      </c>
      <c r="T81" s="59">
        <v>261182</v>
      </c>
      <c r="U81" s="1">
        <v>24</v>
      </c>
      <c r="V81" s="59">
        <v>573</v>
      </c>
      <c r="W81" s="114">
        <f>Economic!J143</f>
        <v>769942</v>
      </c>
      <c r="X81" s="114">
        <f>Economic!K143</f>
        <v>596521.6</v>
      </c>
      <c r="Y81" s="114">
        <f>Economic!L143</f>
        <v>58159</v>
      </c>
      <c r="Z81" s="114">
        <f>Economic!M143</f>
        <v>777225</v>
      </c>
      <c r="AA81" s="114">
        <f>Economic!N143</f>
        <v>598852</v>
      </c>
      <c r="AB81" s="114">
        <f>Economic!O143</f>
        <v>22145</v>
      </c>
      <c r="AC81" s="114">
        <f>Economic!D143</f>
        <v>6879.1</v>
      </c>
      <c r="AD81" s="114">
        <f>Economic!E143</f>
        <v>6950.9</v>
      </c>
      <c r="AE81" s="114">
        <f>Economic!F143</f>
        <v>3114.6</v>
      </c>
      <c r="AF81" s="114">
        <f>Economic!G143</f>
        <v>3150.5</v>
      </c>
      <c r="AG81" s="114">
        <f>Economic!H143</f>
        <v>375</v>
      </c>
      <c r="AH81" s="114">
        <f>Economic!I143</f>
        <v>376.1</v>
      </c>
      <c r="AI81" s="114">
        <f>Economic!P155</f>
        <v>521</v>
      </c>
      <c r="AJ81" s="114">
        <f>Economic!Q155</f>
        <v>524.30000000000018</v>
      </c>
      <c r="AK81" s="114">
        <f>Economic!R155</f>
        <v>294.59999999999991</v>
      </c>
      <c r="AL81" s="114">
        <f>Economic!S155</f>
        <v>296.80000000000018</v>
      </c>
      <c r="AM81" s="114">
        <f>Economic!T155</f>
        <v>47323.5</v>
      </c>
      <c r="AN81" s="114">
        <f>Economic!U155</f>
        <v>17046</v>
      </c>
      <c r="AO81" s="28">
        <f>Weather!D273</f>
        <v>23.651612903225807</v>
      </c>
      <c r="AP81" s="28">
        <f>Weather!E273</f>
        <v>2.3000000000000007</v>
      </c>
      <c r="AQ81" s="28">
        <f>Weather!F273</f>
        <v>115.5</v>
      </c>
      <c r="AR81" s="28">
        <f>Weather!G273</f>
        <v>0</v>
      </c>
      <c r="AS81" s="28">
        <f>Weather!H273</f>
        <v>175.2</v>
      </c>
      <c r="AT81" s="28">
        <f>Weather!I273</f>
        <v>0</v>
      </c>
      <c r="AU81" s="28">
        <f>Weather!J273</f>
        <v>237.20000000000002</v>
      </c>
      <c r="AV81" s="28">
        <f>Weather!K273</f>
        <v>0</v>
      </c>
      <c r="AW81" s="28">
        <f>Weather!L273</f>
        <v>299.2</v>
      </c>
      <c r="AX81" s="28">
        <f>Weather!M273</f>
        <v>0</v>
      </c>
      <c r="AY81" s="28">
        <f>Weather!N273</f>
        <v>361.20000000000005</v>
      </c>
      <c r="AZ81" s="28">
        <f>Weather!O273</f>
        <v>0</v>
      </c>
      <c r="BA81" s="28">
        <f>Weather!P273</f>
        <v>423.20000000000005</v>
      </c>
      <c r="BB81" s="28">
        <f>Weather!Q273</f>
        <v>0</v>
      </c>
      <c r="BC81" s="28">
        <f>Weather!R273</f>
        <v>485.20000000000005</v>
      </c>
      <c r="BD81">
        <f t="shared" si="54"/>
        <v>0</v>
      </c>
      <c r="BE81">
        <f t="shared" si="54"/>
        <v>0</v>
      </c>
      <c r="BF81">
        <f t="shared" si="54"/>
        <v>0</v>
      </c>
      <c r="BG81">
        <f t="shared" si="54"/>
        <v>0</v>
      </c>
      <c r="BH81">
        <f t="shared" si="54"/>
        <v>0</v>
      </c>
      <c r="BI81">
        <f t="shared" si="54"/>
        <v>0</v>
      </c>
      <c r="BJ81">
        <f t="shared" si="54"/>
        <v>0</v>
      </c>
      <c r="BK81">
        <f t="shared" si="54"/>
        <v>1</v>
      </c>
      <c r="BL81">
        <f t="shared" si="54"/>
        <v>0</v>
      </c>
      <c r="BM81">
        <f t="shared" si="54"/>
        <v>0</v>
      </c>
      <c r="BN81">
        <f t="shared" si="54"/>
        <v>0</v>
      </c>
      <c r="BO81">
        <f t="shared" si="54"/>
        <v>0</v>
      </c>
      <c r="BP81" s="1">
        <f t="shared" si="54"/>
        <v>0</v>
      </c>
      <c r="BQ81" s="1">
        <f t="shared" si="54"/>
        <v>0</v>
      </c>
      <c r="BR81" s="1">
        <f t="shared" si="54"/>
        <v>0</v>
      </c>
      <c r="BS81" s="1">
        <f t="shared" si="33"/>
        <v>80</v>
      </c>
      <c r="BT81">
        <f t="shared" si="27"/>
        <v>31</v>
      </c>
      <c r="BU81" s="1">
        <v>20</v>
      </c>
      <c r="BV81" s="1">
        <v>1</v>
      </c>
      <c r="BW81" s="1">
        <v>0.5</v>
      </c>
      <c r="BX81" s="1">
        <v>0.75</v>
      </c>
      <c r="BY81" s="1">
        <v>0</v>
      </c>
      <c r="BZ81">
        <f t="shared" si="52"/>
        <v>1.1500000000000004</v>
      </c>
      <c r="CA81">
        <f t="shared" si="52"/>
        <v>57.75</v>
      </c>
      <c r="CB81">
        <f t="shared" si="52"/>
        <v>0</v>
      </c>
      <c r="CC81">
        <f t="shared" si="52"/>
        <v>87.6</v>
      </c>
      <c r="CD81">
        <f t="shared" si="52"/>
        <v>0</v>
      </c>
      <c r="CE81">
        <f t="shared" si="52"/>
        <v>118.60000000000001</v>
      </c>
      <c r="CF81">
        <f t="shared" si="50"/>
        <v>0</v>
      </c>
      <c r="CG81">
        <f t="shared" si="50"/>
        <v>149.6</v>
      </c>
      <c r="CH81">
        <f t="shared" si="45"/>
        <v>0</v>
      </c>
      <c r="CI81">
        <f t="shared" si="45"/>
        <v>180.60000000000002</v>
      </c>
      <c r="CJ81">
        <f t="shared" si="45"/>
        <v>0</v>
      </c>
      <c r="CK81">
        <f t="shared" si="45"/>
        <v>211.60000000000002</v>
      </c>
      <c r="CL81">
        <f t="shared" si="45"/>
        <v>0</v>
      </c>
      <c r="CM81">
        <f t="shared" si="45"/>
        <v>242.60000000000002</v>
      </c>
      <c r="CN81">
        <f t="shared" si="53"/>
        <v>1.7250000000000005</v>
      </c>
      <c r="CO81">
        <f t="shared" si="53"/>
        <v>86.625</v>
      </c>
      <c r="CP81">
        <f t="shared" si="53"/>
        <v>0</v>
      </c>
      <c r="CQ81">
        <f t="shared" si="53"/>
        <v>131.39999999999998</v>
      </c>
      <c r="CR81">
        <f t="shared" si="53"/>
        <v>0</v>
      </c>
      <c r="CS81">
        <f t="shared" si="53"/>
        <v>177.9</v>
      </c>
      <c r="CT81">
        <f t="shared" si="51"/>
        <v>0</v>
      </c>
      <c r="CU81">
        <f t="shared" si="51"/>
        <v>224.39999999999998</v>
      </c>
      <c r="CV81">
        <f t="shared" si="46"/>
        <v>0</v>
      </c>
      <c r="CW81">
        <f t="shared" si="46"/>
        <v>270.90000000000003</v>
      </c>
      <c r="CX81">
        <f t="shared" si="46"/>
        <v>0</v>
      </c>
      <c r="CY81">
        <f t="shared" si="46"/>
        <v>317.40000000000003</v>
      </c>
      <c r="CZ81">
        <f t="shared" si="46"/>
        <v>0</v>
      </c>
      <c r="DA81">
        <f t="shared" si="46"/>
        <v>363.90000000000003</v>
      </c>
      <c r="DB81" s="74">
        <f t="shared" si="34"/>
        <v>1041.3287961293713</v>
      </c>
      <c r="DC81" s="74">
        <f t="shared" si="49"/>
        <v>33.591251488044236</v>
      </c>
      <c r="DD81" s="73">
        <f t="shared" si="36"/>
        <v>2079802.3358822591</v>
      </c>
      <c r="DE81" s="74">
        <f t="shared" si="37"/>
        <v>2916.3923036716319</v>
      </c>
      <c r="DF81" s="74">
        <f t="shared" si="38"/>
        <v>94.077171086181679</v>
      </c>
      <c r="DG81" s="74">
        <f t="shared" si="39"/>
        <v>528243.31564891012</v>
      </c>
      <c r="DH81" s="74">
        <f t="shared" si="40"/>
        <v>83371.399913670757</v>
      </c>
      <c r="DI81" s="74">
        <f t="shared" si="41"/>
        <v>2689.3999972151855</v>
      </c>
      <c r="DJ81" s="74">
        <f t="shared" si="42"/>
        <v>4168.5699956835379</v>
      </c>
      <c r="DK81" s="74">
        <f t="shared" si="43"/>
        <v>2654437.7972513884</v>
      </c>
      <c r="DL81" s="74">
        <f t="shared" si="44"/>
        <v>4114378.5857396522</v>
      </c>
    </row>
    <row r="82" spans="1:116" x14ac:dyDescent="0.2">
      <c r="A82" s="96">
        <v>44440</v>
      </c>
      <c r="B82" s="4">
        <f t="shared" si="28"/>
        <v>2021</v>
      </c>
      <c r="C82" s="4">
        <f t="shared" si="29"/>
        <v>9</v>
      </c>
      <c r="D82" s="59">
        <v>47284853</v>
      </c>
      <c r="E82" s="59">
        <f>IFERROR(VLOOKUP($B82-1,CDM!$I$7:$N$18,2,FALSE)/12,0)+IFERROR(VLOOKUP($B82,CDM!$I$36:$L$46,2,FALSE)/24,0)+IFERROR(VLOOKUP($B82,CDM!$I$36:$L$46,2,FALSE)/2*$C82/78,0)</f>
        <v>2625758.8969652611</v>
      </c>
      <c r="F82" s="59">
        <f t="shared" si="30"/>
        <v>49910611.896965258</v>
      </c>
      <c r="G82" s="59">
        <v>61895</v>
      </c>
      <c r="H82" s="59">
        <v>13112876</v>
      </c>
      <c r="I82" s="59">
        <f>IFERROR(VLOOKUP($B82-1,CDM!$I$7:$N$18,3,FALSE)/12,0)+IFERROR(VLOOKUP($B82,CDM!$I$36:$L$46,3,FALSE)/24,0)+IFERROR(VLOOKUP($B82,CDM!$I$36:$L$46,3,FALSE)/2*$C82/78,0)</f>
        <v>1048519.9841818034</v>
      </c>
      <c r="J82" s="59">
        <f t="shared" si="31"/>
        <v>14161395.984181803</v>
      </c>
      <c r="K82" s="59">
        <v>5618</v>
      </c>
      <c r="L82" s="59">
        <v>68243401</v>
      </c>
      <c r="M82" s="2">
        <f>IFERROR(VLOOKUP($B82-1,CDM!$I$7:$N$18,4,FALSE)/12,0)+IFERROR(VLOOKUP($B82,CDM!$I$36:$L$46,4,FALSE)/24,0)+IFERROR(VLOOKUP($B82,CDM!$I$36:$L$46,4,FALSE)/2*$C82/78,0)</f>
        <v>3364095.0139979986</v>
      </c>
      <c r="N82" s="59">
        <f t="shared" si="32"/>
        <v>71607496.013998002</v>
      </c>
      <c r="O82" s="59">
        <v>188226</v>
      </c>
      <c r="P82" s="59">
        <v>986</v>
      </c>
      <c r="Q82" s="59">
        <v>444079</v>
      </c>
      <c r="R82" s="59">
        <v>1288</v>
      </c>
      <c r="S82" s="59">
        <v>17186</v>
      </c>
      <c r="T82" s="59">
        <v>261182</v>
      </c>
      <c r="U82" s="1">
        <v>24</v>
      </c>
      <c r="V82" s="59">
        <v>573</v>
      </c>
      <c r="W82" s="114">
        <f>Economic!J144</f>
        <v>769942</v>
      </c>
      <c r="X82" s="114">
        <f>Economic!K144</f>
        <v>596521.6</v>
      </c>
      <c r="Y82" s="114">
        <f>Economic!L144</f>
        <v>58159</v>
      </c>
      <c r="Z82" s="114">
        <f>Economic!M144</f>
        <v>777225</v>
      </c>
      <c r="AA82" s="114">
        <f>Economic!N144</f>
        <v>598852</v>
      </c>
      <c r="AB82" s="114">
        <f>Economic!O144</f>
        <v>22145</v>
      </c>
      <c r="AC82" s="114">
        <f>Economic!D144</f>
        <v>7040.8</v>
      </c>
      <c r="AD82" s="114">
        <f>Economic!E144</f>
        <v>7075.5</v>
      </c>
      <c r="AE82" s="114">
        <f>Economic!F144</f>
        <v>3220.1</v>
      </c>
      <c r="AF82" s="114">
        <f>Economic!G144</f>
        <v>3237.7</v>
      </c>
      <c r="AG82" s="114">
        <f>Economic!H144</f>
        <v>375.7</v>
      </c>
      <c r="AH82" s="114">
        <f>Economic!I144</f>
        <v>375.6</v>
      </c>
      <c r="AI82" s="114">
        <f>Economic!P156</f>
        <v>433.69999999999982</v>
      </c>
      <c r="AJ82" s="114">
        <f>Economic!Q156</f>
        <v>427.69999999999982</v>
      </c>
      <c r="AK82" s="114">
        <f>Economic!R156</f>
        <v>252.09999999999991</v>
      </c>
      <c r="AL82" s="114">
        <f>Economic!S156</f>
        <v>248.70000000000027</v>
      </c>
      <c r="AM82" s="114">
        <f>Economic!T156</f>
        <v>47323.5</v>
      </c>
      <c r="AN82" s="114">
        <f>Economic!U156</f>
        <v>17046</v>
      </c>
      <c r="AO82" s="28">
        <f>Weather!D274</f>
        <v>18.350000000000001</v>
      </c>
      <c r="AP82" s="28">
        <f>Weather!E274</f>
        <v>58.2</v>
      </c>
      <c r="AQ82" s="28">
        <f>Weather!F274</f>
        <v>8.7000000000000028</v>
      </c>
      <c r="AR82" s="28">
        <f>Weather!G274</f>
        <v>22.8</v>
      </c>
      <c r="AS82" s="28">
        <f>Weather!H274</f>
        <v>33.300000000000004</v>
      </c>
      <c r="AT82" s="28">
        <f>Weather!I274</f>
        <v>4.6999999999999993</v>
      </c>
      <c r="AU82" s="28">
        <f>Weather!J274</f>
        <v>75.200000000000017</v>
      </c>
      <c r="AV82" s="28">
        <f>Weather!K274</f>
        <v>0.69999999999999929</v>
      </c>
      <c r="AW82" s="28">
        <f>Weather!L274</f>
        <v>131.20000000000002</v>
      </c>
      <c r="AX82" s="28">
        <f>Weather!M274</f>
        <v>0</v>
      </c>
      <c r="AY82" s="28">
        <f>Weather!N274</f>
        <v>190.50000000000003</v>
      </c>
      <c r="AZ82" s="28">
        <f>Weather!O274</f>
        <v>0</v>
      </c>
      <c r="BA82" s="28">
        <f>Weather!P274</f>
        <v>250.49999999999997</v>
      </c>
      <c r="BB82" s="28">
        <f>Weather!Q274</f>
        <v>0</v>
      </c>
      <c r="BC82" s="28">
        <f>Weather!R274</f>
        <v>310.49999999999994</v>
      </c>
      <c r="BD82">
        <f t="shared" si="54"/>
        <v>0</v>
      </c>
      <c r="BE82">
        <f t="shared" si="54"/>
        <v>0</v>
      </c>
      <c r="BF82">
        <f t="shared" si="54"/>
        <v>0</v>
      </c>
      <c r="BG82">
        <f t="shared" si="54"/>
        <v>0</v>
      </c>
      <c r="BH82">
        <f t="shared" si="54"/>
        <v>0</v>
      </c>
      <c r="BI82">
        <f t="shared" si="54"/>
        <v>0</v>
      </c>
      <c r="BJ82">
        <f t="shared" si="54"/>
        <v>0</v>
      </c>
      <c r="BK82">
        <f t="shared" si="54"/>
        <v>0</v>
      </c>
      <c r="BL82">
        <f t="shared" si="54"/>
        <v>1</v>
      </c>
      <c r="BM82">
        <f t="shared" si="54"/>
        <v>0</v>
      </c>
      <c r="BN82">
        <f t="shared" si="54"/>
        <v>0</v>
      </c>
      <c r="BO82">
        <f t="shared" si="54"/>
        <v>0</v>
      </c>
      <c r="BP82" s="1">
        <f t="shared" si="54"/>
        <v>0</v>
      </c>
      <c r="BQ82" s="1">
        <f t="shared" si="54"/>
        <v>1</v>
      </c>
      <c r="BR82" s="1">
        <f t="shared" si="54"/>
        <v>1</v>
      </c>
      <c r="BS82" s="1">
        <f t="shared" si="33"/>
        <v>81</v>
      </c>
      <c r="BT82">
        <f t="shared" si="27"/>
        <v>30</v>
      </c>
      <c r="BU82" s="1">
        <v>20</v>
      </c>
      <c r="BV82" s="1">
        <v>1</v>
      </c>
      <c r="BW82" s="1">
        <v>0.5</v>
      </c>
      <c r="BX82" s="1">
        <v>0.75</v>
      </c>
      <c r="BY82" s="1">
        <v>0</v>
      </c>
      <c r="BZ82">
        <f t="shared" si="52"/>
        <v>29.1</v>
      </c>
      <c r="CA82">
        <f t="shared" si="52"/>
        <v>4.3500000000000014</v>
      </c>
      <c r="CB82">
        <f t="shared" si="52"/>
        <v>11.4</v>
      </c>
      <c r="CC82">
        <f t="shared" si="52"/>
        <v>16.650000000000002</v>
      </c>
      <c r="CD82">
        <f t="shared" si="52"/>
        <v>2.3499999999999996</v>
      </c>
      <c r="CE82">
        <f t="shared" si="52"/>
        <v>37.600000000000009</v>
      </c>
      <c r="CF82">
        <f t="shared" si="50"/>
        <v>0.34999999999999964</v>
      </c>
      <c r="CG82">
        <f t="shared" si="50"/>
        <v>65.600000000000009</v>
      </c>
      <c r="CH82">
        <f t="shared" si="45"/>
        <v>0</v>
      </c>
      <c r="CI82">
        <f t="shared" si="45"/>
        <v>95.250000000000014</v>
      </c>
      <c r="CJ82">
        <f t="shared" si="45"/>
        <v>0</v>
      </c>
      <c r="CK82">
        <f t="shared" si="45"/>
        <v>125.24999999999999</v>
      </c>
      <c r="CL82">
        <f t="shared" si="45"/>
        <v>0</v>
      </c>
      <c r="CM82">
        <f t="shared" si="45"/>
        <v>155.24999999999997</v>
      </c>
      <c r="CN82">
        <f t="shared" si="53"/>
        <v>43.650000000000006</v>
      </c>
      <c r="CO82">
        <f t="shared" si="53"/>
        <v>6.5250000000000021</v>
      </c>
      <c r="CP82">
        <f t="shared" si="53"/>
        <v>17.100000000000001</v>
      </c>
      <c r="CQ82">
        <f t="shared" si="53"/>
        <v>24.975000000000001</v>
      </c>
      <c r="CR82">
        <f t="shared" si="53"/>
        <v>3.5249999999999995</v>
      </c>
      <c r="CS82">
        <f t="shared" si="53"/>
        <v>56.400000000000013</v>
      </c>
      <c r="CT82">
        <f t="shared" si="51"/>
        <v>0.52499999999999947</v>
      </c>
      <c r="CU82">
        <f t="shared" si="51"/>
        <v>98.4</v>
      </c>
      <c r="CV82">
        <f t="shared" si="46"/>
        <v>0</v>
      </c>
      <c r="CW82">
        <f t="shared" si="46"/>
        <v>142.87500000000003</v>
      </c>
      <c r="CX82">
        <f t="shared" si="46"/>
        <v>0</v>
      </c>
      <c r="CY82">
        <f t="shared" si="46"/>
        <v>187.87499999999997</v>
      </c>
      <c r="CZ82">
        <f t="shared" si="46"/>
        <v>0</v>
      </c>
      <c r="DA82">
        <f t="shared" si="46"/>
        <v>232.87499999999994</v>
      </c>
      <c r="DB82" s="74">
        <f t="shared" si="34"/>
        <v>806.37550524218852</v>
      </c>
      <c r="DC82" s="74">
        <f t="shared" si="49"/>
        <v>26.879183508072952</v>
      </c>
      <c r="DD82" s="73">
        <f t="shared" si="36"/>
        <v>1663687.0632321753</v>
      </c>
      <c r="DE82" s="74">
        <f t="shared" si="37"/>
        <v>2520.7184023107516</v>
      </c>
      <c r="DF82" s="74">
        <f t="shared" si="38"/>
        <v>84.023946743691724</v>
      </c>
      <c r="DG82" s="74">
        <f t="shared" si="39"/>
        <v>472046.5328060601</v>
      </c>
      <c r="DH82" s="74">
        <f t="shared" si="40"/>
        <v>72624.235308314397</v>
      </c>
      <c r="DI82" s="74">
        <f t="shared" si="41"/>
        <v>2420.8078436104797</v>
      </c>
      <c r="DJ82" s="74">
        <f t="shared" si="42"/>
        <v>3631.21176541572</v>
      </c>
      <c r="DK82" s="74">
        <f t="shared" si="43"/>
        <v>2386916.5337999333</v>
      </c>
      <c r="DL82" s="74">
        <f t="shared" si="44"/>
        <v>3580374.8006998999</v>
      </c>
    </row>
    <row r="83" spans="1:116" x14ac:dyDescent="0.2">
      <c r="A83" s="96">
        <v>44470</v>
      </c>
      <c r="B83" s="4">
        <f t="shared" si="28"/>
        <v>2021</v>
      </c>
      <c r="C83" s="4">
        <f t="shared" si="29"/>
        <v>10</v>
      </c>
      <c r="D83" s="59">
        <v>38523293</v>
      </c>
      <c r="E83" s="59">
        <f>IFERROR(VLOOKUP($B83-1,CDM!$I$7:$N$18,2,FALSE)/12,0)+IFERROR(VLOOKUP($B83,CDM!$I$36:$L$46,2,FALSE)/24,0)+IFERROR(VLOOKUP($B83,CDM!$I$36:$L$46,2,FALSE)/2*$C83/78,0)</f>
        <v>2626019.3815804967</v>
      </c>
      <c r="F83" s="59">
        <f t="shared" si="30"/>
        <v>41149312.381580494</v>
      </c>
      <c r="G83" s="59">
        <v>61879</v>
      </c>
      <c r="H83" s="59">
        <v>12366156</v>
      </c>
      <c r="I83" s="59">
        <f>IFERROR(VLOOKUP($B83-1,CDM!$I$7:$N$18,3,FALSE)/12,0)+IFERROR(VLOOKUP($B83,CDM!$I$36:$L$46,3,FALSE)/24,0)+IFERROR(VLOOKUP($B83,CDM!$I$36:$L$46,3,FALSE)/2*$C83/78,0)</f>
        <v>1051211.1832473925</v>
      </c>
      <c r="J83" s="59">
        <f t="shared" si="31"/>
        <v>13417367.183247393</v>
      </c>
      <c r="K83" s="59">
        <v>5614</v>
      </c>
      <c r="L83" s="59">
        <v>65774130</v>
      </c>
      <c r="M83" s="2">
        <f>IFERROR(VLOOKUP($B83-1,CDM!$I$7:$N$18,4,FALSE)/12,0)+IFERROR(VLOOKUP($B83,CDM!$I$36:$L$46,4,FALSE)/24,0)+IFERROR(VLOOKUP($B83,CDM!$I$36:$L$46,4,FALSE)/2*$C83/78,0)</f>
        <v>3384456.3132029609</v>
      </c>
      <c r="N83" s="59">
        <f t="shared" si="32"/>
        <v>69158586.313202962</v>
      </c>
      <c r="O83" s="59">
        <v>177018</v>
      </c>
      <c r="P83" s="59">
        <v>985</v>
      </c>
      <c r="Q83" s="59">
        <v>517932</v>
      </c>
      <c r="R83" s="59">
        <v>1289</v>
      </c>
      <c r="S83" s="59">
        <v>17192</v>
      </c>
      <c r="T83" s="59">
        <v>261131</v>
      </c>
      <c r="U83" s="1">
        <v>24</v>
      </c>
      <c r="V83" s="59">
        <v>572</v>
      </c>
      <c r="W83" s="114">
        <f>Economic!J145</f>
        <v>769942</v>
      </c>
      <c r="X83" s="114">
        <f>Economic!K145</f>
        <v>596521.6</v>
      </c>
      <c r="Y83" s="114">
        <f>Economic!L145</f>
        <v>58159</v>
      </c>
      <c r="Z83" s="114">
        <f>Economic!M145</f>
        <v>795879</v>
      </c>
      <c r="AA83" s="114">
        <f>Economic!N145</f>
        <v>613516</v>
      </c>
      <c r="AB83" s="114">
        <f>Economic!O145</f>
        <v>21752</v>
      </c>
      <c r="AC83" s="114">
        <f>Economic!D145</f>
        <v>7159.1</v>
      </c>
      <c r="AD83" s="114">
        <f>Economic!E145</f>
        <v>7184.1</v>
      </c>
      <c r="AE83" s="114">
        <f>Economic!F145</f>
        <v>3323</v>
      </c>
      <c r="AF83" s="114">
        <f>Economic!G145</f>
        <v>3323</v>
      </c>
      <c r="AG83" s="114">
        <f>Economic!H145</f>
        <v>375.2</v>
      </c>
      <c r="AH83" s="114">
        <f>Economic!I145</f>
        <v>376.4</v>
      </c>
      <c r="AI83" s="114">
        <f>Economic!P157</f>
        <v>370.29999999999927</v>
      </c>
      <c r="AJ83" s="114">
        <f>Economic!Q157</f>
        <v>354.39999999999964</v>
      </c>
      <c r="AK83" s="114">
        <f>Economic!R157</f>
        <v>200.59999999999991</v>
      </c>
      <c r="AL83" s="114">
        <f>Economic!S157</f>
        <v>195.69999999999982</v>
      </c>
      <c r="AM83" s="114">
        <f>Economic!T157</f>
        <v>47323.5</v>
      </c>
      <c r="AN83" s="114">
        <f>Economic!U157</f>
        <v>18833</v>
      </c>
      <c r="AO83" s="28">
        <f>Weather!D275</f>
        <v>14.590322580645163</v>
      </c>
      <c r="AP83" s="28">
        <f>Weather!E275</f>
        <v>170</v>
      </c>
      <c r="AQ83" s="28">
        <f>Weather!F275</f>
        <v>2.3000000000000007</v>
      </c>
      <c r="AR83" s="28">
        <f>Weather!G275</f>
        <v>118.20000000000002</v>
      </c>
      <c r="AS83" s="28">
        <f>Weather!H275</f>
        <v>12.5</v>
      </c>
      <c r="AT83" s="28">
        <f>Weather!I275</f>
        <v>77.599999999999994</v>
      </c>
      <c r="AU83" s="28">
        <f>Weather!J275</f>
        <v>33.900000000000006</v>
      </c>
      <c r="AV83" s="28">
        <f>Weather!K275</f>
        <v>47.79999999999999</v>
      </c>
      <c r="AW83" s="28">
        <f>Weather!L275</f>
        <v>66.099999999999994</v>
      </c>
      <c r="AX83" s="28">
        <f>Weather!M275</f>
        <v>24.1</v>
      </c>
      <c r="AY83" s="28">
        <f>Weather!N275</f>
        <v>104.39999999999999</v>
      </c>
      <c r="AZ83" s="28">
        <f>Weather!O275</f>
        <v>8.6999999999999993</v>
      </c>
      <c r="BA83" s="28">
        <f>Weather!P275</f>
        <v>150.99999999999997</v>
      </c>
      <c r="BB83" s="28">
        <f>Weather!Q275</f>
        <v>0.59999999999999964</v>
      </c>
      <c r="BC83" s="28">
        <f>Weather!R275</f>
        <v>204.9</v>
      </c>
      <c r="BD83">
        <f t="shared" si="54"/>
        <v>0</v>
      </c>
      <c r="BE83">
        <f t="shared" si="54"/>
        <v>0</v>
      </c>
      <c r="BF83">
        <f t="shared" si="54"/>
        <v>0</v>
      </c>
      <c r="BG83">
        <f t="shared" si="54"/>
        <v>0</v>
      </c>
      <c r="BH83">
        <f t="shared" si="54"/>
        <v>0</v>
      </c>
      <c r="BI83">
        <f t="shared" si="54"/>
        <v>0</v>
      </c>
      <c r="BJ83">
        <f t="shared" si="54"/>
        <v>0</v>
      </c>
      <c r="BK83">
        <f t="shared" si="54"/>
        <v>0</v>
      </c>
      <c r="BL83">
        <f t="shared" si="54"/>
        <v>0</v>
      </c>
      <c r="BM83">
        <f t="shared" si="54"/>
        <v>1</v>
      </c>
      <c r="BN83">
        <f t="shared" si="54"/>
        <v>0</v>
      </c>
      <c r="BO83">
        <f t="shared" si="54"/>
        <v>0</v>
      </c>
      <c r="BP83" s="1">
        <f t="shared" si="54"/>
        <v>0</v>
      </c>
      <c r="BQ83" s="1">
        <f t="shared" si="54"/>
        <v>1</v>
      </c>
      <c r="BR83" s="1">
        <f t="shared" si="54"/>
        <v>1</v>
      </c>
      <c r="BS83" s="1">
        <f t="shared" si="33"/>
        <v>82</v>
      </c>
      <c r="BT83">
        <f t="shared" si="27"/>
        <v>31</v>
      </c>
      <c r="BU83" s="1">
        <v>20</v>
      </c>
      <c r="BV83" s="1">
        <v>1</v>
      </c>
      <c r="BW83" s="1">
        <v>0.5</v>
      </c>
      <c r="BX83" s="1">
        <v>0.75</v>
      </c>
      <c r="BY83" s="1">
        <v>0</v>
      </c>
      <c r="BZ83">
        <f t="shared" si="52"/>
        <v>85</v>
      </c>
      <c r="CA83">
        <f t="shared" si="52"/>
        <v>1.1500000000000004</v>
      </c>
      <c r="CB83">
        <f t="shared" si="52"/>
        <v>59.100000000000009</v>
      </c>
      <c r="CC83">
        <f t="shared" si="52"/>
        <v>6.25</v>
      </c>
      <c r="CD83">
        <f t="shared" si="52"/>
        <v>38.799999999999997</v>
      </c>
      <c r="CE83">
        <f t="shared" si="52"/>
        <v>16.950000000000003</v>
      </c>
      <c r="CF83">
        <f t="shared" si="50"/>
        <v>23.899999999999995</v>
      </c>
      <c r="CG83">
        <f t="shared" si="50"/>
        <v>33.049999999999997</v>
      </c>
      <c r="CH83">
        <f t="shared" si="45"/>
        <v>12.05</v>
      </c>
      <c r="CI83">
        <f t="shared" si="45"/>
        <v>52.199999999999996</v>
      </c>
      <c r="CJ83">
        <f t="shared" si="45"/>
        <v>4.3499999999999996</v>
      </c>
      <c r="CK83">
        <f t="shared" si="45"/>
        <v>75.499999999999986</v>
      </c>
      <c r="CL83">
        <f t="shared" si="45"/>
        <v>0.29999999999999982</v>
      </c>
      <c r="CM83">
        <f t="shared" si="45"/>
        <v>102.45</v>
      </c>
      <c r="CN83">
        <f t="shared" si="53"/>
        <v>127.5</v>
      </c>
      <c r="CO83">
        <f t="shared" si="53"/>
        <v>1.7250000000000005</v>
      </c>
      <c r="CP83">
        <f t="shared" si="53"/>
        <v>88.65</v>
      </c>
      <c r="CQ83">
        <f t="shared" si="53"/>
        <v>9.375</v>
      </c>
      <c r="CR83">
        <f t="shared" si="53"/>
        <v>58.199999999999996</v>
      </c>
      <c r="CS83">
        <f t="shared" si="53"/>
        <v>25.425000000000004</v>
      </c>
      <c r="CT83">
        <f t="shared" si="51"/>
        <v>35.849999999999994</v>
      </c>
      <c r="CU83">
        <f t="shared" si="51"/>
        <v>49.574999999999996</v>
      </c>
      <c r="CV83">
        <f t="shared" si="46"/>
        <v>18.075000000000003</v>
      </c>
      <c r="CW83">
        <f t="shared" si="46"/>
        <v>78.3</v>
      </c>
      <c r="CX83">
        <f t="shared" si="46"/>
        <v>6.5249999999999995</v>
      </c>
      <c r="CY83">
        <f t="shared" si="46"/>
        <v>113.24999999999997</v>
      </c>
      <c r="CZ83">
        <f t="shared" si="46"/>
        <v>0.44999999999999973</v>
      </c>
      <c r="DA83">
        <f t="shared" si="46"/>
        <v>153.67500000000001</v>
      </c>
      <c r="DB83" s="74">
        <f t="shared" si="34"/>
        <v>664.99640235912818</v>
      </c>
      <c r="DC83" s="74">
        <f t="shared" si="49"/>
        <v>21.451496850294458</v>
      </c>
      <c r="DD83" s="73">
        <f t="shared" si="36"/>
        <v>1327397.1735993708</v>
      </c>
      <c r="DE83" s="74">
        <f t="shared" si="37"/>
        <v>2389.9834669126099</v>
      </c>
      <c r="DF83" s="74">
        <f t="shared" si="38"/>
        <v>77.096240868148712</v>
      </c>
      <c r="DG83" s="74">
        <f t="shared" si="39"/>
        <v>432818.29623378685</v>
      </c>
      <c r="DH83" s="74">
        <f t="shared" si="40"/>
        <v>70211.76275452078</v>
      </c>
      <c r="DI83" s="74">
        <f t="shared" si="41"/>
        <v>2264.895572726477</v>
      </c>
      <c r="DJ83" s="74">
        <f t="shared" si="42"/>
        <v>3510.5881377260389</v>
      </c>
      <c r="DK83" s="74">
        <f t="shared" si="43"/>
        <v>2230922.1391355796</v>
      </c>
      <c r="DL83" s="74">
        <f t="shared" si="44"/>
        <v>3457929.3156601479</v>
      </c>
    </row>
    <row r="84" spans="1:116" x14ac:dyDescent="0.2">
      <c r="A84" s="96">
        <v>44501</v>
      </c>
      <c r="B84" s="4">
        <f t="shared" si="28"/>
        <v>2021</v>
      </c>
      <c r="C84" s="4">
        <f t="shared" si="29"/>
        <v>11</v>
      </c>
      <c r="D84" s="59">
        <v>38260019</v>
      </c>
      <c r="E84" s="59">
        <f>IFERROR(VLOOKUP($B84-1,CDM!$I$7:$N$18,2,FALSE)/12,0)+IFERROR(VLOOKUP($B84,CDM!$I$36:$L$46,2,FALSE)/24,0)+IFERROR(VLOOKUP($B84,CDM!$I$36:$L$46,2,FALSE)/2*$C84/78,0)</f>
        <v>2626279.8661957318</v>
      </c>
      <c r="F84" s="59">
        <f t="shared" si="30"/>
        <v>40886298.866195731</v>
      </c>
      <c r="G84" s="59">
        <v>61999</v>
      </c>
      <c r="H84" s="59">
        <v>12715829</v>
      </c>
      <c r="I84" s="59">
        <f>IFERROR(VLOOKUP($B84-1,CDM!$I$7:$N$18,3,FALSE)/12,0)+IFERROR(VLOOKUP($B84,CDM!$I$36:$L$46,3,FALSE)/24,0)+IFERROR(VLOOKUP($B84,CDM!$I$36:$L$46,3,FALSE)/2*$C84/78,0)</f>
        <v>1053902.3823129819</v>
      </c>
      <c r="J84" s="59">
        <f t="shared" si="31"/>
        <v>13769731.382312981</v>
      </c>
      <c r="K84" s="59">
        <v>5619</v>
      </c>
      <c r="L84" s="59">
        <v>66064620</v>
      </c>
      <c r="M84" s="2">
        <f>IFERROR(VLOOKUP($B84-1,CDM!$I$7:$N$18,4,FALSE)/12,0)+IFERROR(VLOOKUP($B84,CDM!$I$36:$L$46,4,FALSE)/24,0)+IFERROR(VLOOKUP($B84,CDM!$I$36:$L$46,4,FALSE)/2*$C84/78,0)</f>
        <v>3404817.6124079237</v>
      </c>
      <c r="N84" s="59">
        <f t="shared" si="32"/>
        <v>69469437.612407923</v>
      </c>
      <c r="O84" s="59">
        <v>181161</v>
      </c>
      <c r="P84" s="59">
        <v>986</v>
      </c>
      <c r="Q84" s="59">
        <v>551368</v>
      </c>
      <c r="R84" s="59">
        <v>1290</v>
      </c>
      <c r="S84" s="59">
        <v>17201</v>
      </c>
      <c r="T84" s="59">
        <v>261131</v>
      </c>
      <c r="U84" s="1">
        <v>24</v>
      </c>
      <c r="V84" s="59">
        <v>572</v>
      </c>
      <c r="W84" s="114">
        <f>Economic!J146</f>
        <v>769942</v>
      </c>
      <c r="X84" s="114">
        <f>Economic!K146</f>
        <v>596521.6</v>
      </c>
      <c r="Y84" s="114">
        <f>Economic!L146</f>
        <v>58159</v>
      </c>
      <c r="Z84" s="114">
        <f>Economic!M146</f>
        <v>795879</v>
      </c>
      <c r="AA84" s="114">
        <f>Economic!N146</f>
        <v>613516</v>
      </c>
      <c r="AB84" s="114">
        <f>Economic!O146</f>
        <v>21752</v>
      </c>
      <c r="AC84" s="114">
        <f>Economic!D146</f>
        <v>7242.5</v>
      </c>
      <c r="AD84" s="114">
        <f>Economic!E146</f>
        <v>7255.2</v>
      </c>
      <c r="AE84" s="114">
        <f>Economic!F146</f>
        <v>3377.5</v>
      </c>
      <c r="AF84" s="114">
        <f>Economic!G146</f>
        <v>3370.2</v>
      </c>
      <c r="AG84" s="114">
        <f>Economic!H146</f>
        <v>387.3</v>
      </c>
      <c r="AH84" s="114">
        <f>Economic!I146</f>
        <v>388.6</v>
      </c>
      <c r="AI84" s="114">
        <f>Economic!P158</f>
        <v>349.5</v>
      </c>
      <c r="AJ84" s="114">
        <f>Economic!Q158</f>
        <v>334.90000000000055</v>
      </c>
      <c r="AK84" s="114">
        <f>Economic!R158</f>
        <v>183.19999999999982</v>
      </c>
      <c r="AL84" s="114">
        <f>Economic!S158</f>
        <v>177.70000000000027</v>
      </c>
      <c r="AM84" s="114">
        <f>Economic!T158</f>
        <v>47323.5</v>
      </c>
      <c r="AN84" s="114">
        <f>Economic!U158</f>
        <v>18833</v>
      </c>
      <c r="AO84" s="28">
        <f>Weather!D276</f>
        <v>5.8999999999999995</v>
      </c>
      <c r="AP84" s="28">
        <f>Weather!E276</f>
        <v>422.99999999999994</v>
      </c>
      <c r="AQ84" s="28">
        <f>Weather!F276</f>
        <v>0</v>
      </c>
      <c r="AR84" s="28">
        <f>Weather!G276</f>
        <v>362.99999999999994</v>
      </c>
      <c r="AS84" s="28">
        <f>Weather!H276</f>
        <v>0</v>
      </c>
      <c r="AT84" s="28">
        <f>Weather!I276</f>
        <v>303</v>
      </c>
      <c r="AU84" s="28">
        <f>Weather!J276</f>
        <v>0</v>
      </c>
      <c r="AV84" s="28">
        <f>Weather!K276</f>
        <v>243.00000000000003</v>
      </c>
      <c r="AW84" s="28">
        <f>Weather!L276</f>
        <v>0</v>
      </c>
      <c r="AX84" s="28">
        <f>Weather!M276</f>
        <v>184.39999999999998</v>
      </c>
      <c r="AY84" s="28">
        <f>Weather!N276</f>
        <v>1.4000000000000004</v>
      </c>
      <c r="AZ84" s="28">
        <f>Weather!O276</f>
        <v>132.00000000000003</v>
      </c>
      <c r="BA84" s="28">
        <f>Weather!P276</f>
        <v>9.0000000000000018</v>
      </c>
      <c r="BB84" s="28">
        <f>Weather!Q276</f>
        <v>86.399999999999991</v>
      </c>
      <c r="BC84" s="28">
        <f>Weather!R276</f>
        <v>23.4</v>
      </c>
      <c r="BD84">
        <f t="shared" si="54"/>
        <v>0</v>
      </c>
      <c r="BE84">
        <f t="shared" si="54"/>
        <v>0</v>
      </c>
      <c r="BF84">
        <f t="shared" si="54"/>
        <v>0</v>
      </c>
      <c r="BG84">
        <f t="shared" si="54"/>
        <v>0</v>
      </c>
      <c r="BH84">
        <f t="shared" si="54"/>
        <v>0</v>
      </c>
      <c r="BI84">
        <f t="shared" si="54"/>
        <v>0</v>
      </c>
      <c r="BJ84">
        <f t="shared" si="54"/>
        <v>0</v>
      </c>
      <c r="BK84">
        <f t="shared" si="54"/>
        <v>0</v>
      </c>
      <c r="BL84">
        <f t="shared" si="54"/>
        <v>0</v>
      </c>
      <c r="BM84">
        <f t="shared" si="54"/>
        <v>0</v>
      </c>
      <c r="BN84">
        <f t="shared" si="54"/>
        <v>1</v>
      </c>
      <c r="BO84">
        <f t="shared" si="54"/>
        <v>0</v>
      </c>
      <c r="BP84" s="1">
        <f t="shared" si="54"/>
        <v>0</v>
      </c>
      <c r="BQ84" s="1">
        <f t="shared" si="54"/>
        <v>1</v>
      </c>
      <c r="BR84" s="1">
        <f t="shared" si="54"/>
        <v>1</v>
      </c>
      <c r="BS84" s="1">
        <f t="shared" si="33"/>
        <v>83</v>
      </c>
      <c r="BT84">
        <f t="shared" si="27"/>
        <v>30</v>
      </c>
      <c r="BU84" s="1">
        <v>22</v>
      </c>
      <c r="BV84" s="1">
        <v>1</v>
      </c>
      <c r="BW84" s="1">
        <v>0.5</v>
      </c>
      <c r="BX84" s="1">
        <v>0.75</v>
      </c>
      <c r="BY84" s="1">
        <v>0</v>
      </c>
      <c r="BZ84">
        <f t="shared" si="52"/>
        <v>211.49999999999997</v>
      </c>
      <c r="CA84">
        <f t="shared" si="52"/>
        <v>0</v>
      </c>
      <c r="CB84">
        <f t="shared" si="52"/>
        <v>181.49999999999997</v>
      </c>
      <c r="CC84">
        <f t="shared" si="52"/>
        <v>0</v>
      </c>
      <c r="CD84">
        <f t="shared" si="52"/>
        <v>151.5</v>
      </c>
      <c r="CE84">
        <f t="shared" si="52"/>
        <v>0</v>
      </c>
      <c r="CF84">
        <f t="shared" si="50"/>
        <v>121.50000000000001</v>
      </c>
      <c r="CG84">
        <f t="shared" si="50"/>
        <v>0</v>
      </c>
      <c r="CH84">
        <f t="shared" si="45"/>
        <v>92.199999999999989</v>
      </c>
      <c r="CI84">
        <f t="shared" si="45"/>
        <v>0.70000000000000018</v>
      </c>
      <c r="CJ84">
        <f t="shared" si="45"/>
        <v>66.000000000000014</v>
      </c>
      <c r="CK84">
        <f t="shared" si="45"/>
        <v>4.5000000000000009</v>
      </c>
      <c r="CL84">
        <f t="shared" si="45"/>
        <v>43.199999999999996</v>
      </c>
      <c r="CM84">
        <f t="shared" si="45"/>
        <v>11.7</v>
      </c>
      <c r="CN84">
        <f t="shared" si="53"/>
        <v>317.24999999999994</v>
      </c>
      <c r="CO84">
        <f t="shared" si="53"/>
        <v>0</v>
      </c>
      <c r="CP84">
        <f t="shared" si="53"/>
        <v>272.24999999999994</v>
      </c>
      <c r="CQ84">
        <f t="shared" si="53"/>
        <v>0</v>
      </c>
      <c r="CR84">
        <f t="shared" si="53"/>
        <v>227.25</v>
      </c>
      <c r="CS84">
        <f t="shared" si="53"/>
        <v>0</v>
      </c>
      <c r="CT84">
        <f t="shared" si="51"/>
        <v>182.25000000000003</v>
      </c>
      <c r="CU84">
        <f t="shared" si="51"/>
        <v>0</v>
      </c>
      <c r="CV84">
        <f t="shared" si="46"/>
        <v>138.29999999999998</v>
      </c>
      <c r="CW84">
        <f t="shared" si="46"/>
        <v>1.0500000000000003</v>
      </c>
      <c r="CX84">
        <f t="shared" si="46"/>
        <v>99.000000000000028</v>
      </c>
      <c r="CY84">
        <f t="shared" si="46"/>
        <v>6.7500000000000018</v>
      </c>
      <c r="CZ84">
        <f t="shared" si="46"/>
        <v>64.8</v>
      </c>
      <c r="DA84">
        <f t="shared" si="46"/>
        <v>17.549999999999997</v>
      </c>
      <c r="DB84" s="74">
        <f t="shared" si="34"/>
        <v>659.46706989138102</v>
      </c>
      <c r="DC84" s="74">
        <f t="shared" si="49"/>
        <v>21.982235663046033</v>
      </c>
      <c r="DD84" s="73">
        <f t="shared" si="36"/>
        <v>1362876.6288731911</v>
      </c>
      <c r="DE84" s="74">
        <f t="shared" si="37"/>
        <v>2450.5661830064037</v>
      </c>
      <c r="DF84" s="74">
        <f t="shared" si="38"/>
        <v>81.685539433546793</v>
      </c>
      <c r="DG84" s="74">
        <f t="shared" si="39"/>
        <v>458991.0460770994</v>
      </c>
      <c r="DH84" s="74">
        <f t="shared" si="40"/>
        <v>70455.819079521214</v>
      </c>
      <c r="DI84" s="74">
        <f t="shared" si="41"/>
        <v>2348.527302650707</v>
      </c>
      <c r="DJ84" s="74">
        <f t="shared" si="42"/>
        <v>3202.537230887328</v>
      </c>
      <c r="DK84" s="74">
        <f t="shared" si="43"/>
        <v>2315647.9204135975</v>
      </c>
      <c r="DL84" s="74">
        <f t="shared" si="44"/>
        <v>3157701.7096549054</v>
      </c>
    </row>
    <row r="85" spans="1:116" x14ac:dyDescent="0.2">
      <c r="A85" s="96">
        <v>44531</v>
      </c>
      <c r="B85" s="4">
        <f t="shared" si="28"/>
        <v>2021</v>
      </c>
      <c r="C85" s="4">
        <f t="shared" si="29"/>
        <v>12</v>
      </c>
      <c r="D85" s="59">
        <v>44312119</v>
      </c>
      <c r="E85" s="59">
        <f>IFERROR(VLOOKUP($B85-1,CDM!$I$7:$N$18,2,FALSE)/12,0)+IFERROR(VLOOKUP($B85,CDM!$I$36:$L$46,2,FALSE)/24,0)+IFERROR(VLOOKUP($B85,CDM!$I$36:$L$46,2,FALSE)/2*$C85/78,0)</f>
        <v>2626540.3508109674</v>
      </c>
      <c r="F85" s="59">
        <f t="shared" si="30"/>
        <v>46938659.350810967</v>
      </c>
      <c r="G85" s="59">
        <v>61915</v>
      </c>
      <c r="H85" s="59">
        <v>13698285</v>
      </c>
      <c r="I85" s="59">
        <f>IFERROR(VLOOKUP($B85-1,CDM!$I$7:$N$18,3,FALSE)/12,0)+IFERROR(VLOOKUP($B85,CDM!$I$36:$L$46,3,FALSE)/24,0)+IFERROR(VLOOKUP($B85,CDM!$I$36:$L$46,3,FALSE)/2*$C85/78,0)</f>
        <v>1056593.5813785712</v>
      </c>
      <c r="J85" s="59">
        <f t="shared" si="31"/>
        <v>14754878.581378572</v>
      </c>
      <c r="K85" s="59">
        <v>5623</v>
      </c>
      <c r="L85" s="59">
        <v>67772843</v>
      </c>
      <c r="M85" s="2">
        <f>IFERROR(VLOOKUP($B85-1,CDM!$I$7:$N$18,4,FALSE)/12,0)+IFERROR(VLOOKUP($B85,CDM!$I$36:$L$46,4,FALSE)/24,0)+IFERROR(VLOOKUP($B85,CDM!$I$36:$L$46,4,FALSE)/2*$C85/78,0)</f>
        <v>3425178.911612886</v>
      </c>
      <c r="N85" s="59">
        <f t="shared" si="32"/>
        <v>71198021.911612883</v>
      </c>
      <c r="O85" s="59">
        <v>181402</v>
      </c>
      <c r="P85" s="59">
        <v>985</v>
      </c>
      <c r="Q85" s="59">
        <v>596233</v>
      </c>
      <c r="R85" s="59">
        <v>1290</v>
      </c>
      <c r="S85" s="59">
        <v>17201</v>
      </c>
      <c r="T85" s="59">
        <v>261131</v>
      </c>
      <c r="U85" s="1">
        <v>24</v>
      </c>
      <c r="V85" s="59">
        <v>572</v>
      </c>
      <c r="W85" s="114">
        <f>Economic!J147</f>
        <v>769942</v>
      </c>
      <c r="X85" s="114">
        <f>Economic!K147</f>
        <v>596521.6</v>
      </c>
      <c r="Y85" s="114">
        <f>Economic!L147</f>
        <v>58159</v>
      </c>
      <c r="Z85" s="114">
        <f>Economic!M147</f>
        <v>795879</v>
      </c>
      <c r="AA85" s="114">
        <f>Economic!N147</f>
        <v>613516</v>
      </c>
      <c r="AB85" s="114">
        <f>Economic!O147</f>
        <v>21752</v>
      </c>
      <c r="AC85" s="114">
        <f>Economic!D147</f>
        <v>7258.1</v>
      </c>
      <c r="AD85" s="114">
        <f>Economic!E147</f>
        <v>7273.3</v>
      </c>
      <c r="AE85" s="114">
        <f>Economic!F147</f>
        <v>3370</v>
      </c>
      <c r="AF85" s="114">
        <f>Economic!G147</f>
        <v>3372.3</v>
      </c>
      <c r="AG85" s="114">
        <f>Economic!H147</f>
        <v>396.2</v>
      </c>
      <c r="AH85" s="114">
        <f>Economic!I147</f>
        <v>401.2</v>
      </c>
      <c r="AI85" s="114">
        <f>Economic!P159</f>
        <v>386.09999999999945</v>
      </c>
      <c r="AJ85" s="114">
        <f>Economic!Q159</f>
        <v>374.19999999999982</v>
      </c>
      <c r="AK85" s="114">
        <f>Economic!R159</f>
        <v>221.19999999999982</v>
      </c>
      <c r="AL85" s="114">
        <f>Economic!S159</f>
        <v>214.79999999999973</v>
      </c>
      <c r="AM85" s="114">
        <f>Economic!T159</f>
        <v>47323.5</v>
      </c>
      <c r="AN85" s="114">
        <f>Economic!U159</f>
        <v>18833</v>
      </c>
      <c r="AO85" s="28">
        <f>Weather!D277</f>
        <v>3.0161290322580654</v>
      </c>
      <c r="AP85" s="28">
        <f>Weather!E277</f>
        <v>526.50000000000011</v>
      </c>
      <c r="AQ85" s="28">
        <f>Weather!F277</f>
        <v>0</v>
      </c>
      <c r="AR85" s="28">
        <f>Weather!G277</f>
        <v>464.50000000000006</v>
      </c>
      <c r="AS85" s="28">
        <f>Weather!H277</f>
        <v>0</v>
      </c>
      <c r="AT85" s="28">
        <f>Weather!I277</f>
        <v>402.50000000000006</v>
      </c>
      <c r="AU85" s="28">
        <f>Weather!J277</f>
        <v>0</v>
      </c>
      <c r="AV85" s="28">
        <f>Weather!K277</f>
        <v>340.50000000000006</v>
      </c>
      <c r="AW85" s="28">
        <f>Weather!L277</f>
        <v>0</v>
      </c>
      <c r="AX85" s="28">
        <f>Weather!M277</f>
        <v>278.49999999999994</v>
      </c>
      <c r="AY85" s="28">
        <f>Weather!N277</f>
        <v>0</v>
      </c>
      <c r="AZ85" s="28">
        <f>Weather!O277</f>
        <v>217.9</v>
      </c>
      <c r="BA85" s="28">
        <f>Weather!P277</f>
        <v>1.4000000000000004</v>
      </c>
      <c r="BB85" s="28">
        <f>Weather!Q277</f>
        <v>160.6</v>
      </c>
      <c r="BC85" s="28">
        <f>Weather!R277</f>
        <v>6.1000000000000014</v>
      </c>
      <c r="BD85">
        <f t="shared" si="54"/>
        <v>0</v>
      </c>
      <c r="BE85">
        <f t="shared" si="54"/>
        <v>0</v>
      </c>
      <c r="BF85">
        <f t="shared" si="54"/>
        <v>0</v>
      </c>
      <c r="BG85">
        <f t="shared" si="54"/>
        <v>0</v>
      </c>
      <c r="BH85">
        <f t="shared" si="54"/>
        <v>0</v>
      </c>
      <c r="BI85">
        <f t="shared" si="54"/>
        <v>0</v>
      </c>
      <c r="BJ85">
        <f t="shared" si="54"/>
        <v>0</v>
      </c>
      <c r="BK85">
        <f t="shared" si="54"/>
        <v>0</v>
      </c>
      <c r="BL85">
        <f t="shared" si="54"/>
        <v>0</v>
      </c>
      <c r="BM85">
        <f t="shared" si="54"/>
        <v>0</v>
      </c>
      <c r="BN85">
        <f t="shared" si="54"/>
        <v>0</v>
      </c>
      <c r="BO85">
        <f t="shared" si="54"/>
        <v>1</v>
      </c>
      <c r="BP85" s="1">
        <f t="shared" si="54"/>
        <v>0</v>
      </c>
      <c r="BQ85" s="1">
        <f t="shared" si="54"/>
        <v>0</v>
      </c>
      <c r="BR85" s="1">
        <f t="shared" si="54"/>
        <v>0</v>
      </c>
      <c r="BS85" s="1">
        <f t="shared" si="33"/>
        <v>84</v>
      </c>
      <c r="BT85">
        <f t="shared" si="27"/>
        <v>31</v>
      </c>
      <c r="BU85" s="1">
        <v>21</v>
      </c>
      <c r="BV85" s="1">
        <v>1</v>
      </c>
      <c r="BW85" s="1">
        <v>0.5</v>
      </c>
      <c r="BX85" s="1">
        <v>0.75</v>
      </c>
      <c r="BY85" s="1">
        <v>0</v>
      </c>
      <c r="BZ85">
        <f t="shared" si="52"/>
        <v>263.25000000000006</v>
      </c>
      <c r="CA85">
        <f t="shared" si="52"/>
        <v>0</v>
      </c>
      <c r="CB85">
        <f t="shared" si="52"/>
        <v>232.25000000000003</v>
      </c>
      <c r="CC85">
        <f t="shared" si="52"/>
        <v>0</v>
      </c>
      <c r="CD85">
        <f t="shared" si="52"/>
        <v>201.25000000000003</v>
      </c>
      <c r="CE85">
        <f t="shared" si="52"/>
        <v>0</v>
      </c>
      <c r="CF85">
        <f t="shared" si="50"/>
        <v>170.25000000000003</v>
      </c>
      <c r="CG85">
        <f t="shared" si="50"/>
        <v>0</v>
      </c>
      <c r="CH85">
        <f t="shared" si="45"/>
        <v>139.24999999999997</v>
      </c>
      <c r="CI85">
        <f t="shared" si="45"/>
        <v>0</v>
      </c>
      <c r="CJ85">
        <f t="shared" si="45"/>
        <v>108.95</v>
      </c>
      <c r="CK85">
        <f t="shared" si="45"/>
        <v>0.70000000000000018</v>
      </c>
      <c r="CL85">
        <f t="shared" si="45"/>
        <v>80.3</v>
      </c>
      <c r="CM85">
        <f t="shared" si="45"/>
        <v>3.0500000000000007</v>
      </c>
      <c r="CN85">
        <f t="shared" si="53"/>
        <v>394.87500000000011</v>
      </c>
      <c r="CO85">
        <f t="shared" si="53"/>
        <v>0</v>
      </c>
      <c r="CP85">
        <f t="shared" si="53"/>
        <v>348.37500000000006</v>
      </c>
      <c r="CQ85">
        <f t="shared" si="53"/>
        <v>0</v>
      </c>
      <c r="CR85">
        <f t="shared" si="53"/>
        <v>301.87500000000006</v>
      </c>
      <c r="CS85">
        <f t="shared" si="53"/>
        <v>0</v>
      </c>
      <c r="CT85">
        <f t="shared" si="51"/>
        <v>255.37500000000006</v>
      </c>
      <c r="CU85">
        <f t="shared" si="51"/>
        <v>0</v>
      </c>
      <c r="CV85">
        <f t="shared" si="46"/>
        <v>208.87499999999994</v>
      </c>
      <c r="CW85">
        <f t="shared" si="46"/>
        <v>0</v>
      </c>
      <c r="CX85">
        <f t="shared" si="46"/>
        <v>163.42500000000001</v>
      </c>
      <c r="CY85">
        <f t="shared" si="46"/>
        <v>1.0500000000000003</v>
      </c>
      <c r="CZ85">
        <f t="shared" si="46"/>
        <v>120.44999999999999</v>
      </c>
      <c r="DA85">
        <f t="shared" si="46"/>
        <v>4.5750000000000011</v>
      </c>
      <c r="DB85" s="74">
        <f t="shared" si="34"/>
        <v>758.11450134557003</v>
      </c>
      <c r="DC85" s="74">
        <f t="shared" si="49"/>
        <v>24.455306495018387</v>
      </c>
      <c r="DD85" s="73">
        <f t="shared" si="36"/>
        <v>1514150.3016390635</v>
      </c>
      <c r="DE85" s="74">
        <f t="shared" si="37"/>
        <v>2624.0225113602296</v>
      </c>
      <c r="DF85" s="74">
        <f t="shared" si="38"/>
        <v>84.645887463233208</v>
      </c>
      <c r="DG85" s="74">
        <f t="shared" si="39"/>
        <v>475963.82520576037</v>
      </c>
      <c r="DH85" s="74">
        <f t="shared" si="40"/>
        <v>72282.255747830335</v>
      </c>
      <c r="DI85" s="74">
        <f t="shared" si="41"/>
        <v>2331.6856692848496</v>
      </c>
      <c r="DJ85" s="74">
        <f t="shared" si="42"/>
        <v>3442.0121784681114</v>
      </c>
      <c r="DK85" s="74">
        <f t="shared" si="43"/>
        <v>2296710.3842455768</v>
      </c>
      <c r="DL85" s="74">
        <f t="shared" si="44"/>
        <v>3390381.9957910897</v>
      </c>
    </row>
    <row r="86" spans="1:116" x14ac:dyDescent="0.2">
      <c r="A86" s="96">
        <v>44562</v>
      </c>
      <c r="B86" s="4">
        <f t="shared" si="28"/>
        <v>2022</v>
      </c>
      <c r="C86" s="4">
        <f t="shared" si="29"/>
        <v>1</v>
      </c>
      <c r="D86" s="59">
        <v>47633810</v>
      </c>
      <c r="E86" s="59">
        <f>IFERROR(VLOOKUP($B86-1,CDM!$I$7:$N$18,2,FALSE)/12,0)+IFERROR(VLOOKUP($B86,CDM!$I$36:$L$46,2,FALSE)/24,0)+IFERROR(VLOOKUP($B86,CDM!$I$36:$L$46,2,FALSE)/2*$C86/78,0)</f>
        <v>2630736.6528020902</v>
      </c>
      <c r="F86" s="59">
        <f t="shared" si="30"/>
        <v>50264546.652802087</v>
      </c>
      <c r="G86" s="59">
        <v>61994</v>
      </c>
      <c r="H86" s="59">
        <v>14704379</v>
      </c>
      <c r="I86" s="59">
        <f>IFERROR(VLOOKUP($B86-1,CDM!$I$7:$N$18,3,FALSE)/12,0)+IFERROR(VLOOKUP($B86,CDM!$I$36:$L$46,3,FALSE)/24,0)+IFERROR(VLOOKUP($B86,CDM!$I$36:$L$46,3,FALSE)/2*$C86/78,0)</f>
        <v>1084179.3864900772</v>
      </c>
      <c r="J86" s="59">
        <f t="shared" si="31"/>
        <v>15788558.386490077</v>
      </c>
      <c r="K86" s="59">
        <v>5641</v>
      </c>
      <c r="L86" s="59">
        <v>70970626</v>
      </c>
      <c r="M86" s="2">
        <f>IFERROR(VLOOKUP($B86-1,CDM!$I$7:$N$18,4,FALSE)/12,0)+IFERROR(VLOOKUP($B86,CDM!$I$36:$L$46,4,FALSE)/24,0)+IFERROR(VLOOKUP($B86,CDM!$I$36:$L$46,4,FALSE)/2*$C86/78,0)</f>
        <v>3507440.1882078405</v>
      </c>
      <c r="N86" s="59">
        <f t="shared" si="32"/>
        <v>74478066.188207835</v>
      </c>
      <c r="O86" s="59">
        <v>177792</v>
      </c>
      <c r="P86" s="59">
        <v>989</v>
      </c>
      <c r="Q86" s="59">
        <v>584137</v>
      </c>
      <c r="R86" s="59">
        <v>1290</v>
      </c>
      <c r="S86" s="59">
        <v>17201</v>
      </c>
      <c r="T86" s="59">
        <v>261725</v>
      </c>
      <c r="U86" s="1">
        <v>24</v>
      </c>
      <c r="V86" s="59">
        <v>572</v>
      </c>
      <c r="W86" s="114">
        <f>Economic!J148</f>
        <v>817265.5</v>
      </c>
      <c r="X86" s="114">
        <f>Economic!K148</f>
        <v>634181.69999999995</v>
      </c>
      <c r="Y86" s="114">
        <f>Economic!L148</f>
        <v>64910</v>
      </c>
      <c r="Z86" s="114">
        <f>Economic!M148</f>
        <v>808584</v>
      </c>
      <c r="AA86" s="114">
        <f>Economic!N148</f>
        <v>622695</v>
      </c>
      <c r="AB86" s="114">
        <f>Economic!O148</f>
        <v>23185</v>
      </c>
      <c r="AC86" s="114">
        <f>Economic!D148</f>
        <v>7204.7</v>
      </c>
      <c r="AD86" s="114">
        <f>Economic!E148</f>
        <v>7180.4</v>
      </c>
      <c r="AE86" s="114">
        <f>Economic!F148</f>
        <v>3320.3</v>
      </c>
      <c r="AF86" s="114">
        <f>Economic!G148</f>
        <v>3318.1</v>
      </c>
      <c r="AG86" s="114">
        <f>Economic!H148</f>
        <v>399.8</v>
      </c>
      <c r="AH86" s="114">
        <f>Economic!I148</f>
        <v>402.9</v>
      </c>
      <c r="AI86" s="114">
        <f>Economic!P160</f>
        <v>423</v>
      </c>
      <c r="AJ86" s="114">
        <f>Economic!Q160</f>
        <v>414.70000000000073</v>
      </c>
      <c r="AK86" s="114">
        <f>Economic!R160</f>
        <v>252.19999999999982</v>
      </c>
      <c r="AL86" s="114">
        <f>Economic!S160</f>
        <v>246.40000000000009</v>
      </c>
      <c r="AM86" s="114">
        <f>Economic!T160</f>
        <v>33196.400000000023</v>
      </c>
      <c r="AN86" s="114">
        <f>Economic!U160</f>
        <v>6821</v>
      </c>
      <c r="AO86" s="28">
        <f>Weather!D278</f>
        <v>-6.1354838709677422</v>
      </c>
      <c r="AP86" s="28">
        <f>Weather!E278</f>
        <v>810.19999999999993</v>
      </c>
      <c r="AQ86" s="28">
        <f>Weather!F278</f>
        <v>0</v>
      </c>
      <c r="AR86" s="28">
        <f>Weather!G278</f>
        <v>748.2</v>
      </c>
      <c r="AS86" s="28">
        <f>Weather!H278</f>
        <v>0</v>
      </c>
      <c r="AT86" s="28">
        <f>Weather!I278</f>
        <v>686.19999999999993</v>
      </c>
      <c r="AU86" s="28">
        <f>Weather!J278</f>
        <v>0</v>
      </c>
      <c r="AV86" s="28">
        <f>Weather!K278</f>
        <v>624.19999999999993</v>
      </c>
      <c r="AW86" s="28">
        <f>Weather!L278</f>
        <v>0</v>
      </c>
      <c r="AX86" s="28">
        <f>Weather!M278</f>
        <v>562.19999999999993</v>
      </c>
      <c r="AY86" s="28">
        <f>Weather!N278</f>
        <v>0</v>
      </c>
      <c r="AZ86" s="28">
        <f>Weather!O278</f>
        <v>500.20000000000005</v>
      </c>
      <c r="BA86" s="28">
        <f>Weather!P278</f>
        <v>0</v>
      </c>
      <c r="BB86" s="28">
        <f>Weather!Q278</f>
        <v>438.2</v>
      </c>
      <c r="BC86" s="28">
        <f>Weather!R278</f>
        <v>0</v>
      </c>
      <c r="BD86">
        <f t="shared" si="54"/>
        <v>1</v>
      </c>
      <c r="BE86">
        <f t="shared" si="54"/>
        <v>0</v>
      </c>
      <c r="BF86">
        <f t="shared" si="54"/>
        <v>0</v>
      </c>
      <c r="BG86">
        <f t="shared" si="54"/>
        <v>0</v>
      </c>
      <c r="BH86">
        <f t="shared" si="54"/>
        <v>0</v>
      </c>
      <c r="BI86">
        <f t="shared" si="54"/>
        <v>0</v>
      </c>
      <c r="BJ86">
        <f t="shared" si="54"/>
        <v>0</v>
      </c>
      <c r="BK86">
        <f t="shared" si="54"/>
        <v>0</v>
      </c>
      <c r="BL86">
        <f t="shared" si="54"/>
        <v>0</v>
      </c>
      <c r="BM86">
        <f t="shared" si="54"/>
        <v>0</v>
      </c>
      <c r="BN86">
        <f t="shared" si="54"/>
        <v>0</v>
      </c>
      <c r="BO86">
        <f t="shared" si="54"/>
        <v>0</v>
      </c>
      <c r="BP86" s="1">
        <f t="shared" si="54"/>
        <v>0</v>
      </c>
      <c r="BQ86" s="1">
        <f t="shared" si="54"/>
        <v>0</v>
      </c>
      <c r="BR86" s="1">
        <f t="shared" si="54"/>
        <v>0</v>
      </c>
      <c r="BS86" s="1">
        <f t="shared" si="33"/>
        <v>85</v>
      </c>
      <c r="BT86">
        <f t="shared" si="27"/>
        <v>31</v>
      </c>
      <c r="BU86" s="1">
        <v>20</v>
      </c>
      <c r="BV86" s="1">
        <v>0.5</v>
      </c>
      <c r="BW86" s="1">
        <v>0.25</v>
      </c>
      <c r="BX86" s="1">
        <v>0.5</v>
      </c>
      <c r="BY86" s="1">
        <v>0</v>
      </c>
      <c r="BZ86">
        <f t="shared" si="52"/>
        <v>202.54999999999998</v>
      </c>
      <c r="CA86">
        <f t="shared" si="52"/>
        <v>0</v>
      </c>
      <c r="CB86">
        <f t="shared" si="52"/>
        <v>187.05</v>
      </c>
      <c r="CC86">
        <f t="shared" si="52"/>
        <v>0</v>
      </c>
      <c r="CD86">
        <f t="shared" si="52"/>
        <v>171.54999999999998</v>
      </c>
      <c r="CE86">
        <f t="shared" si="52"/>
        <v>0</v>
      </c>
      <c r="CF86">
        <f t="shared" si="50"/>
        <v>156.04999999999998</v>
      </c>
      <c r="CG86">
        <f t="shared" si="50"/>
        <v>0</v>
      </c>
      <c r="CH86">
        <f t="shared" si="45"/>
        <v>140.54999999999998</v>
      </c>
      <c r="CI86">
        <f t="shared" si="45"/>
        <v>0</v>
      </c>
      <c r="CJ86">
        <f t="shared" si="45"/>
        <v>125.05000000000001</v>
      </c>
      <c r="CK86">
        <f t="shared" si="45"/>
        <v>0</v>
      </c>
      <c r="CL86">
        <f t="shared" si="45"/>
        <v>109.55</v>
      </c>
      <c r="CM86">
        <f t="shared" si="45"/>
        <v>0</v>
      </c>
      <c r="CN86">
        <f t="shared" si="53"/>
        <v>405.09999999999997</v>
      </c>
      <c r="CO86">
        <f t="shared" si="53"/>
        <v>0</v>
      </c>
      <c r="CP86">
        <f t="shared" si="53"/>
        <v>374.1</v>
      </c>
      <c r="CQ86">
        <f t="shared" si="53"/>
        <v>0</v>
      </c>
      <c r="CR86">
        <f t="shared" si="53"/>
        <v>343.09999999999997</v>
      </c>
      <c r="CS86">
        <f t="shared" si="53"/>
        <v>0</v>
      </c>
      <c r="CT86">
        <f t="shared" si="51"/>
        <v>312.09999999999997</v>
      </c>
      <c r="CU86">
        <f t="shared" si="51"/>
        <v>0</v>
      </c>
      <c r="CV86">
        <f t="shared" si="46"/>
        <v>281.09999999999997</v>
      </c>
      <c r="CW86">
        <f t="shared" si="46"/>
        <v>0</v>
      </c>
      <c r="CX86">
        <f t="shared" si="46"/>
        <v>250.10000000000002</v>
      </c>
      <c r="CY86">
        <f t="shared" si="46"/>
        <v>0</v>
      </c>
      <c r="CZ86">
        <f t="shared" si="46"/>
        <v>219.1</v>
      </c>
      <c r="DA86">
        <f t="shared" si="46"/>
        <v>0</v>
      </c>
      <c r="DB86" s="74">
        <f t="shared" si="34"/>
        <v>810.79695862183576</v>
      </c>
      <c r="DC86" s="74">
        <f t="shared" si="49"/>
        <v>26.154740600704379</v>
      </c>
      <c r="DD86" s="73">
        <f t="shared" si="36"/>
        <v>1621436.9888000672</v>
      </c>
      <c r="DE86" s="74">
        <f t="shared" si="37"/>
        <v>2798.8935271210912</v>
      </c>
      <c r="DF86" s="74">
        <f t="shared" si="38"/>
        <v>90.286887971648099</v>
      </c>
      <c r="DG86" s="74">
        <f t="shared" si="39"/>
        <v>509308.33504806698</v>
      </c>
      <c r="DH86" s="74">
        <f t="shared" si="40"/>
        <v>75306.436995154538</v>
      </c>
      <c r="DI86" s="74">
        <f t="shared" si="41"/>
        <v>2429.239903069501</v>
      </c>
      <c r="DJ86" s="74">
        <f t="shared" si="42"/>
        <v>3765.3218497577268</v>
      </c>
      <c r="DK86" s="74">
        <f t="shared" si="43"/>
        <v>2402518.2641357365</v>
      </c>
      <c r="DL86" s="74">
        <f t="shared" si="44"/>
        <v>3723903.3094103918</v>
      </c>
    </row>
    <row r="87" spans="1:116" x14ac:dyDescent="0.2">
      <c r="A87" s="96">
        <v>44593</v>
      </c>
      <c r="B87" s="4">
        <f t="shared" si="28"/>
        <v>2022</v>
      </c>
      <c r="C87" s="4">
        <f t="shared" si="29"/>
        <v>2</v>
      </c>
      <c r="D87" s="59">
        <v>41226305</v>
      </c>
      <c r="E87" s="59">
        <f>IFERROR(VLOOKUP($B87-1,CDM!$I$7:$N$18,2,FALSE)/12,0)+IFERROR(VLOOKUP($B87,CDM!$I$36:$L$46,2,FALSE)/24,0)+IFERROR(VLOOKUP($B87,CDM!$I$36:$L$46,2,FALSE)/2*$C87/78,0)</f>
        <v>2631487.1817854126</v>
      </c>
      <c r="F87" s="59">
        <f t="shared" si="30"/>
        <v>43857792.181785412</v>
      </c>
      <c r="G87" s="59">
        <v>61985</v>
      </c>
      <c r="H87" s="59">
        <v>13661218</v>
      </c>
      <c r="I87" s="59">
        <f>IFERROR(VLOOKUP($B87-1,CDM!$I$7:$N$18,3,FALSE)/12,0)+IFERROR(VLOOKUP($B87,CDM!$I$36:$L$46,3,FALSE)/24,0)+IFERROR(VLOOKUP($B87,CDM!$I$36:$L$46,3,FALSE)/2*$C87/78,0)</f>
        <v>1089831.0398197102</v>
      </c>
      <c r="J87" s="59">
        <f t="shared" si="31"/>
        <v>14751049.03981971</v>
      </c>
      <c r="K87" s="59">
        <v>5639</v>
      </c>
      <c r="L87" s="59">
        <v>64437945</v>
      </c>
      <c r="M87" s="2">
        <f>IFERROR(VLOOKUP($B87-1,CDM!$I$7:$N$18,4,FALSE)/12,0)+IFERROR(VLOOKUP($B87,CDM!$I$36:$L$46,4,FALSE)/24,0)+IFERROR(VLOOKUP($B87,CDM!$I$36:$L$46,4,FALSE)/2*$C87/78,0)</f>
        <v>3533339.9778374736</v>
      </c>
      <c r="N87" s="59">
        <f t="shared" si="32"/>
        <v>67971284.977837473</v>
      </c>
      <c r="O87" s="59">
        <v>174846</v>
      </c>
      <c r="P87" s="59">
        <v>972</v>
      </c>
      <c r="Q87" s="59">
        <v>487117</v>
      </c>
      <c r="R87" s="59">
        <v>1290</v>
      </c>
      <c r="S87" s="59">
        <v>17201</v>
      </c>
      <c r="T87" s="59">
        <v>261725</v>
      </c>
      <c r="U87" s="1">
        <v>24</v>
      </c>
      <c r="V87" s="59">
        <v>588</v>
      </c>
      <c r="W87" s="114">
        <f>Economic!J149</f>
        <v>817265.5</v>
      </c>
      <c r="X87" s="114">
        <f>Economic!K149</f>
        <v>634181.69999999995</v>
      </c>
      <c r="Y87" s="114">
        <f>Economic!L149</f>
        <v>64910</v>
      </c>
      <c r="Z87" s="114">
        <f>Economic!M149</f>
        <v>808584</v>
      </c>
      <c r="AA87" s="114">
        <f>Economic!N149</f>
        <v>622695</v>
      </c>
      <c r="AB87" s="114">
        <f>Economic!O149</f>
        <v>23185</v>
      </c>
      <c r="AC87" s="114">
        <f>Economic!D149</f>
        <v>7181.2</v>
      </c>
      <c r="AD87" s="114">
        <f>Economic!E149</f>
        <v>7124.8</v>
      </c>
      <c r="AE87" s="114">
        <f>Economic!F149</f>
        <v>3280.1</v>
      </c>
      <c r="AF87" s="114">
        <f>Economic!G149</f>
        <v>3267.7</v>
      </c>
      <c r="AG87" s="114">
        <f>Economic!H149</f>
        <v>400.9</v>
      </c>
      <c r="AH87" s="114">
        <f>Economic!I149</f>
        <v>400.7</v>
      </c>
      <c r="AI87" s="114">
        <f>Economic!P161</f>
        <v>470.10000000000036</v>
      </c>
      <c r="AJ87" s="114">
        <f>Economic!Q161</f>
        <v>464</v>
      </c>
      <c r="AK87" s="114">
        <f>Economic!R161</f>
        <v>286.80000000000018</v>
      </c>
      <c r="AL87" s="114">
        <f>Economic!S161</f>
        <v>284</v>
      </c>
      <c r="AM87" s="114">
        <f>Economic!T161</f>
        <v>33196.400000000023</v>
      </c>
      <c r="AN87" s="114">
        <f>Economic!U161</f>
        <v>6821</v>
      </c>
      <c r="AO87" s="28">
        <f>Weather!D279</f>
        <v>-2.596428571428572</v>
      </c>
      <c r="AP87" s="28">
        <f>Weather!E279</f>
        <v>632.70000000000016</v>
      </c>
      <c r="AQ87" s="28">
        <f>Weather!F279</f>
        <v>0</v>
      </c>
      <c r="AR87" s="28">
        <f>Weather!G279</f>
        <v>576.70000000000005</v>
      </c>
      <c r="AS87" s="28">
        <f>Weather!H279</f>
        <v>0</v>
      </c>
      <c r="AT87" s="28">
        <f>Weather!I279</f>
        <v>520.70000000000005</v>
      </c>
      <c r="AU87" s="28">
        <f>Weather!J279</f>
        <v>0</v>
      </c>
      <c r="AV87" s="28">
        <f>Weather!K279</f>
        <v>464.7</v>
      </c>
      <c r="AW87" s="28">
        <f>Weather!L279</f>
        <v>0</v>
      </c>
      <c r="AX87" s="28">
        <f>Weather!M279</f>
        <v>408.7</v>
      </c>
      <c r="AY87" s="28">
        <f>Weather!N279</f>
        <v>0</v>
      </c>
      <c r="AZ87" s="28">
        <f>Weather!O279</f>
        <v>352.7</v>
      </c>
      <c r="BA87" s="28">
        <f>Weather!P279</f>
        <v>0</v>
      </c>
      <c r="BB87" s="28">
        <f>Weather!Q279</f>
        <v>296.69999999999993</v>
      </c>
      <c r="BC87" s="28">
        <f>Weather!R279</f>
        <v>0</v>
      </c>
      <c r="BD87">
        <f t="shared" si="54"/>
        <v>0</v>
      </c>
      <c r="BE87">
        <f t="shared" si="54"/>
        <v>1</v>
      </c>
      <c r="BF87">
        <f t="shared" si="54"/>
        <v>0</v>
      </c>
      <c r="BG87">
        <f t="shared" si="54"/>
        <v>0</v>
      </c>
      <c r="BH87">
        <f t="shared" si="54"/>
        <v>0</v>
      </c>
      <c r="BI87">
        <f t="shared" si="54"/>
        <v>0</v>
      </c>
      <c r="BJ87">
        <f t="shared" si="54"/>
        <v>0</v>
      </c>
      <c r="BK87">
        <f t="shared" si="54"/>
        <v>0</v>
      </c>
      <c r="BL87">
        <f t="shared" si="54"/>
        <v>0</v>
      </c>
      <c r="BM87">
        <f t="shared" si="54"/>
        <v>0</v>
      </c>
      <c r="BN87">
        <f t="shared" si="54"/>
        <v>0</v>
      </c>
      <c r="BO87">
        <f t="shared" si="54"/>
        <v>0</v>
      </c>
      <c r="BP87" s="1">
        <f t="shared" si="54"/>
        <v>0</v>
      </c>
      <c r="BQ87" s="1">
        <f t="shared" si="54"/>
        <v>0</v>
      </c>
      <c r="BR87" s="1">
        <f t="shared" si="54"/>
        <v>0</v>
      </c>
      <c r="BS87" s="1">
        <f t="shared" si="33"/>
        <v>86</v>
      </c>
      <c r="BT87">
        <f t="shared" si="27"/>
        <v>28</v>
      </c>
      <c r="BU87" s="1">
        <v>19</v>
      </c>
      <c r="BV87" s="1">
        <v>0.5</v>
      </c>
      <c r="BW87" s="1">
        <v>0.25</v>
      </c>
      <c r="BX87" s="1">
        <v>0.5</v>
      </c>
      <c r="BY87" s="1">
        <v>0</v>
      </c>
      <c r="BZ87">
        <f t="shared" si="52"/>
        <v>158.17500000000004</v>
      </c>
      <c r="CA87">
        <f t="shared" si="52"/>
        <v>0</v>
      </c>
      <c r="CB87">
        <f t="shared" si="52"/>
        <v>144.17500000000001</v>
      </c>
      <c r="CC87">
        <f t="shared" si="52"/>
        <v>0</v>
      </c>
      <c r="CD87">
        <f t="shared" si="52"/>
        <v>130.17500000000001</v>
      </c>
      <c r="CE87">
        <f t="shared" si="52"/>
        <v>0</v>
      </c>
      <c r="CF87">
        <f t="shared" si="50"/>
        <v>116.175</v>
      </c>
      <c r="CG87">
        <f t="shared" si="50"/>
        <v>0</v>
      </c>
      <c r="CH87">
        <f t="shared" si="45"/>
        <v>102.175</v>
      </c>
      <c r="CI87">
        <f t="shared" si="45"/>
        <v>0</v>
      </c>
      <c r="CJ87">
        <f t="shared" si="45"/>
        <v>88.174999999999997</v>
      </c>
      <c r="CK87">
        <f t="shared" si="45"/>
        <v>0</v>
      </c>
      <c r="CL87">
        <f t="shared" si="45"/>
        <v>74.174999999999983</v>
      </c>
      <c r="CM87">
        <f t="shared" si="45"/>
        <v>0</v>
      </c>
      <c r="CN87">
        <f t="shared" si="53"/>
        <v>316.35000000000008</v>
      </c>
      <c r="CO87">
        <f t="shared" si="53"/>
        <v>0</v>
      </c>
      <c r="CP87">
        <f t="shared" si="53"/>
        <v>288.35000000000002</v>
      </c>
      <c r="CQ87">
        <f t="shared" si="53"/>
        <v>0</v>
      </c>
      <c r="CR87">
        <f t="shared" si="53"/>
        <v>260.35000000000002</v>
      </c>
      <c r="CS87">
        <f t="shared" si="53"/>
        <v>0</v>
      </c>
      <c r="CT87">
        <f t="shared" si="51"/>
        <v>232.35</v>
      </c>
      <c r="CU87">
        <f t="shared" si="51"/>
        <v>0</v>
      </c>
      <c r="CV87">
        <f t="shared" si="46"/>
        <v>204.35</v>
      </c>
      <c r="CW87">
        <f t="shared" si="46"/>
        <v>0</v>
      </c>
      <c r="CX87">
        <f t="shared" si="46"/>
        <v>176.35</v>
      </c>
      <c r="CY87">
        <f t="shared" si="46"/>
        <v>0</v>
      </c>
      <c r="CZ87">
        <f t="shared" si="46"/>
        <v>148.34999999999997</v>
      </c>
      <c r="DA87">
        <f t="shared" si="46"/>
        <v>0</v>
      </c>
      <c r="DB87" s="74">
        <f t="shared" si="34"/>
        <v>707.55492751125939</v>
      </c>
      <c r="DC87" s="74">
        <f t="shared" si="49"/>
        <v>25.269818839687836</v>
      </c>
      <c r="DD87" s="73">
        <f t="shared" si="36"/>
        <v>1566349.7207780504</v>
      </c>
      <c r="DE87" s="74">
        <f t="shared" si="37"/>
        <v>2615.8980386273647</v>
      </c>
      <c r="DF87" s="74">
        <f t="shared" si="38"/>
        <v>93.424929950977315</v>
      </c>
      <c r="DG87" s="74">
        <f t="shared" si="39"/>
        <v>526823.17999356112</v>
      </c>
      <c r="DH87" s="74">
        <f t="shared" si="40"/>
        <v>69929.305532754603</v>
      </c>
      <c r="DI87" s="74">
        <f t="shared" si="41"/>
        <v>2497.4751975983786</v>
      </c>
      <c r="DJ87" s="74">
        <f t="shared" si="42"/>
        <v>3680.489764881821</v>
      </c>
      <c r="DK87" s="74">
        <f t="shared" si="43"/>
        <v>2427545.8920656242</v>
      </c>
      <c r="DL87" s="74">
        <f t="shared" si="44"/>
        <v>3577436.0514651299</v>
      </c>
    </row>
    <row r="88" spans="1:116" x14ac:dyDescent="0.2">
      <c r="A88" s="96">
        <v>44621</v>
      </c>
      <c r="B88" s="4">
        <f t="shared" si="28"/>
        <v>2022</v>
      </c>
      <c r="C88" s="4">
        <f t="shared" si="29"/>
        <v>3</v>
      </c>
      <c r="D88" s="59">
        <v>41228248</v>
      </c>
      <c r="E88" s="59">
        <f>IFERROR(VLOOKUP($B88-1,CDM!$I$7:$N$18,2,FALSE)/12,0)+IFERROR(VLOOKUP($B88,CDM!$I$36:$L$46,2,FALSE)/24,0)+IFERROR(VLOOKUP($B88,CDM!$I$36:$L$46,2,FALSE)/2*$C88/78,0)</f>
        <v>2632237.7107687346</v>
      </c>
      <c r="F88" s="59">
        <f t="shared" si="30"/>
        <v>43860485.710768737</v>
      </c>
      <c r="G88" s="59">
        <v>62004</v>
      </c>
      <c r="H88" s="59">
        <v>14294432</v>
      </c>
      <c r="I88" s="59">
        <f>IFERROR(VLOOKUP($B88-1,CDM!$I$7:$N$18,3,FALSE)/12,0)+IFERROR(VLOOKUP($B88,CDM!$I$36:$L$46,3,FALSE)/24,0)+IFERROR(VLOOKUP($B88,CDM!$I$36:$L$46,3,FALSE)/2*$C88/78,0)</f>
        <v>1095482.6931493431</v>
      </c>
      <c r="J88" s="59">
        <f t="shared" si="31"/>
        <v>15389914.693149343</v>
      </c>
      <c r="K88" s="59">
        <v>5650</v>
      </c>
      <c r="L88" s="59">
        <v>69429175</v>
      </c>
      <c r="M88" s="2">
        <f>IFERROR(VLOOKUP($B88-1,CDM!$I$7:$N$18,4,FALSE)/12,0)+IFERROR(VLOOKUP($B88,CDM!$I$36:$L$46,4,FALSE)/24,0)+IFERROR(VLOOKUP($B88,CDM!$I$36:$L$46,4,FALSE)/2*$C88/78,0)</f>
        <v>3559239.7674671072</v>
      </c>
      <c r="N88" s="59">
        <f t="shared" si="32"/>
        <v>72988414.767467111</v>
      </c>
      <c r="O88" s="59">
        <v>173591</v>
      </c>
      <c r="P88" s="59">
        <v>972</v>
      </c>
      <c r="Q88" s="59">
        <v>482754</v>
      </c>
      <c r="R88" s="59">
        <v>1290</v>
      </c>
      <c r="S88" s="59">
        <v>17201</v>
      </c>
      <c r="T88" s="59">
        <v>262572</v>
      </c>
      <c r="U88" s="1">
        <v>24</v>
      </c>
      <c r="V88" s="59">
        <v>576</v>
      </c>
      <c r="W88" s="114">
        <f>Economic!J150</f>
        <v>817265.5</v>
      </c>
      <c r="X88" s="114">
        <f>Economic!K150</f>
        <v>634181.69999999995</v>
      </c>
      <c r="Y88" s="114">
        <f>Economic!L150</f>
        <v>64910</v>
      </c>
      <c r="Z88" s="114">
        <f>Economic!M150</f>
        <v>808584</v>
      </c>
      <c r="AA88" s="114">
        <f>Economic!N150</f>
        <v>622695</v>
      </c>
      <c r="AB88" s="114">
        <f>Economic!O150</f>
        <v>23185</v>
      </c>
      <c r="AC88" s="114">
        <f>Economic!D150</f>
        <v>7218.1</v>
      </c>
      <c r="AD88" s="114">
        <f>Economic!E150</f>
        <v>7129.5</v>
      </c>
      <c r="AE88" s="114">
        <f>Economic!F150</f>
        <v>3282.6</v>
      </c>
      <c r="AF88" s="114">
        <f>Economic!G150</f>
        <v>3251.8</v>
      </c>
      <c r="AG88" s="114">
        <f>Economic!H150</f>
        <v>406.4</v>
      </c>
      <c r="AH88" s="114">
        <f>Economic!I150</f>
        <v>402.3</v>
      </c>
      <c r="AI88" s="114">
        <f>Economic!P162</f>
        <v>444.39999999999964</v>
      </c>
      <c r="AJ88" s="114">
        <f>Economic!Q162</f>
        <v>443.89999999999964</v>
      </c>
      <c r="AK88" s="114">
        <f>Economic!R162</f>
        <v>269.80000000000018</v>
      </c>
      <c r="AL88" s="114">
        <f>Economic!S162</f>
        <v>271.79999999999973</v>
      </c>
      <c r="AM88" s="114">
        <f>Economic!T162</f>
        <v>33196.400000000023</v>
      </c>
      <c r="AN88" s="114">
        <f>Economic!U162</f>
        <v>6821</v>
      </c>
      <c r="AO88" s="28">
        <f>Weather!D280</f>
        <v>2.0096774193548388</v>
      </c>
      <c r="AP88" s="28">
        <f>Weather!E280</f>
        <v>557.70000000000005</v>
      </c>
      <c r="AQ88" s="28">
        <f>Weather!F280</f>
        <v>0</v>
      </c>
      <c r="AR88" s="28">
        <f>Weather!G280</f>
        <v>495.70000000000005</v>
      </c>
      <c r="AS88" s="28">
        <f>Weather!H280</f>
        <v>0</v>
      </c>
      <c r="AT88" s="28">
        <f>Weather!I280</f>
        <v>433.70000000000005</v>
      </c>
      <c r="AU88" s="28">
        <f>Weather!J280</f>
        <v>0</v>
      </c>
      <c r="AV88" s="28">
        <f>Weather!K280</f>
        <v>371.70000000000005</v>
      </c>
      <c r="AW88" s="28">
        <f>Weather!L280</f>
        <v>0</v>
      </c>
      <c r="AX88" s="28">
        <f>Weather!M280</f>
        <v>309.7</v>
      </c>
      <c r="AY88" s="28">
        <f>Weather!N280</f>
        <v>0</v>
      </c>
      <c r="AZ88" s="28">
        <f>Weather!O280</f>
        <v>247.89999999999998</v>
      </c>
      <c r="BA88" s="28">
        <f>Weather!P280</f>
        <v>0.19999999999999929</v>
      </c>
      <c r="BB88" s="28">
        <f>Weather!Q280</f>
        <v>188.9</v>
      </c>
      <c r="BC88" s="28">
        <f>Weather!R280</f>
        <v>3.1999999999999993</v>
      </c>
      <c r="BD88">
        <f t="shared" si="54"/>
        <v>0</v>
      </c>
      <c r="BE88">
        <f t="shared" si="54"/>
        <v>0</v>
      </c>
      <c r="BF88">
        <f t="shared" si="54"/>
        <v>1</v>
      </c>
      <c r="BG88">
        <f t="shared" si="54"/>
        <v>0</v>
      </c>
      <c r="BH88">
        <f t="shared" si="54"/>
        <v>0</v>
      </c>
      <c r="BI88">
        <f t="shared" si="54"/>
        <v>0</v>
      </c>
      <c r="BJ88">
        <f t="shared" si="54"/>
        <v>0</v>
      </c>
      <c r="BK88">
        <f t="shared" si="54"/>
        <v>0</v>
      </c>
      <c r="BL88">
        <f t="shared" si="54"/>
        <v>0</v>
      </c>
      <c r="BM88">
        <f t="shared" si="54"/>
        <v>0</v>
      </c>
      <c r="BN88">
        <f t="shared" si="54"/>
        <v>0</v>
      </c>
      <c r="BO88">
        <f t="shared" si="54"/>
        <v>0</v>
      </c>
      <c r="BP88" s="1">
        <f t="shared" si="54"/>
        <v>1</v>
      </c>
      <c r="BQ88" s="1">
        <f t="shared" si="54"/>
        <v>0</v>
      </c>
      <c r="BR88" s="1">
        <f t="shared" si="54"/>
        <v>1</v>
      </c>
      <c r="BS88" s="1">
        <f t="shared" si="33"/>
        <v>87</v>
      </c>
      <c r="BT88">
        <f t="shared" si="27"/>
        <v>31</v>
      </c>
      <c r="BU88" s="1">
        <v>23</v>
      </c>
      <c r="BV88" s="1">
        <v>0.5</v>
      </c>
      <c r="BW88" s="1">
        <v>0.25</v>
      </c>
      <c r="BX88" s="1">
        <v>0.5</v>
      </c>
      <c r="BY88" s="1">
        <v>0</v>
      </c>
      <c r="BZ88">
        <f t="shared" si="52"/>
        <v>139.42500000000001</v>
      </c>
      <c r="CA88">
        <f t="shared" si="52"/>
        <v>0</v>
      </c>
      <c r="CB88">
        <f t="shared" si="52"/>
        <v>123.92500000000001</v>
      </c>
      <c r="CC88">
        <f t="shared" si="52"/>
        <v>0</v>
      </c>
      <c r="CD88">
        <f t="shared" si="52"/>
        <v>108.42500000000001</v>
      </c>
      <c r="CE88">
        <f t="shared" si="52"/>
        <v>0</v>
      </c>
      <c r="CF88">
        <f t="shared" si="50"/>
        <v>92.925000000000011</v>
      </c>
      <c r="CG88">
        <f t="shared" si="50"/>
        <v>0</v>
      </c>
      <c r="CH88">
        <f t="shared" si="45"/>
        <v>77.424999999999997</v>
      </c>
      <c r="CI88">
        <f t="shared" si="45"/>
        <v>0</v>
      </c>
      <c r="CJ88">
        <f t="shared" si="45"/>
        <v>61.974999999999994</v>
      </c>
      <c r="CK88">
        <f t="shared" si="45"/>
        <v>4.9999999999999822E-2</v>
      </c>
      <c r="CL88">
        <f t="shared" si="45"/>
        <v>47.225000000000001</v>
      </c>
      <c r="CM88">
        <f t="shared" si="45"/>
        <v>0.79999999999999982</v>
      </c>
      <c r="CN88">
        <f t="shared" si="53"/>
        <v>278.85000000000002</v>
      </c>
      <c r="CO88">
        <f t="shared" si="53"/>
        <v>0</v>
      </c>
      <c r="CP88">
        <f t="shared" si="53"/>
        <v>247.85000000000002</v>
      </c>
      <c r="CQ88">
        <f t="shared" si="53"/>
        <v>0</v>
      </c>
      <c r="CR88">
        <f t="shared" si="53"/>
        <v>216.85000000000002</v>
      </c>
      <c r="CS88">
        <f t="shared" si="53"/>
        <v>0</v>
      </c>
      <c r="CT88">
        <f t="shared" si="51"/>
        <v>185.85000000000002</v>
      </c>
      <c r="CU88">
        <f t="shared" si="51"/>
        <v>0</v>
      </c>
      <c r="CV88">
        <f t="shared" si="46"/>
        <v>154.85</v>
      </c>
      <c r="CW88">
        <f t="shared" si="46"/>
        <v>0</v>
      </c>
      <c r="CX88">
        <f t="shared" si="46"/>
        <v>123.94999999999999</v>
      </c>
      <c r="CY88">
        <f t="shared" si="46"/>
        <v>9.9999999999999645E-2</v>
      </c>
      <c r="CZ88">
        <f t="shared" si="46"/>
        <v>94.45</v>
      </c>
      <c r="DA88">
        <f t="shared" si="46"/>
        <v>1.5999999999999996</v>
      </c>
      <c r="DB88" s="74">
        <f t="shared" si="34"/>
        <v>707.3815513639239</v>
      </c>
      <c r="DC88" s="74">
        <f t="shared" si="49"/>
        <v>22.8187597214169</v>
      </c>
      <c r="DD88" s="73">
        <f t="shared" si="36"/>
        <v>1414854.3777667335</v>
      </c>
      <c r="DE88" s="74">
        <f t="shared" si="37"/>
        <v>2723.8787067520962</v>
      </c>
      <c r="DF88" s="74">
        <f t="shared" si="38"/>
        <v>87.867055056519234</v>
      </c>
      <c r="DG88" s="74">
        <f t="shared" si="39"/>
        <v>496448.86106933362</v>
      </c>
      <c r="DH88" s="74">
        <f t="shared" si="40"/>
        <v>75090.961694925005</v>
      </c>
      <c r="DI88" s="74">
        <f t="shared" si="41"/>
        <v>2422.2890869330645</v>
      </c>
      <c r="DJ88" s="74">
        <f t="shared" si="42"/>
        <v>3264.8244215184786</v>
      </c>
      <c r="DK88" s="74">
        <f t="shared" si="43"/>
        <v>2354464.9924989389</v>
      </c>
      <c r="DL88" s="74">
        <f t="shared" si="44"/>
        <v>3173409.3377159615</v>
      </c>
    </row>
    <row r="89" spans="1:116" x14ac:dyDescent="0.2">
      <c r="A89" s="96">
        <v>44652</v>
      </c>
      <c r="B89" s="4">
        <f t="shared" si="28"/>
        <v>2022</v>
      </c>
      <c r="C89" s="4">
        <f t="shared" si="29"/>
        <v>4</v>
      </c>
      <c r="D89" s="59">
        <v>36698609</v>
      </c>
      <c r="E89" s="59">
        <f>IFERROR(VLOOKUP($B89-1,CDM!$I$7:$N$18,2,FALSE)/12,0)+IFERROR(VLOOKUP($B89,CDM!$I$36:$L$46,2,FALSE)/24,0)+IFERROR(VLOOKUP($B89,CDM!$I$36:$L$46,2,FALSE)/2*$C89/78,0)</f>
        <v>2632988.239752057</v>
      </c>
      <c r="F89" s="59">
        <f t="shared" si="30"/>
        <v>39331597.239752054</v>
      </c>
      <c r="G89" s="59">
        <v>61917</v>
      </c>
      <c r="H89" s="59">
        <v>12775427</v>
      </c>
      <c r="I89" s="59">
        <f>IFERROR(VLOOKUP($B89-1,CDM!$I$7:$N$18,3,FALSE)/12,0)+IFERROR(VLOOKUP($B89,CDM!$I$36:$L$46,3,FALSE)/24,0)+IFERROR(VLOOKUP($B89,CDM!$I$36:$L$46,3,FALSE)/2*$C89/78,0)</f>
        <v>1101134.3464789761</v>
      </c>
      <c r="J89" s="59">
        <f t="shared" si="31"/>
        <v>13876561.346478976</v>
      </c>
      <c r="K89" s="59">
        <v>5658</v>
      </c>
      <c r="L89" s="59">
        <v>62669572</v>
      </c>
      <c r="M89" s="2">
        <f>IFERROR(VLOOKUP($B89-1,CDM!$I$7:$N$18,4,FALSE)/12,0)+IFERROR(VLOOKUP($B89,CDM!$I$36:$L$46,4,FALSE)/24,0)+IFERROR(VLOOKUP($B89,CDM!$I$36:$L$46,4,FALSE)/2*$C89/78,0)</f>
        <v>3585139.5570967402</v>
      </c>
      <c r="N89" s="59">
        <f t="shared" si="32"/>
        <v>66254711.557096742</v>
      </c>
      <c r="O89" s="59">
        <v>168485</v>
      </c>
      <c r="P89" s="59">
        <v>971</v>
      </c>
      <c r="Q89" s="59">
        <v>407829</v>
      </c>
      <c r="R89" s="59">
        <v>1290</v>
      </c>
      <c r="S89" s="59">
        <v>17201</v>
      </c>
      <c r="T89" s="59">
        <v>261887</v>
      </c>
      <c r="U89" s="1">
        <v>24</v>
      </c>
      <c r="V89" s="59">
        <v>570</v>
      </c>
      <c r="W89" s="114">
        <f>Economic!J151</f>
        <v>817265.5</v>
      </c>
      <c r="X89" s="114">
        <f>Economic!K151</f>
        <v>634181.69999999995</v>
      </c>
      <c r="Y89" s="114">
        <f>Economic!L151</f>
        <v>64910</v>
      </c>
      <c r="Z89" s="114">
        <f>Economic!M151</f>
        <v>802518</v>
      </c>
      <c r="AA89" s="114">
        <f>Economic!N151</f>
        <v>620093</v>
      </c>
      <c r="AB89" s="114">
        <f>Economic!O151</f>
        <v>24138</v>
      </c>
      <c r="AC89" s="114">
        <f>Economic!D151</f>
        <v>7264</v>
      </c>
      <c r="AD89" s="114">
        <f>Economic!E151</f>
        <v>7197</v>
      </c>
      <c r="AE89" s="114">
        <f>Economic!F151</f>
        <v>3293.7</v>
      </c>
      <c r="AF89" s="114">
        <f>Economic!G151</f>
        <v>3265.1</v>
      </c>
      <c r="AG89" s="114">
        <f>Economic!H151</f>
        <v>412.5</v>
      </c>
      <c r="AH89" s="114">
        <f>Economic!I151</f>
        <v>408.4</v>
      </c>
      <c r="AI89" s="114">
        <f>Economic!P163</f>
        <v>472.60000000000036</v>
      </c>
      <c r="AJ89" s="114">
        <f>Economic!Q163</f>
        <v>473</v>
      </c>
      <c r="AK89" s="114">
        <f>Economic!R163</f>
        <v>286.30000000000018</v>
      </c>
      <c r="AL89" s="114">
        <f>Economic!S163</f>
        <v>288.5</v>
      </c>
      <c r="AM89" s="114">
        <f>Economic!T163</f>
        <v>33196.400000000023</v>
      </c>
      <c r="AN89" s="114">
        <f>Economic!U163</f>
        <v>6403</v>
      </c>
      <c r="AO89" s="28">
        <f>Weather!D281</f>
        <v>6.2133333333333338</v>
      </c>
      <c r="AP89" s="28">
        <f>Weather!E281</f>
        <v>413.6</v>
      </c>
      <c r="AQ89" s="28">
        <f>Weather!F281</f>
        <v>0</v>
      </c>
      <c r="AR89" s="28">
        <f>Weather!G281</f>
        <v>353.6</v>
      </c>
      <c r="AS89" s="28">
        <f>Weather!H281</f>
        <v>0</v>
      </c>
      <c r="AT89" s="28">
        <f>Weather!I281</f>
        <v>293.59999999999997</v>
      </c>
      <c r="AU89" s="28">
        <f>Weather!J281</f>
        <v>0</v>
      </c>
      <c r="AV89" s="28">
        <f>Weather!K281</f>
        <v>233.59999999999997</v>
      </c>
      <c r="AW89" s="28">
        <f>Weather!L281</f>
        <v>0</v>
      </c>
      <c r="AX89" s="28">
        <f>Weather!M281</f>
        <v>173.59999999999997</v>
      </c>
      <c r="AY89" s="28">
        <f>Weather!N281</f>
        <v>0</v>
      </c>
      <c r="AZ89" s="28">
        <f>Weather!O281</f>
        <v>116.39999999999999</v>
      </c>
      <c r="BA89" s="28">
        <f>Weather!P281</f>
        <v>2.7999999999999989</v>
      </c>
      <c r="BB89" s="28">
        <f>Weather!Q281</f>
        <v>68.900000000000006</v>
      </c>
      <c r="BC89" s="28">
        <f>Weather!R281</f>
        <v>15.299999999999999</v>
      </c>
      <c r="BD89">
        <f t="shared" si="54"/>
        <v>0</v>
      </c>
      <c r="BE89">
        <f t="shared" si="54"/>
        <v>0</v>
      </c>
      <c r="BF89">
        <f t="shared" si="54"/>
        <v>0</v>
      </c>
      <c r="BG89">
        <f t="shared" si="54"/>
        <v>1</v>
      </c>
      <c r="BH89">
        <f t="shared" si="54"/>
        <v>0</v>
      </c>
      <c r="BI89">
        <f t="shared" si="54"/>
        <v>0</v>
      </c>
      <c r="BJ89">
        <f t="shared" si="54"/>
        <v>0</v>
      </c>
      <c r="BK89">
        <f t="shared" si="54"/>
        <v>0</v>
      </c>
      <c r="BL89">
        <f t="shared" si="54"/>
        <v>0</v>
      </c>
      <c r="BM89">
        <f t="shared" si="54"/>
        <v>0</v>
      </c>
      <c r="BN89">
        <f t="shared" si="54"/>
        <v>0</v>
      </c>
      <c r="BO89">
        <f t="shared" si="54"/>
        <v>0</v>
      </c>
      <c r="BP89" s="1">
        <f t="shared" si="54"/>
        <v>1</v>
      </c>
      <c r="BQ89" s="1">
        <f t="shared" si="54"/>
        <v>0</v>
      </c>
      <c r="BR89" s="1">
        <f t="shared" si="54"/>
        <v>1</v>
      </c>
      <c r="BS89" s="1">
        <f t="shared" si="33"/>
        <v>88</v>
      </c>
      <c r="BT89">
        <f t="shared" si="27"/>
        <v>30</v>
      </c>
      <c r="BU89" s="1">
        <v>20</v>
      </c>
      <c r="BV89" s="1">
        <v>0.5</v>
      </c>
      <c r="BW89" s="1">
        <v>0.25</v>
      </c>
      <c r="BX89" s="1">
        <v>0.5</v>
      </c>
      <c r="BY89" s="1">
        <v>0</v>
      </c>
      <c r="BZ89">
        <f t="shared" si="52"/>
        <v>103.4</v>
      </c>
      <c r="CA89">
        <f t="shared" si="52"/>
        <v>0</v>
      </c>
      <c r="CB89">
        <f t="shared" si="52"/>
        <v>88.4</v>
      </c>
      <c r="CC89">
        <f t="shared" si="52"/>
        <v>0</v>
      </c>
      <c r="CD89">
        <f t="shared" si="52"/>
        <v>73.399999999999991</v>
      </c>
      <c r="CE89">
        <f t="shared" si="52"/>
        <v>0</v>
      </c>
      <c r="CF89">
        <f t="shared" si="50"/>
        <v>58.399999999999991</v>
      </c>
      <c r="CG89">
        <f t="shared" si="50"/>
        <v>0</v>
      </c>
      <c r="CH89">
        <f t="shared" si="45"/>
        <v>43.399999999999991</v>
      </c>
      <c r="CI89">
        <f t="shared" si="45"/>
        <v>0</v>
      </c>
      <c r="CJ89">
        <f t="shared" si="45"/>
        <v>29.099999999999998</v>
      </c>
      <c r="CK89">
        <f t="shared" si="45"/>
        <v>0.69999999999999973</v>
      </c>
      <c r="CL89">
        <f t="shared" si="45"/>
        <v>17.225000000000001</v>
      </c>
      <c r="CM89">
        <f t="shared" si="45"/>
        <v>3.8249999999999997</v>
      </c>
      <c r="CN89">
        <f t="shared" si="53"/>
        <v>206.8</v>
      </c>
      <c r="CO89">
        <f t="shared" si="53"/>
        <v>0</v>
      </c>
      <c r="CP89">
        <f t="shared" si="53"/>
        <v>176.8</v>
      </c>
      <c r="CQ89">
        <f t="shared" si="53"/>
        <v>0</v>
      </c>
      <c r="CR89">
        <f t="shared" si="53"/>
        <v>146.79999999999998</v>
      </c>
      <c r="CS89">
        <f t="shared" si="53"/>
        <v>0</v>
      </c>
      <c r="CT89">
        <f t="shared" si="51"/>
        <v>116.79999999999998</v>
      </c>
      <c r="CU89">
        <f t="shared" si="51"/>
        <v>0</v>
      </c>
      <c r="CV89">
        <f t="shared" si="46"/>
        <v>86.799999999999983</v>
      </c>
      <c r="CW89">
        <f t="shared" si="46"/>
        <v>0</v>
      </c>
      <c r="CX89">
        <f t="shared" si="46"/>
        <v>58.199999999999996</v>
      </c>
      <c r="CY89">
        <f t="shared" si="46"/>
        <v>1.3999999999999995</v>
      </c>
      <c r="CZ89">
        <f t="shared" si="46"/>
        <v>34.450000000000003</v>
      </c>
      <c r="DA89">
        <f t="shared" si="46"/>
        <v>7.6499999999999995</v>
      </c>
      <c r="DB89" s="74">
        <f t="shared" si="34"/>
        <v>635.23099051556198</v>
      </c>
      <c r="DC89" s="74">
        <f t="shared" si="49"/>
        <v>21.174366350518731</v>
      </c>
      <c r="DD89" s="73">
        <f t="shared" si="36"/>
        <v>1311053.2413250685</v>
      </c>
      <c r="DE89" s="74">
        <f t="shared" si="37"/>
        <v>2452.5559113607242</v>
      </c>
      <c r="DF89" s="74">
        <f t="shared" si="38"/>
        <v>81.751863712024132</v>
      </c>
      <c r="DG89" s="74">
        <f t="shared" si="39"/>
        <v>462552.04488263256</v>
      </c>
      <c r="DH89" s="74">
        <f t="shared" si="40"/>
        <v>68233.482551078007</v>
      </c>
      <c r="DI89" s="74">
        <f t="shared" si="41"/>
        <v>2274.4494183692668</v>
      </c>
      <c r="DJ89" s="74">
        <f t="shared" si="42"/>
        <v>3411.6741275539002</v>
      </c>
      <c r="DK89" s="74">
        <f t="shared" si="43"/>
        <v>2208490.385236558</v>
      </c>
      <c r="DL89" s="74">
        <f t="shared" si="44"/>
        <v>3312735.5778548373</v>
      </c>
    </row>
    <row r="90" spans="1:116" x14ac:dyDescent="0.2">
      <c r="A90" s="96">
        <v>44682</v>
      </c>
      <c r="B90" s="4">
        <f t="shared" si="28"/>
        <v>2022</v>
      </c>
      <c r="C90" s="4">
        <f t="shared" si="29"/>
        <v>5</v>
      </c>
      <c r="D90" s="59">
        <v>40656269</v>
      </c>
      <c r="E90" s="59">
        <f>IFERROR(VLOOKUP($B90-1,CDM!$I$7:$N$18,2,FALSE)/12,0)+IFERROR(VLOOKUP($B90,CDM!$I$36:$L$46,2,FALSE)/24,0)+IFERROR(VLOOKUP($B90,CDM!$I$36:$L$46,2,FALSE)/2*$C90/78,0)</f>
        <v>2633738.7687353794</v>
      </c>
      <c r="F90" s="59">
        <f t="shared" si="30"/>
        <v>43290007.768735379</v>
      </c>
      <c r="G90" s="59">
        <v>61988</v>
      </c>
      <c r="H90" s="59">
        <v>13104917</v>
      </c>
      <c r="I90" s="59">
        <f>IFERROR(VLOOKUP($B90-1,CDM!$I$7:$N$18,3,FALSE)/12,0)+IFERROR(VLOOKUP($B90,CDM!$I$36:$L$46,3,FALSE)/24,0)+IFERROR(VLOOKUP($B90,CDM!$I$36:$L$46,3,FALSE)/2*$C90/78,0)</f>
        <v>1106785.999808609</v>
      </c>
      <c r="J90" s="59">
        <f t="shared" si="31"/>
        <v>14211702.999808609</v>
      </c>
      <c r="K90" s="59">
        <v>5669</v>
      </c>
      <c r="L90" s="59">
        <v>66417220</v>
      </c>
      <c r="M90" s="2">
        <f>IFERROR(VLOOKUP($B90-1,CDM!$I$7:$N$18,4,FALSE)/12,0)+IFERROR(VLOOKUP($B90,CDM!$I$36:$L$46,4,FALSE)/24,0)+IFERROR(VLOOKUP($B90,CDM!$I$36:$L$46,4,FALSE)/2*$C90/78,0)</f>
        <v>3611039.3467263733</v>
      </c>
      <c r="N90" s="59">
        <f t="shared" si="32"/>
        <v>70028259.346726373</v>
      </c>
      <c r="O90" s="59">
        <v>191471</v>
      </c>
      <c r="P90" s="59">
        <v>972</v>
      </c>
      <c r="Q90" s="59">
        <v>371270</v>
      </c>
      <c r="R90" s="59">
        <v>1290</v>
      </c>
      <c r="S90" s="59">
        <v>17201</v>
      </c>
      <c r="T90" s="59">
        <v>261887</v>
      </c>
      <c r="U90" s="1">
        <v>24</v>
      </c>
      <c r="V90" s="59">
        <v>570</v>
      </c>
      <c r="W90" s="114">
        <f>Economic!J152</f>
        <v>817265.5</v>
      </c>
      <c r="X90" s="114">
        <f>Economic!K152</f>
        <v>634181.69999999995</v>
      </c>
      <c r="Y90" s="114">
        <f>Economic!L152</f>
        <v>64910</v>
      </c>
      <c r="Z90" s="114">
        <f>Economic!M152</f>
        <v>802518</v>
      </c>
      <c r="AA90" s="114">
        <f>Economic!N152</f>
        <v>620093</v>
      </c>
      <c r="AB90" s="114">
        <f>Economic!O152</f>
        <v>24138</v>
      </c>
      <c r="AC90" s="114">
        <f>Economic!D152</f>
        <v>7259.3</v>
      </c>
      <c r="AD90" s="114">
        <f>Economic!E152</f>
        <v>7237.7</v>
      </c>
      <c r="AE90" s="114">
        <f>Economic!F152</f>
        <v>3288.1</v>
      </c>
      <c r="AF90" s="114">
        <f>Economic!G152</f>
        <v>3278.6</v>
      </c>
      <c r="AG90" s="114">
        <f>Economic!H152</f>
        <v>411</v>
      </c>
      <c r="AH90" s="114">
        <f>Economic!I152</f>
        <v>407.6</v>
      </c>
      <c r="AI90" s="114">
        <f>Economic!P164</f>
        <v>494</v>
      </c>
      <c r="AJ90" s="114">
        <f>Economic!Q164</f>
        <v>500.90000000000055</v>
      </c>
      <c r="AK90" s="114">
        <f>Economic!R164</f>
        <v>290</v>
      </c>
      <c r="AL90" s="114">
        <f>Economic!S164</f>
        <v>289.30000000000018</v>
      </c>
      <c r="AM90" s="114">
        <f>Economic!T164</f>
        <v>33196.400000000023</v>
      </c>
      <c r="AN90" s="114">
        <f>Economic!U164</f>
        <v>6403</v>
      </c>
      <c r="AO90" s="28">
        <f>Weather!D282</f>
        <v>13.738709677419356</v>
      </c>
      <c r="AP90" s="28">
        <f>Weather!E282</f>
        <v>203.69999999999996</v>
      </c>
      <c r="AQ90" s="28">
        <f>Weather!F282</f>
        <v>9.600000000000005</v>
      </c>
      <c r="AR90" s="28">
        <f>Weather!G282</f>
        <v>153.9</v>
      </c>
      <c r="AS90" s="28">
        <f>Weather!H282</f>
        <v>21.800000000000004</v>
      </c>
      <c r="AT90" s="28">
        <f>Weather!I282</f>
        <v>108.20000000000003</v>
      </c>
      <c r="AU90" s="28">
        <f>Weather!J282</f>
        <v>38.100000000000009</v>
      </c>
      <c r="AV90" s="28">
        <f>Weather!K282</f>
        <v>68.399999999999977</v>
      </c>
      <c r="AW90" s="28">
        <f>Weather!L282</f>
        <v>60.3</v>
      </c>
      <c r="AX90" s="28">
        <f>Weather!M282</f>
        <v>36.1</v>
      </c>
      <c r="AY90" s="28">
        <f>Weather!N282</f>
        <v>90.000000000000014</v>
      </c>
      <c r="AZ90" s="28">
        <f>Weather!O282</f>
        <v>13.6</v>
      </c>
      <c r="BA90" s="28">
        <f>Weather!P282</f>
        <v>129.50000000000003</v>
      </c>
      <c r="BB90" s="28">
        <f>Weather!Q282</f>
        <v>1.6000000000000005</v>
      </c>
      <c r="BC90" s="28">
        <f>Weather!R282</f>
        <v>179.5</v>
      </c>
      <c r="BD90">
        <f t="shared" si="54"/>
        <v>0</v>
      </c>
      <c r="BE90">
        <f t="shared" si="54"/>
        <v>0</v>
      </c>
      <c r="BF90">
        <f t="shared" si="54"/>
        <v>0</v>
      </c>
      <c r="BG90">
        <f t="shared" si="54"/>
        <v>0</v>
      </c>
      <c r="BH90">
        <f t="shared" si="54"/>
        <v>1</v>
      </c>
      <c r="BI90">
        <f t="shared" si="54"/>
        <v>0</v>
      </c>
      <c r="BJ90">
        <f t="shared" si="54"/>
        <v>0</v>
      </c>
      <c r="BK90">
        <f t="shared" si="54"/>
        <v>0</v>
      </c>
      <c r="BL90">
        <f t="shared" si="54"/>
        <v>0</v>
      </c>
      <c r="BM90">
        <f t="shared" si="54"/>
        <v>0</v>
      </c>
      <c r="BN90">
        <f t="shared" si="54"/>
        <v>0</v>
      </c>
      <c r="BO90">
        <f t="shared" si="54"/>
        <v>0</v>
      </c>
      <c r="BP90" s="1">
        <f t="shared" si="54"/>
        <v>1</v>
      </c>
      <c r="BQ90" s="1">
        <f t="shared" si="54"/>
        <v>0</v>
      </c>
      <c r="BR90" s="1">
        <f t="shared" si="54"/>
        <v>1</v>
      </c>
      <c r="BS90" s="1">
        <f t="shared" si="33"/>
        <v>89</v>
      </c>
      <c r="BT90">
        <f t="shared" si="27"/>
        <v>31</v>
      </c>
      <c r="BU90" s="1">
        <v>21</v>
      </c>
      <c r="BV90" s="1">
        <v>0.5</v>
      </c>
      <c r="BW90" s="1">
        <v>0.25</v>
      </c>
      <c r="BX90" s="1">
        <v>0.5</v>
      </c>
      <c r="BY90" s="1">
        <v>0</v>
      </c>
      <c r="BZ90">
        <f t="shared" si="52"/>
        <v>50.92499999999999</v>
      </c>
      <c r="CA90">
        <f t="shared" si="52"/>
        <v>2.4000000000000012</v>
      </c>
      <c r="CB90">
        <f t="shared" si="52"/>
        <v>38.475000000000001</v>
      </c>
      <c r="CC90">
        <f t="shared" si="52"/>
        <v>5.4500000000000011</v>
      </c>
      <c r="CD90">
        <f t="shared" si="52"/>
        <v>27.050000000000008</v>
      </c>
      <c r="CE90">
        <f t="shared" si="52"/>
        <v>9.5250000000000021</v>
      </c>
      <c r="CF90">
        <f t="shared" si="50"/>
        <v>17.099999999999994</v>
      </c>
      <c r="CG90">
        <f t="shared" si="50"/>
        <v>15.074999999999999</v>
      </c>
      <c r="CH90">
        <f t="shared" si="45"/>
        <v>9.0250000000000004</v>
      </c>
      <c r="CI90">
        <f t="shared" si="45"/>
        <v>22.500000000000004</v>
      </c>
      <c r="CJ90">
        <f t="shared" si="45"/>
        <v>3.4</v>
      </c>
      <c r="CK90">
        <f t="shared" si="45"/>
        <v>32.375000000000007</v>
      </c>
      <c r="CL90">
        <f t="shared" si="45"/>
        <v>0.40000000000000013</v>
      </c>
      <c r="CM90">
        <f t="shared" si="45"/>
        <v>44.875</v>
      </c>
      <c r="CN90">
        <f t="shared" si="53"/>
        <v>101.84999999999998</v>
      </c>
      <c r="CO90">
        <f t="shared" si="53"/>
        <v>4.8000000000000025</v>
      </c>
      <c r="CP90">
        <f t="shared" si="53"/>
        <v>76.95</v>
      </c>
      <c r="CQ90">
        <f t="shared" si="53"/>
        <v>10.900000000000002</v>
      </c>
      <c r="CR90">
        <f t="shared" si="53"/>
        <v>54.100000000000016</v>
      </c>
      <c r="CS90">
        <f t="shared" si="53"/>
        <v>19.050000000000004</v>
      </c>
      <c r="CT90">
        <f t="shared" si="51"/>
        <v>34.199999999999989</v>
      </c>
      <c r="CU90">
        <f t="shared" si="51"/>
        <v>30.15</v>
      </c>
      <c r="CV90">
        <f t="shared" si="46"/>
        <v>18.05</v>
      </c>
      <c r="CW90">
        <f t="shared" si="46"/>
        <v>45.000000000000007</v>
      </c>
      <c r="CX90">
        <f t="shared" si="46"/>
        <v>6.8</v>
      </c>
      <c r="CY90">
        <f t="shared" si="46"/>
        <v>64.750000000000014</v>
      </c>
      <c r="CZ90">
        <f t="shared" si="46"/>
        <v>0.80000000000000027</v>
      </c>
      <c r="DA90">
        <f t="shared" si="46"/>
        <v>89.75</v>
      </c>
      <c r="DB90" s="74">
        <f t="shared" si="34"/>
        <v>698.36109841800635</v>
      </c>
      <c r="DC90" s="74">
        <f t="shared" si="49"/>
        <v>22.527777368322784</v>
      </c>
      <c r="DD90" s="73">
        <f t="shared" si="36"/>
        <v>1396451.8635075928</v>
      </c>
      <c r="DE90" s="74">
        <f t="shared" si="37"/>
        <v>2506.9153289484229</v>
      </c>
      <c r="DF90" s="74">
        <f t="shared" si="38"/>
        <v>80.868236417691065</v>
      </c>
      <c r="DG90" s="74">
        <f t="shared" si="39"/>
        <v>458442.03225189063</v>
      </c>
      <c r="DH90" s="74">
        <f t="shared" si="40"/>
        <v>72045.534307331662</v>
      </c>
      <c r="DI90" s="74">
        <f t="shared" si="41"/>
        <v>2324.0494937848921</v>
      </c>
      <c r="DJ90" s="74">
        <f t="shared" si="42"/>
        <v>3430.7397289205555</v>
      </c>
      <c r="DK90" s="74">
        <f t="shared" si="43"/>
        <v>2258976.1079589152</v>
      </c>
      <c r="DL90" s="74">
        <f t="shared" si="44"/>
        <v>3334679.0165107795</v>
      </c>
    </row>
    <row r="91" spans="1:116" x14ac:dyDescent="0.2">
      <c r="A91" s="96">
        <v>44713</v>
      </c>
      <c r="B91" s="4">
        <f t="shared" si="28"/>
        <v>2022</v>
      </c>
      <c r="C91" s="4">
        <f t="shared" si="29"/>
        <v>6</v>
      </c>
      <c r="D91" s="59">
        <v>50266359</v>
      </c>
      <c r="E91" s="59">
        <f>IFERROR(VLOOKUP($B91-1,CDM!$I$7:$N$18,2,FALSE)/12,0)+IFERROR(VLOOKUP($B91,CDM!$I$36:$L$46,2,FALSE)/24,0)+IFERROR(VLOOKUP($B91,CDM!$I$36:$L$46,2,FALSE)/2*$C91/78,0)</f>
        <v>2634489.2977187019</v>
      </c>
      <c r="F91" s="59">
        <f t="shared" si="30"/>
        <v>52900848.297718704</v>
      </c>
      <c r="G91" s="59">
        <v>62016</v>
      </c>
      <c r="H91" s="59">
        <v>13942737</v>
      </c>
      <c r="I91" s="59">
        <f>IFERROR(VLOOKUP($B91-1,CDM!$I$7:$N$18,3,FALSE)/12,0)+IFERROR(VLOOKUP($B91,CDM!$I$36:$L$46,3,FALSE)/24,0)+IFERROR(VLOOKUP($B91,CDM!$I$36:$L$46,3,FALSE)/2*$C91/78,0)</f>
        <v>1112437.653138242</v>
      </c>
      <c r="J91" s="59">
        <f t="shared" si="31"/>
        <v>15055174.653138243</v>
      </c>
      <c r="K91" s="59">
        <v>5662</v>
      </c>
      <c r="L91" s="59">
        <v>69775584</v>
      </c>
      <c r="M91" s="2">
        <f>IFERROR(VLOOKUP($B91-1,CDM!$I$7:$N$18,4,FALSE)/12,0)+IFERROR(VLOOKUP($B91,CDM!$I$36:$L$46,4,FALSE)/24,0)+IFERROR(VLOOKUP($B91,CDM!$I$36:$L$46,4,FALSE)/2*$C91/78,0)</f>
        <v>3636939.1363560064</v>
      </c>
      <c r="N91" s="59">
        <f t="shared" si="32"/>
        <v>73412523.136356011</v>
      </c>
      <c r="O91" s="59">
        <v>201180</v>
      </c>
      <c r="P91" s="59">
        <v>972</v>
      </c>
      <c r="Q91" s="59">
        <v>334774</v>
      </c>
      <c r="R91" s="59">
        <v>1290</v>
      </c>
      <c r="S91" s="59">
        <v>17201</v>
      </c>
      <c r="T91" s="59">
        <v>261887</v>
      </c>
      <c r="U91" s="1">
        <v>24</v>
      </c>
      <c r="V91" s="59">
        <v>570</v>
      </c>
      <c r="W91" s="114">
        <f>Economic!J153</f>
        <v>817265.5</v>
      </c>
      <c r="X91" s="114">
        <f>Economic!K153</f>
        <v>634181.69999999995</v>
      </c>
      <c r="Y91" s="114">
        <f>Economic!L153</f>
        <v>64910</v>
      </c>
      <c r="Z91" s="114">
        <f>Economic!M153</f>
        <v>802518</v>
      </c>
      <c r="AA91" s="114">
        <f>Economic!N153</f>
        <v>620093</v>
      </c>
      <c r="AB91" s="114">
        <f>Economic!O153</f>
        <v>24138</v>
      </c>
      <c r="AC91" s="114">
        <f>Economic!D153</f>
        <v>7245.3</v>
      </c>
      <c r="AD91" s="114">
        <f>Economic!E153</f>
        <v>7293</v>
      </c>
      <c r="AE91" s="114">
        <f>Economic!F153</f>
        <v>3291.3</v>
      </c>
      <c r="AF91" s="114">
        <f>Economic!G153</f>
        <v>3311.5</v>
      </c>
      <c r="AG91" s="114">
        <f>Economic!H153</f>
        <v>407.3</v>
      </c>
      <c r="AH91" s="114">
        <f>Economic!I153</f>
        <v>405.1</v>
      </c>
      <c r="AI91" s="114">
        <f>Economic!P165</f>
        <v>509.5</v>
      </c>
      <c r="AJ91" s="114">
        <f>Economic!Q165</f>
        <v>516.19999999999982</v>
      </c>
      <c r="AK91" s="114">
        <f>Economic!R165</f>
        <v>289</v>
      </c>
      <c r="AL91" s="114">
        <f>Economic!S165</f>
        <v>288</v>
      </c>
      <c r="AM91" s="114">
        <f>Economic!T165</f>
        <v>33196.400000000023</v>
      </c>
      <c r="AN91" s="114">
        <f>Economic!U165</f>
        <v>6403</v>
      </c>
      <c r="AO91" s="28">
        <f>Weather!D283</f>
        <v>19.150000000000002</v>
      </c>
      <c r="AP91" s="28">
        <f>Weather!E283</f>
        <v>48.6</v>
      </c>
      <c r="AQ91" s="28">
        <f>Weather!F283</f>
        <v>23.1</v>
      </c>
      <c r="AR91" s="28">
        <f>Weather!G283</f>
        <v>15.300000000000004</v>
      </c>
      <c r="AS91" s="28">
        <f>Weather!H283</f>
        <v>49.8</v>
      </c>
      <c r="AT91" s="28">
        <f>Weather!I283</f>
        <v>2.8000000000000007</v>
      </c>
      <c r="AU91" s="28">
        <f>Weather!J283</f>
        <v>97.3</v>
      </c>
      <c r="AV91" s="28">
        <f>Weather!K283</f>
        <v>0</v>
      </c>
      <c r="AW91" s="28">
        <f>Weather!L283</f>
        <v>154.49999999999994</v>
      </c>
      <c r="AX91" s="28">
        <f>Weather!M283</f>
        <v>0</v>
      </c>
      <c r="AY91" s="28">
        <f>Weather!N283</f>
        <v>214.49999999999997</v>
      </c>
      <c r="AZ91" s="28">
        <f>Weather!O283</f>
        <v>0</v>
      </c>
      <c r="BA91" s="28">
        <f>Weather!P283</f>
        <v>274.5</v>
      </c>
      <c r="BB91" s="28">
        <f>Weather!Q283</f>
        <v>0</v>
      </c>
      <c r="BC91" s="28">
        <f>Weather!R283</f>
        <v>334.49999999999994</v>
      </c>
      <c r="BD91">
        <f t="shared" si="54"/>
        <v>0</v>
      </c>
      <c r="BE91">
        <f t="shared" si="54"/>
        <v>0</v>
      </c>
      <c r="BF91">
        <f t="shared" si="54"/>
        <v>0</v>
      </c>
      <c r="BG91">
        <f t="shared" si="54"/>
        <v>0</v>
      </c>
      <c r="BH91">
        <f t="shared" si="54"/>
        <v>0</v>
      </c>
      <c r="BI91">
        <f t="shared" si="54"/>
        <v>1</v>
      </c>
      <c r="BJ91">
        <f t="shared" si="54"/>
        <v>0</v>
      </c>
      <c r="BK91">
        <f t="shared" si="54"/>
        <v>0</v>
      </c>
      <c r="BL91">
        <f t="shared" si="54"/>
        <v>0</v>
      </c>
      <c r="BM91">
        <f t="shared" si="54"/>
        <v>0</v>
      </c>
      <c r="BN91">
        <f t="shared" si="54"/>
        <v>0</v>
      </c>
      <c r="BO91">
        <f t="shared" si="54"/>
        <v>0</v>
      </c>
      <c r="BP91" s="1">
        <f t="shared" si="54"/>
        <v>0</v>
      </c>
      <c r="BQ91" s="1">
        <f t="shared" si="54"/>
        <v>0</v>
      </c>
      <c r="BR91" s="1">
        <f t="shared" si="54"/>
        <v>0</v>
      </c>
      <c r="BS91" s="1">
        <f t="shared" si="33"/>
        <v>90</v>
      </c>
      <c r="BT91">
        <f t="shared" si="27"/>
        <v>30</v>
      </c>
      <c r="BU91" s="1">
        <v>22</v>
      </c>
      <c r="BV91" s="1">
        <v>0.5</v>
      </c>
      <c r="BW91" s="1">
        <v>0.25</v>
      </c>
      <c r="BX91" s="1">
        <v>0.5</v>
      </c>
      <c r="BY91" s="1">
        <v>0</v>
      </c>
      <c r="BZ91">
        <f t="shared" si="52"/>
        <v>12.15</v>
      </c>
      <c r="CA91">
        <f t="shared" si="52"/>
        <v>5.7750000000000004</v>
      </c>
      <c r="CB91">
        <f t="shared" si="52"/>
        <v>3.8250000000000011</v>
      </c>
      <c r="CC91">
        <f t="shared" si="52"/>
        <v>12.45</v>
      </c>
      <c r="CD91">
        <f t="shared" si="52"/>
        <v>0.70000000000000018</v>
      </c>
      <c r="CE91">
        <f t="shared" si="52"/>
        <v>24.324999999999999</v>
      </c>
      <c r="CF91">
        <f t="shared" si="50"/>
        <v>0</v>
      </c>
      <c r="CG91">
        <f t="shared" si="50"/>
        <v>38.624999999999986</v>
      </c>
      <c r="CH91">
        <f t="shared" si="45"/>
        <v>0</v>
      </c>
      <c r="CI91">
        <f t="shared" si="45"/>
        <v>53.624999999999993</v>
      </c>
      <c r="CJ91">
        <f t="shared" si="45"/>
        <v>0</v>
      </c>
      <c r="CK91">
        <f t="shared" si="45"/>
        <v>68.625</v>
      </c>
      <c r="CL91">
        <f t="shared" si="45"/>
        <v>0</v>
      </c>
      <c r="CM91">
        <f t="shared" si="45"/>
        <v>83.624999999999986</v>
      </c>
      <c r="CN91">
        <f t="shared" si="53"/>
        <v>24.3</v>
      </c>
      <c r="CO91">
        <f t="shared" si="53"/>
        <v>11.55</v>
      </c>
      <c r="CP91">
        <f t="shared" si="53"/>
        <v>7.6500000000000021</v>
      </c>
      <c r="CQ91">
        <f t="shared" si="53"/>
        <v>24.9</v>
      </c>
      <c r="CR91">
        <f t="shared" si="53"/>
        <v>1.4000000000000004</v>
      </c>
      <c r="CS91">
        <f t="shared" si="53"/>
        <v>48.65</v>
      </c>
      <c r="CT91">
        <f t="shared" si="51"/>
        <v>0</v>
      </c>
      <c r="CU91">
        <f t="shared" si="51"/>
        <v>77.249999999999972</v>
      </c>
      <c r="CV91">
        <f t="shared" si="46"/>
        <v>0</v>
      </c>
      <c r="CW91">
        <f t="shared" si="46"/>
        <v>107.24999999999999</v>
      </c>
      <c r="CX91">
        <f t="shared" si="46"/>
        <v>0</v>
      </c>
      <c r="CY91">
        <f t="shared" si="46"/>
        <v>137.25</v>
      </c>
      <c r="CZ91">
        <f t="shared" si="46"/>
        <v>0</v>
      </c>
      <c r="DA91">
        <f t="shared" si="46"/>
        <v>167.24999999999997</v>
      </c>
      <c r="DB91" s="74">
        <f t="shared" si="34"/>
        <v>853.01935464587689</v>
      </c>
      <c r="DC91" s="74">
        <f t="shared" si="49"/>
        <v>28.433978488195898</v>
      </c>
      <c r="DD91" s="73">
        <f t="shared" si="36"/>
        <v>1763361.6099239567</v>
      </c>
      <c r="DE91" s="74">
        <f t="shared" si="37"/>
        <v>2658.985279607602</v>
      </c>
      <c r="DF91" s="74">
        <f t="shared" si="38"/>
        <v>88.632842653586735</v>
      </c>
      <c r="DG91" s="74">
        <f t="shared" si="39"/>
        <v>501839.1551046081</v>
      </c>
      <c r="DH91" s="74">
        <f t="shared" si="40"/>
        <v>75527.287177320992</v>
      </c>
      <c r="DI91" s="74">
        <f t="shared" si="41"/>
        <v>2517.5762392440329</v>
      </c>
      <c r="DJ91" s="74">
        <f t="shared" si="42"/>
        <v>3433.0585080600449</v>
      </c>
      <c r="DK91" s="74">
        <f t="shared" si="43"/>
        <v>2447084.1045452002</v>
      </c>
      <c r="DL91" s="74">
        <f t="shared" si="44"/>
        <v>3336932.8698343639</v>
      </c>
    </row>
    <row r="92" spans="1:116" x14ac:dyDescent="0.2">
      <c r="A92" s="96">
        <v>44743</v>
      </c>
      <c r="B92" s="4">
        <f t="shared" si="28"/>
        <v>2022</v>
      </c>
      <c r="C92" s="4">
        <f t="shared" si="29"/>
        <v>7</v>
      </c>
      <c r="D92" s="59">
        <v>61262788</v>
      </c>
      <c r="E92" s="59">
        <f>IFERROR(VLOOKUP($B92-1,CDM!$I$7:$N$18,2,FALSE)/12,0)+IFERROR(VLOOKUP($B92,CDM!$I$36:$L$46,2,FALSE)/24,0)+IFERROR(VLOOKUP($B92,CDM!$I$36:$L$46,2,FALSE)/2*$C92/78,0)</f>
        <v>2635239.8267020239</v>
      </c>
      <c r="F92" s="59">
        <f t="shared" si="30"/>
        <v>63898027.826702021</v>
      </c>
      <c r="G92" s="59">
        <v>61966</v>
      </c>
      <c r="H92" s="59">
        <v>15636344</v>
      </c>
      <c r="I92" s="59">
        <f>IFERROR(VLOOKUP($B92-1,CDM!$I$7:$N$18,3,FALSE)/12,0)+IFERROR(VLOOKUP($B92,CDM!$I$36:$L$46,3,FALSE)/24,0)+IFERROR(VLOOKUP($B92,CDM!$I$36:$L$46,3,FALSE)/2*$C92/78,0)</f>
        <v>1118089.3064678747</v>
      </c>
      <c r="J92" s="59">
        <f t="shared" si="31"/>
        <v>16754433.306467874</v>
      </c>
      <c r="K92" s="59">
        <v>5658</v>
      </c>
      <c r="L92" s="59">
        <v>74126794</v>
      </c>
      <c r="M92" s="2">
        <f>IFERROR(VLOOKUP($B92-1,CDM!$I$7:$N$18,4,FALSE)/12,0)+IFERROR(VLOOKUP($B92,CDM!$I$36:$L$46,4,FALSE)/24,0)+IFERROR(VLOOKUP($B92,CDM!$I$36:$L$46,4,FALSE)/2*$C92/78,0)</f>
        <v>3662838.9259856399</v>
      </c>
      <c r="N92" s="59">
        <f t="shared" si="32"/>
        <v>77789632.925985634</v>
      </c>
      <c r="O92" s="59">
        <v>195348</v>
      </c>
      <c r="P92" s="59">
        <v>972</v>
      </c>
      <c r="Q92" s="59">
        <v>359535</v>
      </c>
      <c r="R92" s="59">
        <v>1290</v>
      </c>
      <c r="S92" s="59">
        <v>17201</v>
      </c>
      <c r="T92" s="59">
        <v>261887</v>
      </c>
      <c r="U92" s="1">
        <v>24</v>
      </c>
      <c r="V92" s="59">
        <v>570</v>
      </c>
      <c r="W92" s="114">
        <f>Economic!J154</f>
        <v>817265.5</v>
      </c>
      <c r="X92" s="114">
        <f>Economic!K154</f>
        <v>634181.69999999995</v>
      </c>
      <c r="Y92" s="114">
        <f>Economic!L154</f>
        <v>64910</v>
      </c>
      <c r="Z92" s="114">
        <f>Economic!M154</f>
        <v>819564</v>
      </c>
      <c r="AA92" s="114">
        <f>Economic!N154</f>
        <v>639578</v>
      </c>
      <c r="AB92" s="114">
        <f>Economic!O154</f>
        <v>25974</v>
      </c>
      <c r="AC92" s="114">
        <f>Economic!D154</f>
        <v>7311.4</v>
      </c>
      <c r="AD92" s="114">
        <f>Economic!E154</f>
        <v>7391.8</v>
      </c>
      <c r="AE92" s="114">
        <f>Economic!F154</f>
        <v>3331.5</v>
      </c>
      <c r="AF92" s="114">
        <f>Economic!G154</f>
        <v>3372.5</v>
      </c>
      <c r="AG92" s="114">
        <f>Economic!H154</f>
        <v>407.3</v>
      </c>
      <c r="AH92" s="114">
        <f>Economic!I154</f>
        <v>405</v>
      </c>
      <c r="AI92" s="114">
        <f>Economic!P166</f>
        <v>443.40000000000055</v>
      </c>
      <c r="AJ92" s="114">
        <f>Economic!Q166</f>
        <v>451.80000000000018</v>
      </c>
      <c r="AK92" s="114">
        <f>Economic!R166</f>
        <v>250.90000000000009</v>
      </c>
      <c r="AL92" s="114">
        <f>Economic!S166</f>
        <v>249.19999999999982</v>
      </c>
      <c r="AM92" s="114">
        <f>Economic!T166</f>
        <v>33196.400000000023</v>
      </c>
      <c r="AN92" s="114">
        <f>Economic!U166</f>
        <v>1358</v>
      </c>
      <c r="AO92" s="28">
        <f>Weather!D284</f>
        <v>22.409677419354836</v>
      </c>
      <c r="AP92" s="28">
        <f>Weather!E284</f>
        <v>5.0000000000000036</v>
      </c>
      <c r="AQ92" s="28">
        <f>Weather!F284</f>
        <v>79.699999999999989</v>
      </c>
      <c r="AR92" s="28">
        <f>Weather!G284</f>
        <v>0.30000000000000071</v>
      </c>
      <c r="AS92" s="28">
        <f>Weather!H284</f>
        <v>137</v>
      </c>
      <c r="AT92" s="28">
        <f>Weather!I284</f>
        <v>0</v>
      </c>
      <c r="AU92" s="28">
        <f>Weather!J284</f>
        <v>198.70000000000002</v>
      </c>
      <c r="AV92" s="28">
        <f>Weather!K284</f>
        <v>0</v>
      </c>
      <c r="AW92" s="28">
        <f>Weather!L284</f>
        <v>260.7</v>
      </c>
      <c r="AX92" s="28">
        <f>Weather!M284</f>
        <v>0</v>
      </c>
      <c r="AY92" s="28">
        <f>Weather!N284</f>
        <v>322.7</v>
      </c>
      <c r="AZ92" s="28">
        <f>Weather!O284</f>
        <v>0</v>
      </c>
      <c r="BA92" s="28">
        <f>Weather!P284</f>
        <v>384.70000000000005</v>
      </c>
      <c r="BB92" s="28">
        <f>Weather!Q284</f>
        <v>0</v>
      </c>
      <c r="BC92" s="28">
        <f>Weather!R284</f>
        <v>446.70000000000005</v>
      </c>
      <c r="BD92">
        <f t="shared" si="54"/>
        <v>0</v>
      </c>
      <c r="BE92">
        <f t="shared" si="54"/>
        <v>0</v>
      </c>
      <c r="BF92">
        <f t="shared" si="54"/>
        <v>0</v>
      </c>
      <c r="BG92">
        <f t="shared" si="54"/>
        <v>0</v>
      </c>
      <c r="BH92">
        <f t="shared" si="54"/>
        <v>0</v>
      </c>
      <c r="BI92">
        <f t="shared" si="54"/>
        <v>0</v>
      </c>
      <c r="BJ92">
        <f t="shared" si="54"/>
        <v>1</v>
      </c>
      <c r="BK92">
        <f t="shared" si="54"/>
        <v>0</v>
      </c>
      <c r="BL92">
        <f t="shared" si="54"/>
        <v>0</v>
      </c>
      <c r="BM92">
        <f t="shared" si="54"/>
        <v>0</v>
      </c>
      <c r="BN92">
        <f t="shared" si="54"/>
        <v>0</v>
      </c>
      <c r="BO92">
        <f t="shared" si="54"/>
        <v>0</v>
      </c>
      <c r="BP92" s="1">
        <f t="shared" si="54"/>
        <v>0</v>
      </c>
      <c r="BQ92" s="1">
        <f t="shared" si="54"/>
        <v>0</v>
      </c>
      <c r="BR92" s="1">
        <f t="shared" si="54"/>
        <v>0</v>
      </c>
      <c r="BS92" s="1">
        <f t="shared" si="33"/>
        <v>91</v>
      </c>
      <c r="BT92">
        <f t="shared" si="27"/>
        <v>31</v>
      </c>
      <c r="BU92" s="1">
        <v>20</v>
      </c>
      <c r="BV92" s="1">
        <v>0.5</v>
      </c>
      <c r="BW92" s="1">
        <v>0.25</v>
      </c>
      <c r="BX92" s="1">
        <v>0.5</v>
      </c>
      <c r="BY92" s="1">
        <v>0</v>
      </c>
      <c r="BZ92">
        <f t="shared" si="52"/>
        <v>1.2500000000000009</v>
      </c>
      <c r="CA92">
        <f t="shared" si="52"/>
        <v>19.924999999999997</v>
      </c>
      <c r="CB92">
        <f t="shared" si="52"/>
        <v>7.5000000000000178E-2</v>
      </c>
      <c r="CC92">
        <f t="shared" si="52"/>
        <v>34.25</v>
      </c>
      <c r="CD92">
        <f t="shared" si="52"/>
        <v>0</v>
      </c>
      <c r="CE92">
        <f t="shared" si="52"/>
        <v>49.675000000000004</v>
      </c>
      <c r="CF92">
        <f t="shared" si="50"/>
        <v>0</v>
      </c>
      <c r="CG92">
        <f t="shared" si="50"/>
        <v>65.174999999999997</v>
      </c>
      <c r="CH92">
        <f t="shared" si="45"/>
        <v>0</v>
      </c>
      <c r="CI92">
        <f t="shared" si="45"/>
        <v>80.674999999999997</v>
      </c>
      <c r="CJ92">
        <f t="shared" si="45"/>
        <v>0</v>
      </c>
      <c r="CK92">
        <f t="shared" si="45"/>
        <v>96.175000000000011</v>
      </c>
      <c r="CL92">
        <f t="shared" si="45"/>
        <v>0</v>
      </c>
      <c r="CM92">
        <f t="shared" si="45"/>
        <v>111.67500000000001</v>
      </c>
      <c r="CN92">
        <f t="shared" si="53"/>
        <v>2.5000000000000018</v>
      </c>
      <c r="CO92">
        <f t="shared" si="53"/>
        <v>39.849999999999994</v>
      </c>
      <c r="CP92">
        <f t="shared" si="53"/>
        <v>0.15000000000000036</v>
      </c>
      <c r="CQ92">
        <f t="shared" si="53"/>
        <v>68.5</v>
      </c>
      <c r="CR92">
        <f t="shared" si="53"/>
        <v>0</v>
      </c>
      <c r="CS92">
        <f t="shared" si="53"/>
        <v>99.350000000000009</v>
      </c>
      <c r="CT92">
        <f t="shared" si="51"/>
        <v>0</v>
      </c>
      <c r="CU92">
        <f t="shared" si="51"/>
        <v>130.35</v>
      </c>
      <c r="CV92">
        <f t="shared" si="46"/>
        <v>0</v>
      </c>
      <c r="CW92">
        <f t="shared" si="46"/>
        <v>161.35</v>
      </c>
      <c r="CX92">
        <f t="shared" si="46"/>
        <v>0</v>
      </c>
      <c r="CY92">
        <f t="shared" si="46"/>
        <v>192.35000000000002</v>
      </c>
      <c r="CZ92">
        <f t="shared" si="46"/>
        <v>0</v>
      </c>
      <c r="DA92">
        <f t="shared" si="46"/>
        <v>223.35000000000002</v>
      </c>
      <c r="DB92" s="74">
        <f t="shared" si="34"/>
        <v>1031.1788372123749</v>
      </c>
      <c r="DC92" s="74">
        <f t="shared" si="49"/>
        <v>33.263833458463708</v>
      </c>
      <c r="DD92" s="73">
        <f t="shared" si="36"/>
        <v>2061226.7040871619</v>
      </c>
      <c r="DE92" s="74">
        <f t="shared" si="37"/>
        <v>2961.1935854485459</v>
      </c>
      <c r="DF92" s="74">
        <f t="shared" si="38"/>
        <v>95.522373724146647</v>
      </c>
      <c r="DG92" s="74">
        <f t="shared" si="39"/>
        <v>540465.59053122171</v>
      </c>
      <c r="DH92" s="74">
        <f t="shared" si="40"/>
        <v>80030.486549367939</v>
      </c>
      <c r="DI92" s="74">
        <f t="shared" si="41"/>
        <v>2581.6285983667076</v>
      </c>
      <c r="DJ92" s="74">
        <f t="shared" si="42"/>
        <v>4001.5243274683971</v>
      </c>
      <c r="DK92" s="74">
        <f t="shared" si="43"/>
        <v>2509342.99761244</v>
      </c>
      <c r="DL92" s="74">
        <f t="shared" si="44"/>
        <v>3889481.6462992816</v>
      </c>
    </row>
    <row r="93" spans="1:116" x14ac:dyDescent="0.2">
      <c r="A93" s="96">
        <v>44774</v>
      </c>
      <c r="B93" s="4">
        <f t="shared" si="28"/>
        <v>2022</v>
      </c>
      <c r="C93" s="4">
        <f t="shared" si="29"/>
        <v>8</v>
      </c>
      <c r="D93" s="59">
        <v>59864478</v>
      </c>
      <c r="E93" s="59">
        <f>IFERROR(VLOOKUP($B93-1,CDM!$I$7:$N$18,2,FALSE)/12,0)+IFERROR(VLOOKUP($B93,CDM!$I$36:$L$46,2,FALSE)/24,0)+IFERROR(VLOOKUP($B93,CDM!$I$36:$L$46,2,FALSE)/2*$C93/78,0)</f>
        <v>2635990.3556853463</v>
      </c>
      <c r="F93" s="59">
        <f t="shared" si="30"/>
        <v>62500468.355685346</v>
      </c>
      <c r="G93" s="59">
        <v>62020</v>
      </c>
      <c r="H93" s="59">
        <v>15630252</v>
      </c>
      <c r="I93" s="59">
        <f>IFERROR(VLOOKUP($B93-1,CDM!$I$7:$N$18,3,FALSE)/12,0)+IFERROR(VLOOKUP($B93,CDM!$I$36:$L$46,3,FALSE)/24,0)+IFERROR(VLOOKUP($B93,CDM!$I$36:$L$46,3,FALSE)/2*$C93/78,0)</f>
        <v>1123740.9597975076</v>
      </c>
      <c r="J93" s="59">
        <f t="shared" si="31"/>
        <v>16753992.959797507</v>
      </c>
      <c r="K93" s="59">
        <v>5681</v>
      </c>
      <c r="L93" s="59">
        <v>75989578</v>
      </c>
      <c r="M93" s="2">
        <f>IFERROR(VLOOKUP($B93-1,CDM!$I$7:$N$18,4,FALSE)/12,0)+IFERROR(VLOOKUP($B93,CDM!$I$36:$L$46,4,FALSE)/24,0)+IFERROR(VLOOKUP($B93,CDM!$I$36:$L$46,4,FALSE)/2*$C93/78,0)</f>
        <v>3688738.715615273</v>
      </c>
      <c r="N93" s="59">
        <f t="shared" si="32"/>
        <v>79678316.715615273</v>
      </c>
      <c r="O93" s="59">
        <v>196760</v>
      </c>
      <c r="P93" s="59">
        <v>973</v>
      </c>
      <c r="Q93" s="59">
        <v>404412</v>
      </c>
      <c r="R93" s="59">
        <v>1290</v>
      </c>
      <c r="S93" s="59">
        <v>17201</v>
      </c>
      <c r="T93" s="59">
        <v>261887</v>
      </c>
      <c r="U93" s="1">
        <v>24</v>
      </c>
      <c r="V93" s="59">
        <v>570</v>
      </c>
      <c r="W93" s="114">
        <f>Economic!J155</f>
        <v>817265.5</v>
      </c>
      <c r="X93" s="114">
        <f>Economic!K155</f>
        <v>634181.69999999995</v>
      </c>
      <c r="Y93" s="114">
        <f>Economic!L155</f>
        <v>64910</v>
      </c>
      <c r="Z93" s="114">
        <f>Economic!M155</f>
        <v>819564</v>
      </c>
      <c r="AA93" s="114">
        <f>Economic!N155</f>
        <v>639578</v>
      </c>
      <c r="AB93" s="114">
        <f>Economic!O155</f>
        <v>25974</v>
      </c>
      <c r="AC93" s="114">
        <f>Economic!D155</f>
        <v>7400.1</v>
      </c>
      <c r="AD93" s="114">
        <f>Economic!E155</f>
        <v>7475.2</v>
      </c>
      <c r="AE93" s="114">
        <f>Economic!F155</f>
        <v>3409.2</v>
      </c>
      <c r="AF93" s="114">
        <f>Economic!G155</f>
        <v>3447.3</v>
      </c>
      <c r="AG93" s="114">
        <f>Economic!H155</f>
        <v>411.6</v>
      </c>
      <c r="AH93" s="114">
        <f>Economic!I155</f>
        <v>409.4</v>
      </c>
      <c r="AI93" s="114">
        <f>Economic!P167</f>
        <v>347.29999999999927</v>
      </c>
      <c r="AJ93" s="114">
        <f>Economic!Q167</f>
        <v>350.19999999999982</v>
      </c>
      <c r="AK93" s="114">
        <f>Economic!R167</f>
        <v>177.30000000000018</v>
      </c>
      <c r="AL93" s="114">
        <f>Economic!S167</f>
        <v>177</v>
      </c>
      <c r="AM93" s="114">
        <f>Economic!T167</f>
        <v>33196.400000000023</v>
      </c>
      <c r="AN93" s="114">
        <f>Economic!U167</f>
        <v>1358</v>
      </c>
      <c r="AO93" s="28">
        <f>Weather!D285</f>
        <v>22.274193548387096</v>
      </c>
      <c r="AP93" s="28">
        <f>Weather!E285</f>
        <v>2.1000000000000014</v>
      </c>
      <c r="AQ93" s="28">
        <f>Weather!F285</f>
        <v>72.599999999999994</v>
      </c>
      <c r="AR93" s="28">
        <f>Weather!G285</f>
        <v>0</v>
      </c>
      <c r="AS93" s="28">
        <f>Weather!H285</f>
        <v>132.5</v>
      </c>
      <c r="AT93" s="28">
        <f>Weather!I285</f>
        <v>0</v>
      </c>
      <c r="AU93" s="28">
        <f>Weather!J285</f>
        <v>194.5</v>
      </c>
      <c r="AV93" s="28">
        <f>Weather!K285</f>
        <v>0</v>
      </c>
      <c r="AW93" s="28">
        <f>Weather!L285</f>
        <v>256.5</v>
      </c>
      <c r="AX93" s="28">
        <f>Weather!M285</f>
        <v>0</v>
      </c>
      <c r="AY93" s="28">
        <f>Weather!N285</f>
        <v>318.5</v>
      </c>
      <c r="AZ93" s="28">
        <f>Weather!O285</f>
        <v>0</v>
      </c>
      <c r="BA93" s="28">
        <f>Weather!P285</f>
        <v>380.5</v>
      </c>
      <c r="BB93" s="28">
        <f>Weather!Q285</f>
        <v>0</v>
      </c>
      <c r="BC93" s="28">
        <f>Weather!R285</f>
        <v>442.5</v>
      </c>
      <c r="BD93">
        <f t="shared" si="54"/>
        <v>0</v>
      </c>
      <c r="BE93">
        <f t="shared" si="54"/>
        <v>0</v>
      </c>
      <c r="BF93">
        <f t="shared" si="54"/>
        <v>0</v>
      </c>
      <c r="BG93">
        <f t="shared" si="54"/>
        <v>0</v>
      </c>
      <c r="BH93">
        <f t="shared" si="54"/>
        <v>0</v>
      </c>
      <c r="BI93">
        <f t="shared" si="54"/>
        <v>0</v>
      </c>
      <c r="BJ93">
        <f t="shared" si="54"/>
        <v>0</v>
      </c>
      <c r="BK93">
        <f t="shared" si="54"/>
        <v>1</v>
      </c>
      <c r="BL93">
        <f t="shared" si="54"/>
        <v>0</v>
      </c>
      <c r="BM93">
        <f t="shared" si="54"/>
        <v>0</v>
      </c>
      <c r="BN93">
        <f t="shared" si="54"/>
        <v>0</v>
      </c>
      <c r="BO93">
        <f t="shared" si="54"/>
        <v>0</v>
      </c>
      <c r="BP93" s="1">
        <f t="shared" si="54"/>
        <v>0</v>
      </c>
      <c r="BQ93" s="1">
        <f t="shared" si="54"/>
        <v>0</v>
      </c>
      <c r="BR93" s="1">
        <f t="shared" si="54"/>
        <v>0</v>
      </c>
      <c r="BS93" s="1">
        <f t="shared" si="33"/>
        <v>92</v>
      </c>
      <c r="BT93">
        <f t="shared" si="27"/>
        <v>31</v>
      </c>
      <c r="BU93" s="1">
        <v>22</v>
      </c>
      <c r="BV93" s="1">
        <v>0.5</v>
      </c>
      <c r="BW93" s="1">
        <v>0.25</v>
      </c>
      <c r="BX93" s="1">
        <v>0.5</v>
      </c>
      <c r="BY93" s="1">
        <v>0</v>
      </c>
      <c r="BZ93">
        <f t="shared" si="52"/>
        <v>0.52500000000000036</v>
      </c>
      <c r="CA93">
        <f t="shared" si="52"/>
        <v>18.149999999999999</v>
      </c>
      <c r="CB93">
        <f t="shared" si="52"/>
        <v>0</v>
      </c>
      <c r="CC93">
        <f t="shared" si="52"/>
        <v>33.125</v>
      </c>
      <c r="CD93">
        <f t="shared" si="52"/>
        <v>0</v>
      </c>
      <c r="CE93">
        <f t="shared" si="52"/>
        <v>48.625</v>
      </c>
      <c r="CF93">
        <f t="shared" si="50"/>
        <v>0</v>
      </c>
      <c r="CG93">
        <f t="shared" si="50"/>
        <v>64.125</v>
      </c>
      <c r="CH93">
        <f t="shared" si="45"/>
        <v>0</v>
      </c>
      <c r="CI93">
        <f t="shared" si="45"/>
        <v>79.625</v>
      </c>
      <c r="CJ93">
        <f t="shared" si="45"/>
        <v>0</v>
      </c>
      <c r="CK93">
        <f t="shared" si="45"/>
        <v>95.125</v>
      </c>
      <c r="CL93">
        <f t="shared" si="45"/>
        <v>0</v>
      </c>
      <c r="CM93">
        <f t="shared" si="45"/>
        <v>110.625</v>
      </c>
      <c r="CN93">
        <f t="shared" si="53"/>
        <v>1.0500000000000007</v>
      </c>
      <c r="CO93">
        <f t="shared" si="53"/>
        <v>36.299999999999997</v>
      </c>
      <c r="CP93">
        <f t="shared" si="53"/>
        <v>0</v>
      </c>
      <c r="CQ93">
        <f t="shared" si="53"/>
        <v>66.25</v>
      </c>
      <c r="CR93">
        <f t="shared" si="53"/>
        <v>0</v>
      </c>
      <c r="CS93">
        <f t="shared" si="53"/>
        <v>97.25</v>
      </c>
      <c r="CT93">
        <f t="shared" si="51"/>
        <v>0</v>
      </c>
      <c r="CU93">
        <f t="shared" si="51"/>
        <v>128.25</v>
      </c>
      <c r="CV93">
        <f t="shared" si="46"/>
        <v>0</v>
      </c>
      <c r="CW93">
        <f t="shared" si="46"/>
        <v>159.25</v>
      </c>
      <c r="CX93">
        <f t="shared" si="46"/>
        <v>0</v>
      </c>
      <c r="CY93">
        <f t="shared" si="46"/>
        <v>190.25</v>
      </c>
      <c r="CZ93">
        <f t="shared" si="46"/>
        <v>0</v>
      </c>
      <c r="DA93">
        <f t="shared" si="46"/>
        <v>221.25</v>
      </c>
      <c r="DB93" s="74">
        <f t="shared" si="34"/>
        <v>1007.7469905786093</v>
      </c>
      <c r="DC93" s="74">
        <f t="shared" si="49"/>
        <v>32.507967438019655</v>
      </c>
      <c r="DD93" s="73">
        <f t="shared" si="36"/>
        <v>2016144.1405059788</v>
      </c>
      <c r="DE93" s="74">
        <f t="shared" si="37"/>
        <v>2949.1274352750411</v>
      </c>
      <c r="DF93" s="74">
        <f t="shared" si="38"/>
        <v>95.133143073388425</v>
      </c>
      <c r="DG93" s="74">
        <f t="shared" si="39"/>
        <v>540451.3857999196</v>
      </c>
      <c r="DH93" s="74">
        <f t="shared" si="40"/>
        <v>81889.328587477154</v>
      </c>
      <c r="DI93" s="74">
        <f t="shared" si="41"/>
        <v>2641.5912447573273</v>
      </c>
      <c r="DJ93" s="74">
        <f t="shared" si="42"/>
        <v>3722.242208521689</v>
      </c>
      <c r="DK93" s="74">
        <f t="shared" si="43"/>
        <v>2570268.2811488798</v>
      </c>
      <c r="DL93" s="74">
        <f t="shared" si="44"/>
        <v>3621741.6688916031</v>
      </c>
    </row>
    <row r="94" spans="1:116" x14ac:dyDescent="0.2">
      <c r="A94" s="96">
        <v>44805</v>
      </c>
      <c r="B94" s="4">
        <f t="shared" si="28"/>
        <v>2022</v>
      </c>
      <c r="C94" s="4">
        <f t="shared" si="29"/>
        <v>9</v>
      </c>
      <c r="D94" s="59">
        <v>45626419</v>
      </c>
      <c r="E94" s="59">
        <f>IFERROR(VLOOKUP($B94-1,CDM!$I$7:$N$18,2,FALSE)/12,0)+IFERROR(VLOOKUP($B94,CDM!$I$36:$L$46,2,FALSE)/24,0)+IFERROR(VLOOKUP($B94,CDM!$I$36:$L$46,2,FALSE)/2*$C94/78,0)</f>
        <v>2636740.8846686687</v>
      </c>
      <c r="F94" s="59">
        <f t="shared" si="30"/>
        <v>48263159.884668671</v>
      </c>
      <c r="G94" s="59">
        <v>62042</v>
      </c>
      <c r="H94" s="59">
        <v>13394384</v>
      </c>
      <c r="I94" s="59">
        <f>IFERROR(VLOOKUP($B94-1,CDM!$I$7:$N$18,3,FALSE)/12,0)+IFERROR(VLOOKUP($B94,CDM!$I$36:$L$46,3,FALSE)/24,0)+IFERROR(VLOOKUP($B94,CDM!$I$36:$L$46,3,FALSE)/2*$C94/78,0)</f>
        <v>1129392.6131271406</v>
      </c>
      <c r="J94" s="59">
        <f t="shared" si="31"/>
        <v>14523776.61312714</v>
      </c>
      <c r="K94" s="59">
        <v>5679</v>
      </c>
      <c r="L94" s="59">
        <v>66978218</v>
      </c>
      <c r="M94" s="2">
        <f>IFERROR(VLOOKUP($B94-1,CDM!$I$7:$N$18,4,FALSE)/12,0)+IFERROR(VLOOKUP($B94,CDM!$I$36:$L$46,4,FALSE)/24,0)+IFERROR(VLOOKUP($B94,CDM!$I$36:$L$46,4,FALSE)/2*$C94/78,0)</f>
        <v>3714638.5052449061</v>
      </c>
      <c r="N94" s="59">
        <f t="shared" si="32"/>
        <v>70692856.505244911</v>
      </c>
      <c r="O94" s="59">
        <v>187896</v>
      </c>
      <c r="P94" s="59">
        <v>953</v>
      </c>
      <c r="Q94" s="59">
        <v>446388</v>
      </c>
      <c r="R94" s="59">
        <v>1290</v>
      </c>
      <c r="S94" s="59">
        <v>17201</v>
      </c>
      <c r="T94" s="59">
        <v>261887</v>
      </c>
      <c r="U94" s="1">
        <v>24</v>
      </c>
      <c r="V94" s="59">
        <v>570</v>
      </c>
      <c r="W94" s="114">
        <f>Economic!J156</f>
        <v>817265.5</v>
      </c>
      <c r="X94" s="114">
        <f>Economic!K156</f>
        <v>634181.69999999995</v>
      </c>
      <c r="Y94" s="114">
        <f>Economic!L156</f>
        <v>64910</v>
      </c>
      <c r="Z94" s="114">
        <f>Economic!M156</f>
        <v>819564</v>
      </c>
      <c r="AA94" s="114">
        <f>Economic!N156</f>
        <v>639578</v>
      </c>
      <c r="AB94" s="114">
        <f>Economic!O156</f>
        <v>25974</v>
      </c>
      <c r="AC94" s="114">
        <f>Economic!D156</f>
        <v>7474.5</v>
      </c>
      <c r="AD94" s="114">
        <f>Economic!E156</f>
        <v>7503.2</v>
      </c>
      <c r="AE94" s="114">
        <f>Economic!F156</f>
        <v>3472.2</v>
      </c>
      <c r="AF94" s="114">
        <f>Economic!G156</f>
        <v>3486.4</v>
      </c>
      <c r="AG94" s="114">
        <f>Economic!H156</f>
        <v>416.5</v>
      </c>
      <c r="AH94" s="114">
        <f>Economic!I156</f>
        <v>413.1</v>
      </c>
      <c r="AI94" s="114">
        <f>Economic!P168</f>
        <v>266.19999999999982</v>
      </c>
      <c r="AJ94" s="114">
        <f>Economic!Q168</f>
        <v>263.5</v>
      </c>
      <c r="AK94" s="114">
        <f>Economic!R168</f>
        <v>103.10000000000036</v>
      </c>
      <c r="AL94" s="114">
        <f>Economic!S168</f>
        <v>100</v>
      </c>
      <c r="AM94" s="114">
        <f>Economic!T168</f>
        <v>33196.400000000023</v>
      </c>
      <c r="AN94" s="114">
        <f>Economic!U168</f>
        <v>1358</v>
      </c>
      <c r="AO94" s="28">
        <f>Weather!D286</f>
        <v>18.266666666666666</v>
      </c>
      <c r="AP94" s="28">
        <f>Weather!E286</f>
        <v>73.300000000000011</v>
      </c>
      <c r="AQ94" s="28">
        <f>Weather!F286</f>
        <v>21.3</v>
      </c>
      <c r="AR94" s="28">
        <f>Weather!G286</f>
        <v>44.900000000000006</v>
      </c>
      <c r="AS94" s="28">
        <f>Weather!H286</f>
        <v>52.900000000000006</v>
      </c>
      <c r="AT94" s="28">
        <f>Weather!I286</f>
        <v>25.1</v>
      </c>
      <c r="AU94" s="28">
        <f>Weather!J286</f>
        <v>93.100000000000009</v>
      </c>
      <c r="AV94" s="28">
        <f>Weather!K286</f>
        <v>8.1999999999999993</v>
      </c>
      <c r="AW94" s="28">
        <f>Weather!L286</f>
        <v>136.20000000000002</v>
      </c>
      <c r="AX94" s="28">
        <f>Weather!M286</f>
        <v>0.29999999999999893</v>
      </c>
      <c r="AY94" s="28">
        <f>Weather!N286</f>
        <v>188.3</v>
      </c>
      <c r="AZ94" s="28">
        <f>Weather!O286</f>
        <v>0</v>
      </c>
      <c r="BA94" s="28">
        <f>Weather!P286</f>
        <v>248</v>
      </c>
      <c r="BB94" s="28">
        <f>Weather!Q286</f>
        <v>0</v>
      </c>
      <c r="BC94" s="28">
        <f>Weather!R286</f>
        <v>308</v>
      </c>
      <c r="BD94">
        <f t="shared" si="54"/>
        <v>0</v>
      </c>
      <c r="BE94">
        <f t="shared" si="54"/>
        <v>0</v>
      </c>
      <c r="BF94">
        <f t="shared" si="54"/>
        <v>0</v>
      </c>
      <c r="BG94">
        <f t="shared" si="54"/>
        <v>0</v>
      </c>
      <c r="BH94">
        <f t="shared" si="54"/>
        <v>0</v>
      </c>
      <c r="BI94">
        <f t="shared" si="54"/>
        <v>0</v>
      </c>
      <c r="BJ94">
        <f t="shared" si="54"/>
        <v>0</v>
      </c>
      <c r="BK94">
        <f t="shared" si="54"/>
        <v>0</v>
      </c>
      <c r="BL94">
        <f t="shared" si="54"/>
        <v>1</v>
      </c>
      <c r="BM94">
        <f t="shared" si="54"/>
        <v>0</v>
      </c>
      <c r="BN94">
        <f t="shared" si="54"/>
        <v>0</v>
      </c>
      <c r="BO94">
        <f t="shared" si="54"/>
        <v>0</v>
      </c>
      <c r="BP94" s="1">
        <f t="shared" si="54"/>
        <v>0</v>
      </c>
      <c r="BQ94" s="1">
        <f t="shared" si="54"/>
        <v>1</v>
      </c>
      <c r="BR94" s="1">
        <f t="shared" si="54"/>
        <v>1</v>
      </c>
      <c r="BS94" s="1">
        <f t="shared" si="33"/>
        <v>93</v>
      </c>
      <c r="BT94">
        <f t="shared" si="27"/>
        <v>30</v>
      </c>
      <c r="BU94" s="1">
        <v>20</v>
      </c>
      <c r="BV94" s="1">
        <v>0.5</v>
      </c>
      <c r="BW94" s="1">
        <v>0.25</v>
      </c>
      <c r="BX94" s="1">
        <v>0.5</v>
      </c>
      <c r="BY94" s="1">
        <v>0</v>
      </c>
      <c r="BZ94">
        <f t="shared" si="52"/>
        <v>18.325000000000003</v>
      </c>
      <c r="CA94">
        <f t="shared" si="52"/>
        <v>5.3250000000000002</v>
      </c>
      <c r="CB94">
        <f t="shared" si="52"/>
        <v>11.225000000000001</v>
      </c>
      <c r="CC94">
        <f t="shared" si="52"/>
        <v>13.225000000000001</v>
      </c>
      <c r="CD94">
        <f t="shared" si="52"/>
        <v>6.2750000000000004</v>
      </c>
      <c r="CE94">
        <f t="shared" si="52"/>
        <v>23.275000000000002</v>
      </c>
      <c r="CF94">
        <f t="shared" si="50"/>
        <v>2.0499999999999998</v>
      </c>
      <c r="CG94">
        <f t="shared" si="50"/>
        <v>34.050000000000004</v>
      </c>
      <c r="CH94">
        <f t="shared" si="45"/>
        <v>7.4999999999999734E-2</v>
      </c>
      <c r="CI94">
        <f t="shared" si="45"/>
        <v>47.075000000000003</v>
      </c>
      <c r="CJ94">
        <f t="shared" si="45"/>
        <v>0</v>
      </c>
      <c r="CK94">
        <f t="shared" si="45"/>
        <v>62</v>
      </c>
      <c r="CL94">
        <f t="shared" si="45"/>
        <v>0</v>
      </c>
      <c r="CM94">
        <f t="shared" si="45"/>
        <v>77</v>
      </c>
      <c r="CN94">
        <f t="shared" si="53"/>
        <v>36.650000000000006</v>
      </c>
      <c r="CO94">
        <f t="shared" si="53"/>
        <v>10.65</v>
      </c>
      <c r="CP94">
        <f t="shared" si="53"/>
        <v>22.450000000000003</v>
      </c>
      <c r="CQ94">
        <f t="shared" si="53"/>
        <v>26.450000000000003</v>
      </c>
      <c r="CR94">
        <f t="shared" si="53"/>
        <v>12.55</v>
      </c>
      <c r="CS94">
        <f t="shared" si="53"/>
        <v>46.550000000000004</v>
      </c>
      <c r="CT94">
        <f t="shared" si="51"/>
        <v>4.0999999999999996</v>
      </c>
      <c r="CU94">
        <f t="shared" si="51"/>
        <v>68.100000000000009</v>
      </c>
      <c r="CV94">
        <f t="shared" si="46"/>
        <v>0.14999999999999947</v>
      </c>
      <c r="CW94">
        <f t="shared" si="46"/>
        <v>94.15</v>
      </c>
      <c r="CX94">
        <f t="shared" si="46"/>
        <v>0</v>
      </c>
      <c r="CY94">
        <f t="shared" si="46"/>
        <v>124</v>
      </c>
      <c r="CZ94">
        <f t="shared" si="46"/>
        <v>0</v>
      </c>
      <c r="DA94">
        <f t="shared" si="46"/>
        <v>154</v>
      </c>
      <c r="DB94" s="74">
        <f t="shared" si="34"/>
        <v>777.91109062681198</v>
      </c>
      <c r="DC94" s="74">
        <f t="shared" si="49"/>
        <v>25.9303696875604</v>
      </c>
      <c r="DD94" s="73">
        <f t="shared" si="36"/>
        <v>1608771.9961556224</v>
      </c>
      <c r="DE94" s="74">
        <f t="shared" si="37"/>
        <v>2557.4531806879982</v>
      </c>
      <c r="DF94" s="74">
        <f t="shared" si="38"/>
        <v>85.248439356266601</v>
      </c>
      <c r="DG94" s="74">
        <f t="shared" si="39"/>
        <v>484125.88710423803</v>
      </c>
      <c r="DH94" s="74">
        <f t="shared" si="40"/>
        <v>74179.282796689309</v>
      </c>
      <c r="DI94" s="74">
        <f t="shared" si="41"/>
        <v>2472.6427598896435</v>
      </c>
      <c r="DJ94" s="74">
        <f t="shared" si="42"/>
        <v>3708.9641398344656</v>
      </c>
      <c r="DK94" s="74">
        <f t="shared" si="43"/>
        <v>2356428.5501748305</v>
      </c>
      <c r="DL94" s="74">
        <f t="shared" si="44"/>
        <v>3534642.8252622457</v>
      </c>
    </row>
    <row r="95" spans="1:116" x14ac:dyDescent="0.2">
      <c r="A95" s="96">
        <v>44835</v>
      </c>
      <c r="B95" s="4">
        <f t="shared" si="28"/>
        <v>2022</v>
      </c>
      <c r="C95" s="4">
        <f t="shared" si="29"/>
        <v>10</v>
      </c>
      <c r="D95" s="59">
        <v>36731091</v>
      </c>
      <c r="E95" s="59">
        <f>IFERROR(VLOOKUP($B95-1,CDM!$I$7:$N$18,2,FALSE)/12,0)+IFERROR(VLOOKUP($B95,CDM!$I$36:$L$46,2,FALSE)/24,0)+IFERROR(VLOOKUP($B95,CDM!$I$36:$L$46,2,FALSE)/2*$C95/78,0)</f>
        <v>2637491.4136519912</v>
      </c>
      <c r="F95" s="59">
        <f t="shared" si="30"/>
        <v>39368582.413651988</v>
      </c>
      <c r="G95" s="59">
        <v>62001</v>
      </c>
      <c r="H95" s="59">
        <v>12677193</v>
      </c>
      <c r="I95" s="59">
        <f>IFERROR(VLOOKUP($B95-1,CDM!$I$7:$N$18,3,FALSE)/12,0)+IFERROR(VLOOKUP($B95,CDM!$I$36:$L$46,3,FALSE)/24,0)+IFERROR(VLOOKUP($B95,CDM!$I$36:$L$46,3,FALSE)/2*$C95/78,0)</f>
        <v>1135044.2664567735</v>
      </c>
      <c r="J95" s="59">
        <f t="shared" si="31"/>
        <v>13812237.266456774</v>
      </c>
      <c r="K95" s="59">
        <v>5668</v>
      </c>
      <c r="L95" s="59">
        <v>62345466</v>
      </c>
      <c r="M95" s="2">
        <f>IFERROR(VLOOKUP($B95-1,CDM!$I$7:$N$18,4,FALSE)/12,0)+IFERROR(VLOOKUP($B95,CDM!$I$36:$L$46,4,FALSE)/24,0)+IFERROR(VLOOKUP($B95,CDM!$I$36:$L$46,4,FALSE)/2*$C95/78,0)</f>
        <v>3740538.2948745391</v>
      </c>
      <c r="N95" s="59">
        <f t="shared" si="32"/>
        <v>66086004.294874541</v>
      </c>
      <c r="O95" s="59">
        <v>168786</v>
      </c>
      <c r="P95" s="59">
        <v>957</v>
      </c>
      <c r="Q95" s="59">
        <v>520152</v>
      </c>
      <c r="R95" s="59">
        <v>1290</v>
      </c>
      <c r="S95" s="59">
        <v>17201</v>
      </c>
      <c r="T95" s="59">
        <v>262334</v>
      </c>
      <c r="U95" s="1">
        <v>24</v>
      </c>
      <c r="V95" s="59">
        <v>572</v>
      </c>
      <c r="W95" s="114">
        <f>Economic!J157</f>
        <v>817265.5</v>
      </c>
      <c r="X95" s="114">
        <f>Economic!K157</f>
        <v>634181.69999999995</v>
      </c>
      <c r="Y95" s="114">
        <f>Economic!L157</f>
        <v>64910</v>
      </c>
      <c r="Z95" s="114">
        <f>Economic!M157</f>
        <v>838397</v>
      </c>
      <c r="AA95" s="114">
        <f>Economic!N157</f>
        <v>654360</v>
      </c>
      <c r="AB95" s="114">
        <f>Economic!O157</f>
        <v>27605</v>
      </c>
      <c r="AC95" s="114">
        <f>Economic!D157</f>
        <v>7529.4</v>
      </c>
      <c r="AD95" s="114">
        <f>Economic!E157</f>
        <v>7538.5</v>
      </c>
      <c r="AE95" s="114">
        <f>Economic!F157</f>
        <v>3523.6</v>
      </c>
      <c r="AF95" s="114">
        <f>Economic!G157</f>
        <v>3518.7</v>
      </c>
      <c r="AG95" s="114">
        <f>Economic!H157</f>
        <v>415.2</v>
      </c>
      <c r="AH95" s="114">
        <f>Economic!I157</f>
        <v>413.4</v>
      </c>
      <c r="AI95" s="114">
        <f>Economic!P169</f>
        <v>210.90000000000055</v>
      </c>
      <c r="AJ95" s="114">
        <f>Economic!Q169</f>
        <v>205</v>
      </c>
      <c r="AK95" s="114">
        <f>Economic!R169</f>
        <v>45</v>
      </c>
      <c r="AL95" s="114">
        <f>Economic!S169</f>
        <v>42.600000000000364</v>
      </c>
      <c r="AM95" s="114">
        <f>Economic!T169</f>
        <v>33196.400000000023</v>
      </c>
      <c r="AN95" s="114">
        <f>Economic!U169</f>
        <v>-950</v>
      </c>
      <c r="AO95" s="28">
        <f>Weather!D287</f>
        <v>10.525806451612901</v>
      </c>
      <c r="AP95" s="28">
        <f>Weather!E287</f>
        <v>293.7</v>
      </c>
      <c r="AQ95" s="28">
        <f>Weather!F287</f>
        <v>0</v>
      </c>
      <c r="AR95" s="28">
        <f>Weather!G287</f>
        <v>232.49999999999997</v>
      </c>
      <c r="AS95" s="28">
        <f>Weather!H287</f>
        <v>0.79999999999999716</v>
      </c>
      <c r="AT95" s="28">
        <f>Weather!I287</f>
        <v>174.49999999999997</v>
      </c>
      <c r="AU95" s="28">
        <f>Weather!J287</f>
        <v>4.7999999999999972</v>
      </c>
      <c r="AV95" s="28">
        <f>Weather!K287</f>
        <v>119.99999999999999</v>
      </c>
      <c r="AW95" s="28">
        <f>Weather!L287</f>
        <v>12.299999999999999</v>
      </c>
      <c r="AX95" s="28">
        <f>Weather!M287</f>
        <v>70.800000000000011</v>
      </c>
      <c r="AY95" s="28">
        <f>Weather!N287</f>
        <v>25.1</v>
      </c>
      <c r="AZ95" s="28">
        <f>Weather!O287</f>
        <v>34.6</v>
      </c>
      <c r="BA95" s="28">
        <f>Weather!P287</f>
        <v>50.899999999999991</v>
      </c>
      <c r="BB95" s="28">
        <f>Weather!Q287</f>
        <v>14.2</v>
      </c>
      <c r="BC95" s="28">
        <f>Weather!R287</f>
        <v>92.5</v>
      </c>
      <c r="BD95">
        <f t="shared" ref="BD95:BR110" si="55">BD83</f>
        <v>0</v>
      </c>
      <c r="BE95">
        <f t="shared" si="55"/>
        <v>0</v>
      </c>
      <c r="BF95">
        <f t="shared" si="55"/>
        <v>0</v>
      </c>
      <c r="BG95">
        <f t="shared" si="55"/>
        <v>0</v>
      </c>
      <c r="BH95">
        <f t="shared" si="55"/>
        <v>0</v>
      </c>
      <c r="BI95">
        <f t="shared" si="55"/>
        <v>0</v>
      </c>
      <c r="BJ95">
        <f t="shared" si="55"/>
        <v>0</v>
      </c>
      <c r="BK95">
        <f t="shared" si="55"/>
        <v>0</v>
      </c>
      <c r="BL95">
        <f t="shared" si="55"/>
        <v>0</v>
      </c>
      <c r="BM95">
        <f t="shared" si="55"/>
        <v>1</v>
      </c>
      <c r="BN95">
        <f t="shared" si="55"/>
        <v>0</v>
      </c>
      <c r="BO95">
        <f t="shared" si="55"/>
        <v>0</v>
      </c>
      <c r="BP95" s="1">
        <f t="shared" si="55"/>
        <v>0</v>
      </c>
      <c r="BQ95" s="1">
        <f t="shared" si="55"/>
        <v>1</v>
      </c>
      <c r="BR95" s="1">
        <f t="shared" si="55"/>
        <v>1</v>
      </c>
      <c r="BS95" s="1">
        <f t="shared" si="33"/>
        <v>94</v>
      </c>
      <c r="BT95">
        <f t="shared" si="27"/>
        <v>31</v>
      </c>
      <c r="BU95" s="1">
        <v>20</v>
      </c>
      <c r="BV95" s="1">
        <v>0.5</v>
      </c>
      <c r="BW95" s="1">
        <v>0.25</v>
      </c>
      <c r="BX95" s="1">
        <v>0.5</v>
      </c>
      <c r="BY95" s="1">
        <v>0</v>
      </c>
      <c r="BZ95">
        <f t="shared" si="52"/>
        <v>73.424999999999997</v>
      </c>
      <c r="CA95">
        <f t="shared" si="52"/>
        <v>0</v>
      </c>
      <c r="CB95">
        <f t="shared" si="52"/>
        <v>58.124999999999993</v>
      </c>
      <c r="CC95">
        <f t="shared" si="52"/>
        <v>0.19999999999999929</v>
      </c>
      <c r="CD95">
        <f t="shared" si="52"/>
        <v>43.624999999999993</v>
      </c>
      <c r="CE95">
        <f t="shared" si="52"/>
        <v>1.1999999999999993</v>
      </c>
      <c r="CF95">
        <f t="shared" si="50"/>
        <v>29.999999999999996</v>
      </c>
      <c r="CG95">
        <f t="shared" si="50"/>
        <v>3.0749999999999997</v>
      </c>
      <c r="CH95">
        <f t="shared" si="45"/>
        <v>17.700000000000003</v>
      </c>
      <c r="CI95">
        <f t="shared" si="45"/>
        <v>6.2750000000000004</v>
      </c>
      <c r="CJ95">
        <f t="shared" si="45"/>
        <v>8.65</v>
      </c>
      <c r="CK95">
        <f t="shared" si="45"/>
        <v>12.724999999999998</v>
      </c>
      <c r="CL95">
        <f t="shared" si="45"/>
        <v>3.55</v>
      </c>
      <c r="CM95">
        <f t="shared" si="45"/>
        <v>23.125</v>
      </c>
      <c r="CN95">
        <f t="shared" si="53"/>
        <v>146.85</v>
      </c>
      <c r="CO95">
        <f t="shared" si="53"/>
        <v>0</v>
      </c>
      <c r="CP95">
        <f t="shared" si="53"/>
        <v>116.24999999999999</v>
      </c>
      <c r="CQ95">
        <f t="shared" si="53"/>
        <v>0.39999999999999858</v>
      </c>
      <c r="CR95">
        <f t="shared" si="53"/>
        <v>87.249999999999986</v>
      </c>
      <c r="CS95">
        <f t="shared" si="53"/>
        <v>2.3999999999999986</v>
      </c>
      <c r="CT95">
        <f t="shared" si="51"/>
        <v>59.999999999999993</v>
      </c>
      <c r="CU95">
        <f t="shared" si="51"/>
        <v>6.1499999999999995</v>
      </c>
      <c r="CV95">
        <f t="shared" si="46"/>
        <v>35.400000000000006</v>
      </c>
      <c r="CW95">
        <f t="shared" si="46"/>
        <v>12.55</v>
      </c>
      <c r="CX95">
        <f t="shared" si="46"/>
        <v>17.3</v>
      </c>
      <c r="CY95">
        <f t="shared" si="46"/>
        <v>25.449999999999996</v>
      </c>
      <c r="CZ95">
        <f t="shared" si="46"/>
        <v>7.1</v>
      </c>
      <c r="DA95">
        <f t="shared" si="46"/>
        <v>46.25</v>
      </c>
      <c r="DB95" s="74">
        <f t="shared" si="34"/>
        <v>634.96689430254332</v>
      </c>
      <c r="DC95" s="74">
        <f t="shared" si="49"/>
        <v>20.482803042017526</v>
      </c>
      <c r="DD95" s="73">
        <f t="shared" si="36"/>
        <v>1269954.2714081286</v>
      </c>
      <c r="DE95" s="74">
        <f t="shared" si="37"/>
        <v>2436.88025166845</v>
      </c>
      <c r="DF95" s="74">
        <f t="shared" si="38"/>
        <v>78.609040376401609</v>
      </c>
      <c r="DG95" s="74">
        <f t="shared" si="39"/>
        <v>445556.04085344431</v>
      </c>
      <c r="DH95" s="74">
        <f t="shared" si="40"/>
        <v>69055.385888061166</v>
      </c>
      <c r="DI95" s="74">
        <f t="shared" si="41"/>
        <v>2227.5930931632633</v>
      </c>
      <c r="DJ95" s="74">
        <f t="shared" si="42"/>
        <v>3452.7692944030582</v>
      </c>
      <c r="DK95" s="74">
        <f t="shared" si="43"/>
        <v>2131806.5901572434</v>
      </c>
      <c r="DL95" s="74">
        <f t="shared" si="44"/>
        <v>3304300.2147437269</v>
      </c>
    </row>
    <row r="96" spans="1:116" x14ac:dyDescent="0.2">
      <c r="A96" s="96">
        <v>44866</v>
      </c>
      <c r="B96" s="4">
        <f t="shared" si="28"/>
        <v>2022</v>
      </c>
      <c r="C96" s="4">
        <f t="shared" si="29"/>
        <v>11</v>
      </c>
      <c r="D96" s="59">
        <v>37794582</v>
      </c>
      <c r="E96" s="59">
        <f>IFERROR(VLOOKUP($B96-1,CDM!$I$7:$N$18,2,FALSE)/12,0)+IFERROR(VLOOKUP($B96,CDM!$I$36:$L$46,2,FALSE)/24,0)+IFERROR(VLOOKUP($B96,CDM!$I$36:$L$46,2,FALSE)/2*$C96/78,0)</f>
        <v>2638241.9426353131</v>
      </c>
      <c r="F96" s="59">
        <f t="shared" si="30"/>
        <v>40432823.942635313</v>
      </c>
      <c r="G96" s="59">
        <v>62089</v>
      </c>
      <c r="H96" s="59">
        <v>13356759</v>
      </c>
      <c r="I96" s="59">
        <f>IFERROR(VLOOKUP($B96-1,CDM!$I$7:$N$18,3,FALSE)/12,0)+IFERROR(VLOOKUP($B96,CDM!$I$36:$L$46,3,FALSE)/24,0)+IFERROR(VLOOKUP($B96,CDM!$I$36:$L$46,3,FALSE)/2*$C96/78,0)</f>
        <v>1140695.9197864064</v>
      </c>
      <c r="J96" s="59">
        <f t="shared" si="31"/>
        <v>14497454.919786407</v>
      </c>
      <c r="K96" s="59">
        <v>5677</v>
      </c>
      <c r="L96" s="59">
        <v>63813709</v>
      </c>
      <c r="M96" s="2">
        <f>IFERROR(VLOOKUP($B96-1,CDM!$I$7:$N$18,4,FALSE)/12,0)+IFERROR(VLOOKUP($B96,CDM!$I$36:$L$46,4,FALSE)/24,0)+IFERROR(VLOOKUP($B96,CDM!$I$36:$L$46,4,FALSE)/2*$C96/78,0)</f>
        <v>3766438.0845041722</v>
      </c>
      <c r="N96" s="59">
        <f t="shared" si="32"/>
        <v>67580147.084504172</v>
      </c>
      <c r="O96" s="59">
        <v>173076</v>
      </c>
      <c r="P96" s="59">
        <v>959</v>
      </c>
      <c r="Q96" s="59">
        <v>553380</v>
      </c>
      <c r="R96" s="59">
        <v>1290</v>
      </c>
      <c r="S96" s="59">
        <v>17201</v>
      </c>
      <c r="T96" s="59">
        <v>263531</v>
      </c>
      <c r="U96" s="1">
        <v>24</v>
      </c>
      <c r="V96" s="59">
        <v>577</v>
      </c>
      <c r="W96" s="114">
        <f>Economic!J158</f>
        <v>817265.5</v>
      </c>
      <c r="X96" s="114">
        <f>Economic!K158</f>
        <v>634181.69999999995</v>
      </c>
      <c r="Y96" s="114">
        <f>Economic!L158</f>
        <v>64910</v>
      </c>
      <c r="Z96" s="114">
        <f>Economic!M158</f>
        <v>838397</v>
      </c>
      <c r="AA96" s="114">
        <f>Economic!N158</f>
        <v>654360</v>
      </c>
      <c r="AB96" s="114">
        <f>Economic!O158</f>
        <v>27605</v>
      </c>
      <c r="AC96" s="114">
        <f>Economic!D158</f>
        <v>7592</v>
      </c>
      <c r="AD96" s="114">
        <f>Economic!E158</f>
        <v>7590.1</v>
      </c>
      <c r="AE96" s="114">
        <f>Economic!F158</f>
        <v>3560.7</v>
      </c>
      <c r="AF96" s="114">
        <f>Economic!G158</f>
        <v>3547.9</v>
      </c>
      <c r="AG96" s="114">
        <f>Economic!H158</f>
        <v>412.9</v>
      </c>
      <c r="AH96" s="114">
        <f>Economic!I158</f>
        <v>414.1</v>
      </c>
      <c r="AI96" s="114">
        <f>Economic!P170</f>
        <v>155.19999999999982</v>
      </c>
      <c r="AJ96" s="114">
        <f>Economic!Q170</f>
        <v>148.79999999999927</v>
      </c>
      <c r="AK96" s="114">
        <f>Economic!R170</f>
        <v>1</v>
      </c>
      <c r="AL96" s="114">
        <f>Economic!S170</f>
        <v>-0.8000000000001819</v>
      </c>
      <c r="AM96" s="114">
        <f>Economic!T170</f>
        <v>33196.400000000023</v>
      </c>
      <c r="AN96" s="114">
        <f>Economic!U170</f>
        <v>-950</v>
      </c>
      <c r="AO96" s="28">
        <f>Weather!D288</f>
        <v>6.7566666666666659</v>
      </c>
      <c r="AP96" s="28">
        <f>Weather!E288</f>
        <v>397.69999999999993</v>
      </c>
      <c r="AQ96" s="28">
        <f>Weather!F288</f>
        <v>0.39999999999999858</v>
      </c>
      <c r="AR96" s="28">
        <f>Weather!G288</f>
        <v>339.69999999999993</v>
      </c>
      <c r="AS96" s="28">
        <f>Weather!H288</f>
        <v>2.3999999999999986</v>
      </c>
      <c r="AT96" s="28">
        <f>Weather!I288</f>
        <v>281.8</v>
      </c>
      <c r="AU96" s="28">
        <f>Weather!J288</f>
        <v>4.5</v>
      </c>
      <c r="AV96" s="28">
        <f>Weather!K288</f>
        <v>226.90000000000003</v>
      </c>
      <c r="AW96" s="28">
        <f>Weather!L288</f>
        <v>9.6</v>
      </c>
      <c r="AX96" s="28">
        <f>Weather!M288</f>
        <v>178.1</v>
      </c>
      <c r="AY96" s="28">
        <f>Weather!N288</f>
        <v>20.799999999999997</v>
      </c>
      <c r="AZ96" s="28">
        <f>Weather!O288</f>
        <v>130.10000000000002</v>
      </c>
      <c r="BA96" s="28">
        <f>Weather!P288</f>
        <v>32.799999999999997</v>
      </c>
      <c r="BB96" s="28">
        <f>Weather!Q288</f>
        <v>87.9</v>
      </c>
      <c r="BC96" s="28">
        <f>Weather!R288</f>
        <v>50.599999999999994</v>
      </c>
      <c r="BD96">
        <f t="shared" si="55"/>
        <v>0</v>
      </c>
      <c r="BE96">
        <f t="shared" si="55"/>
        <v>0</v>
      </c>
      <c r="BF96">
        <f t="shared" si="55"/>
        <v>0</v>
      </c>
      <c r="BG96">
        <f t="shared" si="55"/>
        <v>0</v>
      </c>
      <c r="BH96">
        <f t="shared" si="55"/>
        <v>0</v>
      </c>
      <c r="BI96">
        <f t="shared" si="55"/>
        <v>0</v>
      </c>
      <c r="BJ96">
        <f t="shared" si="55"/>
        <v>0</v>
      </c>
      <c r="BK96">
        <f t="shared" si="55"/>
        <v>0</v>
      </c>
      <c r="BL96">
        <f t="shared" si="55"/>
        <v>0</v>
      </c>
      <c r="BM96">
        <f t="shared" si="55"/>
        <v>0</v>
      </c>
      <c r="BN96">
        <f t="shared" si="55"/>
        <v>1</v>
      </c>
      <c r="BO96">
        <f t="shared" si="55"/>
        <v>0</v>
      </c>
      <c r="BP96" s="1">
        <f t="shared" si="55"/>
        <v>0</v>
      </c>
      <c r="BQ96" s="1">
        <f t="shared" si="55"/>
        <v>1</v>
      </c>
      <c r="BR96" s="1">
        <f t="shared" si="55"/>
        <v>1</v>
      </c>
      <c r="BS96" s="1">
        <f t="shared" si="33"/>
        <v>95</v>
      </c>
      <c r="BT96">
        <f t="shared" si="27"/>
        <v>30</v>
      </c>
      <c r="BU96" s="1">
        <v>22</v>
      </c>
      <c r="BV96" s="1">
        <v>0.5</v>
      </c>
      <c r="BW96" s="1">
        <v>0.25</v>
      </c>
      <c r="BX96" s="1">
        <v>0.5</v>
      </c>
      <c r="BY96" s="1">
        <v>0</v>
      </c>
      <c r="BZ96">
        <f t="shared" si="52"/>
        <v>99.424999999999983</v>
      </c>
      <c r="CA96">
        <f t="shared" si="52"/>
        <v>9.9999999999999645E-2</v>
      </c>
      <c r="CB96">
        <f t="shared" si="52"/>
        <v>84.924999999999983</v>
      </c>
      <c r="CC96">
        <f t="shared" si="52"/>
        <v>0.59999999999999964</v>
      </c>
      <c r="CD96">
        <f t="shared" si="52"/>
        <v>70.45</v>
      </c>
      <c r="CE96">
        <f t="shared" si="52"/>
        <v>1.125</v>
      </c>
      <c r="CF96">
        <f t="shared" si="50"/>
        <v>56.725000000000009</v>
      </c>
      <c r="CG96">
        <f t="shared" si="50"/>
        <v>2.4</v>
      </c>
      <c r="CH96">
        <f t="shared" si="45"/>
        <v>44.524999999999999</v>
      </c>
      <c r="CI96">
        <f t="shared" si="45"/>
        <v>5.1999999999999993</v>
      </c>
      <c r="CJ96">
        <f t="shared" si="45"/>
        <v>32.525000000000006</v>
      </c>
      <c r="CK96">
        <f t="shared" si="45"/>
        <v>8.1999999999999993</v>
      </c>
      <c r="CL96">
        <f t="shared" si="45"/>
        <v>21.975000000000001</v>
      </c>
      <c r="CM96">
        <f t="shared" si="45"/>
        <v>12.649999999999999</v>
      </c>
      <c r="CN96">
        <f t="shared" si="53"/>
        <v>198.84999999999997</v>
      </c>
      <c r="CO96">
        <f t="shared" si="53"/>
        <v>0.19999999999999929</v>
      </c>
      <c r="CP96">
        <f t="shared" si="53"/>
        <v>169.84999999999997</v>
      </c>
      <c r="CQ96">
        <f t="shared" si="53"/>
        <v>1.1999999999999993</v>
      </c>
      <c r="CR96">
        <f t="shared" si="53"/>
        <v>140.9</v>
      </c>
      <c r="CS96">
        <f t="shared" si="53"/>
        <v>2.25</v>
      </c>
      <c r="CT96">
        <f t="shared" si="51"/>
        <v>113.45000000000002</v>
      </c>
      <c r="CU96">
        <f t="shared" si="51"/>
        <v>4.8</v>
      </c>
      <c r="CV96">
        <f t="shared" si="46"/>
        <v>89.05</v>
      </c>
      <c r="CW96">
        <f t="shared" si="46"/>
        <v>10.399999999999999</v>
      </c>
      <c r="CX96">
        <f t="shared" si="46"/>
        <v>65.050000000000011</v>
      </c>
      <c r="CY96">
        <f t="shared" si="46"/>
        <v>16.399999999999999</v>
      </c>
      <c r="CZ96">
        <f t="shared" si="46"/>
        <v>43.95</v>
      </c>
      <c r="DA96">
        <f t="shared" si="46"/>
        <v>25.299999999999997</v>
      </c>
      <c r="DB96" s="74">
        <f t="shared" si="34"/>
        <v>651.20752375840027</v>
      </c>
      <c r="DC96" s="74">
        <f t="shared" si="49"/>
        <v>21.706917458613344</v>
      </c>
      <c r="DD96" s="73">
        <f t="shared" si="36"/>
        <v>1347760.7980878437</v>
      </c>
      <c r="DE96" s="74">
        <f t="shared" si="37"/>
        <v>2553.7176184228301</v>
      </c>
      <c r="DF96" s="74">
        <f t="shared" si="38"/>
        <v>85.123920614094331</v>
      </c>
      <c r="DG96" s="74">
        <f t="shared" si="39"/>
        <v>483248.49732621358</v>
      </c>
      <c r="DH96" s="74">
        <f t="shared" si="40"/>
        <v>70469.392163195167</v>
      </c>
      <c r="DI96" s="74">
        <f t="shared" si="41"/>
        <v>2348.9797387731724</v>
      </c>
      <c r="DJ96" s="74">
        <f t="shared" si="42"/>
        <v>3203.1541892361438</v>
      </c>
      <c r="DK96" s="74">
        <f t="shared" si="43"/>
        <v>2252671.5694834725</v>
      </c>
      <c r="DL96" s="74">
        <f t="shared" si="44"/>
        <v>3071824.8674774622</v>
      </c>
    </row>
    <row r="97" spans="1:116" x14ac:dyDescent="0.2">
      <c r="A97" s="96">
        <v>44896</v>
      </c>
      <c r="B97" s="4">
        <f t="shared" si="28"/>
        <v>2022</v>
      </c>
      <c r="C97" s="4">
        <f t="shared" si="29"/>
        <v>12</v>
      </c>
      <c r="D97" s="59">
        <v>44074364</v>
      </c>
      <c r="E97" s="59">
        <f>IFERROR(VLOOKUP($B97-1,CDM!$I$7:$N$18,2,FALSE)/12,0)+IFERROR(VLOOKUP($B97,CDM!$I$36:$L$46,2,FALSE)/24,0)+IFERROR(VLOOKUP($B97,CDM!$I$36:$L$46,2,FALSE)/2*$C97/78,0)</f>
        <v>2638992.4716186356</v>
      </c>
      <c r="F97" s="59">
        <f t="shared" si="30"/>
        <v>46713356.471618637</v>
      </c>
      <c r="G97" s="59">
        <v>62027</v>
      </c>
      <c r="H97" s="59">
        <v>14560973</v>
      </c>
      <c r="I97" s="59">
        <f>IFERROR(VLOOKUP($B97-1,CDM!$I$7:$N$18,3,FALSE)/12,0)+IFERROR(VLOOKUP($B97,CDM!$I$36:$L$46,3,FALSE)/24,0)+IFERROR(VLOOKUP($B97,CDM!$I$36:$L$46,3,FALSE)/2*$C97/78,0)</f>
        <v>1146347.5731160394</v>
      </c>
      <c r="J97" s="59">
        <f t="shared" si="31"/>
        <v>15707320.57311604</v>
      </c>
      <c r="K97" s="59">
        <v>5690</v>
      </c>
      <c r="L97" s="59">
        <v>65245126</v>
      </c>
      <c r="M97" s="2">
        <f>IFERROR(VLOOKUP($B97-1,CDM!$I$7:$N$18,4,FALSE)/12,0)+IFERROR(VLOOKUP($B97,CDM!$I$36:$L$46,4,FALSE)/24,0)+IFERROR(VLOOKUP($B97,CDM!$I$36:$L$46,4,FALSE)/2*$C97/78,0)</f>
        <v>3792337.8741338057</v>
      </c>
      <c r="N97" s="59">
        <f t="shared" si="32"/>
        <v>69037463.87413381</v>
      </c>
      <c r="O97" s="59">
        <v>170786</v>
      </c>
      <c r="P97" s="59">
        <v>943</v>
      </c>
      <c r="Q97" s="59">
        <v>598408</v>
      </c>
      <c r="R97" s="59">
        <v>1290</v>
      </c>
      <c r="S97" s="59">
        <v>17201</v>
      </c>
      <c r="T97" s="59">
        <v>263537</v>
      </c>
      <c r="U97" s="1">
        <v>24</v>
      </c>
      <c r="V97" s="59">
        <v>577</v>
      </c>
      <c r="W97" s="114">
        <f>Economic!J159</f>
        <v>817265.5</v>
      </c>
      <c r="X97" s="114">
        <f>Economic!K159</f>
        <v>634181.69999999995</v>
      </c>
      <c r="Y97" s="114">
        <f>Economic!L159</f>
        <v>64910</v>
      </c>
      <c r="Z97" s="114">
        <f>Economic!M159</f>
        <v>838397</v>
      </c>
      <c r="AA97" s="114">
        <f>Economic!N159</f>
        <v>654360</v>
      </c>
      <c r="AB97" s="114">
        <f>Economic!O159</f>
        <v>27605</v>
      </c>
      <c r="AC97" s="114">
        <f>Economic!D159</f>
        <v>7644.2</v>
      </c>
      <c r="AD97" s="114">
        <f>Economic!E159</f>
        <v>7647.5</v>
      </c>
      <c r="AE97" s="114">
        <f>Economic!F159</f>
        <v>3591.2</v>
      </c>
      <c r="AF97" s="114">
        <f>Economic!G159</f>
        <v>3587.1</v>
      </c>
      <c r="AG97" s="114">
        <f>Economic!H159</f>
        <v>413.1</v>
      </c>
      <c r="AH97" s="114">
        <f>Economic!I159</f>
        <v>418.1</v>
      </c>
      <c r="AI97" s="114">
        <f>Economic!P171</f>
        <v>131.90000000000055</v>
      </c>
      <c r="AJ97" s="114">
        <f>Economic!Q171</f>
        <v>129.69999999999982</v>
      </c>
      <c r="AK97" s="114">
        <f>Economic!R171</f>
        <v>-18.699999999999818</v>
      </c>
      <c r="AL97" s="114">
        <f>Economic!S171</f>
        <v>-18.900000000000091</v>
      </c>
      <c r="AM97" s="114">
        <f>Economic!T171</f>
        <v>33196.400000000023</v>
      </c>
      <c r="AN97" s="114">
        <f>Economic!U171</f>
        <v>-950</v>
      </c>
      <c r="AO97" s="28">
        <f>Weather!D289</f>
        <v>1.1451612903225807</v>
      </c>
      <c r="AP97" s="28">
        <f>Weather!E289</f>
        <v>584.5</v>
      </c>
      <c r="AQ97" s="28">
        <f>Weather!F289</f>
        <v>0</v>
      </c>
      <c r="AR97" s="28">
        <f>Weather!G289</f>
        <v>522.5</v>
      </c>
      <c r="AS97" s="28">
        <f>Weather!H289</f>
        <v>0</v>
      </c>
      <c r="AT97" s="28">
        <f>Weather!I289</f>
        <v>460.49999999999994</v>
      </c>
      <c r="AU97" s="28">
        <f>Weather!J289</f>
        <v>0</v>
      </c>
      <c r="AV97" s="28">
        <f>Weather!K289</f>
        <v>398.5</v>
      </c>
      <c r="AW97" s="28">
        <f>Weather!L289</f>
        <v>0</v>
      </c>
      <c r="AX97" s="28">
        <f>Weather!M289</f>
        <v>336.50000000000006</v>
      </c>
      <c r="AY97" s="28">
        <f>Weather!N289</f>
        <v>0</v>
      </c>
      <c r="AZ97" s="28">
        <f>Weather!O289</f>
        <v>275.3</v>
      </c>
      <c r="BA97" s="28">
        <f>Weather!P289</f>
        <v>0.80000000000000071</v>
      </c>
      <c r="BB97" s="28">
        <f>Weather!Q289</f>
        <v>215.29999999999998</v>
      </c>
      <c r="BC97" s="28">
        <f>Weather!R289</f>
        <v>2.8000000000000007</v>
      </c>
      <c r="BD97">
        <f t="shared" si="55"/>
        <v>0</v>
      </c>
      <c r="BE97">
        <f t="shared" si="55"/>
        <v>0</v>
      </c>
      <c r="BF97">
        <f t="shared" si="55"/>
        <v>0</v>
      </c>
      <c r="BG97">
        <f t="shared" si="55"/>
        <v>0</v>
      </c>
      <c r="BH97">
        <f t="shared" si="55"/>
        <v>0</v>
      </c>
      <c r="BI97">
        <f t="shared" si="55"/>
        <v>0</v>
      </c>
      <c r="BJ97">
        <f t="shared" si="55"/>
        <v>0</v>
      </c>
      <c r="BK97">
        <f t="shared" si="55"/>
        <v>0</v>
      </c>
      <c r="BL97">
        <f t="shared" si="55"/>
        <v>0</v>
      </c>
      <c r="BM97">
        <f t="shared" si="55"/>
        <v>0</v>
      </c>
      <c r="BN97">
        <f t="shared" si="55"/>
        <v>0</v>
      </c>
      <c r="BO97">
        <f t="shared" si="55"/>
        <v>1</v>
      </c>
      <c r="BP97" s="1">
        <f t="shared" si="55"/>
        <v>0</v>
      </c>
      <c r="BQ97" s="1">
        <f t="shared" si="55"/>
        <v>0</v>
      </c>
      <c r="BR97" s="1">
        <f t="shared" si="55"/>
        <v>0</v>
      </c>
      <c r="BS97" s="1">
        <f t="shared" si="33"/>
        <v>96</v>
      </c>
      <c r="BT97">
        <f t="shared" si="27"/>
        <v>31</v>
      </c>
      <c r="BU97" s="1">
        <v>20</v>
      </c>
      <c r="BV97" s="1">
        <v>0.5</v>
      </c>
      <c r="BW97" s="1">
        <v>0.25</v>
      </c>
      <c r="BX97" s="1">
        <v>0.5</v>
      </c>
      <c r="BY97" s="1">
        <v>0</v>
      </c>
      <c r="BZ97">
        <f t="shared" si="52"/>
        <v>146.125</v>
      </c>
      <c r="CA97">
        <f t="shared" si="52"/>
        <v>0</v>
      </c>
      <c r="CB97">
        <f t="shared" si="52"/>
        <v>130.625</v>
      </c>
      <c r="CC97">
        <f t="shared" si="52"/>
        <v>0</v>
      </c>
      <c r="CD97">
        <f t="shared" si="52"/>
        <v>115.12499999999999</v>
      </c>
      <c r="CE97">
        <f t="shared" si="52"/>
        <v>0</v>
      </c>
      <c r="CF97">
        <f t="shared" si="50"/>
        <v>99.625</v>
      </c>
      <c r="CG97">
        <f t="shared" si="50"/>
        <v>0</v>
      </c>
      <c r="CH97">
        <f t="shared" si="45"/>
        <v>84.125000000000014</v>
      </c>
      <c r="CI97">
        <f t="shared" si="45"/>
        <v>0</v>
      </c>
      <c r="CJ97">
        <f t="shared" si="45"/>
        <v>68.825000000000003</v>
      </c>
      <c r="CK97">
        <f t="shared" si="45"/>
        <v>0.20000000000000018</v>
      </c>
      <c r="CL97">
        <f t="shared" si="45"/>
        <v>53.824999999999996</v>
      </c>
      <c r="CM97">
        <f t="shared" si="45"/>
        <v>0.70000000000000018</v>
      </c>
      <c r="CN97">
        <f t="shared" si="53"/>
        <v>292.25</v>
      </c>
      <c r="CO97">
        <f t="shared" si="53"/>
        <v>0</v>
      </c>
      <c r="CP97">
        <f t="shared" si="53"/>
        <v>261.25</v>
      </c>
      <c r="CQ97">
        <f t="shared" si="53"/>
        <v>0</v>
      </c>
      <c r="CR97">
        <f t="shared" si="53"/>
        <v>230.24999999999997</v>
      </c>
      <c r="CS97">
        <f t="shared" si="53"/>
        <v>0</v>
      </c>
      <c r="CT97">
        <f t="shared" si="51"/>
        <v>199.25</v>
      </c>
      <c r="CU97">
        <f t="shared" si="51"/>
        <v>0</v>
      </c>
      <c r="CV97">
        <f t="shared" si="46"/>
        <v>168.25000000000003</v>
      </c>
      <c r="CW97">
        <f t="shared" si="46"/>
        <v>0</v>
      </c>
      <c r="CX97">
        <f t="shared" si="46"/>
        <v>137.65</v>
      </c>
      <c r="CY97">
        <f t="shared" si="46"/>
        <v>0.40000000000000036</v>
      </c>
      <c r="CZ97">
        <f t="shared" si="46"/>
        <v>107.64999999999999</v>
      </c>
      <c r="DA97">
        <f t="shared" si="46"/>
        <v>1.4000000000000004</v>
      </c>
      <c r="DB97" s="74">
        <f t="shared" si="34"/>
        <v>753.11326473340057</v>
      </c>
      <c r="DC97" s="74">
        <f t="shared" si="49"/>
        <v>24.2939762817226</v>
      </c>
      <c r="DD97" s="73">
        <f t="shared" si="36"/>
        <v>1506882.4668264077</v>
      </c>
      <c r="DE97" s="74">
        <f t="shared" si="37"/>
        <v>2760.5132817427134</v>
      </c>
      <c r="DF97" s="74">
        <f t="shared" si="38"/>
        <v>89.048815540087531</v>
      </c>
      <c r="DG97" s="74">
        <f t="shared" si="39"/>
        <v>506687.76042309805</v>
      </c>
      <c r="DH97" s="74">
        <f t="shared" si="40"/>
        <v>73210.460099823758</v>
      </c>
      <c r="DI97" s="74">
        <f t="shared" si="41"/>
        <v>2361.6277451556052</v>
      </c>
      <c r="DJ97" s="74">
        <f t="shared" si="42"/>
        <v>3660.5230049911879</v>
      </c>
      <c r="DK97" s="74">
        <f t="shared" si="43"/>
        <v>2227014.963681736</v>
      </c>
      <c r="DL97" s="74">
        <f t="shared" si="44"/>
        <v>3451873.1937066903</v>
      </c>
    </row>
    <row r="98" spans="1:116" x14ac:dyDescent="0.2">
      <c r="A98" s="96">
        <v>44927</v>
      </c>
      <c r="B98" s="4">
        <f t="shared" si="28"/>
        <v>2023</v>
      </c>
      <c r="C98" s="4">
        <f t="shared" si="29"/>
        <v>1</v>
      </c>
      <c r="D98" s="59">
        <v>43931478</v>
      </c>
      <c r="E98" s="59">
        <f>IFERROR(VLOOKUP($B98-1,CDM!$I$7:$N$18,2,FALSE)/12,0)+IFERROR(VLOOKUP($B98,CDM!$I$36:$L$46,2,FALSE)/24,0)+IFERROR(VLOOKUP($B98,CDM!$I$36:$L$46,2,FALSE)/2*$C98/78,0)</f>
        <v>2651638.5191681166</v>
      </c>
      <c r="F98" s="59">
        <f t="shared" si="30"/>
        <v>46583116.519168116</v>
      </c>
      <c r="G98" s="59">
        <v>62096</v>
      </c>
      <c r="H98" s="59">
        <v>14965967</v>
      </c>
      <c r="I98" s="59">
        <f>IFERROR(VLOOKUP($B98-1,CDM!$I$7:$N$18,3,FALSE)/12,0)+IFERROR(VLOOKUP($B98,CDM!$I$36:$L$46,3,FALSE)/24,0)+IFERROR(VLOOKUP($B98,CDM!$I$36:$L$46,3,FALSE)/2*$C98/78,0)</f>
        <v>1159003.6597393039</v>
      </c>
      <c r="J98" s="59">
        <f t="shared" si="31"/>
        <v>16124970.659739304</v>
      </c>
      <c r="K98" s="59">
        <v>5697</v>
      </c>
      <c r="L98" s="59">
        <v>67757856</v>
      </c>
      <c r="M98" s="2">
        <f>IFERROR(VLOOKUP($B98-1,CDM!$I$7:$N$18,4,FALSE)/12,0)+IFERROR(VLOOKUP($B98,CDM!$I$36:$L$46,4,FALSE)/24,0)+IFERROR(VLOOKUP($B98,CDM!$I$36:$L$46,4,FALSE)/2*$C98/78,0)</f>
        <v>3918833.9471355802</v>
      </c>
      <c r="N98" s="59">
        <f t="shared" si="32"/>
        <v>71676689.947135583</v>
      </c>
      <c r="O98" s="59">
        <v>168271</v>
      </c>
      <c r="P98" s="59">
        <v>942</v>
      </c>
      <c r="Q98" s="59">
        <v>584137</v>
      </c>
      <c r="R98" s="59">
        <v>1290</v>
      </c>
      <c r="S98" s="59">
        <v>17201</v>
      </c>
      <c r="T98" s="59">
        <v>270474</v>
      </c>
      <c r="U98" s="1">
        <v>24</v>
      </c>
      <c r="V98" s="59">
        <v>577</v>
      </c>
      <c r="W98" s="114">
        <f>Economic!J160</f>
        <v>850461.9</v>
      </c>
      <c r="X98" s="114">
        <f>Economic!K160</f>
        <v>662856.4</v>
      </c>
      <c r="Y98" s="114">
        <f>Economic!L160</f>
        <v>71555.5</v>
      </c>
      <c r="Z98" s="114">
        <f>Economic!M160</f>
        <v>845218</v>
      </c>
      <c r="AA98" s="114">
        <f>Economic!N160</f>
        <v>657318</v>
      </c>
      <c r="AB98" s="114">
        <f>Economic!O160</f>
        <v>28188</v>
      </c>
      <c r="AC98" s="114">
        <f>Economic!D160</f>
        <v>7627.7</v>
      </c>
      <c r="AD98" s="114">
        <f>Economic!E160</f>
        <v>7595.1</v>
      </c>
      <c r="AE98" s="114">
        <f>Economic!F160</f>
        <v>3572.5</v>
      </c>
      <c r="AF98" s="114">
        <f>Economic!G160</f>
        <v>3564.5</v>
      </c>
      <c r="AG98" s="114">
        <f>Economic!H160</f>
        <v>415.5</v>
      </c>
      <c r="AH98" s="114">
        <f>Economic!I160</f>
        <v>418.9</v>
      </c>
      <c r="AI98" s="114">
        <f>Economic!P172</f>
        <v>179.30000000000018</v>
      </c>
      <c r="AJ98" s="114">
        <f>Economic!Q172</f>
        <v>181.5</v>
      </c>
      <c r="AK98" s="114">
        <f>Economic!R172</f>
        <v>13.199999999999818</v>
      </c>
      <c r="AL98" s="114">
        <f>Economic!S172</f>
        <v>9.5999999999999091</v>
      </c>
      <c r="AM98" s="114">
        <f>Economic!T172</f>
        <v>15397.699999999953</v>
      </c>
      <c r="AN98" s="114">
        <f>Economic!U172</f>
        <v>8629</v>
      </c>
      <c r="AO98" s="28">
        <f>Weather!D290</f>
        <v>0.59354838709677415</v>
      </c>
      <c r="AP98" s="28">
        <f>Weather!E290</f>
        <v>601.6</v>
      </c>
      <c r="AQ98" s="28">
        <f>Weather!F290</f>
        <v>0</v>
      </c>
      <c r="AR98" s="28">
        <f>Weather!G290</f>
        <v>539.6</v>
      </c>
      <c r="AS98" s="28">
        <f>Weather!H290</f>
        <v>0</v>
      </c>
      <c r="AT98" s="28">
        <f>Weather!I290</f>
        <v>477.6</v>
      </c>
      <c r="AU98" s="28">
        <f>Weather!J290</f>
        <v>0</v>
      </c>
      <c r="AV98" s="28">
        <f>Weather!K290</f>
        <v>415.6</v>
      </c>
      <c r="AW98" s="28">
        <f>Weather!L290</f>
        <v>0</v>
      </c>
      <c r="AX98" s="28">
        <f>Weather!M290</f>
        <v>353.6</v>
      </c>
      <c r="AY98" s="28">
        <f>Weather!N290</f>
        <v>0</v>
      </c>
      <c r="AZ98" s="28">
        <f>Weather!O290</f>
        <v>291.60000000000002</v>
      </c>
      <c r="BA98" s="28">
        <f>Weather!P290</f>
        <v>0</v>
      </c>
      <c r="BB98" s="28">
        <f>Weather!Q290</f>
        <v>229.6</v>
      </c>
      <c r="BC98" s="28">
        <f>Weather!R290</f>
        <v>0</v>
      </c>
      <c r="BD98">
        <f t="shared" si="55"/>
        <v>1</v>
      </c>
      <c r="BE98">
        <f t="shared" si="55"/>
        <v>0</v>
      </c>
      <c r="BF98">
        <f t="shared" si="55"/>
        <v>0</v>
      </c>
      <c r="BG98">
        <f t="shared" si="55"/>
        <v>0</v>
      </c>
      <c r="BH98">
        <f t="shared" si="55"/>
        <v>0</v>
      </c>
      <c r="BI98">
        <f t="shared" si="55"/>
        <v>0</v>
      </c>
      <c r="BJ98">
        <f t="shared" si="55"/>
        <v>0</v>
      </c>
      <c r="BK98">
        <f t="shared" si="55"/>
        <v>0</v>
      </c>
      <c r="BL98">
        <f t="shared" si="55"/>
        <v>0</v>
      </c>
      <c r="BM98">
        <f t="shared" si="55"/>
        <v>0</v>
      </c>
      <c r="BN98">
        <f t="shared" si="55"/>
        <v>0</v>
      </c>
      <c r="BO98">
        <f t="shared" si="55"/>
        <v>0</v>
      </c>
      <c r="BP98" s="1">
        <f t="shared" si="55"/>
        <v>0</v>
      </c>
      <c r="BQ98" s="1">
        <f t="shared" si="55"/>
        <v>0</v>
      </c>
      <c r="BR98" s="1">
        <f t="shared" si="55"/>
        <v>0</v>
      </c>
      <c r="BS98" s="1">
        <f t="shared" si="33"/>
        <v>97</v>
      </c>
      <c r="BT98">
        <f t="shared" si="27"/>
        <v>31</v>
      </c>
      <c r="BU98" s="1">
        <v>21</v>
      </c>
      <c r="BV98" s="1">
        <v>0</v>
      </c>
      <c r="BW98" s="1">
        <v>0</v>
      </c>
      <c r="BX98" s="1">
        <v>0.25</v>
      </c>
      <c r="BY98" s="1">
        <v>0</v>
      </c>
      <c r="BZ98">
        <f t="shared" si="52"/>
        <v>0</v>
      </c>
      <c r="CA98">
        <f t="shared" si="52"/>
        <v>0</v>
      </c>
      <c r="CB98">
        <f t="shared" si="52"/>
        <v>0</v>
      </c>
      <c r="CC98">
        <f t="shared" si="52"/>
        <v>0</v>
      </c>
      <c r="CD98">
        <f t="shared" si="52"/>
        <v>0</v>
      </c>
      <c r="CE98">
        <f t="shared" si="52"/>
        <v>0</v>
      </c>
      <c r="CF98">
        <f t="shared" si="50"/>
        <v>0</v>
      </c>
      <c r="CG98">
        <f t="shared" si="50"/>
        <v>0</v>
      </c>
      <c r="CH98">
        <f t="shared" si="45"/>
        <v>0</v>
      </c>
      <c r="CI98">
        <f t="shared" si="45"/>
        <v>0</v>
      </c>
      <c r="CJ98">
        <f t="shared" si="45"/>
        <v>0</v>
      </c>
      <c r="CK98">
        <f t="shared" si="45"/>
        <v>0</v>
      </c>
      <c r="CL98">
        <f t="shared" si="45"/>
        <v>0</v>
      </c>
      <c r="CM98">
        <f t="shared" si="45"/>
        <v>0</v>
      </c>
      <c r="CN98">
        <f t="shared" si="53"/>
        <v>150.4</v>
      </c>
      <c r="CO98">
        <f t="shared" si="53"/>
        <v>0</v>
      </c>
      <c r="CP98">
        <f t="shared" si="53"/>
        <v>134.9</v>
      </c>
      <c r="CQ98">
        <f t="shared" si="53"/>
        <v>0</v>
      </c>
      <c r="CR98">
        <f t="shared" si="53"/>
        <v>119.4</v>
      </c>
      <c r="CS98">
        <f t="shared" si="53"/>
        <v>0</v>
      </c>
      <c r="CT98">
        <f t="shared" si="51"/>
        <v>103.9</v>
      </c>
      <c r="CU98">
        <f t="shared" si="51"/>
        <v>0</v>
      </c>
      <c r="CV98">
        <f t="shared" si="46"/>
        <v>88.4</v>
      </c>
      <c r="CW98">
        <f t="shared" si="46"/>
        <v>0</v>
      </c>
      <c r="CX98">
        <f t="shared" si="46"/>
        <v>72.900000000000006</v>
      </c>
      <c r="CY98">
        <f t="shared" si="46"/>
        <v>0</v>
      </c>
      <c r="CZ98">
        <f t="shared" si="46"/>
        <v>57.4</v>
      </c>
      <c r="DA98">
        <f t="shared" si="46"/>
        <v>0</v>
      </c>
      <c r="DB98" s="74">
        <f t="shared" si="34"/>
        <v>750.17902150167674</v>
      </c>
      <c r="DC98" s="74">
        <f t="shared" si="49"/>
        <v>24.199323274247636</v>
      </c>
      <c r="DD98" s="73">
        <f t="shared" si="36"/>
        <v>1502681.1780376812</v>
      </c>
      <c r="DE98" s="74">
        <f t="shared" si="37"/>
        <v>2830.4319220184843</v>
      </c>
      <c r="DF98" s="74">
        <f t="shared" si="38"/>
        <v>91.304255548983363</v>
      </c>
      <c r="DG98" s="74">
        <f t="shared" si="39"/>
        <v>520160.34386255819</v>
      </c>
      <c r="DH98" s="74">
        <f t="shared" si="40"/>
        <v>76089.904402479384</v>
      </c>
      <c r="DI98" s="74">
        <f t="shared" si="41"/>
        <v>2454.5130452412704</v>
      </c>
      <c r="DJ98" s="74">
        <f t="shared" si="42"/>
        <v>3623.3287810704469</v>
      </c>
      <c r="DK98" s="74">
        <f t="shared" si="43"/>
        <v>2312151.2886172771</v>
      </c>
      <c r="DL98" s="74">
        <f t="shared" si="44"/>
        <v>3413175.7117683613</v>
      </c>
    </row>
    <row r="99" spans="1:116" x14ac:dyDescent="0.2">
      <c r="A99" s="96">
        <v>44958</v>
      </c>
      <c r="B99" s="4">
        <f t="shared" si="28"/>
        <v>2023</v>
      </c>
      <c r="C99" s="4">
        <f t="shared" si="29"/>
        <v>2</v>
      </c>
      <c r="D99" s="59">
        <v>38222911</v>
      </c>
      <c r="E99" s="59">
        <f>IFERROR(VLOOKUP($B99-1,CDM!$I$7:$N$18,2,FALSE)/12,0)+IFERROR(VLOOKUP($B99,CDM!$I$36:$L$46,2,FALSE)/24,0)+IFERROR(VLOOKUP($B99,CDM!$I$36:$L$46,2,FALSE)/2*$C99/78,0)</f>
        <v>2653875.0467624841</v>
      </c>
      <c r="F99" s="59">
        <f t="shared" si="30"/>
        <v>40876786.046762481</v>
      </c>
      <c r="G99" s="59">
        <v>62116</v>
      </c>
      <c r="H99" s="59">
        <v>13603090</v>
      </c>
      <c r="I99" s="59">
        <f>IFERROR(VLOOKUP($B99-1,CDM!$I$7:$N$18,3,FALSE)/12,0)+IFERROR(VLOOKUP($B99,CDM!$I$36:$L$46,3,FALSE)/24,0)+IFERROR(VLOOKUP($B99,CDM!$I$36:$L$46,3,FALSE)/2*$C99/78,0)</f>
        <v>1164835.6837308034</v>
      </c>
      <c r="J99" s="59">
        <f t="shared" si="31"/>
        <v>14767925.683730803</v>
      </c>
      <c r="K99" s="59">
        <v>5697</v>
      </c>
      <c r="L99" s="59">
        <v>61977799</v>
      </c>
      <c r="M99" s="2">
        <f>IFERROR(VLOOKUP($B99-1,CDM!$I$7:$N$18,4,FALSE)/12,0)+IFERROR(VLOOKUP($B99,CDM!$I$36:$L$46,4,FALSE)/24,0)+IFERROR(VLOOKUP($B99,CDM!$I$36:$L$46,4,FALSE)/2*$C99/78,0)</f>
        <v>3954693.2692642142</v>
      </c>
      <c r="N99" s="59">
        <f t="shared" si="32"/>
        <v>65932492.269264214</v>
      </c>
      <c r="O99" s="59">
        <v>170809</v>
      </c>
      <c r="P99" s="59">
        <v>942</v>
      </c>
      <c r="Q99" s="59">
        <v>487117</v>
      </c>
      <c r="R99" s="59">
        <v>1290</v>
      </c>
      <c r="S99" s="59">
        <v>17201</v>
      </c>
      <c r="T99" s="59">
        <v>270474</v>
      </c>
      <c r="U99" s="1">
        <v>23</v>
      </c>
      <c r="V99" s="59">
        <v>576</v>
      </c>
      <c r="W99" s="114">
        <f>Economic!J161</f>
        <v>850461.9</v>
      </c>
      <c r="X99" s="114">
        <f>Economic!K161</f>
        <v>662856.4</v>
      </c>
      <c r="Y99" s="114">
        <f>Economic!L161</f>
        <v>71555.5</v>
      </c>
      <c r="Z99" s="114">
        <f>Economic!M161</f>
        <v>845218</v>
      </c>
      <c r="AA99" s="114">
        <f>Economic!N161</f>
        <v>657318</v>
      </c>
      <c r="AB99" s="114">
        <f>Economic!O161</f>
        <v>28188</v>
      </c>
      <c r="AC99" s="114">
        <f>Economic!D161</f>
        <v>7651.3</v>
      </c>
      <c r="AD99" s="114">
        <f>Economic!E161</f>
        <v>7588.8</v>
      </c>
      <c r="AE99" s="114">
        <f>Economic!F161</f>
        <v>3566.9</v>
      </c>
      <c r="AF99" s="114">
        <f>Economic!G161</f>
        <v>3551.7</v>
      </c>
      <c r="AG99" s="114">
        <f>Economic!H161</f>
        <v>415.4</v>
      </c>
      <c r="AH99" s="114">
        <f>Economic!I161</f>
        <v>415.5</v>
      </c>
      <c r="AI99" s="114">
        <f>Economic!P173</f>
        <v>189.39999999999964</v>
      </c>
      <c r="AJ99" s="114">
        <f>Economic!Q173</f>
        <v>191.69999999999982</v>
      </c>
      <c r="AK99" s="114">
        <f>Economic!R173</f>
        <v>45.900000000000091</v>
      </c>
      <c r="AL99" s="114">
        <f>Economic!S173</f>
        <v>42.5</v>
      </c>
      <c r="AM99" s="114">
        <f>Economic!T173</f>
        <v>15397.699999999953</v>
      </c>
      <c r="AN99" s="114">
        <f>Economic!U173</f>
        <v>8629</v>
      </c>
      <c r="AO99" s="28">
        <f>Weather!D291</f>
        <v>0.43214285714285683</v>
      </c>
      <c r="AP99" s="28">
        <f>Weather!E291</f>
        <v>547.90000000000009</v>
      </c>
      <c r="AQ99" s="28">
        <f>Weather!F291</f>
        <v>0</v>
      </c>
      <c r="AR99" s="28">
        <f>Weather!G291</f>
        <v>491.90000000000003</v>
      </c>
      <c r="AS99" s="28">
        <f>Weather!H291</f>
        <v>0</v>
      </c>
      <c r="AT99" s="28">
        <f>Weather!I291</f>
        <v>435.9</v>
      </c>
      <c r="AU99" s="28">
        <f>Weather!J291</f>
        <v>0</v>
      </c>
      <c r="AV99" s="28">
        <f>Weather!K291</f>
        <v>379.9</v>
      </c>
      <c r="AW99" s="28">
        <f>Weather!L291</f>
        <v>0</v>
      </c>
      <c r="AX99" s="28">
        <f>Weather!M291</f>
        <v>323.90000000000003</v>
      </c>
      <c r="AY99" s="28">
        <f>Weather!N291</f>
        <v>0</v>
      </c>
      <c r="AZ99" s="28">
        <f>Weather!O291</f>
        <v>267.90000000000003</v>
      </c>
      <c r="BA99" s="28">
        <f>Weather!P291</f>
        <v>0</v>
      </c>
      <c r="BB99" s="28">
        <f>Weather!Q291</f>
        <v>213.20000000000007</v>
      </c>
      <c r="BC99" s="28">
        <f>Weather!R291</f>
        <v>1.3000000000000007</v>
      </c>
      <c r="BD99">
        <f t="shared" si="55"/>
        <v>0</v>
      </c>
      <c r="BE99">
        <f t="shared" si="55"/>
        <v>1</v>
      </c>
      <c r="BF99">
        <f t="shared" si="55"/>
        <v>0</v>
      </c>
      <c r="BG99">
        <f t="shared" si="55"/>
        <v>0</v>
      </c>
      <c r="BH99">
        <f t="shared" si="55"/>
        <v>0</v>
      </c>
      <c r="BI99">
        <f t="shared" si="55"/>
        <v>0</v>
      </c>
      <c r="BJ99">
        <f t="shared" si="55"/>
        <v>0</v>
      </c>
      <c r="BK99">
        <f t="shared" si="55"/>
        <v>0</v>
      </c>
      <c r="BL99">
        <f t="shared" si="55"/>
        <v>0</v>
      </c>
      <c r="BM99">
        <f t="shared" si="55"/>
        <v>0</v>
      </c>
      <c r="BN99">
        <f t="shared" si="55"/>
        <v>0</v>
      </c>
      <c r="BO99">
        <f t="shared" si="55"/>
        <v>0</v>
      </c>
      <c r="BP99" s="1">
        <f t="shared" si="55"/>
        <v>0</v>
      </c>
      <c r="BQ99" s="1">
        <f t="shared" si="55"/>
        <v>0</v>
      </c>
      <c r="BR99" s="1">
        <f t="shared" si="55"/>
        <v>0</v>
      </c>
      <c r="BS99" s="1">
        <f t="shared" si="33"/>
        <v>98</v>
      </c>
      <c r="BT99">
        <f t="shared" si="27"/>
        <v>28</v>
      </c>
      <c r="BU99" s="1">
        <v>19</v>
      </c>
      <c r="BV99" s="1">
        <v>0</v>
      </c>
      <c r="BW99" s="1">
        <v>0</v>
      </c>
      <c r="BX99" s="1">
        <v>0.25</v>
      </c>
      <c r="BY99" s="1">
        <v>0</v>
      </c>
      <c r="BZ99">
        <f t="shared" si="52"/>
        <v>0</v>
      </c>
      <c r="CA99">
        <f t="shared" si="52"/>
        <v>0</v>
      </c>
      <c r="CB99">
        <f t="shared" si="52"/>
        <v>0</v>
      </c>
      <c r="CC99">
        <f t="shared" si="52"/>
        <v>0</v>
      </c>
      <c r="CD99">
        <f t="shared" si="52"/>
        <v>0</v>
      </c>
      <c r="CE99">
        <f t="shared" si="52"/>
        <v>0</v>
      </c>
      <c r="CF99">
        <f t="shared" si="50"/>
        <v>0</v>
      </c>
      <c r="CG99">
        <f t="shared" si="50"/>
        <v>0</v>
      </c>
      <c r="CH99">
        <f t="shared" si="45"/>
        <v>0</v>
      </c>
      <c r="CI99">
        <f t="shared" si="45"/>
        <v>0</v>
      </c>
      <c r="CJ99">
        <f t="shared" si="45"/>
        <v>0</v>
      </c>
      <c r="CK99">
        <f t="shared" si="45"/>
        <v>0</v>
      </c>
      <c r="CL99">
        <f t="shared" si="45"/>
        <v>0</v>
      </c>
      <c r="CM99">
        <f t="shared" si="45"/>
        <v>0</v>
      </c>
      <c r="CN99">
        <f t="shared" si="53"/>
        <v>136.97500000000002</v>
      </c>
      <c r="CO99">
        <f t="shared" si="53"/>
        <v>0</v>
      </c>
      <c r="CP99">
        <f t="shared" si="53"/>
        <v>122.97500000000001</v>
      </c>
      <c r="CQ99">
        <f t="shared" si="53"/>
        <v>0</v>
      </c>
      <c r="CR99">
        <f t="shared" si="53"/>
        <v>108.97499999999999</v>
      </c>
      <c r="CS99">
        <f t="shared" si="53"/>
        <v>0</v>
      </c>
      <c r="CT99">
        <f t="shared" si="51"/>
        <v>94.974999999999994</v>
      </c>
      <c r="CU99">
        <f t="shared" si="51"/>
        <v>0</v>
      </c>
      <c r="CV99">
        <f t="shared" si="46"/>
        <v>80.975000000000009</v>
      </c>
      <c r="CW99">
        <f t="shared" si="46"/>
        <v>0</v>
      </c>
      <c r="CX99">
        <f t="shared" si="46"/>
        <v>66.975000000000009</v>
      </c>
      <c r="CY99">
        <f t="shared" si="46"/>
        <v>0</v>
      </c>
      <c r="CZ99">
        <f t="shared" si="46"/>
        <v>53.300000000000018</v>
      </c>
      <c r="DA99">
        <f t="shared" si="46"/>
        <v>0.32500000000000018</v>
      </c>
      <c r="DB99" s="74">
        <f t="shared" si="34"/>
        <v>658.07176970124419</v>
      </c>
      <c r="DC99" s="74">
        <f t="shared" si="49"/>
        <v>23.502563203615864</v>
      </c>
      <c r="DD99" s="73">
        <f t="shared" si="36"/>
        <v>1459885.2159558029</v>
      </c>
      <c r="DE99" s="74">
        <f t="shared" si="37"/>
        <v>2592.2284858225039</v>
      </c>
      <c r="DF99" s="74">
        <f t="shared" si="38"/>
        <v>92.579588779375143</v>
      </c>
      <c r="DG99" s="74">
        <f t="shared" si="39"/>
        <v>527425.91727610014</v>
      </c>
      <c r="DH99" s="74">
        <f t="shared" si="40"/>
        <v>69992.03000983462</v>
      </c>
      <c r="DI99" s="74">
        <f t="shared" si="41"/>
        <v>2499.7153574940935</v>
      </c>
      <c r="DJ99" s="74">
        <f t="shared" si="42"/>
        <v>3683.7910531491907</v>
      </c>
      <c r="DK99" s="74">
        <f t="shared" si="43"/>
        <v>2354731.8667594362</v>
      </c>
      <c r="DL99" s="74">
        <f t="shared" si="44"/>
        <v>3470131.1720665377</v>
      </c>
    </row>
    <row r="100" spans="1:116" x14ac:dyDescent="0.2">
      <c r="A100" s="96">
        <v>44986</v>
      </c>
      <c r="B100" s="4">
        <f t="shared" si="28"/>
        <v>2023</v>
      </c>
      <c r="C100" s="4">
        <f t="shared" si="29"/>
        <v>3</v>
      </c>
      <c r="D100" s="59">
        <v>40024425</v>
      </c>
      <c r="E100" s="59">
        <f>IFERROR(VLOOKUP($B100-1,CDM!$I$7:$N$18,2,FALSE)/12,0)+IFERROR(VLOOKUP($B100,CDM!$I$36:$L$46,2,FALSE)/24,0)+IFERROR(VLOOKUP($B100,CDM!$I$36:$L$46,2,FALSE)/2*$C100/78,0)</f>
        <v>2656111.5743568512</v>
      </c>
      <c r="F100" s="59">
        <f t="shared" si="30"/>
        <v>42680536.574356854</v>
      </c>
      <c r="G100" s="59">
        <v>62152</v>
      </c>
      <c r="H100" s="59">
        <v>14543075</v>
      </c>
      <c r="I100" s="59">
        <f>IFERROR(VLOOKUP($B100-1,CDM!$I$7:$N$18,3,FALSE)/12,0)+IFERROR(VLOOKUP($B100,CDM!$I$36:$L$46,3,FALSE)/24,0)+IFERROR(VLOOKUP($B100,CDM!$I$36:$L$46,3,FALSE)/2*$C100/78,0)</f>
        <v>1170667.7077223028</v>
      </c>
      <c r="J100" s="59">
        <f t="shared" si="31"/>
        <v>15713742.707722303</v>
      </c>
      <c r="K100" s="59">
        <v>5697</v>
      </c>
      <c r="L100" s="59">
        <v>67654830</v>
      </c>
      <c r="M100" s="2">
        <f>IFERROR(VLOOKUP($B100-1,CDM!$I$7:$N$18,4,FALSE)/12,0)+IFERROR(VLOOKUP($B100,CDM!$I$36:$L$46,4,FALSE)/24,0)+IFERROR(VLOOKUP($B100,CDM!$I$36:$L$46,4,FALSE)/2*$C100/78,0)</f>
        <v>3990552.5913928486</v>
      </c>
      <c r="N100" s="59">
        <f t="shared" si="32"/>
        <v>71645382.591392845</v>
      </c>
      <c r="O100" s="59">
        <v>166923</v>
      </c>
      <c r="P100" s="59">
        <v>942</v>
      </c>
      <c r="Q100" s="59">
        <v>482754</v>
      </c>
      <c r="R100" s="59">
        <v>1290</v>
      </c>
      <c r="S100" s="59">
        <v>17201</v>
      </c>
      <c r="T100" s="59">
        <v>270474</v>
      </c>
      <c r="U100" s="1">
        <v>23</v>
      </c>
      <c r="V100" s="59">
        <v>576</v>
      </c>
      <c r="W100" s="114">
        <f>Economic!J162</f>
        <v>850461.9</v>
      </c>
      <c r="X100" s="114">
        <f>Economic!K162</f>
        <v>662856.4</v>
      </c>
      <c r="Y100" s="114">
        <f>Economic!L162</f>
        <v>71555.5</v>
      </c>
      <c r="Z100" s="114">
        <f>Economic!M162</f>
        <v>845218</v>
      </c>
      <c r="AA100" s="114">
        <f>Economic!N162</f>
        <v>657318</v>
      </c>
      <c r="AB100" s="114">
        <f>Economic!O162</f>
        <v>28188</v>
      </c>
      <c r="AC100" s="114">
        <f>Economic!D162</f>
        <v>7662.5</v>
      </c>
      <c r="AD100" s="114">
        <f>Economic!E162</f>
        <v>7573.4</v>
      </c>
      <c r="AE100" s="114">
        <f>Economic!F162</f>
        <v>3552.4</v>
      </c>
      <c r="AF100" s="114">
        <f>Economic!G162</f>
        <v>3523.6</v>
      </c>
      <c r="AG100" s="114">
        <f>Economic!H162</f>
        <v>413</v>
      </c>
      <c r="AH100" s="114">
        <f>Economic!I162</f>
        <v>409.4</v>
      </c>
      <c r="AI100" s="114">
        <f>Economic!P174</f>
        <v>204.10000000000036</v>
      </c>
      <c r="AJ100" s="114">
        <f>Economic!Q174</f>
        <v>207.90000000000055</v>
      </c>
      <c r="AK100" s="114">
        <f>Economic!R174</f>
        <v>92.299999999999727</v>
      </c>
      <c r="AL100" s="114">
        <f>Economic!S174</f>
        <v>89.900000000000091</v>
      </c>
      <c r="AM100" s="114">
        <f>Economic!T174</f>
        <v>15397.699999999953</v>
      </c>
      <c r="AN100" s="114">
        <f>Economic!U174</f>
        <v>8629</v>
      </c>
      <c r="AO100" s="28">
        <f>Weather!D292</f>
        <v>1.9870967741935488</v>
      </c>
      <c r="AP100" s="28">
        <f>Weather!E292</f>
        <v>558.39999999999986</v>
      </c>
      <c r="AQ100" s="28">
        <f>Weather!F292</f>
        <v>0</v>
      </c>
      <c r="AR100" s="28">
        <f>Weather!G292</f>
        <v>496.4</v>
      </c>
      <c r="AS100" s="28">
        <f>Weather!H292</f>
        <v>0</v>
      </c>
      <c r="AT100" s="28">
        <f>Weather!I292</f>
        <v>434.4</v>
      </c>
      <c r="AU100" s="28">
        <f>Weather!J292</f>
        <v>0</v>
      </c>
      <c r="AV100" s="28">
        <f>Weather!K292</f>
        <v>372.4</v>
      </c>
      <c r="AW100" s="28">
        <f>Weather!L292</f>
        <v>0</v>
      </c>
      <c r="AX100" s="28">
        <f>Weather!M292</f>
        <v>310.40000000000003</v>
      </c>
      <c r="AY100" s="28">
        <f>Weather!N292</f>
        <v>0</v>
      </c>
      <c r="AZ100" s="28">
        <f>Weather!O292</f>
        <v>248.40000000000003</v>
      </c>
      <c r="BA100" s="28">
        <f>Weather!P292</f>
        <v>0</v>
      </c>
      <c r="BB100" s="28">
        <f>Weather!Q292</f>
        <v>186.4</v>
      </c>
      <c r="BC100" s="28">
        <f>Weather!R292</f>
        <v>0</v>
      </c>
      <c r="BD100">
        <f t="shared" si="55"/>
        <v>0</v>
      </c>
      <c r="BE100">
        <f t="shared" si="55"/>
        <v>0</v>
      </c>
      <c r="BF100">
        <f t="shared" si="55"/>
        <v>1</v>
      </c>
      <c r="BG100">
        <f t="shared" si="55"/>
        <v>0</v>
      </c>
      <c r="BH100">
        <f t="shared" si="55"/>
        <v>0</v>
      </c>
      <c r="BI100">
        <f t="shared" si="55"/>
        <v>0</v>
      </c>
      <c r="BJ100">
        <f t="shared" si="55"/>
        <v>0</v>
      </c>
      <c r="BK100">
        <f t="shared" si="55"/>
        <v>0</v>
      </c>
      <c r="BL100">
        <f t="shared" si="55"/>
        <v>0</v>
      </c>
      <c r="BM100">
        <f t="shared" si="55"/>
        <v>0</v>
      </c>
      <c r="BN100">
        <f t="shared" si="55"/>
        <v>0</v>
      </c>
      <c r="BO100">
        <f t="shared" si="55"/>
        <v>0</v>
      </c>
      <c r="BP100" s="1">
        <f t="shared" si="55"/>
        <v>1</v>
      </c>
      <c r="BQ100" s="1">
        <f t="shared" si="55"/>
        <v>0</v>
      </c>
      <c r="BR100" s="1">
        <f t="shared" si="55"/>
        <v>1</v>
      </c>
      <c r="BS100" s="1">
        <f t="shared" si="33"/>
        <v>99</v>
      </c>
      <c r="BT100">
        <f t="shared" si="27"/>
        <v>31</v>
      </c>
      <c r="BU100" s="1">
        <v>23</v>
      </c>
      <c r="BV100" s="1">
        <v>0</v>
      </c>
      <c r="BW100" s="1">
        <v>0</v>
      </c>
      <c r="BX100" s="1">
        <v>0.25</v>
      </c>
      <c r="BY100" s="1">
        <v>0</v>
      </c>
      <c r="BZ100">
        <f t="shared" si="52"/>
        <v>0</v>
      </c>
      <c r="CA100">
        <f t="shared" si="52"/>
        <v>0</v>
      </c>
      <c r="CB100">
        <f t="shared" si="52"/>
        <v>0</v>
      </c>
      <c r="CC100">
        <f t="shared" si="52"/>
        <v>0</v>
      </c>
      <c r="CD100">
        <f t="shared" si="52"/>
        <v>0</v>
      </c>
      <c r="CE100">
        <f t="shared" si="52"/>
        <v>0</v>
      </c>
      <c r="CF100">
        <f t="shared" si="50"/>
        <v>0</v>
      </c>
      <c r="CG100">
        <f t="shared" si="50"/>
        <v>0</v>
      </c>
      <c r="CH100">
        <f t="shared" si="45"/>
        <v>0</v>
      </c>
      <c r="CI100">
        <f t="shared" si="45"/>
        <v>0</v>
      </c>
      <c r="CJ100">
        <f t="shared" si="45"/>
        <v>0</v>
      </c>
      <c r="CK100">
        <f t="shared" si="45"/>
        <v>0</v>
      </c>
      <c r="CL100">
        <f t="shared" si="45"/>
        <v>0</v>
      </c>
      <c r="CM100">
        <f t="shared" si="45"/>
        <v>0</v>
      </c>
      <c r="CN100">
        <f t="shared" si="53"/>
        <v>139.59999999999997</v>
      </c>
      <c r="CO100">
        <f t="shared" si="53"/>
        <v>0</v>
      </c>
      <c r="CP100">
        <f t="shared" si="53"/>
        <v>124.1</v>
      </c>
      <c r="CQ100">
        <f t="shared" si="53"/>
        <v>0</v>
      </c>
      <c r="CR100">
        <f t="shared" si="53"/>
        <v>108.6</v>
      </c>
      <c r="CS100">
        <f t="shared" si="53"/>
        <v>0</v>
      </c>
      <c r="CT100">
        <f t="shared" si="51"/>
        <v>93.1</v>
      </c>
      <c r="CU100">
        <f t="shared" si="51"/>
        <v>0</v>
      </c>
      <c r="CV100">
        <f t="shared" si="46"/>
        <v>77.600000000000009</v>
      </c>
      <c r="CW100">
        <f t="shared" si="46"/>
        <v>0</v>
      </c>
      <c r="CX100">
        <f t="shared" si="46"/>
        <v>62.100000000000009</v>
      </c>
      <c r="CY100">
        <f t="shared" si="46"/>
        <v>0</v>
      </c>
      <c r="CZ100">
        <f t="shared" si="46"/>
        <v>46.6</v>
      </c>
      <c r="DA100">
        <f t="shared" si="46"/>
        <v>0</v>
      </c>
      <c r="DB100" s="74">
        <f t="shared" si="34"/>
        <v>686.71219871213884</v>
      </c>
      <c r="DC100" s="74">
        <f t="shared" si="49"/>
        <v>22.152006410068996</v>
      </c>
      <c r="DD100" s="73">
        <f t="shared" si="36"/>
        <v>1376791.5023986083</v>
      </c>
      <c r="DE100" s="74">
        <f t="shared" si="37"/>
        <v>2758.2486760965953</v>
      </c>
      <c r="DF100" s="74">
        <f t="shared" si="38"/>
        <v>88.975763745051466</v>
      </c>
      <c r="DG100" s="74">
        <f t="shared" si="39"/>
        <v>506894.92605555814</v>
      </c>
      <c r="DH100" s="74">
        <f t="shared" si="40"/>
        <v>76056.669417614481</v>
      </c>
      <c r="DI100" s="74">
        <f t="shared" si="41"/>
        <v>2453.4409489553059</v>
      </c>
      <c r="DJ100" s="74">
        <f t="shared" si="42"/>
        <v>3306.8117138093253</v>
      </c>
      <c r="DK100" s="74">
        <f t="shared" si="43"/>
        <v>2311141.3739158981</v>
      </c>
      <c r="DL100" s="74">
        <f t="shared" si="44"/>
        <v>3115016.6344083846</v>
      </c>
    </row>
    <row r="101" spans="1:116" x14ac:dyDescent="0.2">
      <c r="A101" s="96">
        <v>45017</v>
      </c>
      <c r="B101" s="4">
        <f t="shared" si="28"/>
        <v>2023</v>
      </c>
      <c r="C101" s="4">
        <f t="shared" si="29"/>
        <v>4</v>
      </c>
      <c r="D101" s="59">
        <v>36044766</v>
      </c>
      <c r="E101" s="59">
        <f>IFERROR(VLOOKUP($B101-1,CDM!$I$7:$N$18,2,FALSE)/12,0)+IFERROR(VLOOKUP($B101,CDM!$I$36:$L$46,2,FALSE)/24,0)+IFERROR(VLOOKUP($B101,CDM!$I$36:$L$46,2,FALSE)/2*$C101/78,0)</f>
        <v>2658348.1019512182</v>
      </c>
      <c r="F101" s="59">
        <f t="shared" si="30"/>
        <v>38703114.101951219</v>
      </c>
      <c r="G101" s="59">
        <v>62075</v>
      </c>
      <c r="H101" s="59">
        <v>13159212</v>
      </c>
      <c r="I101" s="59">
        <f>IFERROR(VLOOKUP($B101-1,CDM!$I$7:$N$18,3,FALSE)/12,0)+IFERROR(VLOOKUP($B101,CDM!$I$36:$L$46,3,FALSE)/24,0)+IFERROR(VLOOKUP($B101,CDM!$I$36:$L$46,3,FALSE)/2*$C101/78,0)</f>
        <v>1176499.7317138023</v>
      </c>
      <c r="J101" s="59">
        <f t="shared" si="31"/>
        <v>14335711.731713802</v>
      </c>
      <c r="K101" s="59">
        <v>5695</v>
      </c>
      <c r="L101" s="59">
        <v>60646891</v>
      </c>
      <c r="M101" s="2">
        <f>IFERROR(VLOOKUP($B101-1,CDM!$I$7:$N$18,4,FALSE)/12,0)+IFERROR(VLOOKUP($B101,CDM!$I$36:$L$46,4,FALSE)/24,0)+IFERROR(VLOOKUP($B101,CDM!$I$36:$L$46,4,FALSE)/2*$C101/78,0)</f>
        <v>4026411.9135214831</v>
      </c>
      <c r="N101" s="59">
        <f t="shared" si="32"/>
        <v>64673302.913521484</v>
      </c>
      <c r="O101" s="59">
        <v>174666</v>
      </c>
      <c r="P101" s="59">
        <v>942</v>
      </c>
      <c r="Q101" s="59">
        <v>407829</v>
      </c>
      <c r="R101" s="59">
        <v>1290</v>
      </c>
      <c r="S101" s="59">
        <v>17201</v>
      </c>
      <c r="T101" s="59">
        <v>260175</v>
      </c>
      <c r="U101" s="1">
        <v>23</v>
      </c>
      <c r="V101" s="59">
        <v>576</v>
      </c>
      <c r="W101" s="114">
        <f>Economic!J163</f>
        <v>850461.9</v>
      </c>
      <c r="X101" s="114">
        <f>Economic!K163</f>
        <v>662856.4</v>
      </c>
      <c r="Y101" s="114">
        <f>Economic!L163</f>
        <v>71555.5</v>
      </c>
      <c r="Z101" s="114">
        <f>Economic!M163</f>
        <v>851621</v>
      </c>
      <c r="AA101" s="114">
        <f>Economic!N163</f>
        <v>664186</v>
      </c>
      <c r="AB101" s="114">
        <f>Economic!O163</f>
        <v>30079</v>
      </c>
      <c r="AC101" s="114">
        <f>Economic!D163</f>
        <v>7736.6</v>
      </c>
      <c r="AD101" s="114">
        <f>Economic!E163</f>
        <v>7670</v>
      </c>
      <c r="AE101" s="114">
        <f>Economic!F163</f>
        <v>3580</v>
      </c>
      <c r="AF101" s="114">
        <f>Economic!G163</f>
        <v>3553.6</v>
      </c>
      <c r="AG101" s="114">
        <f>Economic!H163</f>
        <v>415</v>
      </c>
      <c r="AH101" s="114">
        <f>Economic!I163</f>
        <v>411.8</v>
      </c>
      <c r="AI101" s="114">
        <f>Economic!P175</f>
        <v>147.69999999999982</v>
      </c>
      <c r="AJ101" s="114">
        <f>Economic!Q175</f>
        <v>149.60000000000036</v>
      </c>
      <c r="AK101" s="114">
        <f>Economic!R175</f>
        <v>85.599999999999909</v>
      </c>
      <c r="AL101" s="114">
        <f>Economic!S175</f>
        <v>86.5</v>
      </c>
      <c r="AM101" s="114">
        <f>Economic!T175</f>
        <v>15397.699999999953</v>
      </c>
      <c r="AN101" s="114">
        <f>Economic!U175</f>
        <v>4845</v>
      </c>
      <c r="AO101" s="28">
        <f>Weather!D293</f>
        <v>8.5733333333333324</v>
      </c>
      <c r="AP101" s="28">
        <f>Weather!E293</f>
        <v>343.80000000000007</v>
      </c>
      <c r="AQ101" s="28">
        <f>Weather!F293</f>
        <v>1</v>
      </c>
      <c r="AR101" s="28">
        <f>Weather!G293</f>
        <v>287.39999999999998</v>
      </c>
      <c r="AS101" s="28">
        <f>Weather!H293</f>
        <v>4.6000000000000014</v>
      </c>
      <c r="AT101" s="28">
        <f>Weather!I293</f>
        <v>231.60000000000002</v>
      </c>
      <c r="AU101" s="28">
        <f>Weather!J293</f>
        <v>8.8000000000000007</v>
      </c>
      <c r="AV101" s="28">
        <f>Weather!K293</f>
        <v>178.9</v>
      </c>
      <c r="AW101" s="28">
        <f>Weather!L293</f>
        <v>16.100000000000001</v>
      </c>
      <c r="AX101" s="28">
        <f>Weather!M293</f>
        <v>128.9</v>
      </c>
      <c r="AY101" s="28">
        <f>Weather!N293</f>
        <v>26.1</v>
      </c>
      <c r="AZ101" s="28">
        <f>Weather!O293</f>
        <v>83.499999999999986</v>
      </c>
      <c r="BA101" s="28">
        <f>Weather!P293</f>
        <v>40.699999999999996</v>
      </c>
      <c r="BB101" s="28">
        <f>Weather!Q293</f>
        <v>45.9</v>
      </c>
      <c r="BC101" s="28">
        <f>Weather!R293</f>
        <v>63.100000000000009</v>
      </c>
      <c r="BD101">
        <f t="shared" si="55"/>
        <v>0</v>
      </c>
      <c r="BE101">
        <f t="shared" si="55"/>
        <v>0</v>
      </c>
      <c r="BF101">
        <f t="shared" si="55"/>
        <v>0</v>
      </c>
      <c r="BG101">
        <f t="shared" si="55"/>
        <v>1</v>
      </c>
      <c r="BH101">
        <f t="shared" si="55"/>
        <v>0</v>
      </c>
      <c r="BI101">
        <f t="shared" si="55"/>
        <v>0</v>
      </c>
      <c r="BJ101">
        <f t="shared" si="55"/>
        <v>0</v>
      </c>
      <c r="BK101">
        <f t="shared" si="55"/>
        <v>0</v>
      </c>
      <c r="BL101">
        <f t="shared" si="55"/>
        <v>0</v>
      </c>
      <c r="BM101">
        <f t="shared" si="55"/>
        <v>0</v>
      </c>
      <c r="BN101">
        <f t="shared" si="55"/>
        <v>0</v>
      </c>
      <c r="BO101">
        <f t="shared" si="55"/>
        <v>0</v>
      </c>
      <c r="BP101" s="1">
        <f t="shared" si="55"/>
        <v>1</v>
      </c>
      <c r="BQ101" s="1">
        <f t="shared" si="55"/>
        <v>0</v>
      </c>
      <c r="BR101" s="1">
        <f t="shared" si="55"/>
        <v>1</v>
      </c>
      <c r="BS101" s="1">
        <f t="shared" si="33"/>
        <v>100</v>
      </c>
      <c r="BT101">
        <f t="shared" si="27"/>
        <v>30</v>
      </c>
      <c r="BU101" s="1">
        <v>19</v>
      </c>
      <c r="BV101" s="1">
        <v>0</v>
      </c>
      <c r="BW101" s="1">
        <v>0</v>
      </c>
      <c r="BX101" s="1">
        <v>0.25</v>
      </c>
      <c r="BY101" s="1">
        <v>0</v>
      </c>
      <c r="BZ101">
        <f t="shared" si="52"/>
        <v>0</v>
      </c>
      <c r="CA101">
        <f t="shared" si="52"/>
        <v>0</v>
      </c>
      <c r="CB101">
        <f t="shared" si="52"/>
        <v>0</v>
      </c>
      <c r="CC101">
        <f t="shared" si="52"/>
        <v>0</v>
      </c>
      <c r="CD101">
        <f t="shared" si="52"/>
        <v>0</v>
      </c>
      <c r="CE101">
        <f t="shared" si="52"/>
        <v>0</v>
      </c>
      <c r="CF101">
        <f t="shared" si="50"/>
        <v>0</v>
      </c>
      <c r="CG101">
        <f t="shared" si="50"/>
        <v>0</v>
      </c>
      <c r="CH101">
        <f t="shared" si="45"/>
        <v>0</v>
      </c>
      <c r="CI101">
        <f t="shared" si="45"/>
        <v>0</v>
      </c>
      <c r="CJ101">
        <f t="shared" si="45"/>
        <v>0</v>
      </c>
      <c r="CK101">
        <f t="shared" ref="CK101:CM115" si="56">$BW101*BA101</f>
        <v>0</v>
      </c>
      <c r="CL101">
        <f t="shared" si="56"/>
        <v>0</v>
      </c>
      <c r="CM101">
        <f t="shared" si="56"/>
        <v>0</v>
      </c>
      <c r="CN101">
        <f t="shared" si="53"/>
        <v>85.950000000000017</v>
      </c>
      <c r="CO101">
        <f t="shared" si="53"/>
        <v>0.25</v>
      </c>
      <c r="CP101">
        <f t="shared" si="53"/>
        <v>71.849999999999994</v>
      </c>
      <c r="CQ101">
        <f t="shared" si="53"/>
        <v>1.1500000000000004</v>
      </c>
      <c r="CR101">
        <f t="shared" si="53"/>
        <v>57.900000000000006</v>
      </c>
      <c r="CS101">
        <f t="shared" si="53"/>
        <v>2.2000000000000002</v>
      </c>
      <c r="CT101">
        <f t="shared" si="51"/>
        <v>44.725000000000001</v>
      </c>
      <c r="CU101">
        <f t="shared" si="51"/>
        <v>4.0250000000000004</v>
      </c>
      <c r="CV101">
        <f t="shared" si="46"/>
        <v>32.225000000000001</v>
      </c>
      <c r="CW101">
        <f t="shared" si="46"/>
        <v>6.5250000000000004</v>
      </c>
      <c r="CX101">
        <f t="shared" si="46"/>
        <v>20.874999999999996</v>
      </c>
      <c r="CY101">
        <f t="shared" ref="CY101:DA115" si="57">$BX101*BA101</f>
        <v>10.174999999999999</v>
      </c>
      <c r="CZ101">
        <f t="shared" si="57"/>
        <v>11.475</v>
      </c>
      <c r="DA101">
        <f t="shared" si="57"/>
        <v>15.775000000000002</v>
      </c>
      <c r="DB101" s="74">
        <f t="shared" si="34"/>
        <v>623.48955460251659</v>
      </c>
      <c r="DC101" s="74">
        <f t="shared" si="49"/>
        <v>20.782985153417219</v>
      </c>
      <c r="DD101" s="73">
        <f t="shared" si="36"/>
        <v>1290103.803398374</v>
      </c>
      <c r="DE101" s="74">
        <f t="shared" si="37"/>
        <v>2517.2452557882007</v>
      </c>
      <c r="DF101" s="74">
        <f t="shared" si="38"/>
        <v>83.908175192940021</v>
      </c>
      <c r="DG101" s="74">
        <f t="shared" si="39"/>
        <v>477857.05772379338</v>
      </c>
      <c r="DH101" s="74">
        <f t="shared" si="40"/>
        <v>68655.3109485366</v>
      </c>
      <c r="DI101" s="74">
        <f t="shared" si="41"/>
        <v>2288.5103649512198</v>
      </c>
      <c r="DJ101" s="74">
        <f t="shared" si="42"/>
        <v>3613.4374183440318</v>
      </c>
      <c r="DK101" s="74">
        <f t="shared" si="43"/>
        <v>2155776.7637840495</v>
      </c>
      <c r="DL101" s="74">
        <f t="shared" si="44"/>
        <v>3403858.0480800779</v>
      </c>
    </row>
    <row r="102" spans="1:116" x14ac:dyDescent="0.2">
      <c r="A102" s="96">
        <v>45047</v>
      </c>
      <c r="B102" s="4">
        <f t="shared" si="28"/>
        <v>2023</v>
      </c>
      <c r="C102" s="4">
        <f t="shared" si="29"/>
        <v>5</v>
      </c>
      <c r="D102" s="59">
        <v>39223988</v>
      </c>
      <c r="E102" s="59">
        <f>IFERROR(VLOOKUP($B102-1,CDM!$I$7:$N$18,2,FALSE)/12,0)+IFERROR(VLOOKUP($B102,CDM!$I$36:$L$46,2,FALSE)/24,0)+IFERROR(VLOOKUP($B102,CDM!$I$36:$L$46,2,FALSE)/2*$C102/78,0)</f>
        <v>2660584.6295455853</v>
      </c>
      <c r="F102" s="59">
        <f t="shared" si="30"/>
        <v>41884572.629545584</v>
      </c>
      <c r="G102" s="59">
        <v>62166</v>
      </c>
      <c r="H102" s="59">
        <v>13388102</v>
      </c>
      <c r="I102" s="59">
        <f>IFERROR(VLOOKUP($B102-1,CDM!$I$7:$N$18,3,FALSE)/12,0)+IFERROR(VLOOKUP($B102,CDM!$I$36:$L$46,3,FALSE)/24,0)+IFERROR(VLOOKUP($B102,CDM!$I$36:$L$46,3,FALSE)/2*$C102/78,0)</f>
        <v>1182331.7557053016</v>
      </c>
      <c r="J102" s="59">
        <f t="shared" si="31"/>
        <v>14570433.755705301</v>
      </c>
      <c r="K102" s="59">
        <v>5695</v>
      </c>
      <c r="L102" s="59">
        <v>63468489</v>
      </c>
      <c r="M102" s="2">
        <f>IFERROR(VLOOKUP($B102-1,CDM!$I$7:$N$18,4,FALSE)/12,0)+IFERROR(VLOOKUP($B102,CDM!$I$36:$L$46,4,FALSE)/24,0)+IFERROR(VLOOKUP($B102,CDM!$I$36:$L$46,4,FALSE)/2*$C102/78,0)</f>
        <v>4062271.235650117</v>
      </c>
      <c r="N102" s="59">
        <f t="shared" si="32"/>
        <v>67530760.235650122</v>
      </c>
      <c r="O102" s="59">
        <v>181562</v>
      </c>
      <c r="P102" s="59">
        <v>943</v>
      </c>
      <c r="Q102" s="59">
        <v>371270</v>
      </c>
      <c r="R102" s="59">
        <v>1290</v>
      </c>
      <c r="S102" s="59">
        <v>17201</v>
      </c>
      <c r="T102" s="59">
        <v>260148</v>
      </c>
      <c r="U102" s="1">
        <v>22</v>
      </c>
      <c r="V102" s="59">
        <v>574</v>
      </c>
      <c r="W102" s="114">
        <f>Economic!J164</f>
        <v>850461.9</v>
      </c>
      <c r="X102" s="114">
        <f>Economic!K164</f>
        <v>662856.4</v>
      </c>
      <c r="Y102" s="114">
        <f>Economic!L164</f>
        <v>71555.5</v>
      </c>
      <c r="Z102" s="114">
        <f>Economic!M164</f>
        <v>851621</v>
      </c>
      <c r="AA102" s="114">
        <f>Economic!N164</f>
        <v>664186</v>
      </c>
      <c r="AB102" s="114">
        <f>Economic!O164</f>
        <v>30079</v>
      </c>
      <c r="AC102" s="114">
        <f>Economic!D164</f>
        <v>7753.3</v>
      </c>
      <c r="AD102" s="114">
        <f>Economic!E164</f>
        <v>7738.6</v>
      </c>
      <c r="AE102" s="114">
        <f>Economic!F164</f>
        <v>3578.1</v>
      </c>
      <c r="AF102" s="114">
        <f>Economic!G164</f>
        <v>3567.9</v>
      </c>
      <c r="AG102" s="114">
        <f>Economic!H164</f>
        <v>418.5</v>
      </c>
      <c r="AH102" s="114">
        <f>Economic!I164</f>
        <v>417.4</v>
      </c>
      <c r="AI102" s="114">
        <f>Economic!P176</f>
        <v>142</v>
      </c>
      <c r="AJ102" s="114">
        <f>Economic!Q176</f>
        <v>144</v>
      </c>
      <c r="AK102" s="114">
        <f>Economic!R176</f>
        <v>99.5</v>
      </c>
      <c r="AL102" s="114">
        <f>Economic!S176</f>
        <v>100.09999999999991</v>
      </c>
      <c r="AM102" s="114">
        <f>Economic!T176</f>
        <v>15397.699999999953</v>
      </c>
      <c r="AN102" s="114">
        <f>Economic!U176</f>
        <v>4845</v>
      </c>
      <c r="AO102" s="28">
        <f>Weather!D294</f>
        <v>13.1</v>
      </c>
      <c r="AP102" s="28">
        <f>Weather!E294</f>
        <v>218.39999999999995</v>
      </c>
      <c r="AQ102" s="28">
        <f>Weather!F294</f>
        <v>4.4999999999999964</v>
      </c>
      <c r="AR102" s="28">
        <f>Weather!G294</f>
        <v>162.39999999999995</v>
      </c>
      <c r="AS102" s="28">
        <f>Weather!H294</f>
        <v>10.499999999999996</v>
      </c>
      <c r="AT102" s="28">
        <f>Weather!I294</f>
        <v>113.69999999999999</v>
      </c>
      <c r="AU102" s="28">
        <f>Weather!J294</f>
        <v>23.8</v>
      </c>
      <c r="AV102" s="28">
        <f>Weather!K294</f>
        <v>73.899999999999977</v>
      </c>
      <c r="AW102" s="28">
        <f>Weather!L294</f>
        <v>45.999999999999993</v>
      </c>
      <c r="AX102" s="28">
        <f>Weather!M294</f>
        <v>41.699999999999996</v>
      </c>
      <c r="AY102" s="28">
        <f>Weather!N294</f>
        <v>75.799999999999983</v>
      </c>
      <c r="AZ102" s="28">
        <f>Weather!O294</f>
        <v>21.1</v>
      </c>
      <c r="BA102" s="28">
        <f>Weather!P294</f>
        <v>117.19999999999999</v>
      </c>
      <c r="BB102" s="28">
        <f>Weather!Q294</f>
        <v>7</v>
      </c>
      <c r="BC102" s="28">
        <f>Weather!R294</f>
        <v>165.10000000000005</v>
      </c>
      <c r="BD102">
        <f t="shared" si="55"/>
        <v>0</v>
      </c>
      <c r="BE102">
        <f t="shared" si="55"/>
        <v>0</v>
      </c>
      <c r="BF102">
        <f t="shared" si="55"/>
        <v>0</v>
      </c>
      <c r="BG102">
        <f t="shared" si="55"/>
        <v>0</v>
      </c>
      <c r="BH102">
        <f t="shared" si="55"/>
        <v>1</v>
      </c>
      <c r="BI102">
        <f t="shared" si="55"/>
        <v>0</v>
      </c>
      <c r="BJ102">
        <f t="shared" si="55"/>
        <v>0</v>
      </c>
      <c r="BK102">
        <f t="shared" si="55"/>
        <v>0</v>
      </c>
      <c r="BL102">
        <f t="shared" si="55"/>
        <v>0</v>
      </c>
      <c r="BM102">
        <f t="shared" si="55"/>
        <v>0</v>
      </c>
      <c r="BN102">
        <f t="shared" si="55"/>
        <v>0</v>
      </c>
      <c r="BO102">
        <f t="shared" si="55"/>
        <v>0</v>
      </c>
      <c r="BP102" s="1">
        <f t="shared" si="55"/>
        <v>1</v>
      </c>
      <c r="BQ102" s="1">
        <f t="shared" si="55"/>
        <v>0</v>
      </c>
      <c r="BR102" s="1">
        <f t="shared" si="55"/>
        <v>1</v>
      </c>
      <c r="BS102" s="1">
        <f t="shared" si="33"/>
        <v>101</v>
      </c>
      <c r="BT102">
        <f t="shared" si="27"/>
        <v>31</v>
      </c>
      <c r="BU102" s="1">
        <v>22</v>
      </c>
      <c r="BV102" s="1">
        <v>0</v>
      </c>
      <c r="BW102" s="1">
        <v>0</v>
      </c>
      <c r="BX102" s="1">
        <v>0.25</v>
      </c>
      <c r="BY102" s="1">
        <v>0</v>
      </c>
      <c r="BZ102">
        <f t="shared" si="52"/>
        <v>0</v>
      </c>
      <c r="CA102">
        <f t="shared" si="52"/>
        <v>0</v>
      </c>
      <c r="CB102">
        <f t="shared" si="52"/>
        <v>0</v>
      </c>
      <c r="CC102">
        <f t="shared" si="52"/>
        <v>0</v>
      </c>
      <c r="CD102">
        <f t="shared" si="52"/>
        <v>0</v>
      </c>
      <c r="CE102">
        <f t="shared" si="52"/>
        <v>0</v>
      </c>
      <c r="CF102">
        <f t="shared" si="50"/>
        <v>0</v>
      </c>
      <c r="CG102">
        <f t="shared" si="50"/>
        <v>0</v>
      </c>
      <c r="CH102">
        <f t="shared" si="50"/>
        <v>0</v>
      </c>
      <c r="CI102">
        <f t="shared" si="50"/>
        <v>0</v>
      </c>
      <c r="CJ102">
        <f t="shared" si="50"/>
        <v>0</v>
      </c>
      <c r="CK102">
        <f t="shared" si="56"/>
        <v>0</v>
      </c>
      <c r="CL102">
        <f t="shared" si="56"/>
        <v>0</v>
      </c>
      <c r="CM102">
        <f t="shared" si="56"/>
        <v>0</v>
      </c>
      <c r="CN102">
        <f t="shared" si="53"/>
        <v>54.599999999999987</v>
      </c>
      <c r="CO102">
        <f t="shared" si="53"/>
        <v>1.1249999999999991</v>
      </c>
      <c r="CP102">
        <f t="shared" si="53"/>
        <v>40.599999999999987</v>
      </c>
      <c r="CQ102">
        <f t="shared" si="53"/>
        <v>2.6249999999999991</v>
      </c>
      <c r="CR102">
        <f t="shared" si="53"/>
        <v>28.424999999999997</v>
      </c>
      <c r="CS102">
        <f t="shared" si="53"/>
        <v>5.95</v>
      </c>
      <c r="CT102">
        <f t="shared" si="51"/>
        <v>18.474999999999994</v>
      </c>
      <c r="CU102">
        <f t="shared" si="51"/>
        <v>11.499999999999998</v>
      </c>
      <c r="CV102">
        <f t="shared" si="51"/>
        <v>10.424999999999999</v>
      </c>
      <c r="CW102">
        <f t="shared" si="51"/>
        <v>18.949999999999996</v>
      </c>
      <c r="CX102">
        <f t="shared" si="51"/>
        <v>5.2750000000000004</v>
      </c>
      <c r="CY102">
        <f t="shared" si="57"/>
        <v>29.299999999999997</v>
      </c>
      <c r="CZ102">
        <f t="shared" si="57"/>
        <v>1.75</v>
      </c>
      <c r="DA102">
        <f t="shared" si="57"/>
        <v>41.275000000000013</v>
      </c>
      <c r="DB102" s="74">
        <f t="shared" si="34"/>
        <v>673.75370185544489</v>
      </c>
      <c r="DC102" s="74">
        <f t="shared" si="49"/>
        <v>21.733990382433706</v>
      </c>
      <c r="DD102" s="73">
        <f t="shared" si="36"/>
        <v>1351115.2461143737</v>
      </c>
      <c r="DE102" s="74">
        <f t="shared" si="37"/>
        <v>2558.4607121519402</v>
      </c>
      <c r="DF102" s="74">
        <f t="shared" si="38"/>
        <v>82.530990714578721</v>
      </c>
      <c r="DG102" s="74">
        <f t="shared" si="39"/>
        <v>470013.99211952585</v>
      </c>
      <c r="DH102" s="74">
        <f t="shared" si="40"/>
        <v>71612.683176723353</v>
      </c>
      <c r="DI102" s="74">
        <f t="shared" si="41"/>
        <v>2310.0865540878499</v>
      </c>
      <c r="DJ102" s="74">
        <f t="shared" si="42"/>
        <v>3255.1219625783342</v>
      </c>
      <c r="DK102" s="74">
        <f t="shared" si="43"/>
        <v>2178411.6205048426</v>
      </c>
      <c r="DL102" s="74">
        <f t="shared" si="44"/>
        <v>3069580.0107113691</v>
      </c>
    </row>
    <row r="103" spans="1:116" x14ac:dyDescent="0.2">
      <c r="A103" s="96">
        <v>45078</v>
      </c>
      <c r="B103" s="4">
        <f t="shared" si="28"/>
        <v>2023</v>
      </c>
      <c r="C103" s="4">
        <f t="shared" si="29"/>
        <v>6</v>
      </c>
      <c r="D103" s="59">
        <v>47303964</v>
      </c>
      <c r="E103" s="59">
        <f>IFERROR(VLOOKUP($B103-1,CDM!$I$7:$N$18,2,FALSE)/12,0)+IFERROR(VLOOKUP($B103,CDM!$I$36:$L$46,2,FALSE)/24,0)+IFERROR(VLOOKUP($B103,CDM!$I$36:$L$46,2,FALSE)/2*$C103/78,0)</f>
        <v>2662821.1571399528</v>
      </c>
      <c r="F103" s="59">
        <f t="shared" si="30"/>
        <v>49966785.15713995</v>
      </c>
      <c r="G103" s="59">
        <v>62255</v>
      </c>
      <c r="H103" s="59">
        <v>14019021</v>
      </c>
      <c r="I103" s="59">
        <f>IFERROR(VLOOKUP($B103-1,CDM!$I$7:$N$18,3,FALSE)/12,0)+IFERROR(VLOOKUP($B103,CDM!$I$36:$L$46,3,FALSE)/24,0)+IFERROR(VLOOKUP($B103,CDM!$I$36:$L$46,3,FALSE)/2*$C103/78,0)</f>
        <v>1188163.779696801</v>
      </c>
      <c r="J103" s="59">
        <f t="shared" si="31"/>
        <v>15207184.779696802</v>
      </c>
      <c r="K103" s="59">
        <v>5713</v>
      </c>
      <c r="L103" s="59">
        <v>66380293</v>
      </c>
      <c r="M103" s="2">
        <f>IFERROR(VLOOKUP($B103-1,CDM!$I$7:$N$18,4,FALSE)/12,0)+IFERROR(VLOOKUP($B103,CDM!$I$36:$L$46,4,FALSE)/24,0)+IFERROR(VLOOKUP($B103,CDM!$I$36:$L$46,4,FALSE)/2*$C103/78,0)</f>
        <v>4098130.5577787515</v>
      </c>
      <c r="N103" s="59">
        <f t="shared" si="32"/>
        <v>70478423.557778746</v>
      </c>
      <c r="O103" s="59">
        <v>184928</v>
      </c>
      <c r="P103" s="59">
        <v>941</v>
      </c>
      <c r="Q103" s="59">
        <v>334892</v>
      </c>
      <c r="R103" s="59">
        <v>1290</v>
      </c>
      <c r="S103" s="59">
        <v>17201</v>
      </c>
      <c r="T103" s="59">
        <v>260111</v>
      </c>
      <c r="U103" s="1">
        <v>22</v>
      </c>
      <c r="V103" s="59">
        <v>574</v>
      </c>
      <c r="W103" s="114">
        <f>Economic!J165</f>
        <v>850461.9</v>
      </c>
      <c r="X103" s="114">
        <f>Economic!K165</f>
        <v>662856.4</v>
      </c>
      <c r="Y103" s="114">
        <f>Economic!L165</f>
        <v>71555.5</v>
      </c>
      <c r="Z103" s="114">
        <f>Economic!M165</f>
        <v>851621</v>
      </c>
      <c r="AA103" s="114">
        <f>Economic!N165</f>
        <v>664186</v>
      </c>
      <c r="AB103" s="114">
        <f>Economic!O165</f>
        <v>30079</v>
      </c>
      <c r="AC103" s="114">
        <f>Economic!D165</f>
        <v>7754.8</v>
      </c>
      <c r="AD103" s="114">
        <f>Economic!E165</f>
        <v>7809.2</v>
      </c>
      <c r="AE103" s="114">
        <f>Economic!F165</f>
        <v>3580.3</v>
      </c>
      <c r="AF103" s="114">
        <f>Economic!G165</f>
        <v>3599.5</v>
      </c>
      <c r="AG103" s="114">
        <f>Economic!H165</f>
        <v>421.3</v>
      </c>
      <c r="AH103" s="114">
        <f>Economic!I165</f>
        <v>421.3</v>
      </c>
      <c r="AI103" s="114">
        <f>Economic!P177</f>
        <v>161.30000000000018</v>
      </c>
      <c r="AJ103" s="114">
        <f>Economic!Q177</f>
        <v>162</v>
      </c>
      <c r="AK103" s="114">
        <f>Economic!R177</f>
        <v>109.89999999999964</v>
      </c>
      <c r="AL103" s="114">
        <f>Economic!S177</f>
        <v>110.40000000000009</v>
      </c>
      <c r="AM103" s="114">
        <f>Economic!T177</f>
        <v>15397.699999999953</v>
      </c>
      <c r="AN103" s="114">
        <f>Economic!U177</f>
        <v>4845</v>
      </c>
      <c r="AO103" s="28">
        <f>Weather!D295</f>
        <v>19.133333333333336</v>
      </c>
      <c r="AP103" s="28">
        <f>Weather!E295</f>
        <v>39.800000000000011</v>
      </c>
      <c r="AQ103" s="28">
        <f>Weather!F295</f>
        <v>13.8</v>
      </c>
      <c r="AR103" s="28">
        <f>Weather!G295</f>
        <v>10.499999999999996</v>
      </c>
      <c r="AS103" s="28">
        <f>Weather!H295</f>
        <v>44.5</v>
      </c>
      <c r="AT103" s="28">
        <f>Weather!I295</f>
        <v>0</v>
      </c>
      <c r="AU103" s="28">
        <f>Weather!J295</f>
        <v>94</v>
      </c>
      <c r="AV103" s="28">
        <f>Weather!K295</f>
        <v>0</v>
      </c>
      <c r="AW103" s="28">
        <f>Weather!L295</f>
        <v>153.99999999999994</v>
      </c>
      <c r="AX103" s="28">
        <f>Weather!M295</f>
        <v>0</v>
      </c>
      <c r="AY103" s="28">
        <f>Weather!N295</f>
        <v>213.99999999999997</v>
      </c>
      <c r="AZ103" s="28">
        <f>Weather!O295</f>
        <v>0</v>
      </c>
      <c r="BA103" s="28">
        <f>Weather!P295</f>
        <v>274</v>
      </c>
      <c r="BB103" s="28">
        <f>Weather!Q295</f>
        <v>0</v>
      </c>
      <c r="BC103" s="28">
        <f>Weather!R295</f>
        <v>334</v>
      </c>
      <c r="BD103">
        <f t="shared" si="55"/>
        <v>0</v>
      </c>
      <c r="BE103">
        <f t="shared" si="55"/>
        <v>0</v>
      </c>
      <c r="BF103">
        <f t="shared" si="55"/>
        <v>0</v>
      </c>
      <c r="BG103">
        <f t="shared" si="55"/>
        <v>0</v>
      </c>
      <c r="BH103">
        <f t="shared" si="55"/>
        <v>0</v>
      </c>
      <c r="BI103">
        <f t="shared" si="55"/>
        <v>1</v>
      </c>
      <c r="BJ103">
        <f t="shared" si="55"/>
        <v>0</v>
      </c>
      <c r="BK103">
        <f t="shared" si="55"/>
        <v>0</v>
      </c>
      <c r="BL103">
        <f t="shared" si="55"/>
        <v>0</v>
      </c>
      <c r="BM103">
        <f t="shared" si="55"/>
        <v>0</v>
      </c>
      <c r="BN103">
        <f t="shared" si="55"/>
        <v>0</v>
      </c>
      <c r="BO103">
        <f t="shared" si="55"/>
        <v>0</v>
      </c>
      <c r="BP103" s="1">
        <f t="shared" si="55"/>
        <v>0</v>
      </c>
      <c r="BQ103" s="1">
        <f t="shared" si="55"/>
        <v>0</v>
      </c>
      <c r="BR103" s="1">
        <f t="shared" si="55"/>
        <v>0</v>
      </c>
      <c r="BS103" s="1">
        <f t="shared" si="33"/>
        <v>102</v>
      </c>
      <c r="BT103">
        <f t="shared" si="27"/>
        <v>30</v>
      </c>
      <c r="BU103" s="1">
        <v>22</v>
      </c>
      <c r="BV103" s="1">
        <v>0</v>
      </c>
      <c r="BW103" s="1">
        <v>0</v>
      </c>
      <c r="BX103" s="1">
        <v>0.25</v>
      </c>
      <c r="BY103" s="1">
        <v>0</v>
      </c>
      <c r="BZ103">
        <f t="shared" si="52"/>
        <v>0</v>
      </c>
      <c r="CA103">
        <f t="shared" si="52"/>
        <v>0</v>
      </c>
      <c r="CB103">
        <f t="shared" si="52"/>
        <v>0</v>
      </c>
      <c r="CC103">
        <f t="shared" si="52"/>
        <v>0</v>
      </c>
      <c r="CD103">
        <f t="shared" si="52"/>
        <v>0</v>
      </c>
      <c r="CE103">
        <f t="shared" si="52"/>
        <v>0</v>
      </c>
      <c r="CF103">
        <f t="shared" si="50"/>
        <v>0</v>
      </c>
      <c r="CG103">
        <f t="shared" si="50"/>
        <v>0</v>
      </c>
      <c r="CH103">
        <f t="shared" si="50"/>
        <v>0</v>
      </c>
      <c r="CI103">
        <f t="shared" si="50"/>
        <v>0</v>
      </c>
      <c r="CJ103">
        <f t="shared" si="50"/>
        <v>0</v>
      </c>
      <c r="CK103">
        <f t="shared" si="56"/>
        <v>0</v>
      </c>
      <c r="CL103">
        <f t="shared" si="56"/>
        <v>0</v>
      </c>
      <c r="CM103">
        <f t="shared" si="56"/>
        <v>0</v>
      </c>
      <c r="CN103">
        <f t="shared" si="53"/>
        <v>9.9500000000000028</v>
      </c>
      <c r="CO103">
        <f t="shared" si="53"/>
        <v>3.45</v>
      </c>
      <c r="CP103">
        <f t="shared" si="53"/>
        <v>2.6249999999999991</v>
      </c>
      <c r="CQ103">
        <f t="shared" si="53"/>
        <v>11.125</v>
      </c>
      <c r="CR103">
        <f t="shared" si="53"/>
        <v>0</v>
      </c>
      <c r="CS103">
        <f t="shared" si="53"/>
        <v>23.5</v>
      </c>
      <c r="CT103">
        <f t="shared" si="51"/>
        <v>0</v>
      </c>
      <c r="CU103">
        <f t="shared" si="51"/>
        <v>38.499999999999986</v>
      </c>
      <c r="CV103">
        <f t="shared" si="51"/>
        <v>0</v>
      </c>
      <c r="CW103">
        <f t="shared" si="51"/>
        <v>53.499999999999993</v>
      </c>
      <c r="CX103">
        <f t="shared" si="51"/>
        <v>0</v>
      </c>
      <c r="CY103">
        <f t="shared" si="57"/>
        <v>68.5</v>
      </c>
      <c r="CZ103">
        <f t="shared" si="57"/>
        <v>0</v>
      </c>
      <c r="DA103">
        <f t="shared" si="57"/>
        <v>83.5</v>
      </c>
      <c r="DB103" s="74">
        <f t="shared" si="34"/>
        <v>802.61481257955109</v>
      </c>
      <c r="DC103" s="74">
        <f t="shared" si="49"/>
        <v>26.753827085985037</v>
      </c>
      <c r="DD103" s="73">
        <f t="shared" si="36"/>
        <v>1665559.5052379982</v>
      </c>
      <c r="DE103" s="74">
        <f t="shared" si="37"/>
        <v>2661.8562541041138</v>
      </c>
      <c r="DF103" s="74">
        <f t="shared" si="38"/>
        <v>88.728541803470463</v>
      </c>
      <c r="DG103" s="74">
        <f t="shared" si="39"/>
        <v>506906.15932322672</v>
      </c>
      <c r="DH103" s="74">
        <f t="shared" si="40"/>
        <v>74897.368286693672</v>
      </c>
      <c r="DI103" s="74">
        <f t="shared" si="41"/>
        <v>2496.5789428897892</v>
      </c>
      <c r="DJ103" s="74">
        <f t="shared" si="42"/>
        <v>3404.4258312133488</v>
      </c>
      <c r="DK103" s="74">
        <f t="shared" si="43"/>
        <v>2349280.7852592915</v>
      </c>
      <c r="DL103" s="74">
        <f t="shared" si="44"/>
        <v>3203564.707171761</v>
      </c>
    </row>
    <row r="104" spans="1:116" x14ac:dyDescent="0.2">
      <c r="A104" s="96">
        <v>45108</v>
      </c>
      <c r="B104" s="4">
        <f t="shared" si="28"/>
        <v>2023</v>
      </c>
      <c r="C104" s="4">
        <f t="shared" si="29"/>
        <v>7</v>
      </c>
      <c r="D104" s="59">
        <v>58044399</v>
      </c>
      <c r="E104" s="59">
        <f>IFERROR(VLOOKUP($B104-1,CDM!$I$7:$N$18,2,FALSE)/12,0)+IFERROR(VLOOKUP($B104,CDM!$I$36:$L$46,2,FALSE)/24,0)+IFERROR(VLOOKUP($B104,CDM!$I$36:$L$46,2,FALSE)/2*$C104/78,0)</f>
        <v>2665057.6847343198</v>
      </c>
      <c r="F104" s="59">
        <f t="shared" si="30"/>
        <v>60709456.684734322</v>
      </c>
      <c r="G104" s="59">
        <v>62247</v>
      </c>
      <c r="H104" s="59">
        <v>15873654</v>
      </c>
      <c r="I104" s="59">
        <f>IFERROR(VLOOKUP($B104-1,CDM!$I$7:$N$18,3,FALSE)/12,0)+IFERROR(VLOOKUP($B104,CDM!$I$36:$L$46,3,FALSE)/24,0)+IFERROR(VLOOKUP($B104,CDM!$I$36:$L$46,3,FALSE)/2*$C104/78,0)</f>
        <v>1193995.8036883005</v>
      </c>
      <c r="J104" s="59">
        <f t="shared" si="31"/>
        <v>17067649.803688299</v>
      </c>
      <c r="K104" s="59">
        <v>5701</v>
      </c>
      <c r="L104" s="59">
        <v>71978993</v>
      </c>
      <c r="M104" s="2">
        <f>IFERROR(VLOOKUP($B104-1,CDM!$I$7:$N$18,4,FALSE)/12,0)+IFERROR(VLOOKUP($B104,CDM!$I$36:$L$46,4,FALSE)/24,0)+IFERROR(VLOOKUP($B104,CDM!$I$36:$L$46,4,FALSE)/2*$C104/78,0)</f>
        <v>4133989.8799073859</v>
      </c>
      <c r="N104" s="59">
        <f t="shared" si="32"/>
        <v>76112982.879907385</v>
      </c>
      <c r="O104" s="59">
        <v>191157</v>
      </c>
      <c r="P104" s="59">
        <v>940</v>
      </c>
      <c r="Q104" s="59">
        <v>359660</v>
      </c>
      <c r="R104" s="59">
        <v>1290</v>
      </c>
      <c r="S104" s="59">
        <v>17213</v>
      </c>
      <c r="T104" s="59">
        <v>261443</v>
      </c>
      <c r="U104" s="1">
        <v>22</v>
      </c>
      <c r="V104" s="59">
        <v>575</v>
      </c>
      <c r="W104" s="114">
        <f>Economic!J166</f>
        <v>850461.9</v>
      </c>
      <c r="X104" s="114">
        <f>Economic!K166</f>
        <v>662856.4</v>
      </c>
      <c r="Y104" s="114">
        <f>Economic!L166</f>
        <v>71555.5</v>
      </c>
      <c r="Z104" s="114">
        <f>Economic!M166</f>
        <v>852979</v>
      </c>
      <c r="AA104" s="114">
        <f>Economic!N166</f>
        <v>664978</v>
      </c>
      <c r="AB104" s="114">
        <f>Economic!O166</f>
        <v>30634</v>
      </c>
      <c r="AC104" s="114">
        <f>Economic!D166</f>
        <v>7754.8</v>
      </c>
      <c r="AD104" s="114">
        <f>Economic!E166</f>
        <v>7843.6</v>
      </c>
      <c r="AE104" s="114">
        <f>Economic!F166</f>
        <v>3582.4</v>
      </c>
      <c r="AF104" s="114">
        <f>Economic!G166</f>
        <v>3621.7</v>
      </c>
      <c r="AG104" s="114">
        <f>Economic!H166</f>
        <v>422.3</v>
      </c>
      <c r="AH104" s="114">
        <f>Economic!I166</f>
        <v>421.5</v>
      </c>
      <c r="AI104" s="114">
        <f>Economic!P178</f>
        <v>171.30000000000018</v>
      </c>
      <c r="AJ104" s="114">
        <f>Economic!Q178</f>
        <v>173.29999999999927</v>
      </c>
      <c r="AK104" s="114">
        <f>Economic!R178</f>
        <v>116.40000000000009</v>
      </c>
      <c r="AL104" s="114">
        <f>Economic!S178</f>
        <v>117.20000000000027</v>
      </c>
      <c r="AM104" s="114">
        <f>Economic!T178</f>
        <v>15397.699999999953</v>
      </c>
      <c r="AN104" s="114">
        <f>Economic!U178</f>
        <v>2198</v>
      </c>
      <c r="AO104" s="28">
        <f>Weather!D296</f>
        <v>22.693548387096783</v>
      </c>
      <c r="AP104" s="28">
        <f>Weather!E296</f>
        <v>0.10000000000000142</v>
      </c>
      <c r="AQ104" s="28">
        <f>Weather!F296</f>
        <v>83.600000000000023</v>
      </c>
      <c r="AR104" s="28">
        <f>Weather!G296</f>
        <v>0</v>
      </c>
      <c r="AS104" s="28">
        <f>Weather!H296</f>
        <v>145.49999999999997</v>
      </c>
      <c r="AT104" s="28">
        <f>Weather!I296</f>
        <v>0</v>
      </c>
      <c r="AU104" s="28">
        <f>Weather!J296</f>
        <v>207.49999999999997</v>
      </c>
      <c r="AV104" s="28">
        <f>Weather!K296</f>
        <v>0</v>
      </c>
      <c r="AW104" s="28">
        <f>Weather!L296</f>
        <v>269.50000000000006</v>
      </c>
      <c r="AX104" s="28">
        <f>Weather!M296</f>
        <v>0</v>
      </c>
      <c r="AY104" s="28">
        <f>Weather!N296</f>
        <v>331.50000000000006</v>
      </c>
      <c r="AZ104" s="28">
        <f>Weather!O296</f>
        <v>0</v>
      </c>
      <c r="BA104" s="28">
        <f>Weather!P296</f>
        <v>393.50000000000006</v>
      </c>
      <c r="BB104" s="28">
        <f>Weather!Q296</f>
        <v>0</v>
      </c>
      <c r="BC104" s="28">
        <f>Weather!R296</f>
        <v>455.50000000000006</v>
      </c>
      <c r="BD104">
        <f t="shared" si="55"/>
        <v>0</v>
      </c>
      <c r="BE104">
        <f t="shared" si="55"/>
        <v>0</v>
      </c>
      <c r="BF104">
        <f t="shared" si="55"/>
        <v>0</v>
      </c>
      <c r="BG104">
        <f t="shared" si="55"/>
        <v>0</v>
      </c>
      <c r="BH104">
        <f t="shared" si="55"/>
        <v>0</v>
      </c>
      <c r="BI104">
        <f t="shared" si="55"/>
        <v>0</v>
      </c>
      <c r="BJ104">
        <f t="shared" si="55"/>
        <v>1</v>
      </c>
      <c r="BK104">
        <f t="shared" si="55"/>
        <v>0</v>
      </c>
      <c r="BL104">
        <f t="shared" si="55"/>
        <v>0</v>
      </c>
      <c r="BM104">
        <f t="shared" si="55"/>
        <v>0</v>
      </c>
      <c r="BN104">
        <f t="shared" si="55"/>
        <v>0</v>
      </c>
      <c r="BO104">
        <f t="shared" si="55"/>
        <v>0</v>
      </c>
      <c r="BP104" s="1">
        <f t="shared" si="55"/>
        <v>0</v>
      </c>
      <c r="BQ104" s="1">
        <f t="shared" si="55"/>
        <v>0</v>
      </c>
      <c r="BR104" s="1">
        <f t="shared" si="55"/>
        <v>0</v>
      </c>
      <c r="BS104" s="1">
        <f t="shared" si="33"/>
        <v>103</v>
      </c>
      <c r="BT104">
        <f t="shared" si="27"/>
        <v>31</v>
      </c>
      <c r="BU104" s="1">
        <v>20</v>
      </c>
      <c r="BV104" s="1">
        <v>0</v>
      </c>
      <c r="BW104" s="1">
        <v>0</v>
      </c>
      <c r="BX104" s="1">
        <v>0.25</v>
      </c>
      <c r="BY104" s="1">
        <v>0</v>
      </c>
      <c r="BZ104">
        <f t="shared" si="52"/>
        <v>0</v>
      </c>
      <c r="CA104">
        <f t="shared" si="52"/>
        <v>0</v>
      </c>
      <c r="CB104">
        <f t="shared" si="52"/>
        <v>0</v>
      </c>
      <c r="CC104">
        <f t="shared" si="52"/>
        <v>0</v>
      </c>
      <c r="CD104">
        <f t="shared" si="52"/>
        <v>0</v>
      </c>
      <c r="CE104">
        <f t="shared" si="52"/>
        <v>0</v>
      </c>
      <c r="CF104">
        <f t="shared" si="50"/>
        <v>0</v>
      </c>
      <c r="CG104">
        <f t="shared" si="50"/>
        <v>0</v>
      </c>
      <c r="CH104">
        <f t="shared" si="50"/>
        <v>0</v>
      </c>
      <c r="CI104">
        <f t="shared" si="50"/>
        <v>0</v>
      </c>
      <c r="CJ104">
        <f t="shared" si="50"/>
        <v>0</v>
      </c>
      <c r="CK104">
        <f t="shared" si="56"/>
        <v>0</v>
      </c>
      <c r="CL104">
        <f t="shared" si="56"/>
        <v>0</v>
      </c>
      <c r="CM104">
        <f t="shared" si="56"/>
        <v>0</v>
      </c>
      <c r="CN104">
        <f t="shared" si="53"/>
        <v>2.5000000000000355E-2</v>
      </c>
      <c r="CO104">
        <f t="shared" si="53"/>
        <v>20.900000000000006</v>
      </c>
      <c r="CP104">
        <f t="shared" si="53"/>
        <v>0</v>
      </c>
      <c r="CQ104">
        <f t="shared" si="53"/>
        <v>36.374999999999993</v>
      </c>
      <c r="CR104">
        <f t="shared" si="53"/>
        <v>0</v>
      </c>
      <c r="CS104">
        <f t="shared" si="53"/>
        <v>51.874999999999993</v>
      </c>
      <c r="CT104">
        <f t="shared" si="51"/>
        <v>0</v>
      </c>
      <c r="CU104">
        <f t="shared" si="51"/>
        <v>67.375000000000014</v>
      </c>
      <c r="CV104">
        <f t="shared" si="51"/>
        <v>0</v>
      </c>
      <c r="CW104">
        <f t="shared" si="51"/>
        <v>82.875000000000014</v>
      </c>
      <c r="CX104">
        <f t="shared" si="51"/>
        <v>0</v>
      </c>
      <c r="CY104">
        <f t="shared" si="57"/>
        <v>98.375000000000014</v>
      </c>
      <c r="CZ104">
        <f t="shared" si="57"/>
        <v>0</v>
      </c>
      <c r="DA104">
        <f t="shared" si="57"/>
        <v>113.87500000000001</v>
      </c>
      <c r="DB104" s="74">
        <f t="shared" si="34"/>
        <v>975.29931859743158</v>
      </c>
      <c r="DC104" s="74">
        <f t="shared" si="49"/>
        <v>31.46126834185263</v>
      </c>
      <c r="DD104" s="73">
        <f t="shared" si="36"/>
        <v>1958369.5704753008</v>
      </c>
      <c r="DE104" s="74">
        <f t="shared" si="37"/>
        <v>2993.7992990156636</v>
      </c>
      <c r="DF104" s="74">
        <f t="shared" si="38"/>
        <v>96.574170935989144</v>
      </c>
      <c r="DG104" s="74">
        <f t="shared" si="39"/>
        <v>550569.34850607417</v>
      </c>
      <c r="DH104" s="74">
        <f t="shared" si="40"/>
        <v>80971.258382880202</v>
      </c>
      <c r="DI104" s="74">
        <f t="shared" si="41"/>
        <v>2611.9760768671031</v>
      </c>
      <c r="DJ104" s="74">
        <f t="shared" si="42"/>
        <v>4048.5629191440103</v>
      </c>
      <c r="DK104" s="74">
        <f t="shared" si="43"/>
        <v>2455257.5122550768</v>
      </c>
      <c r="DL104" s="74">
        <f t="shared" si="44"/>
        <v>3805649.1439953693</v>
      </c>
    </row>
    <row r="105" spans="1:116" x14ac:dyDescent="0.2">
      <c r="A105" s="96">
        <v>45139</v>
      </c>
      <c r="B105" s="4">
        <f t="shared" si="28"/>
        <v>2023</v>
      </c>
      <c r="C105" s="4">
        <f t="shared" si="29"/>
        <v>8</v>
      </c>
      <c r="D105" s="59">
        <v>53852606</v>
      </c>
      <c r="E105" s="59">
        <f>IFERROR(VLOOKUP($B105-1,CDM!$I$7:$N$18,2,FALSE)/12,0)+IFERROR(VLOOKUP($B105,CDM!$I$36:$L$46,2,FALSE)/24,0)+IFERROR(VLOOKUP($B105,CDM!$I$36:$L$46,2,FALSE)/2*$C105/78,0)</f>
        <v>2667294.2123286868</v>
      </c>
      <c r="F105" s="59">
        <f t="shared" si="30"/>
        <v>56519900.212328687</v>
      </c>
      <c r="G105" s="59">
        <v>62269</v>
      </c>
      <c r="H105" s="59">
        <v>15266346</v>
      </c>
      <c r="I105" s="59">
        <f>IFERROR(VLOOKUP($B105-1,CDM!$I$7:$N$18,3,FALSE)/12,0)+IFERROR(VLOOKUP($B105,CDM!$I$36:$L$46,3,FALSE)/24,0)+IFERROR(VLOOKUP($B105,CDM!$I$36:$L$46,3,FALSE)/2*$C105/78,0)</f>
        <v>1199827.8276797999</v>
      </c>
      <c r="J105" s="59">
        <f t="shared" si="31"/>
        <v>16466173.8276798</v>
      </c>
      <c r="K105" s="59">
        <v>5705</v>
      </c>
      <c r="L105" s="59">
        <v>69958445</v>
      </c>
      <c r="M105" s="2">
        <f>IFERROR(VLOOKUP($B105-1,CDM!$I$7:$N$18,4,FALSE)/12,0)+IFERROR(VLOOKUP($B105,CDM!$I$36:$L$46,4,FALSE)/24,0)+IFERROR(VLOOKUP($B105,CDM!$I$36:$L$46,4,FALSE)/2*$C105/78,0)</f>
        <v>4169849.2020360199</v>
      </c>
      <c r="N105" s="59">
        <f t="shared" si="32"/>
        <v>74128294.202036023</v>
      </c>
      <c r="O105" s="59">
        <v>185891</v>
      </c>
      <c r="P105" s="59">
        <v>940</v>
      </c>
      <c r="Q105" s="59">
        <v>404553</v>
      </c>
      <c r="R105" s="59">
        <v>1290</v>
      </c>
      <c r="S105" s="59">
        <v>17213</v>
      </c>
      <c r="T105" s="59">
        <v>261443</v>
      </c>
      <c r="U105" s="1">
        <v>22</v>
      </c>
      <c r="V105" s="59">
        <v>575</v>
      </c>
      <c r="W105" s="114">
        <f>Economic!J167</f>
        <v>850461.9</v>
      </c>
      <c r="X105" s="114">
        <f>Economic!K167</f>
        <v>662856.4</v>
      </c>
      <c r="Y105" s="114">
        <f>Economic!L167</f>
        <v>71555.5</v>
      </c>
      <c r="Z105" s="114">
        <f>Economic!M167</f>
        <v>852979</v>
      </c>
      <c r="AA105" s="114">
        <f>Economic!N167</f>
        <v>664978</v>
      </c>
      <c r="AB105" s="114">
        <f>Economic!O167</f>
        <v>30634</v>
      </c>
      <c r="AC105" s="114">
        <f>Economic!D167</f>
        <v>7747.4</v>
      </c>
      <c r="AD105" s="114">
        <f>Economic!E167</f>
        <v>7825.4</v>
      </c>
      <c r="AE105" s="114">
        <f>Economic!F167</f>
        <v>3586.5</v>
      </c>
      <c r="AF105" s="114">
        <f>Economic!G167</f>
        <v>3624.3</v>
      </c>
      <c r="AG105" s="114">
        <f>Economic!H167</f>
        <v>423.1</v>
      </c>
      <c r="AH105" s="114">
        <f>Economic!I167</f>
        <v>420.8</v>
      </c>
      <c r="AI105" s="114">
        <f>Economic!P179</f>
        <v>193.10000000000036</v>
      </c>
      <c r="AJ105" s="114">
        <f>Economic!Q179</f>
        <v>194.90000000000055</v>
      </c>
      <c r="AK105" s="114">
        <f>Economic!R179</f>
        <v>108</v>
      </c>
      <c r="AL105" s="114">
        <f>Economic!S179</f>
        <v>108.69999999999982</v>
      </c>
      <c r="AM105" s="114">
        <f>Economic!T179</f>
        <v>15397.699999999953</v>
      </c>
      <c r="AN105" s="114">
        <f>Economic!U179</f>
        <v>2198</v>
      </c>
      <c r="AO105" s="28">
        <f>Weather!D297</f>
        <v>20.251612903225805</v>
      </c>
      <c r="AP105" s="28">
        <f>Weather!E297</f>
        <v>24.599999999999998</v>
      </c>
      <c r="AQ105" s="28">
        <f>Weather!F297</f>
        <v>32.400000000000006</v>
      </c>
      <c r="AR105" s="28">
        <f>Weather!G297</f>
        <v>5.8999999999999986</v>
      </c>
      <c r="AS105" s="28">
        <f>Weather!H297</f>
        <v>75.7</v>
      </c>
      <c r="AT105" s="28">
        <f>Weather!I297</f>
        <v>0</v>
      </c>
      <c r="AU105" s="28">
        <f>Weather!J297</f>
        <v>131.80000000000004</v>
      </c>
      <c r="AV105" s="28">
        <f>Weather!K297</f>
        <v>0</v>
      </c>
      <c r="AW105" s="28">
        <f>Weather!L297</f>
        <v>193.8</v>
      </c>
      <c r="AX105" s="28">
        <f>Weather!M297</f>
        <v>0</v>
      </c>
      <c r="AY105" s="28">
        <f>Weather!N297</f>
        <v>255.8</v>
      </c>
      <c r="AZ105" s="28">
        <f>Weather!O297</f>
        <v>0</v>
      </c>
      <c r="BA105" s="28">
        <f>Weather!P297</f>
        <v>317.8</v>
      </c>
      <c r="BB105" s="28">
        <f>Weather!Q297</f>
        <v>0</v>
      </c>
      <c r="BC105" s="28">
        <f>Weather!R297</f>
        <v>379.80000000000007</v>
      </c>
      <c r="BD105">
        <f t="shared" si="55"/>
        <v>0</v>
      </c>
      <c r="BE105">
        <f t="shared" si="55"/>
        <v>0</v>
      </c>
      <c r="BF105">
        <f t="shared" si="55"/>
        <v>0</v>
      </c>
      <c r="BG105">
        <f t="shared" si="55"/>
        <v>0</v>
      </c>
      <c r="BH105">
        <f t="shared" si="55"/>
        <v>0</v>
      </c>
      <c r="BI105">
        <f t="shared" si="55"/>
        <v>0</v>
      </c>
      <c r="BJ105">
        <f t="shared" si="55"/>
        <v>0</v>
      </c>
      <c r="BK105">
        <f t="shared" si="55"/>
        <v>1</v>
      </c>
      <c r="BL105">
        <f t="shared" si="55"/>
        <v>0</v>
      </c>
      <c r="BM105">
        <f t="shared" si="55"/>
        <v>0</v>
      </c>
      <c r="BN105">
        <f t="shared" si="55"/>
        <v>0</v>
      </c>
      <c r="BO105">
        <f t="shared" si="55"/>
        <v>0</v>
      </c>
      <c r="BP105" s="1">
        <f t="shared" si="55"/>
        <v>0</v>
      </c>
      <c r="BQ105" s="1">
        <f t="shared" si="55"/>
        <v>0</v>
      </c>
      <c r="BR105" s="1">
        <f t="shared" si="55"/>
        <v>0</v>
      </c>
      <c r="BS105" s="1">
        <f t="shared" si="33"/>
        <v>104</v>
      </c>
      <c r="BT105">
        <f t="shared" si="27"/>
        <v>31</v>
      </c>
      <c r="BU105" s="1">
        <v>22</v>
      </c>
      <c r="BV105" s="1">
        <v>0</v>
      </c>
      <c r="BW105" s="1">
        <v>0</v>
      </c>
      <c r="BX105" s="1">
        <v>0.25</v>
      </c>
      <c r="BY105" s="1">
        <v>0</v>
      </c>
      <c r="BZ105">
        <f t="shared" si="52"/>
        <v>0</v>
      </c>
      <c r="CA105">
        <f t="shared" si="52"/>
        <v>0</v>
      </c>
      <c r="CB105">
        <f t="shared" si="52"/>
        <v>0</v>
      </c>
      <c r="CC105">
        <f t="shared" si="52"/>
        <v>0</v>
      </c>
      <c r="CD105">
        <f t="shared" si="52"/>
        <v>0</v>
      </c>
      <c r="CE105">
        <f t="shared" si="52"/>
        <v>0</v>
      </c>
      <c r="CF105">
        <f t="shared" si="50"/>
        <v>0</v>
      </c>
      <c r="CG105">
        <f t="shared" si="50"/>
        <v>0</v>
      </c>
      <c r="CH105">
        <f t="shared" si="50"/>
        <v>0</v>
      </c>
      <c r="CI105">
        <f t="shared" si="50"/>
        <v>0</v>
      </c>
      <c r="CJ105">
        <f t="shared" si="50"/>
        <v>0</v>
      </c>
      <c r="CK105">
        <f t="shared" si="56"/>
        <v>0</v>
      </c>
      <c r="CL105">
        <f t="shared" si="56"/>
        <v>0</v>
      </c>
      <c r="CM105">
        <f t="shared" si="56"/>
        <v>0</v>
      </c>
      <c r="CN105">
        <f t="shared" si="53"/>
        <v>6.1499999999999995</v>
      </c>
      <c r="CO105">
        <f t="shared" si="53"/>
        <v>8.1000000000000014</v>
      </c>
      <c r="CP105">
        <f t="shared" si="53"/>
        <v>1.4749999999999996</v>
      </c>
      <c r="CQ105">
        <f t="shared" si="53"/>
        <v>18.925000000000001</v>
      </c>
      <c r="CR105">
        <f t="shared" si="53"/>
        <v>0</v>
      </c>
      <c r="CS105">
        <f t="shared" si="53"/>
        <v>32.95000000000001</v>
      </c>
      <c r="CT105">
        <f t="shared" si="51"/>
        <v>0</v>
      </c>
      <c r="CU105">
        <f t="shared" si="51"/>
        <v>48.45</v>
      </c>
      <c r="CV105">
        <f t="shared" si="51"/>
        <v>0</v>
      </c>
      <c r="CW105">
        <f t="shared" si="51"/>
        <v>63.95</v>
      </c>
      <c r="CX105">
        <f t="shared" si="51"/>
        <v>0</v>
      </c>
      <c r="CY105">
        <f t="shared" si="57"/>
        <v>79.45</v>
      </c>
      <c r="CZ105">
        <f t="shared" si="57"/>
        <v>0</v>
      </c>
      <c r="DA105">
        <f t="shared" si="57"/>
        <v>94.950000000000017</v>
      </c>
      <c r="DB105" s="74">
        <f t="shared" si="34"/>
        <v>907.67316340921946</v>
      </c>
      <c r="DC105" s="74">
        <f t="shared" si="49"/>
        <v>29.279779464813529</v>
      </c>
      <c r="DD105" s="73">
        <f t="shared" si="36"/>
        <v>1823222.5874944737</v>
      </c>
      <c r="DE105" s="74">
        <f t="shared" si="37"/>
        <v>2886.2706095845397</v>
      </c>
      <c r="DF105" s="74">
        <f t="shared" si="38"/>
        <v>93.105503534985147</v>
      </c>
      <c r="DG105" s="74">
        <f t="shared" si="39"/>
        <v>531166.89766709029</v>
      </c>
      <c r="DH105" s="74">
        <f t="shared" si="40"/>
        <v>78859.887448974492</v>
      </c>
      <c r="DI105" s="74">
        <f t="shared" si="41"/>
        <v>2543.8673370636934</v>
      </c>
      <c r="DJ105" s="74">
        <f t="shared" si="42"/>
        <v>3584.5403385897498</v>
      </c>
      <c r="DK105" s="74">
        <f t="shared" si="43"/>
        <v>2391235.2968398719</v>
      </c>
      <c r="DL105" s="74">
        <f t="shared" si="44"/>
        <v>3369467.9182743649</v>
      </c>
    </row>
    <row r="106" spans="1:116" x14ac:dyDescent="0.2">
      <c r="A106" s="96">
        <v>45170</v>
      </c>
      <c r="B106" s="4">
        <f t="shared" si="28"/>
        <v>2023</v>
      </c>
      <c r="C106" s="4">
        <f t="shared" si="29"/>
        <v>9</v>
      </c>
      <c r="D106" s="59">
        <v>44044958</v>
      </c>
      <c r="E106" s="59">
        <f>IFERROR(VLOOKUP($B106-1,CDM!$I$7:$N$18,2,FALSE)/12,0)+IFERROR(VLOOKUP($B106,CDM!$I$36:$L$46,2,FALSE)/24,0)+IFERROR(VLOOKUP($B106,CDM!$I$36:$L$46,2,FALSE)/2*$C106/78,0)</f>
        <v>2669530.7399230539</v>
      </c>
      <c r="F106" s="59">
        <f t="shared" si="30"/>
        <v>46714488.739923052</v>
      </c>
      <c r="G106" s="59">
        <v>62178</v>
      </c>
      <c r="H106" s="59">
        <v>13791630</v>
      </c>
      <c r="I106" s="59">
        <f>IFERROR(VLOOKUP($B106-1,CDM!$I$7:$N$18,3,FALSE)/12,0)+IFERROR(VLOOKUP($B106,CDM!$I$36:$L$46,3,FALSE)/24,0)+IFERROR(VLOOKUP($B106,CDM!$I$36:$L$46,3,FALSE)/2*$C106/78,0)</f>
        <v>1205659.8516712992</v>
      </c>
      <c r="J106" s="59">
        <f t="shared" si="31"/>
        <v>14997289.851671299</v>
      </c>
      <c r="K106" s="59">
        <v>5691</v>
      </c>
      <c r="L106" s="59">
        <v>65931547</v>
      </c>
      <c r="M106" s="2">
        <f>IFERROR(VLOOKUP($B106-1,CDM!$I$7:$N$18,4,FALSE)/12,0)+IFERROR(VLOOKUP($B106,CDM!$I$36:$L$46,4,FALSE)/24,0)+IFERROR(VLOOKUP($B106,CDM!$I$36:$L$46,4,FALSE)/2*$C106/78,0)</f>
        <v>4205708.5241646543</v>
      </c>
      <c r="N106" s="59">
        <f t="shared" si="32"/>
        <v>70137255.524164647</v>
      </c>
      <c r="O106" s="59">
        <v>195045</v>
      </c>
      <c r="P106" s="59">
        <v>940</v>
      </c>
      <c r="Q106" s="59">
        <v>446544</v>
      </c>
      <c r="R106" s="59">
        <v>1290</v>
      </c>
      <c r="S106" s="59">
        <v>17213</v>
      </c>
      <c r="T106" s="59">
        <v>261443</v>
      </c>
      <c r="U106" s="1">
        <v>22</v>
      </c>
      <c r="V106" s="59">
        <v>575</v>
      </c>
      <c r="W106" s="114">
        <f>Economic!J168</f>
        <v>850461.9</v>
      </c>
      <c r="X106" s="114">
        <f>Economic!K168</f>
        <v>662856.4</v>
      </c>
      <c r="Y106" s="114">
        <f>Economic!L168</f>
        <v>71555.5</v>
      </c>
      <c r="Z106" s="114">
        <f>Economic!M168</f>
        <v>852979</v>
      </c>
      <c r="AA106" s="114">
        <f>Economic!N168</f>
        <v>664978</v>
      </c>
      <c r="AB106" s="114">
        <f>Economic!O168</f>
        <v>30634</v>
      </c>
      <c r="AC106" s="114">
        <f>Economic!D168</f>
        <v>7740.7</v>
      </c>
      <c r="AD106" s="114">
        <f>Economic!E168</f>
        <v>7766.7</v>
      </c>
      <c r="AE106" s="114">
        <f>Economic!F168</f>
        <v>3575.3</v>
      </c>
      <c r="AF106" s="114">
        <f>Economic!G168</f>
        <v>3586.4</v>
      </c>
      <c r="AG106" s="114">
        <f>Economic!H168</f>
        <v>423.1</v>
      </c>
      <c r="AH106" s="114">
        <f>Economic!I168</f>
        <v>419.8</v>
      </c>
      <c r="AI106" s="114">
        <f>Economic!P180</f>
        <v>204.30000000000018</v>
      </c>
      <c r="AJ106" s="114">
        <f>Economic!Q180</f>
        <v>201.69999999999982</v>
      </c>
      <c r="AK106" s="114">
        <f>Economic!R180</f>
        <v>114.5</v>
      </c>
      <c r="AL106" s="114">
        <f>Economic!S180</f>
        <v>112.19999999999982</v>
      </c>
      <c r="AM106" s="114">
        <f>Economic!T180</f>
        <v>15397.699999999953</v>
      </c>
      <c r="AN106" s="114">
        <f>Economic!U180</f>
        <v>2198</v>
      </c>
      <c r="AO106" s="28">
        <f>Weather!D298</f>
        <v>18.68666666666666</v>
      </c>
      <c r="AP106" s="28">
        <f>Weather!E298</f>
        <v>66.3</v>
      </c>
      <c r="AQ106" s="28">
        <f>Weather!F298</f>
        <v>26.900000000000002</v>
      </c>
      <c r="AR106" s="28">
        <f>Weather!G298</f>
        <v>22.200000000000006</v>
      </c>
      <c r="AS106" s="28">
        <f>Weather!H298</f>
        <v>42.8</v>
      </c>
      <c r="AT106" s="28">
        <f>Weather!I298</f>
        <v>0.69999999999999929</v>
      </c>
      <c r="AU106" s="28">
        <f>Weather!J298</f>
        <v>81.3</v>
      </c>
      <c r="AV106" s="28">
        <f>Weather!K298</f>
        <v>0</v>
      </c>
      <c r="AW106" s="28">
        <f>Weather!L298</f>
        <v>140.60000000000002</v>
      </c>
      <c r="AX106" s="28">
        <f>Weather!M298</f>
        <v>0</v>
      </c>
      <c r="AY106" s="28">
        <f>Weather!N298</f>
        <v>200.6</v>
      </c>
      <c r="AZ106" s="28">
        <f>Weather!O298</f>
        <v>0</v>
      </c>
      <c r="BA106" s="28">
        <f>Weather!P298</f>
        <v>260.60000000000002</v>
      </c>
      <c r="BB106" s="28">
        <f>Weather!Q298</f>
        <v>0</v>
      </c>
      <c r="BC106" s="28">
        <f>Weather!R298</f>
        <v>320.59999999999991</v>
      </c>
      <c r="BD106">
        <f t="shared" si="55"/>
        <v>0</v>
      </c>
      <c r="BE106">
        <f t="shared" si="55"/>
        <v>0</v>
      </c>
      <c r="BF106">
        <f t="shared" si="55"/>
        <v>0</v>
      </c>
      <c r="BG106">
        <f t="shared" si="55"/>
        <v>0</v>
      </c>
      <c r="BH106">
        <f t="shared" si="55"/>
        <v>0</v>
      </c>
      <c r="BI106">
        <f t="shared" si="55"/>
        <v>0</v>
      </c>
      <c r="BJ106">
        <f t="shared" si="55"/>
        <v>0</v>
      </c>
      <c r="BK106">
        <f t="shared" si="55"/>
        <v>0</v>
      </c>
      <c r="BL106">
        <f t="shared" si="55"/>
        <v>1</v>
      </c>
      <c r="BM106">
        <f t="shared" si="55"/>
        <v>0</v>
      </c>
      <c r="BN106">
        <f t="shared" si="55"/>
        <v>0</v>
      </c>
      <c r="BO106">
        <f t="shared" si="55"/>
        <v>0</v>
      </c>
      <c r="BP106" s="1">
        <f t="shared" si="55"/>
        <v>0</v>
      </c>
      <c r="BQ106" s="1">
        <f t="shared" si="55"/>
        <v>1</v>
      </c>
      <c r="BR106" s="1">
        <f t="shared" si="55"/>
        <v>1</v>
      </c>
      <c r="BS106" s="1">
        <f t="shared" si="33"/>
        <v>105</v>
      </c>
      <c r="BT106">
        <f t="shared" si="27"/>
        <v>30</v>
      </c>
      <c r="BU106" s="1">
        <v>20</v>
      </c>
      <c r="BV106" s="1">
        <v>0</v>
      </c>
      <c r="BW106" s="1">
        <v>0</v>
      </c>
      <c r="BX106" s="1">
        <v>0.25</v>
      </c>
      <c r="BY106" s="1">
        <v>0</v>
      </c>
      <c r="BZ106">
        <f t="shared" si="52"/>
        <v>0</v>
      </c>
      <c r="CA106">
        <f t="shared" si="52"/>
        <v>0</v>
      </c>
      <c r="CB106">
        <f t="shared" si="52"/>
        <v>0</v>
      </c>
      <c r="CC106">
        <f t="shared" si="52"/>
        <v>0</v>
      </c>
      <c r="CD106">
        <f t="shared" si="52"/>
        <v>0</v>
      </c>
      <c r="CE106">
        <f t="shared" si="52"/>
        <v>0</v>
      </c>
      <c r="CF106">
        <f t="shared" si="50"/>
        <v>0</v>
      </c>
      <c r="CG106">
        <f t="shared" si="50"/>
        <v>0</v>
      </c>
      <c r="CH106">
        <f t="shared" si="50"/>
        <v>0</v>
      </c>
      <c r="CI106">
        <f t="shared" si="50"/>
        <v>0</v>
      </c>
      <c r="CJ106">
        <f t="shared" si="50"/>
        <v>0</v>
      </c>
      <c r="CK106">
        <f t="shared" si="56"/>
        <v>0</v>
      </c>
      <c r="CL106">
        <f t="shared" si="56"/>
        <v>0</v>
      </c>
      <c r="CM106">
        <f t="shared" si="56"/>
        <v>0</v>
      </c>
      <c r="CN106">
        <f t="shared" si="53"/>
        <v>16.574999999999999</v>
      </c>
      <c r="CO106">
        <f t="shared" si="53"/>
        <v>6.7250000000000005</v>
      </c>
      <c r="CP106">
        <f t="shared" si="53"/>
        <v>5.5500000000000016</v>
      </c>
      <c r="CQ106">
        <f t="shared" si="53"/>
        <v>10.7</v>
      </c>
      <c r="CR106">
        <f t="shared" si="53"/>
        <v>0.17499999999999982</v>
      </c>
      <c r="CS106">
        <f t="shared" si="53"/>
        <v>20.324999999999999</v>
      </c>
      <c r="CT106">
        <f t="shared" si="51"/>
        <v>0</v>
      </c>
      <c r="CU106">
        <f t="shared" si="51"/>
        <v>35.150000000000006</v>
      </c>
      <c r="CV106">
        <f t="shared" si="51"/>
        <v>0</v>
      </c>
      <c r="CW106">
        <f t="shared" si="51"/>
        <v>50.15</v>
      </c>
      <c r="CX106">
        <f t="shared" si="51"/>
        <v>0</v>
      </c>
      <c r="CY106">
        <f t="shared" si="57"/>
        <v>65.150000000000006</v>
      </c>
      <c r="CZ106">
        <f t="shared" si="57"/>
        <v>0</v>
      </c>
      <c r="DA106">
        <f t="shared" si="57"/>
        <v>80.149999999999977</v>
      </c>
      <c r="DB106" s="74">
        <f t="shared" si="34"/>
        <v>751.30253047578003</v>
      </c>
      <c r="DC106" s="74">
        <f t="shared" si="49"/>
        <v>25.043417682526002</v>
      </c>
      <c r="DD106" s="73">
        <f t="shared" si="36"/>
        <v>1557149.6246641017</v>
      </c>
      <c r="DE106" s="74">
        <f t="shared" si="37"/>
        <v>2635.264426580794</v>
      </c>
      <c r="DF106" s="74">
        <f t="shared" si="38"/>
        <v>87.842147552693135</v>
      </c>
      <c r="DG106" s="74">
        <f t="shared" si="39"/>
        <v>499909.66172237665</v>
      </c>
      <c r="DH106" s="74">
        <f t="shared" si="40"/>
        <v>74614.101621451759</v>
      </c>
      <c r="DI106" s="74">
        <f t="shared" si="41"/>
        <v>2487.1367207150588</v>
      </c>
      <c r="DJ106" s="74">
        <f t="shared" si="42"/>
        <v>3730.7050810725877</v>
      </c>
      <c r="DK106" s="74">
        <f t="shared" si="43"/>
        <v>2337908.5174721549</v>
      </c>
      <c r="DL106" s="74">
        <f t="shared" si="44"/>
        <v>3506862.7762082322</v>
      </c>
    </row>
    <row r="107" spans="1:116" x14ac:dyDescent="0.2">
      <c r="A107" s="96">
        <v>45200</v>
      </c>
      <c r="B107" s="4">
        <f t="shared" si="28"/>
        <v>2023</v>
      </c>
      <c r="C107" s="4">
        <f t="shared" si="29"/>
        <v>10</v>
      </c>
      <c r="D107" s="59">
        <v>38152268</v>
      </c>
      <c r="E107" s="59">
        <f>IFERROR(VLOOKUP($B107-1,CDM!$I$7:$N$18,2,FALSE)/12,0)+IFERROR(VLOOKUP($B107,CDM!$I$36:$L$46,2,FALSE)/24,0)+IFERROR(VLOOKUP($B107,CDM!$I$36:$L$46,2,FALSE)/2*$C107/78,0)</f>
        <v>2671767.2675174214</v>
      </c>
      <c r="F107" s="59">
        <f t="shared" si="30"/>
        <v>40824035.267517418</v>
      </c>
      <c r="G107" s="59">
        <v>62288</v>
      </c>
      <c r="H107" s="59">
        <v>13313710</v>
      </c>
      <c r="I107" s="59">
        <f>IFERROR(VLOOKUP($B107-1,CDM!$I$7:$N$18,3,FALSE)/12,0)+IFERROR(VLOOKUP($B107,CDM!$I$36:$L$46,3,FALSE)/24,0)+IFERROR(VLOOKUP($B107,CDM!$I$36:$L$46,3,FALSE)/2*$C107/78,0)</f>
        <v>1211491.8756627988</v>
      </c>
      <c r="J107" s="59">
        <f t="shared" si="31"/>
        <v>14525201.875662798</v>
      </c>
      <c r="K107" s="59">
        <v>5705</v>
      </c>
      <c r="L107" s="59">
        <v>63803482</v>
      </c>
      <c r="M107" s="2">
        <f>IFERROR(VLOOKUP($B107-1,CDM!$I$7:$N$18,4,FALSE)/12,0)+IFERROR(VLOOKUP($B107,CDM!$I$36:$L$46,4,FALSE)/24,0)+IFERROR(VLOOKUP($B107,CDM!$I$36:$L$46,4,FALSE)/2*$C107/78,0)</f>
        <v>4241567.8462932883</v>
      </c>
      <c r="N107" s="59">
        <f t="shared" si="32"/>
        <v>68045049.846293285</v>
      </c>
      <c r="O107" s="59">
        <v>181512</v>
      </c>
      <c r="P107" s="59">
        <v>940</v>
      </c>
      <c r="Q107" s="59">
        <v>520334</v>
      </c>
      <c r="R107" s="59">
        <v>1290</v>
      </c>
      <c r="S107" s="59">
        <v>17213</v>
      </c>
      <c r="T107" s="59">
        <v>263220</v>
      </c>
      <c r="U107" s="1">
        <v>21</v>
      </c>
      <c r="V107" s="59">
        <v>571</v>
      </c>
      <c r="W107" s="114">
        <f>Economic!J169</f>
        <v>850461.9</v>
      </c>
      <c r="X107" s="114">
        <f>Economic!K169</f>
        <v>662856.4</v>
      </c>
      <c r="Y107" s="114">
        <f>Economic!L169</f>
        <v>71555.5</v>
      </c>
      <c r="Z107" s="114">
        <f>Economic!M169</f>
        <v>852029</v>
      </c>
      <c r="AA107" s="114">
        <f>Economic!N169</f>
        <v>664944</v>
      </c>
      <c r="AB107" s="114">
        <f>Economic!O169</f>
        <v>31696</v>
      </c>
      <c r="AC107" s="114">
        <f>Economic!D169</f>
        <v>7740.3</v>
      </c>
      <c r="AD107" s="114">
        <f>Economic!E169</f>
        <v>7743.5</v>
      </c>
      <c r="AE107" s="114">
        <f>Economic!F169</f>
        <v>3568.6</v>
      </c>
      <c r="AF107" s="114">
        <f>Economic!G169</f>
        <v>3561.3</v>
      </c>
      <c r="AG107" s="114">
        <f>Economic!H169</f>
        <v>422.5</v>
      </c>
      <c r="AH107" s="114">
        <f>Economic!I169</f>
        <v>420.4</v>
      </c>
      <c r="AI107" s="114">
        <f>Economic!P181</f>
        <v>209.5</v>
      </c>
      <c r="AJ107" s="114">
        <f>Economic!Q181</f>
        <v>203.69999999999982</v>
      </c>
      <c r="AK107" s="114">
        <f>Economic!R181</f>
        <v>118.09999999999991</v>
      </c>
      <c r="AL107" s="114">
        <f>Economic!S181</f>
        <v>116</v>
      </c>
      <c r="AM107" s="114">
        <f>Economic!T181</f>
        <v>15397.699999999953</v>
      </c>
      <c r="AN107" s="114">
        <f>Economic!U181</f>
        <v>1875</v>
      </c>
      <c r="AO107" s="28">
        <f>Weather!D299</f>
        <v>13.283870967741938</v>
      </c>
      <c r="AP107" s="28">
        <f>Weather!E299</f>
        <v>215.59999999999997</v>
      </c>
      <c r="AQ107" s="28">
        <f>Weather!F299</f>
        <v>7.4000000000000021</v>
      </c>
      <c r="AR107" s="28">
        <f>Weather!G299</f>
        <v>164.10000000000002</v>
      </c>
      <c r="AS107" s="28">
        <f>Weather!H299</f>
        <v>17.900000000000002</v>
      </c>
      <c r="AT107" s="28">
        <f>Weather!I299</f>
        <v>119.80000000000001</v>
      </c>
      <c r="AU107" s="28">
        <f>Weather!J299</f>
        <v>35.6</v>
      </c>
      <c r="AV107" s="28">
        <f>Weather!K299</f>
        <v>77.599999999999994</v>
      </c>
      <c r="AW107" s="28">
        <f>Weather!L299</f>
        <v>55.400000000000006</v>
      </c>
      <c r="AX107" s="28">
        <f>Weather!M299</f>
        <v>40.699999999999996</v>
      </c>
      <c r="AY107" s="28">
        <f>Weather!N299</f>
        <v>80.5</v>
      </c>
      <c r="AZ107" s="28">
        <f>Weather!O299</f>
        <v>18.100000000000001</v>
      </c>
      <c r="BA107" s="28">
        <f>Weather!P299</f>
        <v>119.89999999999998</v>
      </c>
      <c r="BB107" s="28">
        <f>Weather!Q299</f>
        <v>8.1</v>
      </c>
      <c r="BC107" s="28">
        <f>Weather!R299</f>
        <v>171.9</v>
      </c>
      <c r="BD107">
        <f t="shared" si="55"/>
        <v>0</v>
      </c>
      <c r="BE107">
        <f t="shared" si="55"/>
        <v>0</v>
      </c>
      <c r="BF107">
        <f t="shared" si="55"/>
        <v>0</v>
      </c>
      <c r="BG107">
        <f t="shared" si="55"/>
        <v>0</v>
      </c>
      <c r="BH107">
        <f t="shared" si="55"/>
        <v>0</v>
      </c>
      <c r="BI107">
        <f t="shared" si="55"/>
        <v>0</v>
      </c>
      <c r="BJ107">
        <f t="shared" si="55"/>
        <v>0</v>
      </c>
      <c r="BK107">
        <f t="shared" si="55"/>
        <v>0</v>
      </c>
      <c r="BL107">
        <f t="shared" si="55"/>
        <v>0</v>
      </c>
      <c r="BM107">
        <f t="shared" si="55"/>
        <v>1</v>
      </c>
      <c r="BN107">
        <f t="shared" si="55"/>
        <v>0</v>
      </c>
      <c r="BO107">
        <f t="shared" si="55"/>
        <v>0</v>
      </c>
      <c r="BP107" s="1">
        <f t="shared" si="55"/>
        <v>0</v>
      </c>
      <c r="BQ107" s="1">
        <f t="shared" si="55"/>
        <v>1</v>
      </c>
      <c r="BR107" s="1">
        <f t="shared" si="55"/>
        <v>1</v>
      </c>
      <c r="BS107" s="1">
        <f t="shared" si="33"/>
        <v>106</v>
      </c>
      <c r="BT107">
        <f t="shared" si="27"/>
        <v>31</v>
      </c>
      <c r="BU107" s="1">
        <v>21</v>
      </c>
      <c r="BV107" s="1">
        <v>0</v>
      </c>
      <c r="BW107" s="1">
        <v>0</v>
      </c>
      <c r="BX107" s="1">
        <v>0.25</v>
      </c>
      <c r="BY107" s="1">
        <v>0</v>
      </c>
      <c r="BZ107">
        <f t="shared" si="52"/>
        <v>0</v>
      </c>
      <c r="CA107">
        <f t="shared" si="52"/>
        <v>0</v>
      </c>
      <c r="CB107">
        <f t="shared" si="52"/>
        <v>0</v>
      </c>
      <c r="CC107">
        <f t="shared" si="52"/>
        <v>0</v>
      </c>
      <c r="CD107">
        <f t="shared" si="52"/>
        <v>0</v>
      </c>
      <c r="CE107">
        <f t="shared" si="52"/>
        <v>0</v>
      </c>
      <c r="CF107">
        <f t="shared" si="50"/>
        <v>0</v>
      </c>
      <c r="CG107">
        <f t="shared" si="50"/>
        <v>0</v>
      </c>
      <c r="CH107">
        <f t="shared" si="50"/>
        <v>0</v>
      </c>
      <c r="CI107">
        <f t="shared" si="50"/>
        <v>0</v>
      </c>
      <c r="CJ107">
        <f t="shared" si="50"/>
        <v>0</v>
      </c>
      <c r="CK107">
        <f t="shared" si="56"/>
        <v>0</v>
      </c>
      <c r="CL107">
        <f t="shared" si="56"/>
        <v>0</v>
      </c>
      <c r="CM107">
        <f t="shared" si="56"/>
        <v>0</v>
      </c>
      <c r="CN107">
        <f t="shared" si="53"/>
        <v>53.899999999999991</v>
      </c>
      <c r="CO107">
        <f t="shared" si="53"/>
        <v>1.8500000000000005</v>
      </c>
      <c r="CP107">
        <f t="shared" si="53"/>
        <v>41.025000000000006</v>
      </c>
      <c r="CQ107">
        <f t="shared" si="53"/>
        <v>4.4750000000000005</v>
      </c>
      <c r="CR107">
        <f t="shared" si="53"/>
        <v>29.950000000000003</v>
      </c>
      <c r="CS107">
        <f t="shared" si="53"/>
        <v>8.9</v>
      </c>
      <c r="CT107">
        <f t="shared" si="51"/>
        <v>19.399999999999999</v>
      </c>
      <c r="CU107">
        <f t="shared" si="51"/>
        <v>13.850000000000001</v>
      </c>
      <c r="CV107">
        <f t="shared" si="51"/>
        <v>10.174999999999999</v>
      </c>
      <c r="CW107">
        <f t="shared" si="51"/>
        <v>20.125</v>
      </c>
      <c r="CX107">
        <f t="shared" si="51"/>
        <v>4.5250000000000004</v>
      </c>
      <c r="CY107">
        <f t="shared" si="57"/>
        <v>29.974999999999994</v>
      </c>
      <c r="CZ107">
        <f t="shared" si="57"/>
        <v>2.0249999999999999</v>
      </c>
      <c r="DA107">
        <f t="shared" si="57"/>
        <v>42.975000000000001</v>
      </c>
      <c r="DB107" s="74">
        <f t="shared" si="34"/>
        <v>655.40770722317973</v>
      </c>
      <c r="DC107" s="74">
        <f t="shared" si="49"/>
        <v>21.142184103973541</v>
      </c>
      <c r="DD107" s="73">
        <f t="shared" si="36"/>
        <v>1316904.3634683038</v>
      </c>
      <c r="DE107" s="74">
        <f t="shared" si="37"/>
        <v>2546.047655681472</v>
      </c>
      <c r="DF107" s="74">
        <f t="shared" si="38"/>
        <v>82.130569538111999</v>
      </c>
      <c r="DG107" s="74">
        <f t="shared" si="39"/>
        <v>468554.89921492897</v>
      </c>
      <c r="DH107" s="74">
        <f t="shared" si="40"/>
        <v>72388.350900312013</v>
      </c>
      <c r="DI107" s="74">
        <f t="shared" si="41"/>
        <v>2335.1080935584519</v>
      </c>
      <c r="DJ107" s="74">
        <f t="shared" si="42"/>
        <v>3447.0643285862861</v>
      </c>
      <c r="DK107" s="74">
        <f t="shared" si="43"/>
        <v>2195001.6079449449</v>
      </c>
      <c r="DL107" s="74">
        <f t="shared" si="44"/>
        <v>3240240.4688711087</v>
      </c>
    </row>
    <row r="108" spans="1:116" x14ac:dyDescent="0.2">
      <c r="A108" s="96">
        <v>45231</v>
      </c>
      <c r="B108" s="4">
        <f t="shared" si="28"/>
        <v>2023</v>
      </c>
      <c r="C108" s="4">
        <f t="shared" si="29"/>
        <v>11</v>
      </c>
      <c r="D108" s="59">
        <v>38097075</v>
      </c>
      <c r="E108" s="59">
        <f>IFERROR(VLOOKUP($B108-1,CDM!$I$7:$N$18,2,FALSE)/12,0)+IFERROR(VLOOKUP($B108,CDM!$I$36:$L$46,2,FALSE)/24,0)+IFERROR(VLOOKUP($B108,CDM!$I$36:$L$46,2,FALSE)/2*$C108/78,0)</f>
        <v>2674003.7951117884</v>
      </c>
      <c r="F108" s="59">
        <f t="shared" si="30"/>
        <v>40771078.79511179</v>
      </c>
      <c r="G108" s="59">
        <v>62341</v>
      </c>
      <c r="H108" s="59">
        <v>13572257</v>
      </c>
      <c r="I108" s="59">
        <f>IFERROR(VLOOKUP($B108-1,CDM!$I$7:$N$18,3,FALSE)/12,0)+IFERROR(VLOOKUP($B108,CDM!$I$36:$L$46,3,FALSE)/24,0)+IFERROR(VLOOKUP($B108,CDM!$I$36:$L$46,3,FALSE)/2*$C108/78,0)</f>
        <v>1217323.8996542981</v>
      </c>
      <c r="J108" s="59">
        <f t="shared" si="31"/>
        <v>14789580.899654299</v>
      </c>
      <c r="K108" s="59">
        <v>5706</v>
      </c>
      <c r="L108" s="59">
        <v>63257737</v>
      </c>
      <c r="M108" s="2">
        <f>IFERROR(VLOOKUP($B108-1,CDM!$I$7:$N$18,4,FALSE)/12,0)+IFERROR(VLOOKUP($B108,CDM!$I$36:$L$46,4,FALSE)/24,0)+IFERROR(VLOOKUP($B108,CDM!$I$36:$L$46,4,FALSE)/2*$C108/78,0)</f>
        <v>4277427.1684219232</v>
      </c>
      <c r="N108" s="59">
        <f t="shared" si="32"/>
        <v>67535164.168421924</v>
      </c>
      <c r="O108" s="59">
        <v>167264</v>
      </c>
      <c r="P108" s="59">
        <v>940</v>
      </c>
      <c r="Q108" s="59">
        <v>554775</v>
      </c>
      <c r="R108" s="59">
        <v>1293</v>
      </c>
      <c r="S108" s="59">
        <v>17213</v>
      </c>
      <c r="T108" s="59">
        <v>263220</v>
      </c>
      <c r="U108" s="1">
        <v>22</v>
      </c>
      <c r="V108" s="59">
        <v>576</v>
      </c>
      <c r="W108" s="114">
        <f>Economic!J170</f>
        <v>850461.9</v>
      </c>
      <c r="X108" s="114">
        <f>Economic!K170</f>
        <v>662856.4</v>
      </c>
      <c r="Y108" s="114">
        <f>Economic!L170</f>
        <v>71555.5</v>
      </c>
      <c r="Z108" s="114">
        <f>Economic!M170</f>
        <v>852029</v>
      </c>
      <c r="AA108" s="114">
        <f>Economic!N170</f>
        <v>664944</v>
      </c>
      <c r="AB108" s="114">
        <f>Economic!O170</f>
        <v>31696</v>
      </c>
      <c r="AC108" s="114">
        <f>Economic!D170</f>
        <v>7747.2</v>
      </c>
      <c r="AD108" s="114">
        <f>Economic!E170</f>
        <v>7738.9</v>
      </c>
      <c r="AE108" s="114">
        <f>Economic!F170</f>
        <v>3561.7</v>
      </c>
      <c r="AF108" s="114">
        <f>Economic!G170</f>
        <v>3547.1</v>
      </c>
      <c r="AG108" s="114">
        <f>Economic!H170</f>
        <v>422.8</v>
      </c>
      <c r="AH108" s="114">
        <f>Economic!I170</f>
        <v>423.2</v>
      </c>
      <c r="AI108" s="114">
        <f>Economic!P182</f>
        <v>206.19999999999982</v>
      </c>
      <c r="AJ108" s="114">
        <f>Economic!Q182</f>
        <v>200.40000000000055</v>
      </c>
      <c r="AK108" s="114">
        <f>Economic!R182</f>
        <v>128.60000000000036</v>
      </c>
      <c r="AL108" s="114">
        <f>Economic!S182</f>
        <v>126.30000000000018</v>
      </c>
      <c r="AM108" s="114">
        <f>Economic!T182</f>
        <v>15397.699999999953</v>
      </c>
      <c r="AN108" s="114">
        <f>Economic!U182</f>
        <v>1875</v>
      </c>
      <c r="AO108" s="28">
        <f>Weather!D300</f>
        <v>5.5299999999999994</v>
      </c>
      <c r="AP108" s="28">
        <f>Weather!E300</f>
        <v>434.09999999999997</v>
      </c>
      <c r="AQ108" s="28">
        <f>Weather!F300</f>
        <v>0</v>
      </c>
      <c r="AR108" s="28">
        <f>Weather!G300</f>
        <v>374.09999999999997</v>
      </c>
      <c r="AS108" s="28">
        <f>Weather!H300</f>
        <v>0</v>
      </c>
      <c r="AT108" s="28">
        <f>Weather!I300</f>
        <v>314.09999999999997</v>
      </c>
      <c r="AU108" s="28">
        <f>Weather!J300</f>
        <v>0</v>
      </c>
      <c r="AV108" s="28">
        <f>Weather!K300</f>
        <v>254.10000000000002</v>
      </c>
      <c r="AW108" s="28">
        <f>Weather!L300</f>
        <v>0</v>
      </c>
      <c r="AX108" s="28">
        <f>Weather!M300</f>
        <v>194.10000000000002</v>
      </c>
      <c r="AY108" s="28">
        <f>Weather!N300</f>
        <v>0</v>
      </c>
      <c r="AZ108" s="28">
        <f>Weather!O300</f>
        <v>137.9</v>
      </c>
      <c r="BA108" s="28">
        <f>Weather!P300</f>
        <v>3.8000000000000007</v>
      </c>
      <c r="BB108" s="28">
        <f>Weather!Q300</f>
        <v>89.800000000000011</v>
      </c>
      <c r="BC108" s="28">
        <f>Weather!R300</f>
        <v>15.700000000000001</v>
      </c>
      <c r="BD108">
        <f t="shared" si="55"/>
        <v>0</v>
      </c>
      <c r="BE108">
        <f t="shared" si="55"/>
        <v>0</v>
      </c>
      <c r="BF108">
        <f t="shared" si="55"/>
        <v>0</v>
      </c>
      <c r="BG108">
        <f t="shared" si="55"/>
        <v>0</v>
      </c>
      <c r="BH108">
        <f t="shared" si="55"/>
        <v>0</v>
      </c>
      <c r="BI108">
        <f t="shared" si="55"/>
        <v>0</v>
      </c>
      <c r="BJ108">
        <f t="shared" si="55"/>
        <v>0</v>
      </c>
      <c r="BK108">
        <f t="shared" si="55"/>
        <v>0</v>
      </c>
      <c r="BL108">
        <f t="shared" si="55"/>
        <v>0</v>
      </c>
      <c r="BM108">
        <f t="shared" si="55"/>
        <v>0</v>
      </c>
      <c r="BN108">
        <f t="shared" si="55"/>
        <v>1</v>
      </c>
      <c r="BO108">
        <f t="shared" si="55"/>
        <v>0</v>
      </c>
      <c r="BP108" s="1">
        <f t="shared" si="55"/>
        <v>0</v>
      </c>
      <c r="BQ108" s="1">
        <f t="shared" si="55"/>
        <v>1</v>
      </c>
      <c r="BR108" s="1">
        <f t="shared" si="55"/>
        <v>1</v>
      </c>
      <c r="BS108" s="1">
        <f t="shared" si="33"/>
        <v>107</v>
      </c>
      <c r="BT108">
        <f t="shared" si="27"/>
        <v>30</v>
      </c>
      <c r="BU108" s="1">
        <v>22</v>
      </c>
      <c r="BV108" s="1">
        <v>0</v>
      </c>
      <c r="BW108" s="1">
        <v>0</v>
      </c>
      <c r="BX108" s="1">
        <v>0.25</v>
      </c>
      <c r="BY108" s="1">
        <v>0</v>
      </c>
      <c r="BZ108">
        <f t="shared" si="52"/>
        <v>0</v>
      </c>
      <c r="CA108">
        <f t="shared" si="52"/>
        <v>0</v>
      </c>
      <c r="CB108">
        <f t="shared" si="52"/>
        <v>0</v>
      </c>
      <c r="CC108">
        <f t="shared" ref="CC108:CE115" si="58">$BW108*AS108</f>
        <v>0</v>
      </c>
      <c r="CD108">
        <f t="shared" si="58"/>
        <v>0</v>
      </c>
      <c r="CE108">
        <f t="shared" si="58"/>
        <v>0</v>
      </c>
      <c r="CF108">
        <f t="shared" si="50"/>
        <v>0</v>
      </c>
      <c r="CG108">
        <f t="shared" si="50"/>
        <v>0</v>
      </c>
      <c r="CH108">
        <f t="shared" si="50"/>
        <v>0</v>
      </c>
      <c r="CI108">
        <f t="shared" si="50"/>
        <v>0</v>
      </c>
      <c r="CJ108">
        <f t="shared" si="50"/>
        <v>0</v>
      </c>
      <c r="CK108">
        <f t="shared" si="56"/>
        <v>0</v>
      </c>
      <c r="CL108">
        <f t="shared" si="56"/>
        <v>0</v>
      </c>
      <c r="CM108">
        <f t="shared" si="56"/>
        <v>0</v>
      </c>
      <c r="CN108">
        <f t="shared" si="53"/>
        <v>108.52499999999999</v>
      </c>
      <c r="CO108">
        <f t="shared" si="53"/>
        <v>0</v>
      </c>
      <c r="CP108">
        <f t="shared" si="53"/>
        <v>93.524999999999991</v>
      </c>
      <c r="CQ108">
        <f t="shared" ref="CQ108:CS115" si="59">$BX108*AS108</f>
        <v>0</v>
      </c>
      <c r="CR108">
        <f t="shared" si="59"/>
        <v>78.524999999999991</v>
      </c>
      <c r="CS108">
        <f t="shared" si="59"/>
        <v>0</v>
      </c>
      <c r="CT108">
        <f t="shared" si="51"/>
        <v>63.525000000000006</v>
      </c>
      <c r="CU108">
        <f t="shared" si="51"/>
        <v>0</v>
      </c>
      <c r="CV108">
        <f t="shared" si="51"/>
        <v>48.525000000000006</v>
      </c>
      <c r="CW108">
        <f t="shared" si="51"/>
        <v>0</v>
      </c>
      <c r="CX108">
        <f t="shared" si="51"/>
        <v>34.475000000000001</v>
      </c>
      <c r="CY108">
        <f t="shared" si="57"/>
        <v>0.95000000000000018</v>
      </c>
      <c r="CZ108">
        <f t="shared" si="57"/>
        <v>22.450000000000003</v>
      </c>
      <c r="DA108">
        <f t="shared" si="57"/>
        <v>3.9250000000000003</v>
      </c>
      <c r="DB108" s="74">
        <f t="shared" si="34"/>
        <v>654.00103936593564</v>
      </c>
      <c r="DC108" s="74">
        <f t="shared" si="49"/>
        <v>21.800034645531188</v>
      </c>
      <c r="DD108" s="73">
        <f t="shared" si="36"/>
        <v>1359035.9598370597</v>
      </c>
      <c r="DE108" s="74">
        <f t="shared" si="37"/>
        <v>2591.9349631360496</v>
      </c>
      <c r="DF108" s="74">
        <f t="shared" si="38"/>
        <v>86.397832104534984</v>
      </c>
      <c r="DG108" s="74">
        <f t="shared" si="39"/>
        <v>492986.02998847666</v>
      </c>
      <c r="DH108" s="74">
        <f t="shared" si="40"/>
        <v>71845.91932810843</v>
      </c>
      <c r="DI108" s="74">
        <f t="shared" si="41"/>
        <v>2394.8639776036143</v>
      </c>
      <c r="DJ108" s="74">
        <f t="shared" si="42"/>
        <v>3265.7236058231106</v>
      </c>
      <c r="DK108" s="74">
        <f t="shared" si="43"/>
        <v>2251172.1389473975</v>
      </c>
      <c r="DL108" s="74">
        <f t="shared" si="44"/>
        <v>3069780.189473724</v>
      </c>
    </row>
    <row r="109" spans="1:116" x14ac:dyDescent="0.2">
      <c r="A109" s="96">
        <v>45261</v>
      </c>
      <c r="B109" s="4">
        <f t="shared" si="28"/>
        <v>2023</v>
      </c>
      <c r="C109" s="4">
        <f t="shared" si="29"/>
        <v>12</v>
      </c>
      <c r="D109" s="59">
        <v>43552410</v>
      </c>
      <c r="E109" s="59">
        <f>IFERROR(VLOOKUP($B109-1,CDM!$I$7:$N$18,2,FALSE)/12,0)+IFERROR(VLOOKUP($B109,CDM!$I$36:$L$46,2,FALSE)/24,0)+IFERROR(VLOOKUP($B109,CDM!$I$36:$L$46,2,FALSE)/2*$C109/78,0)</f>
        <v>2676240.3227061555</v>
      </c>
      <c r="F109" s="59">
        <f t="shared" si="30"/>
        <v>46228650.322706155</v>
      </c>
      <c r="G109" s="59">
        <v>62297</v>
      </c>
      <c r="H109" s="59">
        <v>14025774</v>
      </c>
      <c r="I109" s="59">
        <f>IFERROR(VLOOKUP($B109-1,CDM!$I$7:$N$18,3,FALSE)/12,0)+IFERROR(VLOOKUP($B109,CDM!$I$36:$L$46,3,FALSE)/24,0)+IFERROR(VLOOKUP($B109,CDM!$I$36:$L$46,3,FALSE)/2*$C109/78,0)</f>
        <v>1223155.9236457977</v>
      </c>
      <c r="J109" s="59">
        <f t="shared" si="31"/>
        <v>15248929.923645798</v>
      </c>
      <c r="K109" s="59">
        <v>5684</v>
      </c>
      <c r="L109" s="59">
        <v>62859586</v>
      </c>
      <c r="M109" s="2">
        <f>IFERROR(VLOOKUP($B109-1,CDM!$I$7:$N$18,4,FALSE)/12,0)+IFERROR(VLOOKUP($B109,CDM!$I$36:$L$46,4,FALSE)/24,0)+IFERROR(VLOOKUP($B109,CDM!$I$36:$L$46,4,FALSE)/2*$C109/78,0)</f>
        <v>4313286.4905505572</v>
      </c>
      <c r="N109" s="59">
        <f t="shared" si="32"/>
        <v>67172872.490550563</v>
      </c>
      <c r="O109" s="59">
        <v>165834</v>
      </c>
      <c r="P109" s="59">
        <v>971</v>
      </c>
      <c r="Q109" s="59">
        <v>599916</v>
      </c>
      <c r="R109" s="59">
        <v>1293</v>
      </c>
      <c r="S109" s="59">
        <v>17249</v>
      </c>
      <c r="T109" s="59">
        <v>265886</v>
      </c>
      <c r="U109" s="1">
        <v>22</v>
      </c>
      <c r="V109" s="59">
        <v>576</v>
      </c>
      <c r="W109" s="114">
        <f>Economic!J171</f>
        <v>850461.9</v>
      </c>
      <c r="X109" s="114">
        <f>Economic!K171</f>
        <v>662856.4</v>
      </c>
      <c r="Y109" s="114">
        <f>Economic!L171</f>
        <v>71555.5</v>
      </c>
      <c r="Z109" s="114">
        <f>Economic!M171</f>
        <v>852029</v>
      </c>
      <c r="AA109" s="114">
        <f>Economic!N171</f>
        <v>664944</v>
      </c>
      <c r="AB109" s="114">
        <f>Economic!O171</f>
        <v>31696</v>
      </c>
      <c r="AC109" s="114">
        <f>Economic!D171</f>
        <v>7776.1</v>
      </c>
      <c r="AD109" s="114">
        <f>Economic!E171</f>
        <v>7777.2</v>
      </c>
      <c r="AE109" s="114">
        <f>Economic!F171</f>
        <v>3572.5</v>
      </c>
      <c r="AF109" s="114">
        <f>Economic!G171</f>
        <v>3568.2</v>
      </c>
      <c r="AG109" s="114">
        <f>Economic!H171</f>
        <v>420.3</v>
      </c>
      <c r="AH109" s="114">
        <f>Economic!I171</f>
        <v>423.9</v>
      </c>
      <c r="AI109" s="114">
        <f>Economic!P183</f>
        <v>161.89999999999964</v>
      </c>
      <c r="AJ109" s="114">
        <f>Economic!Q183</f>
        <v>161</v>
      </c>
      <c r="AK109" s="114">
        <f>Economic!R183</f>
        <v>108.40000000000009</v>
      </c>
      <c r="AL109" s="114">
        <f>Economic!S183</f>
        <v>107.90000000000009</v>
      </c>
      <c r="AM109" s="114">
        <f>Economic!T183</f>
        <v>15397.699999999953</v>
      </c>
      <c r="AN109" s="114">
        <f>Economic!U183</f>
        <v>1875</v>
      </c>
      <c r="AO109" s="28">
        <f>Weather!D301</f>
        <v>3.7032258064516133</v>
      </c>
      <c r="AP109" s="28">
        <f>Weather!E301</f>
        <v>505.20000000000005</v>
      </c>
      <c r="AQ109" s="28">
        <f>Weather!F301</f>
        <v>0</v>
      </c>
      <c r="AR109" s="28">
        <f>Weather!G301</f>
        <v>443.20000000000005</v>
      </c>
      <c r="AS109" s="28">
        <f>Weather!H301</f>
        <v>0</v>
      </c>
      <c r="AT109" s="28">
        <f>Weather!I301</f>
        <v>381.20000000000005</v>
      </c>
      <c r="AU109" s="28">
        <f>Weather!J301</f>
        <v>0</v>
      </c>
      <c r="AV109" s="28">
        <f>Weather!K301</f>
        <v>319.20000000000005</v>
      </c>
      <c r="AW109" s="28">
        <f>Weather!L301</f>
        <v>0</v>
      </c>
      <c r="AX109" s="28">
        <f>Weather!M301</f>
        <v>257.2</v>
      </c>
      <c r="AY109" s="28">
        <f>Weather!N301</f>
        <v>0</v>
      </c>
      <c r="AZ109" s="28">
        <f>Weather!O301</f>
        <v>195.20000000000002</v>
      </c>
      <c r="BA109" s="28">
        <f>Weather!P301</f>
        <v>0</v>
      </c>
      <c r="BB109" s="28">
        <f>Weather!Q301</f>
        <v>134.9</v>
      </c>
      <c r="BC109" s="28">
        <f>Weather!R301</f>
        <v>1.6999999999999993</v>
      </c>
      <c r="BD109">
        <f t="shared" si="55"/>
        <v>0</v>
      </c>
      <c r="BE109">
        <f t="shared" si="55"/>
        <v>0</v>
      </c>
      <c r="BF109">
        <f t="shared" si="55"/>
        <v>0</v>
      </c>
      <c r="BG109">
        <f t="shared" si="55"/>
        <v>0</v>
      </c>
      <c r="BH109">
        <f t="shared" si="55"/>
        <v>0</v>
      </c>
      <c r="BI109">
        <f t="shared" si="55"/>
        <v>0</v>
      </c>
      <c r="BJ109">
        <f t="shared" si="55"/>
        <v>0</v>
      </c>
      <c r="BK109">
        <f t="shared" si="55"/>
        <v>0</v>
      </c>
      <c r="BL109">
        <f t="shared" si="55"/>
        <v>0</v>
      </c>
      <c r="BM109">
        <f t="shared" si="55"/>
        <v>0</v>
      </c>
      <c r="BN109">
        <f t="shared" si="55"/>
        <v>0</v>
      </c>
      <c r="BO109">
        <f t="shared" si="55"/>
        <v>1</v>
      </c>
      <c r="BP109" s="1">
        <f t="shared" si="55"/>
        <v>0</v>
      </c>
      <c r="BQ109" s="1">
        <f t="shared" si="55"/>
        <v>0</v>
      </c>
      <c r="BR109" s="1">
        <f t="shared" si="55"/>
        <v>0</v>
      </c>
      <c r="BS109" s="1">
        <f t="shared" si="33"/>
        <v>108</v>
      </c>
      <c r="BT109">
        <f t="shared" si="27"/>
        <v>31</v>
      </c>
      <c r="BU109" s="1">
        <v>19</v>
      </c>
      <c r="BV109" s="1">
        <v>0</v>
      </c>
      <c r="BW109" s="1">
        <v>0</v>
      </c>
      <c r="BX109" s="1">
        <v>0.25</v>
      </c>
      <c r="BY109" s="1">
        <v>0</v>
      </c>
      <c r="BZ109">
        <f t="shared" ref="BZ109:CB115" si="60">$BW109*AP109</f>
        <v>0</v>
      </c>
      <c r="CA109">
        <f t="shared" si="60"/>
        <v>0</v>
      </c>
      <c r="CB109">
        <f t="shared" si="60"/>
        <v>0</v>
      </c>
      <c r="CC109">
        <f t="shared" si="58"/>
        <v>0</v>
      </c>
      <c r="CD109">
        <f t="shared" si="58"/>
        <v>0</v>
      </c>
      <c r="CE109">
        <f t="shared" si="58"/>
        <v>0</v>
      </c>
      <c r="CF109">
        <f t="shared" si="50"/>
        <v>0</v>
      </c>
      <c r="CG109">
        <f t="shared" si="50"/>
        <v>0</v>
      </c>
      <c r="CH109">
        <f t="shared" si="50"/>
        <v>0</v>
      </c>
      <c r="CI109">
        <f t="shared" si="50"/>
        <v>0</v>
      </c>
      <c r="CJ109">
        <f t="shared" si="50"/>
        <v>0</v>
      </c>
      <c r="CK109">
        <f t="shared" si="56"/>
        <v>0</v>
      </c>
      <c r="CL109">
        <f t="shared" si="56"/>
        <v>0</v>
      </c>
      <c r="CM109">
        <f t="shared" si="56"/>
        <v>0</v>
      </c>
      <c r="CN109">
        <f t="shared" ref="CN109:CP115" si="61">$BX109*AP109</f>
        <v>126.30000000000001</v>
      </c>
      <c r="CO109">
        <f t="shared" si="61"/>
        <v>0</v>
      </c>
      <c r="CP109">
        <f t="shared" si="61"/>
        <v>110.80000000000001</v>
      </c>
      <c r="CQ109">
        <f t="shared" si="59"/>
        <v>0</v>
      </c>
      <c r="CR109">
        <f t="shared" si="59"/>
        <v>95.300000000000011</v>
      </c>
      <c r="CS109">
        <f t="shared" si="59"/>
        <v>0</v>
      </c>
      <c r="CT109">
        <f t="shared" si="51"/>
        <v>79.800000000000011</v>
      </c>
      <c r="CU109">
        <f t="shared" si="51"/>
        <v>0</v>
      </c>
      <c r="CV109">
        <f t="shared" si="51"/>
        <v>64.3</v>
      </c>
      <c r="CW109">
        <f t="shared" si="51"/>
        <v>0</v>
      </c>
      <c r="CX109">
        <f t="shared" si="51"/>
        <v>48.800000000000004</v>
      </c>
      <c r="CY109">
        <f t="shared" si="57"/>
        <v>0</v>
      </c>
      <c r="CZ109">
        <f t="shared" si="57"/>
        <v>33.725000000000001</v>
      </c>
      <c r="DA109">
        <f t="shared" si="57"/>
        <v>0.42499999999999982</v>
      </c>
      <c r="DB109" s="74">
        <f t="shared" si="34"/>
        <v>742.0686441193983</v>
      </c>
      <c r="DC109" s="74">
        <f t="shared" si="49"/>
        <v>23.937698197399946</v>
      </c>
      <c r="DD109" s="73">
        <f t="shared" si="36"/>
        <v>1491246.7846034244</v>
      </c>
      <c r="DE109" s="74">
        <f t="shared" si="37"/>
        <v>2682.7814784739267</v>
      </c>
      <c r="DF109" s="74">
        <f t="shared" si="38"/>
        <v>86.541338015287963</v>
      </c>
      <c r="DG109" s="74">
        <f t="shared" si="39"/>
        <v>491900.96527889674</v>
      </c>
      <c r="DH109" s="74">
        <f t="shared" si="40"/>
        <v>69179.065386766801</v>
      </c>
      <c r="DI109" s="74">
        <f t="shared" si="41"/>
        <v>2231.5827544118324</v>
      </c>
      <c r="DJ109" s="74">
        <f t="shared" si="42"/>
        <v>3641.0034414087791</v>
      </c>
      <c r="DK109" s="74">
        <f t="shared" si="43"/>
        <v>2166866.8545338893</v>
      </c>
      <c r="DL109" s="74">
        <f t="shared" si="44"/>
        <v>3535414.3416079246</v>
      </c>
    </row>
    <row r="110" spans="1:116" x14ac:dyDescent="0.2">
      <c r="A110" s="96">
        <v>45292</v>
      </c>
      <c r="B110" s="4">
        <f t="shared" si="28"/>
        <v>2024</v>
      </c>
      <c r="C110" s="4">
        <f t="shared" si="29"/>
        <v>1</v>
      </c>
      <c r="D110" s="59">
        <v>44815995.68</v>
      </c>
      <c r="E110" s="59">
        <f>IFERROR(VLOOKUP($B110-1,CDM!$I$7:$N$18,2,FALSE)/12,0)+IFERROR(VLOOKUP($B110,CDM!$I$36:$L$46,2,FALSE)/24,0)+IFERROR(VLOOKUP($B110,CDM!$I$36:$L$46,2,FALSE)/2*$C110/78,0)</f>
        <v>2704946.4861328774</v>
      </c>
      <c r="F110" s="59">
        <f t="shared" si="30"/>
        <v>47520942.166132875</v>
      </c>
      <c r="G110" s="59">
        <v>62372</v>
      </c>
      <c r="H110" s="59">
        <v>14749181.1</v>
      </c>
      <c r="I110" s="59">
        <f>IFERROR(VLOOKUP($B110-1,CDM!$I$7:$N$18,3,FALSE)/12,0)+IFERROR(VLOOKUP($B110,CDM!$I$36:$L$46,3,FALSE)/24,0)+IFERROR(VLOOKUP($B110,CDM!$I$36:$L$46,3,FALSE)/2*$C110/78,0)</f>
        <v>1235735.062170709</v>
      </c>
      <c r="J110" s="59">
        <f t="shared" si="31"/>
        <v>15984916.162170708</v>
      </c>
      <c r="K110" s="59">
        <v>5693</v>
      </c>
      <c r="L110" s="59">
        <v>69170317.640000001</v>
      </c>
      <c r="M110" s="2">
        <f>IFERROR(VLOOKUP($B110-1,CDM!$I$7:$N$18,4,FALSE)/12,0)+IFERROR(VLOOKUP($B110,CDM!$I$36:$L$46,4,FALSE)/24,0)+IFERROR(VLOOKUP($B110,CDM!$I$36:$L$46,4,FALSE)/2*$C110/78,0)</f>
        <v>4442082.6372073926</v>
      </c>
      <c r="N110" s="59">
        <f t="shared" si="32"/>
        <v>73612400.277207389</v>
      </c>
      <c r="O110" s="59">
        <v>169028.48999999987</v>
      </c>
      <c r="P110" s="59">
        <v>969</v>
      </c>
      <c r="Q110" s="59">
        <v>585608.81999999995</v>
      </c>
      <c r="R110" s="59">
        <v>1292.8300000000002</v>
      </c>
      <c r="S110" s="59">
        <v>17249</v>
      </c>
      <c r="T110" s="59">
        <v>268142.48</v>
      </c>
      <c r="U110" s="1">
        <v>22</v>
      </c>
      <c r="V110" s="59">
        <v>578</v>
      </c>
      <c r="W110" s="114">
        <f>Economic!J172</f>
        <v>865859.6</v>
      </c>
      <c r="X110" s="114">
        <f>Economic!K172</f>
        <v>679067</v>
      </c>
      <c r="Y110" s="114">
        <f>Economic!L172</f>
        <v>74531.5</v>
      </c>
      <c r="Z110" s="114">
        <f>Economic!M172</f>
        <v>860658</v>
      </c>
      <c r="AA110" s="114">
        <f>Economic!N172</f>
        <v>671794</v>
      </c>
      <c r="AB110" s="114">
        <f>Economic!O172</f>
        <v>32304</v>
      </c>
      <c r="AC110" s="114">
        <f>Economic!D172</f>
        <v>7807</v>
      </c>
      <c r="AD110" s="114">
        <f>Economic!E172</f>
        <v>7776.6</v>
      </c>
      <c r="AE110" s="114">
        <f>Economic!F172</f>
        <v>3585.7</v>
      </c>
      <c r="AF110" s="114">
        <f>Economic!G172</f>
        <v>3574.1</v>
      </c>
      <c r="AG110" s="114">
        <f>Economic!H172</f>
        <v>417.7</v>
      </c>
      <c r="AH110" s="114">
        <f>Economic!I172</f>
        <v>421.5</v>
      </c>
      <c r="AI110" s="114">
        <f>Economic!P184</f>
        <v>127.19999999999982</v>
      </c>
      <c r="AJ110" s="114">
        <f>Economic!Q184</f>
        <v>128.29999999999927</v>
      </c>
      <c r="AK110" s="114">
        <f>Economic!R184</f>
        <v>88.5</v>
      </c>
      <c r="AL110" s="114">
        <f>Economic!S184</f>
        <v>86.599999999999909</v>
      </c>
      <c r="AM110" s="114">
        <f>Economic!T184</f>
        <v>12410.654266666621</v>
      </c>
      <c r="AN110" s="114">
        <f>Economic!U184</f>
        <v>4826</v>
      </c>
      <c r="AO110" s="28">
        <f>Weather!D302</f>
        <v>-0.91612903225806464</v>
      </c>
      <c r="AP110" s="28">
        <f>Weather!E302</f>
        <v>648.40000000000009</v>
      </c>
      <c r="AQ110" s="28">
        <f>Weather!F302</f>
        <v>0</v>
      </c>
      <c r="AR110" s="28">
        <f>Weather!G302</f>
        <v>586.4</v>
      </c>
      <c r="AS110" s="28">
        <f>Weather!H302</f>
        <v>0</v>
      </c>
      <c r="AT110" s="28">
        <f>Weather!I302</f>
        <v>524.39999999999986</v>
      </c>
      <c r="AU110" s="28">
        <f>Weather!J302</f>
        <v>0</v>
      </c>
      <c r="AV110" s="28">
        <f>Weather!K302</f>
        <v>462.39999999999992</v>
      </c>
      <c r="AW110" s="28">
        <f>Weather!L302</f>
        <v>0</v>
      </c>
      <c r="AX110" s="28">
        <f>Weather!M302</f>
        <v>400.39999999999992</v>
      </c>
      <c r="AY110" s="28">
        <f>Weather!N302</f>
        <v>0</v>
      </c>
      <c r="AZ110" s="28">
        <f>Weather!O302</f>
        <v>338.4</v>
      </c>
      <c r="BA110" s="28">
        <f>Weather!P302</f>
        <v>0</v>
      </c>
      <c r="BB110" s="28">
        <f>Weather!Q302</f>
        <v>276.39999999999998</v>
      </c>
      <c r="BC110" s="28">
        <f>Weather!R302</f>
        <v>0</v>
      </c>
      <c r="BD110">
        <f t="shared" si="55"/>
        <v>1</v>
      </c>
      <c r="BE110">
        <f t="shared" si="55"/>
        <v>0</v>
      </c>
      <c r="BF110">
        <f t="shared" si="55"/>
        <v>0</v>
      </c>
      <c r="BG110">
        <f t="shared" si="55"/>
        <v>0</v>
      </c>
      <c r="BH110">
        <f t="shared" si="55"/>
        <v>0</v>
      </c>
      <c r="BI110">
        <f t="shared" si="55"/>
        <v>0</v>
      </c>
      <c r="BJ110">
        <f t="shared" si="55"/>
        <v>0</v>
      </c>
      <c r="BK110">
        <f t="shared" si="55"/>
        <v>0</v>
      </c>
      <c r="BL110">
        <f t="shared" si="55"/>
        <v>0</v>
      </c>
      <c r="BM110">
        <f t="shared" si="55"/>
        <v>0</v>
      </c>
      <c r="BN110">
        <f t="shared" si="55"/>
        <v>0</v>
      </c>
      <c r="BO110">
        <f t="shared" si="55"/>
        <v>0</v>
      </c>
      <c r="BP110" s="1">
        <f t="shared" si="55"/>
        <v>0</v>
      </c>
      <c r="BQ110" s="1">
        <f t="shared" si="55"/>
        <v>0</v>
      </c>
      <c r="BR110" s="1">
        <f t="shared" si="55"/>
        <v>0</v>
      </c>
      <c r="BS110" s="1">
        <f t="shared" si="33"/>
        <v>109</v>
      </c>
      <c r="BT110">
        <f t="shared" si="27"/>
        <v>31</v>
      </c>
      <c r="BU110" s="1">
        <v>22</v>
      </c>
      <c r="BV110" s="1">
        <v>0</v>
      </c>
      <c r="BW110" s="1">
        <v>0</v>
      </c>
      <c r="BX110" s="1">
        <v>0.25</v>
      </c>
      <c r="BY110" s="1">
        <v>0</v>
      </c>
      <c r="BZ110">
        <f t="shared" si="60"/>
        <v>0</v>
      </c>
      <c r="CA110">
        <f t="shared" si="60"/>
        <v>0</v>
      </c>
      <c r="CB110">
        <f t="shared" si="60"/>
        <v>0</v>
      </c>
      <c r="CC110">
        <f t="shared" si="58"/>
        <v>0</v>
      </c>
      <c r="CD110">
        <f t="shared" si="58"/>
        <v>0</v>
      </c>
      <c r="CE110">
        <f t="shared" si="58"/>
        <v>0</v>
      </c>
      <c r="CF110">
        <f t="shared" si="50"/>
        <v>0</v>
      </c>
      <c r="CG110">
        <f t="shared" si="50"/>
        <v>0</v>
      </c>
      <c r="CH110">
        <f t="shared" si="50"/>
        <v>0</v>
      </c>
      <c r="CI110">
        <f t="shared" si="50"/>
        <v>0</v>
      </c>
      <c r="CJ110">
        <f t="shared" si="50"/>
        <v>0</v>
      </c>
      <c r="CK110">
        <f t="shared" si="56"/>
        <v>0</v>
      </c>
      <c r="CL110">
        <f t="shared" si="56"/>
        <v>0</v>
      </c>
      <c r="CM110">
        <f t="shared" si="56"/>
        <v>0</v>
      </c>
      <c r="CN110">
        <f t="shared" si="61"/>
        <v>162.10000000000002</v>
      </c>
      <c r="CO110">
        <f t="shared" si="61"/>
        <v>0</v>
      </c>
      <c r="CP110">
        <f t="shared" si="61"/>
        <v>146.6</v>
      </c>
      <c r="CQ110">
        <f t="shared" si="59"/>
        <v>0</v>
      </c>
      <c r="CR110">
        <f t="shared" si="59"/>
        <v>131.09999999999997</v>
      </c>
      <c r="CS110">
        <f t="shared" si="59"/>
        <v>0</v>
      </c>
      <c r="CT110">
        <f t="shared" si="51"/>
        <v>115.59999999999998</v>
      </c>
      <c r="CU110">
        <f t="shared" si="51"/>
        <v>0</v>
      </c>
      <c r="CV110">
        <f t="shared" si="51"/>
        <v>100.09999999999998</v>
      </c>
      <c r="CW110">
        <f t="shared" si="51"/>
        <v>0</v>
      </c>
      <c r="CX110">
        <f t="shared" si="51"/>
        <v>84.6</v>
      </c>
      <c r="CY110">
        <f t="shared" si="57"/>
        <v>0</v>
      </c>
      <c r="CZ110">
        <f t="shared" si="57"/>
        <v>69.099999999999994</v>
      </c>
      <c r="DA110">
        <f t="shared" si="57"/>
        <v>0</v>
      </c>
      <c r="DB110" s="74">
        <f t="shared" si="34"/>
        <v>761.89543651210283</v>
      </c>
      <c r="DC110" s="74">
        <f t="shared" si="49"/>
        <v>24.577272145551703</v>
      </c>
      <c r="DD110" s="73">
        <f t="shared" si="36"/>
        <v>1532933.6182623508</v>
      </c>
      <c r="DE110" s="74">
        <f t="shared" si="37"/>
        <v>2807.8194558529262</v>
      </c>
      <c r="DF110" s="74">
        <f t="shared" si="38"/>
        <v>90.574821156546008</v>
      </c>
      <c r="DG110" s="74">
        <f t="shared" si="39"/>
        <v>515642.45684421639</v>
      </c>
      <c r="DH110" s="74">
        <f t="shared" si="40"/>
        <v>75967.389346963246</v>
      </c>
      <c r="DI110" s="74">
        <f t="shared" si="41"/>
        <v>2450.5609466762339</v>
      </c>
      <c r="DJ110" s="74">
        <f t="shared" si="42"/>
        <v>3453.0631521346932</v>
      </c>
      <c r="DK110" s="74">
        <f t="shared" si="43"/>
        <v>2374593.5573292705</v>
      </c>
      <c r="DL110" s="74">
        <f t="shared" si="44"/>
        <v>3346018.1944185179</v>
      </c>
    </row>
    <row r="111" spans="1:116" x14ac:dyDescent="0.2">
      <c r="A111" s="96">
        <v>45323</v>
      </c>
      <c r="B111" s="4">
        <f t="shared" si="28"/>
        <v>2024</v>
      </c>
      <c r="C111" s="4">
        <f t="shared" si="29"/>
        <v>2</v>
      </c>
      <c r="D111" s="59">
        <v>39298818.640000008</v>
      </c>
      <c r="E111" s="59">
        <f>IFERROR(VLOOKUP($B111-1,CDM!$I$7:$N$18,2,FALSE)/12,0)+IFERROR(VLOOKUP($B111,CDM!$I$36:$L$46,2,FALSE)/24,0)+IFERROR(VLOOKUP($B111,CDM!$I$36:$L$46,2,FALSE)/2*$C111/78,0)</f>
        <v>2710414.0948256426</v>
      </c>
      <c r="F111" s="59">
        <f t="shared" si="30"/>
        <v>42009232.734825648</v>
      </c>
      <c r="G111" s="59">
        <v>62384</v>
      </c>
      <c r="H111" s="59">
        <v>13533744.660000002</v>
      </c>
      <c r="I111" s="59">
        <f>IFERROR(VLOOKUP($B111-1,CDM!$I$7:$N$18,3,FALSE)/12,0)+IFERROR(VLOOKUP($B111,CDM!$I$36:$L$46,3,FALSE)/24,0)+IFERROR(VLOOKUP($B111,CDM!$I$36:$L$46,3,FALSE)/2*$C111/78,0)</f>
        <v>1241689.0982344635</v>
      </c>
      <c r="J111" s="59">
        <f t="shared" si="31"/>
        <v>14775433.758234465</v>
      </c>
      <c r="K111" s="59">
        <v>5693</v>
      </c>
      <c r="L111" s="59">
        <v>62940857.429999992</v>
      </c>
      <c r="M111" s="2">
        <f>IFERROR(VLOOKUP($B111-1,CDM!$I$7:$N$18,4,FALSE)/12,0)+IFERROR(VLOOKUP($B111,CDM!$I$36:$L$46,4,FALSE)/24,0)+IFERROR(VLOOKUP($B111,CDM!$I$36:$L$46,4,FALSE)/2*$C111/78,0)</f>
        <v>4485552.2929893024</v>
      </c>
      <c r="N111" s="59">
        <f t="shared" si="32"/>
        <v>67426409.722989291</v>
      </c>
      <c r="O111" s="59">
        <v>166137.06699999992</v>
      </c>
      <c r="P111" s="59">
        <v>969</v>
      </c>
      <c r="Q111" s="59">
        <v>504979.32</v>
      </c>
      <c r="R111" s="59">
        <v>1292.8300000000002</v>
      </c>
      <c r="S111" s="59">
        <v>17249</v>
      </c>
      <c r="T111" s="59">
        <v>273326.48</v>
      </c>
      <c r="U111" s="1">
        <v>22</v>
      </c>
      <c r="V111" s="59">
        <v>579</v>
      </c>
      <c r="W111" s="114">
        <f>Economic!J173</f>
        <v>865859.6</v>
      </c>
      <c r="X111" s="114">
        <f>Economic!K173</f>
        <v>679067</v>
      </c>
      <c r="Y111" s="114">
        <f>Economic!L173</f>
        <v>74531.5</v>
      </c>
      <c r="Z111" s="114">
        <f>Economic!M173</f>
        <v>860658</v>
      </c>
      <c r="AA111" s="114">
        <f>Economic!N173</f>
        <v>671794</v>
      </c>
      <c r="AB111" s="114">
        <f>Economic!O173</f>
        <v>32304</v>
      </c>
      <c r="AC111" s="114">
        <f>Economic!D173</f>
        <v>7840.7</v>
      </c>
      <c r="AD111" s="114">
        <f>Economic!E173</f>
        <v>7780.5</v>
      </c>
      <c r="AE111" s="114">
        <f>Economic!F173</f>
        <v>3612.8</v>
      </c>
      <c r="AF111" s="114">
        <f>Economic!G173</f>
        <v>3594.2</v>
      </c>
      <c r="AG111" s="114">
        <f>Economic!H173</f>
        <v>414.5</v>
      </c>
      <c r="AH111" s="114">
        <f>Economic!I173</f>
        <v>415.6</v>
      </c>
      <c r="AI111" s="114">
        <f>Economic!P185</f>
        <v>91.300000000000182</v>
      </c>
      <c r="AJ111" s="114">
        <f>Economic!Q185</f>
        <v>93.600000000000364</v>
      </c>
      <c r="AK111" s="114">
        <f>Economic!R185</f>
        <v>61.399999999999636</v>
      </c>
      <c r="AL111" s="114">
        <f>Economic!S185</f>
        <v>60.400000000000091</v>
      </c>
      <c r="AM111" s="114">
        <f>Economic!T185</f>
        <v>12410.654266666621</v>
      </c>
      <c r="AN111" s="114">
        <f>Economic!U185</f>
        <v>4826</v>
      </c>
      <c r="AO111" s="28">
        <f>Weather!D303</f>
        <v>1.1344827586206896</v>
      </c>
      <c r="AP111" s="28">
        <f>Weather!E303</f>
        <v>547.1</v>
      </c>
      <c r="AQ111" s="28">
        <f>Weather!F303</f>
        <v>0</v>
      </c>
      <c r="AR111" s="28">
        <f>Weather!G303</f>
        <v>489.09999999999997</v>
      </c>
      <c r="AS111" s="28">
        <f>Weather!H303</f>
        <v>0</v>
      </c>
      <c r="AT111" s="28">
        <f>Weather!I303</f>
        <v>431.09999999999997</v>
      </c>
      <c r="AU111" s="28">
        <f>Weather!J303</f>
        <v>0</v>
      </c>
      <c r="AV111" s="28">
        <f>Weather!K303</f>
        <v>373.09999999999997</v>
      </c>
      <c r="AW111" s="28">
        <f>Weather!L303</f>
        <v>0</v>
      </c>
      <c r="AX111" s="28">
        <f>Weather!M303</f>
        <v>315.10000000000008</v>
      </c>
      <c r="AY111" s="28">
        <f>Weather!N303</f>
        <v>0</v>
      </c>
      <c r="AZ111" s="28">
        <f>Weather!O303</f>
        <v>257.10000000000008</v>
      </c>
      <c r="BA111" s="28">
        <f>Weather!P303</f>
        <v>0</v>
      </c>
      <c r="BB111" s="28">
        <f>Weather!Q303</f>
        <v>199.4</v>
      </c>
      <c r="BC111" s="28">
        <f>Weather!R303</f>
        <v>0.30000000000000071</v>
      </c>
      <c r="BD111">
        <f t="shared" ref="BD111:BR115" si="62">BD99</f>
        <v>0</v>
      </c>
      <c r="BE111">
        <f t="shared" si="62"/>
        <v>1</v>
      </c>
      <c r="BF111">
        <f t="shared" si="62"/>
        <v>0</v>
      </c>
      <c r="BG111">
        <f t="shared" si="62"/>
        <v>0</v>
      </c>
      <c r="BH111">
        <f t="shared" si="62"/>
        <v>0</v>
      </c>
      <c r="BI111">
        <f t="shared" si="62"/>
        <v>0</v>
      </c>
      <c r="BJ111">
        <f t="shared" si="62"/>
        <v>0</v>
      </c>
      <c r="BK111">
        <f t="shared" si="62"/>
        <v>0</v>
      </c>
      <c r="BL111">
        <f t="shared" si="62"/>
        <v>0</v>
      </c>
      <c r="BM111">
        <f t="shared" si="62"/>
        <v>0</v>
      </c>
      <c r="BN111">
        <f t="shared" si="62"/>
        <v>0</v>
      </c>
      <c r="BO111">
        <f t="shared" si="62"/>
        <v>0</v>
      </c>
      <c r="BP111" s="1">
        <f t="shared" si="62"/>
        <v>0</v>
      </c>
      <c r="BQ111" s="1">
        <f t="shared" si="62"/>
        <v>0</v>
      </c>
      <c r="BR111" s="1">
        <f t="shared" si="62"/>
        <v>0</v>
      </c>
      <c r="BS111" s="1">
        <f t="shared" si="33"/>
        <v>110</v>
      </c>
      <c r="BT111">
        <f t="shared" si="27"/>
        <v>29</v>
      </c>
      <c r="BU111" s="1">
        <v>20</v>
      </c>
      <c r="BV111" s="1">
        <v>0</v>
      </c>
      <c r="BW111" s="1">
        <v>0</v>
      </c>
      <c r="BX111" s="1">
        <v>0.25</v>
      </c>
      <c r="BY111" s="1">
        <v>0</v>
      </c>
      <c r="BZ111">
        <f t="shared" si="60"/>
        <v>0</v>
      </c>
      <c r="CA111">
        <f t="shared" si="60"/>
        <v>0</v>
      </c>
      <c r="CB111">
        <f t="shared" si="60"/>
        <v>0</v>
      </c>
      <c r="CC111">
        <f t="shared" si="58"/>
        <v>0</v>
      </c>
      <c r="CD111">
        <f t="shared" si="58"/>
        <v>0</v>
      </c>
      <c r="CE111">
        <f t="shared" si="58"/>
        <v>0</v>
      </c>
      <c r="CF111">
        <f t="shared" si="50"/>
        <v>0</v>
      </c>
      <c r="CG111">
        <f t="shared" si="50"/>
        <v>0</v>
      </c>
      <c r="CH111">
        <f t="shared" si="50"/>
        <v>0</v>
      </c>
      <c r="CI111">
        <f t="shared" si="50"/>
        <v>0</v>
      </c>
      <c r="CJ111">
        <f t="shared" si="50"/>
        <v>0</v>
      </c>
      <c r="CK111">
        <f t="shared" si="56"/>
        <v>0</v>
      </c>
      <c r="CL111">
        <f t="shared" si="56"/>
        <v>0</v>
      </c>
      <c r="CM111">
        <f t="shared" si="56"/>
        <v>0</v>
      </c>
      <c r="CN111">
        <f t="shared" si="61"/>
        <v>136.77500000000001</v>
      </c>
      <c r="CO111">
        <f t="shared" si="61"/>
        <v>0</v>
      </c>
      <c r="CP111">
        <f t="shared" si="61"/>
        <v>122.27499999999999</v>
      </c>
      <c r="CQ111">
        <f t="shared" si="59"/>
        <v>0</v>
      </c>
      <c r="CR111">
        <f t="shared" si="59"/>
        <v>107.77499999999999</v>
      </c>
      <c r="CS111">
        <f t="shared" si="59"/>
        <v>0</v>
      </c>
      <c r="CT111">
        <f t="shared" si="51"/>
        <v>93.274999999999991</v>
      </c>
      <c r="CU111">
        <f t="shared" si="51"/>
        <v>0</v>
      </c>
      <c r="CV111">
        <f t="shared" si="51"/>
        <v>78.77500000000002</v>
      </c>
      <c r="CW111">
        <f t="shared" si="51"/>
        <v>0</v>
      </c>
      <c r="CX111">
        <f t="shared" si="51"/>
        <v>64.27500000000002</v>
      </c>
      <c r="CY111">
        <f t="shared" si="57"/>
        <v>0</v>
      </c>
      <c r="CZ111">
        <f t="shared" si="57"/>
        <v>49.85</v>
      </c>
      <c r="DA111">
        <f t="shared" si="57"/>
        <v>7.5000000000000178E-2</v>
      </c>
      <c r="DB111" s="74">
        <f t="shared" si="34"/>
        <v>673.39754960928519</v>
      </c>
      <c r="DC111" s="74">
        <f t="shared" si="49"/>
        <v>23.22060515894087</v>
      </c>
      <c r="DD111" s="73">
        <f t="shared" si="36"/>
        <v>1448594.2322353672</v>
      </c>
      <c r="DE111" s="74">
        <f t="shared" si="37"/>
        <v>2595.3686559343869</v>
      </c>
      <c r="DF111" s="74">
        <f t="shared" si="38"/>
        <v>89.495470894289198</v>
      </c>
      <c r="DG111" s="74">
        <f t="shared" si="39"/>
        <v>509497.71580118849</v>
      </c>
      <c r="DH111" s="74">
        <f t="shared" si="40"/>
        <v>69583.498166139616</v>
      </c>
      <c r="DI111" s="74">
        <f t="shared" si="41"/>
        <v>2399.4309712461936</v>
      </c>
      <c r="DJ111" s="74">
        <f t="shared" si="42"/>
        <v>3479.1749083069808</v>
      </c>
      <c r="DK111" s="74">
        <f t="shared" si="43"/>
        <v>2325048.611137562</v>
      </c>
      <c r="DL111" s="74">
        <f t="shared" si="44"/>
        <v>3371320.4861494647</v>
      </c>
    </row>
    <row r="112" spans="1:116" x14ac:dyDescent="0.2">
      <c r="A112" s="96">
        <v>45352</v>
      </c>
      <c r="B112" s="4">
        <f t="shared" si="28"/>
        <v>2024</v>
      </c>
      <c r="C112" s="4">
        <f t="shared" si="29"/>
        <v>3</v>
      </c>
      <c r="D112" s="59">
        <v>39417918.57</v>
      </c>
      <c r="E112" s="59">
        <f>IFERROR(VLOOKUP($B112-1,CDM!$I$7:$N$18,2,FALSE)/12,0)+IFERROR(VLOOKUP($B112,CDM!$I$36:$L$46,2,FALSE)/24,0)+IFERROR(VLOOKUP($B112,CDM!$I$36:$L$46,2,FALSE)/2*$C112/78,0)</f>
        <v>2715881.7035184084</v>
      </c>
      <c r="F112" s="59">
        <f t="shared" si="30"/>
        <v>42133800.273518406</v>
      </c>
      <c r="G112" s="59">
        <v>62449</v>
      </c>
      <c r="H112" s="59">
        <v>13855001.66</v>
      </c>
      <c r="I112" s="59">
        <f>IFERROR(VLOOKUP($B112-1,CDM!$I$7:$N$18,3,FALSE)/12,0)+IFERROR(VLOOKUP($B112,CDM!$I$36:$L$46,3,FALSE)/24,0)+IFERROR(VLOOKUP($B112,CDM!$I$36:$L$46,3,FALSE)/2*$C112/78,0)</f>
        <v>1247643.1342982177</v>
      </c>
      <c r="J112" s="59">
        <f t="shared" si="31"/>
        <v>15102644.794298219</v>
      </c>
      <c r="K112" s="59">
        <v>5700</v>
      </c>
      <c r="L112" s="59">
        <v>64997365.470000006</v>
      </c>
      <c r="M112" s="2">
        <f>IFERROR(VLOOKUP($B112-1,CDM!$I$7:$N$18,4,FALSE)/12,0)+IFERROR(VLOOKUP($B112,CDM!$I$36:$L$46,4,FALSE)/24,0)+IFERROR(VLOOKUP($B112,CDM!$I$36:$L$46,4,FALSE)/2*$C112/78,0)</f>
        <v>4529021.9487712122</v>
      </c>
      <c r="N112" s="59">
        <f t="shared" si="32"/>
        <v>69526387.418771222</v>
      </c>
      <c r="O112" s="59">
        <v>163938.38700000005</v>
      </c>
      <c r="P112" s="59">
        <v>970</v>
      </c>
      <c r="Q112" s="59">
        <v>483678.07</v>
      </c>
      <c r="R112" s="59">
        <v>1292.8300000000002</v>
      </c>
      <c r="S112" s="59">
        <v>17249</v>
      </c>
      <c r="T112" s="59">
        <v>273326.48</v>
      </c>
      <c r="U112" s="1">
        <v>22</v>
      </c>
      <c r="V112" s="59">
        <v>579</v>
      </c>
      <c r="W112" s="114">
        <f>Economic!J174</f>
        <v>865859.6</v>
      </c>
      <c r="X112" s="114">
        <f>Economic!K174</f>
        <v>679067</v>
      </c>
      <c r="Y112" s="114">
        <f>Economic!L174</f>
        <v>74531.5</v>
      </c>
      <c r="Z112" s="114">
        <f>Economic!M174</f>
        <v>860658</v>
      </c>
      <c r="AA112" s="114">
        <f>Economic!N174</f>
        <v>671794</v>
      </c>
      <c r="AB112" s="114">
        <f>Economic!O174</f>
        <v>32304</v>
      </c>
      <c r="AC112" s="114">
        <f>Economic!D174</f>
        <v>7866.6</v>
      </c>
      <c r="AD112" s="114">
        <f>Economic!E174</f>
        <v>7781.3</v>
      </c>
      <c r="AE112" s="114">
        <f>Economic!F174</f>
        <v>3644.7</v>
      </c>
      <c r="AF112" s="114">
        <f>Economic!G174</f>
        <v>3613.5</v>
      </c>
      <c r="AG112" s="114">
        <f>Economic!H174</f>
        <v>413.2</v>
      </c>
      <c r="AH112" s="114">
        <f>Economic!I174</f>
        <v>411</v>
      </c>
      <c r="AI112" s="114">
        <f>Economic!P186</f>
        <v>84.299999999999272</v>
      </c>
      <c r="AJ112" s="114">
        <f>Economic!Q186</f>
        <v>89.599999999999454</v>
      </c>
      <c r="AK112" s="114">
        <f>Economic!R186</f>
        <v>38.300000000000182</v>
      </c>
      <c r="AL112" s="114">
        <f>Economic!S186</f>
        <v>40.099999999999909</v>
      </c>
      <c r="AM112" s="114">
        <f>Economic!T186</f>
        <v>12410.654266666621</v>
      </c>
      <c r="AN112" s="114">
        <f>Economic!U186</f>
        <v>4826</v>
      </c>
      <c r="AO112" s="28">
        <f>Weather!D304</f>
        <v>4.1451612903225818</v>
      </c>
      <c r="AP112" s="28">
        <f>Weather!E304</f>
        <v>491.50000000000011</v>
      </c>
      <c r="AQ112" s="28">
        <f>Weather!F304</f>
        <v>0</v>
      </c>
      <c r="AR112" s="28">
        <f>Weather!G304</f>
        <v>429.50000000000011</v>
      </c>
      <c r="AS112" s="28">
        <f>Weather!H304</f>
        <v>0</v>
      </c>
      <c r="AT112" s="28">
        <f>Weather!I304</f>
        <v>367.50000000000006</v>
      </c>
      <c r="AU112" s="28">
        <f>Weather!J304</f>
        <v>0</v>
      </c>
      <c r="AV112" s="28">
        <f>Weather!K304</f>
        <v>305.50000000000006</v>
      </c>
      <c r="AW112" s="28">
        <f>Weather!L304</f>
        <v>0</v>
      </c>
      <c r="AX112" s="28">
        <f>Weather!M304</f>
        <v>244.9</v>
      </c>
      <c r="AY112" s="28">
        <f>Weather!N304</f>
        <v>1.4000000000000004</v>
      </c>
      <c r="AZ112" s="28">
        <f>Weather!O304</f>
        <v>184.99999999999997</v>
      </c>
      <c r="BA112" s="28">
        <f>Weather!P304</f>
        <v>3.5</v>
      </c>
      <c r="BB112" s="28">
        <f>Weather!Q304</f>
        <v>126.99999999999997</v>
      </c>
      <c r="BC112" s="28">
        <f>Weather!R304</f>
        <v>7.5</v>
      </c>
      <c r="BD112">
        <f t="shared" si="62"/>
        <v>0</v>
      </c>
      <c r="BE112">
        <f t="shared" si="62"/>
        <v>0</v>
      </c>
      <c r="BF112">
        <f t="shared" si="62"/>
        <v>1</v>
      </c>
      <c r="BG112">
        <f t="shared" si="62"/>
        <v>0</v>
      </c>
      <c r="BH112">
        <f t="shared" si="62"/>
        <v>0</v>
      </c>
      <c r="BI112">
        <f t="shared" si="62"/>
        <v>0</v>
      </c>
      <c r="BJ112">
        <f t="shared" si="62"/>
        <v>0</v>
      </c>
      <c r="BK112">
        <f t="shared" si="62"/>
        <v>0</v>
      </c>
      <c r="BL112">
        <f t="shared" si="62"/>
        <v>0</v>
      </c>
      <c r="BM112">
        <f t="shared" si="62"/>
        <v>0</v>
      </c>
      <c r="BN112">
        <f t="shared" si="62"/>
        <v>0</v>
      </c>
      <c r="BO112">
        <f t="shared" si="62"/>
        <v>0</v>
      </c>
      <c r="BP112" s="1">
        <f t="shared" si="62"/>
        <v>1</v>
      </c>
      <c r="BQ112" s="1">
        <f t="shared" si="62"/>
        <v>0</v>
      </c>
      <c r="BR112" s="1">
        <f t="shared" si="62"/>
        <v>1</v>
      </c>
      <c r="BS112" s="1">
        <f t="shared" si="33"/>
        <v>111</v>
      </c>
      <c r="BT112">
        <f t="shared" si="27"/>
        <v>31</v>
      </c>
      <c r="BU112" s="1">
        <v>20</v>
      </c>
      <c r="BV112" s="1">
        <v>0</v>
      </c>
      <c r="BW112" s="1">
        <v>0</v>
      </c>
      <c r="BX112" s="1">
        <v>0.25</v>
      </c>
      <c r="BY112" s="1">
        <v>0</v>
      </c>
      <c r="BZ112">
        <f t="shared" si="60"/>
        <v>0</v>
      </c>
      <c r="CA112">
        <f t="shared" si="60"/>
        <v>0</v>
      </c>
      <c r="CB112">
        <f t="shared" si="60"/>
        <v>0</v>
      </c>
      <c r="CC112">
        <f t="shared" si="58"/>
        <v>0</v>
      </c>
      <c r="CD112">
        <f t="shared" si="58"/>
        <v>0</v>
      </c>
      <c r="CE112">
        <f t="shared" si="58"/>
        <v>0</v>
      </c>
      <c r="CF112">
        <f t="shared" si="50"/>
        <v>0</v>
      </c>
      <c r="CG112">
        <f t="shared" si="50"/>
        <v>0</v>
      </c>
      <c r="CH112">
        <f t="shared" si="50"/>
        <v>0</v>
      </c>
      <c r="CI112">
        <f t="shared" si="50"/>
        <v>0</v>
      </c>
      <c r="CJ112">
        <f t="shared" si="50"/>
        <v>0</v>
      </c>
      <c r="CK112">
        <f t="shared" si="56"/>
        <v>0</v>
      </c>
      <c r="CL112">
        <f t="shared" si="56"/>
        <v>0</v>
      </c>
      <c r="CM112">
        <f t="shared" si="56"/>
        <v>0</v>
      </c>
      <c r="CN112">
        <f t="shared" si="61"/>
        <v>122.87500000000003</v>
      </c>
      <c r="CO112">
        <f t="shared" si="61"/>
        <v>0</v>
      </c>
      <c r="CP112">
        <f t="shared" si="61"/>
        <v>107.37500000000003</v>
      </c>
      <c r="CQ112">
        <f t="shared" si="59"/>
        <v>0</v>
      </c>
      <c r="CR112">
        <f t="shared" si="59"/>
        <v>91.875000000000014</v>
      </c>
      <c r="CS112">
        <f t="shared" si="59"/>
        <v>0</v>
      </c>
      <c r="CT112">
        <f t="shared" si="51"/>
        <v>76.375000000000014</v>
      </c>
      <c r="CU112">
        <f t="shared" si="51"/>
        <v>0</v>
      </c>
      <c r="CV112">
        <f t="shared" si="51"/>
        <v>61.225000000000001</v>
      </c>
      <c r="CW112">
        <f t="shared" si="51"/>
        <v>0.35000000000000009</v>
      </c>
      <c r="CX112">
        <f t="shared" si="51"/>
        <v>46.249999999999993</v>
      </c>
      <c r="CY112">
        <f t="shared" si="57"/>
        <v>0.875</v>
      </c>
      <c r="CZ112">
        <f t="shared" si="57"/>
        <v>31.749999999999993</v>
      </c>
      <c r="DA112">
        <f t="shared" si="57"/>
        <v>1.875</v>
      </c>
      <c r="DB112" s="74">
        <f t="shared" si="34"/>
        <v>674.69135251995078</v>
      </c>
      <c r="DC112" s="74">
        <f t="shared" si="49"/>
        <v>21.764237178062928</v>
      </c>
      <c r="DD112" s="73">
        <f t="shared" si="36"/>
        <v>1359154.8475328519</v>
      </c>
      <c r="DE112" s="74">
        <f t="shared" si="37"/>
        <v>2649.5868060172315</v>
      </c>
      <c r="DF112" s="74">
        <f t="shared" si="38"/>
        <v>85.470542129588111</v>
      </c>
      <c r="DG112" s="74">
        <f t="shared" si="39"/>
        <v>487182.09013865219</v>
      </c>
      <c r="DH112" s="74">
        <f t="shared" si="40"/>
        <v>71676.688060588887</v>
      </c>
      <c r="DI112" s="74">
        <f t="shared" si="41"/>
        <v>2312.1512277609318</v>
      </c>
      <c r="DJ112" s="74">
        <f t="shared" si="42"/>
        <v>3583.8344030294443</v>
      </c>
      <c r="DK112" s="74">
        <f t="shared" si="43"/>
        <v>2242786.6909281039</v>
      </c>
      <c r="DL112" s="74">
        <f t="shared" si="44"/>
        <v>3476319.3709385609</v>
      </c>
    </row>
    <row r="113" spans="1:116" x14ac:dyDescent="0.2">
      <c r="A113" s="96">
        <v>45383</v>
      </c>
      <c r="B113" s="4">
        <f t="shared" si="28"/>
        <v>2024</v>
      </c>
      <c r="C113" s="4">
        <f t="shared" si="29"/>
        <v>4</v>
      </c>
      <c r="D113" s="59">
        <v>36115006.189999998</v>
      </c>
      <c r="E113" s="59">
        <f>IFERROR(VLOOKUP($B113-1,CDM!$I$7:$N$18,2,FALSE)/12,0)+IFERROR(VLOOKUP($B113,CDM!$I$36:$L$46,2,FALSE)/24,0)+IFERROR(VLOOKUP($B113,CDM!$I$36:$L$46,2,FALSE)/2*$C113/78,0)</f>
        <v>2721349.3122111736</v>
      </c>
      <c r="F113" s="59">
        <f t="shared" si="30"/>
        <v>38836355.502211168</v>
      </c>
      <c r="G113" s="59">
        <v>62563</v>
      </c>
      <c r="H113" s="59">
        <v>12842580.32</v>
      </c>
      <c r="I113" s="59">
        <f>IFERROR(VLOOKUP($B113-1,CDM!$I$7:$N$18,3,FALSE)/12,0)+IFERROR(VLOOKUP($B113,CDM!$I$36:$L$46,3,FALSE)/24,0)+IFERROR(VLOOKUP($B113,CDM!$I$36:$L$46,3,FALSE)/2*$C113/78,0)</f>
        <v>1253597.1703619722</v>
      </c>
      <c r="J113" s="59">
        <f t="shared" si="31"/>
        <v>14096177.490361972</v>
      </c>
      <c r="K113" s="59">
        <v>5698</v>
      </c>
      <c r="L113" s="59">
        <v>61860785.489999995</v>
      </c>
      <c r="M113" s="2">
        <f>IFERROR(VLOOKUP($B113-1,CDM!$I$7:$N$18,4,FALSE)/12,0)+IFERROR(VLOOKUP($B113,CDM!$I$36:$L$46,4,FALSE)/24,0)+IFERROR(VLOOKUP($B113,CDM!$I$36:$L$46,4,FALSE)/2*$C113/78,0)</f>
        <v>4572491.6045531221</v>
      </c>
      <c r="N113" s="59">
        <f t="shared" si="32"/>
        <v>66433277.094553113</v>
      </c>
      <c r="O113" s="59">
        <v>165308.82799999998</v>
      </c>
      <c r="P113" s="59">
        <v>968</v>
      </c>
      <c r="Q113" s="59">
        <v>410400.64999999997</v>
      </c>
      <c r="R113" s="59">
        <v>1297.71</v>
      </c>
      <c r="S113" s="59">
        <v>17330</v>
      </c>
      <c r="T113" s="59">
        <v>273326.48</v>
      </c>
      <c r="U113" s="1">
        <v>22</v>
      </c>
      <c r="V113" s="59">
        <v>579</v>
      </c>
      <c r="W113" s="114">
        <f>Economic!J175</f>
        <v>865859.6</v>
      </c>
      <c r="X113" s="114">
        <f>Economic!K175</f>
        <v>679067</v>
      </c>
      <c r="Y113" s="114">
        <f>Economic!L175</f>
        <v>74531.5</v>
      </c>
      <c r="Z113" s="114">
        <f>Economic!M175</f>
        <v>865503</v>
      </c>
      <c r="AA113" s="114">
        <f>Economic!N175</f>
        <v>675983</v>
      </c>
      <c r="AB113" s="114">
        <f>Economic!O175</f>
        <v>32660</v>
      </c>
      <c r="AC113" s="114">
        <f>Economic!D175</f>
        <v>7884.3</v>
      </c>
      <c r="AD113" s="114">
        <f>Economic!E175</f>
        <v>7819.6</v>
      </c>
      <c r="AE113" s="114">
        <f>Economic!F175</f>
        <v>3665.6</v>
      </c>
      <c r="AF113" s="114">
        <f>Economic!G175</f>
        <v>3640.1</v>
      </c>
      <c r="AG113" s="114">
        <f>Economic!H175</f>
        <v>411.7</v>
      </c>
      <c r="AH113" s="114">
        <f>Economic!I175</f>
        <v>409.1</v>
      </c>
      <c r="AI113" s="114">
        <f>Economic!P187</f>
        <v>85.800000000000182</v>
      </c>
      <c r="AJ113" s="114">
        <f>Economic!Q187</f>
        <v>95.399999999999636</v>
      </c>
      <c r="AK113" s="114">
        <f>Economic!R187</f>
        <v>33.200000000000273</v>
      </c>
      <c r="AL113" s="114">
        <f>Economic!S187</f>
        <v>39.099999999999909</v>
      </c>
      <c r="AM113" s="114">
        <f>Economic!T187</f>
        <v>12410.654266666621</v>
      </c>
      <c r="AN113" s="114">
        <f>Economic!U187</f>
        <v>2733</v>
      </c>
      <c r="AO113" s="28">
        <f>Weather!D305</f>
        <v>8.1766666666666676</v>
      </c>
      <c r="AP113" s="28">
        <f>Weather!E305</f>
        <v>354.7</v>
      </c>
      <c r="AQ113" s="28">
        <f>Weather!F305</f>
        <v>0</v>
      </c>
      <c r="AR113" s="28">
        <f>Weather!G305</f>
        <v>294.70000000000005</v>
      </c>
      <c r="AS113" s="28">
        <f>Weather!H305</f>
        <v>0</v>
      </c>
      <c r="AT113" s="28">
        <f>Weather!I305</f>
        <v>234.70000000000002</v>
      </c>
      <c r="AU113" s="28">
        <f>Weather!J305</f>
        <v>0</v>
      </c>
      <c r="AV113" s="28">
        <f>Weather!K305</f>
        <v>175.79999999999998</v>
      </c>
      <c r="AW113" s="28">
        <f>Weather!L305</f>
        <v>1.0999999999999996</v>
      </c>
      <c r="AX113" s="28">
        <f>Weather!M305</f>
        <v>120.40000000000002</v>
      </c>
      <c r="AY113" s="28">
        <f>Weather!N305</f>
        <v>5.7000000000000011</v>
      </c>
      <c r="AZ113" s="28">
        <f>Weather!O305</f>
        <v>70.7</v>
      </c>
      <c r="BA113" s="28">
        <f>Weather!P305</f>
        <v>16</v>
      </c>
      <c r="BB113" s="28">
        <f>Weather!Q305</f>
        <v>32.699999999999996</v>
      </c>
      <c r="BC113" s="28">
        <f>Weather!R305</f>
        <v>38</v>
      </c>
      <c r="BD113">
        <f t="shared" si="62"/>
        <v>0</v>
      </c>
      <c r="BE113">
        <f t="shared" si="62"/>
        <v>0</v>
      </c>
      <c r="BF113">
        <f t="shared" si="62"/>
        <v>0</v>
      </c>
      <c r="BG113">
        <f t="shared" si="62"/>
        <v>1</v>
      </c>
      <c r="BH113">
        <f t="shared" si="62"/>
        <v>0</v>
      </c>
      <c r="BI113">
        <f t="shared" si="62"/>
        <v>0</v>
      </c>
      <c r="BJ113">
        <f t="shared" si="62"/>
        <v>0</v>
      </c>
      <c r="BK113">
        <f t="shared" si="62"/>
        <v>0</v>
      </c>
      <c r="BL113">
        <f t="shared" si="62"/>
        <v>0</v>
      </c>
      <c r="BM113">
        <f t="shared" si="62"/>
        <v>0</v>
      </c>
      <c r="BN113">
        <f t="shared" si="62"/>
        <v>0</v>
      </c>
      <c r="BO113">
        <f t="shared" si="62"/>
        <v>0</v>
      </c>
      <c r="BP113" s="1">
        <f t="shared" si="62"/>
        <v>1</v>
      </c>
      <c r="BQ113" s="1">
        <f t="shared" si="62"/>
        <v>0</v>
      </c>
      <c r="BR113" s="1">
        <f t="shared" si="62"/>
        <v>1</v>
      </c>
      <c r="BS113" s="1">
        <f t="shared" si="33"/>
        <v>112</v>
      </c>
      <c r="BT113">
        <f t="shared" si="27"/>
        <v>30</v>
      </c>
      <c r="BU113" s="1">
        <v>22</v>
      </c>
      <c r="BV113" s="1">
        <v>0</v>
      </c>
      <c r="BW113" s="1">
        <v>0</v>
      </c>
      <c r="BX113" s="1">
        <v>0.25</v>
      </c>
      <c r="BY113" s="1">
        <v>0</v>
      </c>
      <c r="BZ113">
        <f t="shared" si="60"/>
        <v>0</v>
      </c>
      <c r="CA113">
        <f t="shared" si="60"/>
        <v>0</v>
      </c>
      <c r="CB113">
        <f t="shared" si="60"/>
        <v>0</v>
      </c>
      <c r="CC113">
        <f t="shared" si="58"/>
        <v>0</v>
      </c>
      <c r="CD113">
        <f t="shared" si="58"/>
        <v>0</v>
      </c>
      <c r="CE113">
        <f t="shared" si="58"/>
        <v>0</v>
      </c>
      <c r="CF113">
        <f t="shared" si="50"/>
        <v>0</v>
      </c>
      <c r="CG113">
        <f t="shared" si="50"/>
        <v>0</v>
      </c>
      <c r="CH113">
        <f t="shared" si="50"/>
        <v>0</v>
      </c>
      <c r="CI113">
        <f t="shared" si="50"/>
        <v>0</v>
      </c>
      <c r="CJ113">
        <f t="shared" si="50"/>
        <v>0</v>
      </c>
      <c r="CK113">
        <f t="shared" si="56"/>
        <v>0</v>
      </c>
      <c r="CL113">
        <f t="shared" si="56"/>
        <v>0</v>
      </c>
      <c r="CM113">
        <f t="shared" si="56"/>
        <v>0</v>
      </c>
      <c r="CN113">
        <f t="shared" si="61"/>
        <v>88.674999999999997</v>
      </c>
      <c r="CO113">
        <f t="shared" si="61"/>
        <v>0</v>
      </c>
      <c r="CP113">
        <f t="shared" si="61"/>
        <v>73.675000000000011</v>
      </c>
      <c r="CQ113">
        <f t="shared" si="59"/>
        <v>0</v>
      </c>
      <c r="CR113">
        <f t="shared" si="59"/>
        <v>58.675000000000004</v>
      </c>
      <c r="CS113">
        <f t="shared" si="59"/>
        <v>0</v>
      </c>
      <c r="CT113">
        <f t="shared" si="51"/>
        <v>43.949999999999996</v>
      </c>
      <c r="CU113">
        <f t="shared" si="51"/>
        <v>0.27499999999999991</v>
      </c>
      <c r="CV113">
        <f t="shared" si="51"/>
        <v>30.100000000000005</v>
      </c>
      <c r="CW113">
        <f t="shared" si="51"/>
        <v>1.4250000000000003</v>
      </c>
      <c r="CX113">
        <f t="shared" si="51"/>
        <v>17.675000000000001</v>
      </c>
      <c r="CY113">
        <f t="shared" si="57"/>
        <v>4</v>
      </c>
      <c r="CZ113">
        <f t="shared" si="57"/>
        <v>8.1749999999999989</v>
      </c>
      <c r="DA113">
        <f t="shared" si="57"/>
        <v>9.5</v>
      </c>
      <c r="DB113" s="74">
        <f t="shared" si="34"/>
        <v>620.75596602162886</v>
      </c>
      <c r="DC113" s="74">
        <f t="shared" si="49"/>
        <v>20.691865534054294</v>
      </c>
      <c r="DD113" s="73">
        <f t="shared" si="36"/>
        <v>1294545.1834070389</v>
      </c>
      <c r="DE113" s="74">
        <f t="shared" si="37"/>
        <v>2473.8816234401493</v>
      </c>
      <c r="DF113" s="74">
        <f t="shared" si="38"/>
        <v>82.462720781338305</v>
      </c>
      <c r="DG113" s="74">
        <f t="shared" si="39"/>
        <v>469872.58301206573</v>
      </c>
      <c r="DH113" s="74">
        <f t="shared" si="40"/>
        <v>68629.418486108581</v>
      </c>
      <c r="DI113" s="74">
        <f t="shared" si="41"/>
        <v>2287.6472828702858</v>
      </c>
      <c r="DJ113" s="74">
        <f t="shared" si="42"/>
        <v>3119.5190220958448</v>
      </c>
      <c r="DK113" s="74">
        <f t="shared" si="43"/>
        <v>2214442.5698184371</v>
      </c>
      <c r="DL113" s="74">
        <f t="shared" si="44"/>
        <v>3019694.413388778</v>
      </c>
    </row>
    <row r="114" spans="1:116" x14ac:dyDescent="0.2">
      <c r="A114" s="96">
        <v>45413</v>
      </c>
      <c r="B114" s="4">
        <f t="shared" si="28"/>
        <v>2024</v>
      </c>
      <c r="C114" s="4">
        <f t="shared" si="29"/>
        <v>5</v>
      </c>
      <c r="D114" s="59">
        <v>40999181.099999994</v>
      </c>
      <c r="E114" s="59">
        <f>IFERROR(VLOOKUP($B114-1,CDM!$I$7:$N$18,2,FALSE)/12,0)+IFERROR(VLOOKUP($B114,CDM!$I$36:$L$46,2,FALSE)/24,0)+IFERROR(VLOOKUP($B114,CDM!$I$36:$L$46,2,FALSE)/2*$C114/78,0)</f>
        <v>2726816.9209039393</v>
      </c>
      <c r="F114" s="59">
        <f t="shared" si="30"/>
        <v>43725998.02090393</v>
      </c>
      <c r="G114" s="59">
        <v>62610</v>
      </c>
      <c r="H114" s="59">
        <v>13302175.129999999</v>
      </c>
      <c r="I114" s="59">
        <f>IFERROR(VLOOKUP($B114-1,CDM!$I$7:$N$18,3,FALSE)/12,0)+IFERROR(VLOOKUP($B114,CDM!$I$36:$L$46,3,FALSE)/24,0)+IFERROR(VLOOKUP($B114,CDM!$I$36:$L$46,3,FALSE)/2*$C114/78,0)</f>
        <v>1259551.2064257266</v>
      </c>
      <c r="J114" s="59">
        <f t="shared" si="31"/>
        <v>14561726.336425725</v>
      </c>
      <c r="K114" s="59">
        <v>5710</v>
      </c>
      <c r="L114" s="59">
        <v>65063818.959999993</v>
      </c>
      <c r="M114" s="2">
        <f>IFERROR(VLOOKUP($B114-1,CDM!$I$7:$N$18,4,FALSE)/12,0)+IFERROR(VLOOKUP($B114,CDM!$I$36:$L$46,4,FALSE)/24,0)+IFERROR(VLOOKUP($B114,CDM!$I$36:$L$46,4,FALSE)/2*$C114/78,0)</f>
        <v>4615961.2603350319</v>
      </c>
      <c r="N114" s="59">
        <f t="shared" si="32"/>
        <v>69679780.220335022</v>
      </c>
      <c r="O114" s="59">
        <v>179826.66900000034</v>
      </c>
      <c r="P114" s="59">
        <v>970</v>
      </c>
      <c r="Q114" s="59">
        <v>373610.65</v>
      </c>
      <c r="R114" s="59">
        <v>1297.71</v>
      </c>
      <c r="S114" s="59">
        <v>17330</v>
      </c>
      <c r="T114" s="59">
        <v>273326.48</v>
      </c>
      <c r="U114" s="1">
        <v>22</v>
      </c>
      <c r="V114" s="59">
        <v>579</v>
      </c>
      <c r="W114" s="114">
        <f>Economic!J176</f>
        <v>865859.6</v>
      </c>
      <c r="X114" s="114">
        <f>Economic!K176</f>
        <v>679067</v>
      </c>
      <c r="Y114" s="114">
        <f>Economic!L176</f>
        <v>74531.5</v>
      </c>
      <c r="Z114" s="114">
        <f>Economic!M176</f>
        <v>865503</v>
      </c>
      <c r="AA114" s="114">
        <f>Economic!N176</f>
        <v>675983</v>
      </c>
      <c r="AB114" s="114">
        <f>Economic!O176</f>
        <v>32660</v>
      </c>
      <c r="AC114" s="114">
        <f>Economic!D176</f>
        <v>7895.3</v>
      </c>
      <c r="AD114" s="114">
        <f>Economic!E176</f>
        <v>7882.6</v>
      </c>
      <c r="AE114" s="114">
        <f>Economic!F176</f>
        <v>3677.6</v>
      </c>
      <c r="AF114" s="114">
        <f>Economic!G176</f>
        <v>3668</v>
      </c>
      <c r="AG114" s="114">
        <f>Economic!H176</f>
        <v>411.6</v>
      </c>
      <c r="AH114" s="114">
        <f>Economic!I176</f>
        <v>410.3</v>
      </c>
      <c r="AI114" s="114">
        <f>Economic!P188</f>
        <v>108.39999999999964</v>
      </c>
      <c r="AJ114" s="114">
        <f>Economic!Q188</f>
        <v>117.19999999999982</v>
      </c>
      <c r="AK114" s="114">
        <f>Economic!R188</f>
        <v>42.300000000000182</v>
      </c>
      <c r="AL114" s="114">
        <f>Economic!S188</f>
        <v>50.900000000000091</v>
      </c>
      <c r="AM114" s="114">
        <f>Economic!T188</f>
        <v>12410.654266666621</v>
      </c>
      <c r="AN114" s="114">
        <f>Economic!U188</f>
        <v>2733</v>
      </c>
      <c r="AO114" s="28">
        <f>Weather!D306</f>
        <v>14.935483870967746</v>
      </c>
      <c r="AP114" s="28">
        <f>Weather!E306</f>
        <v>164.3</v>
      </c>
      <c r="AQ114" s="28">
        <f>Weather!F306</f>
        <v>7.3000000000000043</v>
      </c>
      <c r="AR114" s="28">
        <f>Weather!G306</f>
        <v>114.6</v>
      </c>
      <c r="AS114" s="28">
        <f>Weather!H306</f>
        <v>19.600000000000005</v>
      </c>
      <c r="AT114" s="28">
        <f>Weather!I306</f>
        <v>68</v>
      </c>
      <c r="AU114" s="28">
        <f>Weather!J306</f>
        <v>35.000000000000014</v>
      </c>
      <c r="AV114" s="28">
        <f>Weather!K306</f>
        <v>30</v>
      </c>
      <c r="AW114" s="28">
        <f>Weather!L306</f>
        <v>59</v>
      </c>
      <c r="AX114" s="28">
        <f>Weather!M306</f>
        <v>8.1000000000000014</v>
      </c>
      <c r="AY114" s="28">
        <f>Weather!N306</f>
        <v>99.1</v>
      </c>
      <c r="AZ114" s="28">
        <f>Weather!O306</f>
        <v>1.8000000000000007</v>
      </c>
      <c r="BA114" s="28">
        <f>Weather!P306</f>
        <v>154.80000000000001</v>
      </c>
      <c r="BB114" s="28">
        <f>Weather!Q306</f>
        <v>0</v>
      </c>
      <c r="BC114" s="28">
        <f>Weather!R306</f>
        <v>215</v>
      </c>
      <c r="BD114">
        <f t="shared" si="62"/>
        <v>0</v>
      </c>
      <c r="BE114">
        <f t="shared" si="62"/>
        <v>0</v>
      </c>
      <c r="BF114">
        <f t="shared" si="62"/>
        <v>0</v>
      </c>
      <c r="BG114">
        <f t="shared" si="62"/>
        <v>0</v>
      </c>
      <c r="BH114">
        <f t="shared" si="62"/>
        <v>1</v>
      </c>
      <c r="BI114">
        <f t="shared" si="62"/>
        <v>0</v>
      </c>
      <c r="BJ114">
        <f t="shared" si="62"/>
        <v>0</v>
      </c>
      <c r="BK114">
        <f t="shared" si="62"/>
        <v>0</v>
      </c>
      <c r="BL114">
        <f t="shared" si="62"/>
        <v>0</v>
      </c>
      <c r="BM114">
        <f t="shared" si="62"/>
        <v>0</v>
      </c>
      <c r="BN114">
        <f t="shared" si="62"/>
        <v>0</v>
      </c>
      <c r="BO114">
        <f t="shared" si="62"/>
        <v>0</v>
      </c>
      <c r="BP114" s="1">
        <f t="shared" si="62"/>
        <v>1</v>
      </c>
      <c r="BQ114" s="1">
        <f t="shared" si="62"/>
        <v>0</v>
      </c>
      <c r="BR114" s="1">
        <f t="shared" si="62"/>
        <v>1</v>
      </c>
      <c r="BS114" s="1">
        <f t="shared" si="33"/>
        <v>113</v>
      </c>
      <c r="BT114">
        <f t="shared" si="27"/>
        <v>31</v>
      </c>
      <c r="BU114" s="1">
        <v>22</v>
      </c>
      <c r="BV114" s="1">
        <v>0</v>
      </c>
      <c r="BW114" s="1">
        <v>0</v>
      </c>
      <c r="BX114" s="1">
        <v>0.25</v>
      </c>
      <c r="BY114" s="1">
        <v>0</v>
      </c>
      <c r="BZ114">
        <f t="shared" si="60"/>
        <v>0</v>
      </c>
      <c r="CA114">
        <f t="shared" si="60"/>
        <v>0</v>
      </c>
      <c r="CB114">
        <f t="shared" si="60"/>
        <v>0</v>
      </c>
      <c r="CC114">
        <f t="shared" si="58"/>
        <v>0</v>
      </c>
      <c r="CD114">
        <f t="shared" si="58"/>
        <v>0</v>
      </c>
      <c r="CE114">
        <f t="shared" si="58"/>
        <v>0</v>
      </c>
      <c r="CF114">
        <f t="shared" si="50"/>
        <v>0</v>
      </c>
      <c r="CG114">
        <f t="shared" si="50"/>
        <v>0</v>
      </c>
      <c r="CH114">
        <f t="shared" si="50"/>
        <v>0</v>
      </c>
      <c r="CI114">
        <f t="shared" si="50"/>
        <v>0</v>
      </c>
      <c r="CJ114">
        <f t="shared" si="50"/>
        <v>0</v>
      </c>
      <c r="CK114">
        <f t="shared" si="56"/>
        <v>0</v>
      </c>
      <c r="CL114">
        <f t="shared" si="56"/>
        <v>0</v>
      </c>
      <c r="CM114">
        <f t="shared" si="56"/>
        <v>0</v>
      </c>
      <c r="CN114">
        <f t="shared" si="61"/>
        <v>41.075000000000003</v>
      </c>
      <c r="CO114">
        <f t="shared" si="61"/>
        <v>1.8250000000000011</v>
      </c>
      <c r="CP114">
        <f t="shared" si="61"/>
        <v>28.65</v>
      </c>
      <c r="CQ114">
        <f t="shared" si="59"/>
        <v>4.9000000000000012</v>
      </c>
      <c r="CR114">
        <f t="shared" si="59"/>
        <v>17</v>
      </c>
      <c r="CS114">
        <f t="shared" si="59"/>
        <v>8.7500000000000036</v>
      </c>
      <c r="CT114">
        <f t="shared" si="51"/>
        <v>7.5</v>
      </c>
      <c r="CU114">
        <f t="shared" si="51"/>
        <v>14.75</v>
      </c>
      <c r="CV114">
        <f t="shared" si="51"/>
        <v>2.0250000000000004</v>
      </c>
      <c r="CW114">
        <f t="shared" si="51"/>
        <v>24.774999999999999</v>
      </c>
      <c r="CX114">
        <f t="shared" si="51"/>
        <v>0.45000000000000018</v>
      </c>
      <c r="CY114">
        <f t="shared" si="57"/>
        <v>38.700000000000003</v>
      </c>
      <c r="CZ114">
        <f t="shared" si="57"/>
        <v>0</v>
      </c>
      <c r="DA114">
        <f t="shared" si="57"/>
        <v>53.75</v>
      </c>
      <c r="DB114" s="74">
        <f t="shared" si="34"/>
        <v>698.38680755316932</v>
      </c>
      <c r="DC114" s="74">
        <f t="shared" si="49"/>
        <v>22.528606695263527</v>
      </c>
      <c r="DD114" s="73">
        <f t="shared" si="36"/>
        <v>1410516.0651904494</v>
      </c>
      <c r="DE114" s="74">
        <f t="shared" si="37"/>
        <v>2550.214769951966</v>
      </c>
      <c r="DF114" s="74">
        <f t="shared" si="38"/>
        <v>82.264992579095676</v>
      </c>
      <c r="DG114" s="74">
        <f t="shared" si="39"/>
        <v>469733.10762663628</v>
      </c>
      <c r="DH114" s="74">
        <f t="shared" si="40"/>
        <v>71834.824969417547</v>
      </c>
      <c r="DI114" s="74">
        <f t="shared" si="41"/>
        <v>2317.2524183683081</v>
      </c>
      <c r="DJ114" s="74">
        <f t="shared" si="42"/>
        <v>3265.2193167917067</v>
      </c>
      <c r="DK114" s="74">
        <f t="shared" si="43"/>
        <v>2247734.8458172586</v>
      </c>
      <c r="DL114" s="74">
        <f t="shared" si="44"/>
        <v>3167262.7372879554</v>
      </c>
    </row>
    <row r="115" spans="1:116" x14ac:dyDescent="0.2">
      <c r="A115" s="96">
        <v>45444</v>
      </c>
      <c r="B115" s="4">
        <f t="shared" si="28"/>
        <v>2024</v>
      </c>
      <c r="C115" s="4">
        <f t="shared" si="29"/>
        <v>6</v>
      </c>
      <c r="D115" s="59">
        <v>51584339.830000006</v>
      </c>
      <c r="E115" s="59">
        <f>IFERROR(VLOOKUP($B115-1,CDM!$I$7:$N$18,2,FALSE)/12,0)+IFERROR(VLOOKUP($B115,CDM!$I$36:$L$46,2,FALSE)/24,0)+IFERROR(VLOOKUP($B115,CDM!$I$36:$L$46,2,FALSE)/2*$C115/78,0)</f>
        <v>2732284.5295967045</v>
      </c>
      <c r="F115" s="59">
        <f t="shared" si="30"/>
        <v>54316624.359596707</v>
      </c>
      <c r="G115" s="59">
        <v>62506</v>
      </c>
      <c r="H115" s="59">
        <v>14290600.989999998</v>
      </c>
      <c r="I115" s="59">
        <f>IFERROR(VLOOKUP($B115-1,CDM!$I$7:$N$18,3,FALSE)/12,0)+IFERROR(VLOOKUP($B115,CDM!$I$36:$L$46,3,FALSE)/24,0)+IFERROR(VLOOKUP($B115,CDM!$I$36:$L$46,3,FALSE)/2*$C115/78,0)</f>
        <v>1265505.2424894811</v>
      </c>
      <c r="J115" s="59">
        <f t="shared" si="31"/>
        <v>15556106.23248948</v>
      </c>
      <c r="K115" s="59">
        <v>5709</v>
      </c>
      <c r="L115" s="59">
        <v>67865843.189999998</v>
      </c>
      <c r="M115" s="2">
        <f>IFERROR(VLOOKUP($B115-1,CDM!$I$7:$N$18,4,FALSE)/12,0)+IFERROR(VLOOKUP($B115,CDM!$I$36:$L$46,4,FALSE)/24,0)+IFERROR(VLOOKUP($B115,CDM!$I$36:$L$46,4,FALSE)/2*$C115/78,0)</f>
        <v>4659430.9161169417</v>
      </c>
      <c r="N115" s="59">
        <f t="shared" si="32"/>
        <v>72525274.106116936</v>
      </c>
      <c r="O115" s="59">
        <v>194978.14499999984</v>
      </c>
      <c r="P115" s="59">
        <v>968</v>
      </c>
      <c r="Q115" s="59">
        <v>336885.33</v>
      </c>
      <c r="R115" s="59">
        <v>1297.71</v>
      </c>
      <c r="S115" s="59">
        <v>17330</v>
      </c>
      <c r="T115" s="59">
        <v>273326.48</v>
      </c>
      <c r="U115" s="1">
        <v>22</v>
      </c>
      <c r="V115" s="59">
        <v>579</v>
      </c>
      <c r="W115" s="114">
        <f>Economic!J177</f>
        <v>865859.6</v>
      </c>
      <c r="X115" s="114">
        <f>Economic!K177</f>
        <v>679067</v>
      </c>
      <c r="Y115" s="114">
        <f>Economic!L177</f>
        <v>74531.5</v>
      </c>
      <c r="Z115" s="114">
        <f>Economic!M177</f>
        <v>865503</v>
      </c>
      <c r="AA115" s="114">
        <f>Economic!N177</f>
        <v>675983</v>
      </c>
      <c r="AB115" s="114">
        <f>Economic!O177</f>
        <v>32660</v>
      </c>
      <c r="AC115" s="114">
        <f>Economic!D177</f>
        <v>7916.1</v>
      </c>
      <c r="AD115" s="114">
        <f>Economic!E177</f>
        <v>7971.2</v>
      </c>
      <c r="AE115" s="114">
        <f>Economic!F177</f>
        <v>3690.2</v>
      </c>
      <c r="AF115" s="114">
        <f>Economic!G177</f>
        <v>3709.9</v>
      </c>
      <c r="AG115" s="114">
        <f>Economic!H177</f>
        <v>413.8</v>
      </c>
      <c r="AH115" s="114">
        <f>Economic!I177</f>
        <v>413.7</v>
      </c>
      <c r="AI115" s="114">
        <f>Economic!P189</f>
        <v>115.69999999999982</v>
      </c>
      <c r="AJ115" s="114">
        <f>Economic!Q189</f>
        <v>121.30000000000018</v>
      </c>
      <c r="AK115" s="114">
        <f>Economic!R189</f>
        <v>42.100000000000364</v>
      </c>
      <c r="AL115" s="114">
        <f>Economic!S189</f>
        <v>50.599999999999909</v>
      </c>
      <c r="AM115" s="114">
        <f>Economic!T189</f>
        <v>12410.654266666621</v>
      </c>
      <c r="AN115" s="114">
        <f>Economic!U189</f>
        <v>2733</v>
      </c>
      <c r="AO115" s="28">
        <f>Weather!D307</f>
        <v>19.479999999999997</v>
      </c>
      <c r="AP115" s="28">
        <f>Weather!E307</f>
        <v>53.400000000000006</v>
      </c>
      <c r="AQ115" s="28">
        <f>Weather!F307</f>
        <v>37.799999999999997</v>
      </c>
      <c r="AR115" s="28">
        <f>Weather!G307</f>
        <v>23.4</v>
      </c>
      <c r="AS115" s="28">
        <f>Weather!H307</f>
        <v>67.8</v>
      </c>
      <c r="AT115" s="28">
        <f>Weather!I307</f>
        <v>4.1000000000000014</v>
      </c>
      <c r="AU115" s="28">
        <f>Weather!J307</f>
        <v>108.49999999999999</v>
      </c>
      <c r="AV115" s="28">
        <f>Weather!K307</f>
        <v>0</v>
      </c>
      <c r="AW115" s="28">
        <f>Weather!L307</f>
        <v>164.40000000000006</v>
      </c>
      <c r="AX115" s="28">
        <f>Weather!M307</f>
        <v>0</v>
      </c>
      <c r="AY115" s="28">
        <f>Weather!N307</f>
        <v>224.40000000000006</v>
      </c>
      <c r="AZ115" s="28">
        <f>Weather!O307</f>
        <v>0</v>
      </c>
      <c r="BA115" s="28">
        <f>Weather!P307</f>
        <v>284.40000000000003</v>
      </c>
      <c r="BB115" s="28">
        <f>Weather!Q307</f>
        <v>0</v>
      </c>
      <c r="BC115" s="28">
        <f>Weather!R307</f>
        <v>344.40000000000003</v>
      </c>
      <c r="BD115">
        <f t="shared" si="62"/>
        <v>0</v>
      </c>
      <c r="BE115">
        <f t="shared" si="62"/>
        <v>0</v>
      </c>
      <c r="BF115">
        <f t="shared" si="62"/>
        <v>0</v>
      </c>
      <c r="BG115">
        <f t="shared" si="62"/>
        <v>0</v>
      </c>
      <c r="BH115">
        <f t="shared" si="62"/>
        <v>0</v>
      </c>
      <c r="BI115">
        <f t="shared" si="62"/>
        <v>1</v>
      </c>
      <c r="BJ115">
        <f t="shared" si="62"/>
        <v>0</v>
      </c>
      <c r="BK115">
        <f t="shared" si="62"/>
        <v>0</v>
      </c>
      <c r="BL115">
        <f t="shared" si="62"/>
        <v>0</v>
      </c>
      <c r="BM115">
        <f t="shared" si="62"/>
        <v>0</v>
      </c>
      <c r="BN115">
        <f t="shared" si="62"/>
        <v>0</v>
      </c>
      <c r="BO115">
        <f t="shared" si="62"/>
        <v>0</v>
      </c>
      <c r="BP115" s="1">
        <f t="shared" si="62"/>
        <v>0</v>
      </c>
      <c r="BQ115" s="1">
        <f t="shared" si="62"/>
        <v>0</v>
      </c>
      <c r="BR115" s="1">
        <f t="shared" si="62"/>
        <v>0</v>
      </c>
      <c r="BS115" s="1">
        <f t="shared" si="33"/>
        <v>114</v>
      </c>
      <c r="BT115">
        <f t="shared" ref="BT115:BT121" si="63">BT67</f>
        <v>30</v>
      </c>
      <c r="BU115" s="1">
        <v>20</v>
      </c>
      <c r="BV115" s="1">
        <v>0</v>
      </c>
      <c r="BW115" s="1">
        <v>0</v>
      </c>
      <c r="BX115" s="1">
        <v>0.25</v>
      </c>
      <c r="BY115" s="1">
        <v>0</v>
      </c>
      <c r="BZ115">
        <f t="shared" si="60"/>
        <v>0</v>
      </c>
      <c r="CA115">
        <f t="shared" si="60"/>
        <v>0</v>
      </c>
      <c r="CB115">
        <f t="shared" si="60"/>
        <v>0</v>
      </c>
      <c r="CC115">
        <f t="shared" si="58"/>
        <v>0</v>
      </c>
      <c r="CD115">
        <f t="shared" si="58"/>
        <v>0</v>
      </c>
      <c r="CE115">
        <f t="shared" si="58"/>
        <v>0</v>
      </c>
      <c r="CF115">
        <f t="shared" si="50"/>
        <v>0</v>
      </c>
      <c r="CG115">
        <f t="shared" si="50"/>
        <v>0</v>
      </c>
      <c r="CH115">
        <f t="shared" si="50"/>
        <v>0</v>
      </c>
      <c r="CI115">
        <f t="shared" si="50"/>
        <v>0</v>
      </c>
      <c r="CJ115">
        <f t="shared" si="50"/>
        <v>0</v>
      </c>
      <c r="CK115">
        <f t="shared" si="56"/>
        <v>0</v>
      </c>
      <c r="CL115">
        <f t="shared" si="56"/>
        <v>0</v>
      </c>
      <c r="CM115">
        <f t="shared" si="56"/>
        <v>0</v>
      </c>
      <c r="CN115">
        <f t="shared" si="61"/>
        <v>13.350000000000001</v>
      </c>
      <c r="CO115">
        <f t="shared" si="61"/>
        <v>9.4499999999999993</v>
      </c>
      <c r="CP115">
        <f t="shared" si="61"/>
        <v>5.85</v>
      </c>
      <c r="CQ115">
        <f t="shared" si="59"/>
        <v>16.95</v>
      </c>
      <c r="CR115">
        <f t="shared" si="59"/>
        <v>1.0250000000000004</v>
      </c>
      <c r="CS115">
        <f t="shared" si="59"/>
        <v>27.124999999999996</v>
      </c>
      <c r="CT115">
        <f t="shared" si="51"/>
        <v>0</v>
      </c>
      <c r="CU115">
        <f t="shared" si="51"/>
        <v>41.100000000000016</v>
      </c>
      <c r="CV115">
        <f t="shared" si="51"/>
        <v>0</v>
      </c>
      <c r="CW115">
        <f t="shared" si="51"/>
        <v>56.100000000000016</v>
      </c>
      <c r="CX115">
        <f t="shared" si="51"/>
        <v>0</v>
      </c>
      <c r="CY115">
        <f t="shared" si="57"/>
        <v>71.100000000000009</v>
      </c>
      <c r="CZ115">
        <f t="shared" si="57"/>
        <v>0</v>
      </c>
      <c r="DA115">
        <f t="shared" si="57"/>
        <v>86.100000000000009</v>
      </c>
      <c r="DB115" s="74">
        <f t="shared" si="34"/>
        <v>868.98256742707429</v>
      </c>
      <c r="DC115" s="74">
        <f t="shared" si="49"/>
        <v>28.966085580902476</v>
      </c>
      <c r="DD115" s="73">
        <f t="shared" si="36"/>
        <v>1810554.1453198902</v>
      </c>
      <c r="DE115" s="74">
        <f t="shared" si="37"/>
        <v>2724.8390668224697</v>
      </c>
      <c r="DF115" s="74">
        <f t="shared" si="38"/>
        <v>90.827968894082318</v>
      </c>
      <c r="DG115" s="74">
        <f t="shared" si="39"/>
        <v>518536.87441631599</v>
      </c>
      <c r="DH115" s="74">
        <f t="shared" si="40"/>
        <v>74922.803828633201</v>
      </c>
      <c r="DI115" s="74">
        <f t="shared" si="41"/>
        <v>2497.4267942877732</v>
      </c>
      <c r="DJ115" s="74">
        <f t="shared" si="42"/>
        <v>3746.1401914316602</v>
      </c>
      <c r="DK115" s="74">
        <f t="shared" si="43"/>
        <v>2417509.1368705644</v>
      </c>
      <c r="DL115" s="74">
        <f t="shared" si="44"/>
        <v>3626263.7053058469</v>
      </c>
    </row>
    <row r="116" spans="1:116" x14ac:dyDescent="0.2">
      <c r="A116" s="96">
        <v>45474</v>
      </c>
      <c r="B116" s="4">
        <f t="shared" ref="B116:B121" si="64">YEAR(A116)</f>
        <v>2024</v>
      </c>
      <c r="C116" s="4">
        <f t="shared" ref="C116:C121" si="65">MONTH(A116)</f>
        <v>7</v>
      </c>
      <c r="D116" s="59">
        <v>61854644.729999997</v>
      </c>
      <c r="E116" s="59">
        <f>IFERROR(VLOOKUP($B116-1,CDM!$I$7:$N$18,2,FALSE)/12,0)+IFERROR(VLOOKUP($B116,CDM!$I$36:$L$46,2,FALSE)/24,0)+IFERROR(VLOOKUP($B116,CDM!$I$36:$L$46,2,FALSE)/2*$C116/78,0)</f>
        <v>2737752.1382894702</v>
      </c>
      <c r="F116" s="59">
        <f t="shared" ref="F116:F121" si="66">D116+E116</f>
        <v>64592396.868289471</v>
      </c>
      <c r="G116" s="59">
        <v>62650</v>
      </c>
      <c r="H116" s="59">
        <v>16126714.289999999</v>
      </c>
      <c r="I116" s="59">
        <f>IFERROR(VLOOKUP($B116-1,CDM!$I$7:$N$18,3,FALSE)/12,0)+IFERROR(VLOOKUP($B116,CDM!$I$36:$L$46,3,FALSE)/24,0)+IFERROR(VLOOKUP($B116,CDM!$I$36:$L$46,3,FALSE)/2*$C116/78,0)</f>
        <v>1271459.2785532356</v>
      </c>
      <c r="J116" s="59">
        <f t="shared" ref="J116:J121" si="67">H116+I116</f>
        <v>17398173.568553235</v>
      </c>
      <c r="K116" s="59">
        <v>5715</v>
      </c>
      <c r="L116" s="59">
        <v>75062524.659999996</v>
      </c>
      <c r="M116" s="2">
        <f>IFERROR(VLOOKUP($B116-1,CDM!$I$7:$N$18,4,FALSE)/12,0)+IFERROR(VLOOKUP($B116,CDM!$I$36:$L$46,4,FALSE)/24,0)+IFERROR(VLOOKUP($B116,CDM!$I$36:$L$46,4,FALSE)/2*$C116/78,0)</f>
        <v>4702900.5718988515</v>
      </c>
      <c r="N116" s="59">
        <f t="shared" ref="N116:N121" si="68">L116+M116</f>
        <v>79765425.231898844</v>
      </c>
      <c r="O116" s="59">
        <v>193489.83200000002</v>
      </c>
      <c r="P116" s="59">
        <v>964</v>
      </c>
      <c r="Q116" s="59">
        <v>361801.44</v>
      </c>
      <c r="R116" s="59">
        <v>1297.71</v>
      </c>
      <c r="S116" s="59">
        <v>17330</v>
      </c>
      <c r="T116" s="59">
        <v>273326.48</v>
      </c>
      <c r="U116" s="1">
        <v>22</v>
      </c>
      <c r="V116" s="59">
        <v>579</v>
      </c>
      <c r="W116" s="114">
        <f>Economic!J178</f>
        <v>865859.6</v>
      </c>
      <c r="X116" s="114">
        <f>Economic!K178</f>
        <v>679067</v>
      </c>
      <c r="Y116" s="114">
        <f>Economic!L178</f>
        <v>74531.5</v>
      </c>
      <c r="Z116" s="114">
        <f>Economic!M178</f>
        <v>867701</v>
      </c>
      <c r="AA116" s="114">
        <f>Economic!N178</f>
        <v>682077</v>
      </c>
      <c r="AB116" s="114">
        <f>Economic!O178</f>
        <v>32844</v>
      </c>
      <c r="AC116" s="114">
        <f>Economic!D178</f>
        <v>7926.1</v>
      </c>
      <c r="AD116" s="114">
        <f>Economic!E178</f>
        <v>8016.9</v>
      </c>
      <c r="AE116" s="114">
        <f>Economic!F178</f>
        <v>3698.8</v>
      </c>
      <c r="AF116" s="114">
        <f>Economic!G178</f>
        <v>3738.9</v>
      </c>
      <c r="AG116" s="114">
        <f>Economic!H178</f>
        <v>414.6</v>
      </c>
      <c r="AH116" s="114">
        <f>Economic!I178</f>
        <v>413.3</v>
      </c>
      <c r="AI116" s="114">
        <f>Economic!P190</f>
        <v>132.89999999999964</v>
      </c>
      <c r="AJ116" s="114">
        <f>Economic!Q190</f>
        <v>132.5</v>
      </c>
      <c r="AK116" s="114">
        <f>Economic!R190</f>
        <v>44.399999999999636</v>
      </c>
      <c r="AL116" s="114">
        <f>Economic!S190</f>
        <v>51.5</v>
      </c>
      <c r="AM116" s="114">
        <f>Economic!T190</f>
        <v>12410.654266666621</v>
      </c>
      <c r="AN116" s="114">
        <f>Economic!U190</f>
        <v>730</v>
      </c>
      <c r="AO116" s="28">
        <f>Weather!D308</f>
        <v>22.445161290322577</v>
      </c>
      <c r="AP116" s="28">
        <f>Weather!E308</f>
        <v>5.2000000000000028</v>
      </c>
      <c r="AQ116" s="28">
        <f>Weather!F308</f>
        <v>81</v>
      </c>
      <c r="AR116" s="28">
        <f>Weather!G308</f>
        <v>0.90000000000000213</v>
      </c>
      <c r="AS116" s="28">
        <f>Weather!H308</f>
        <v>138.70000000000002</v>
      </c>
      <c r="AT116" s="28">
        <f>Weather!I308</f>
        <v>0</v>
      </c>
      <c r="AU116" s="28">
        <f>Weather!J308</f>
        <v>199.79999999999998</v>
      </c>
      <c r="AV116" s="28">
        <f>Weather!K308</f>
        <v>0</v>
      </c>
      <c r="AW116" s="28">
        <f>Weather!L308</f>
        <v>261.8</v>
      </c>
      <c r="AX116" s="28">
        <f>Weather!M308</f>
        <v>0</v>
      </c>
      <c r="AY116" s="28">
        <f>Weather!N308</f>
        <v>323.8</v>
      </c>
      <c r="AZ116" s="28">
        <f>Weather!O308</f>
        <v>0</v>
      </c>
      <c r="BA116" s="28">
        <f>Weather!P308</f>
        <v>385.8</v>
      </c>
      <c r="BB116" s="28">
        <f>Weather!Q308</f>
        <v>0</v>
      </c>
      <c r="BC116" s="28">
        <f>Weather!R308</f>
        <v>447.8</v>
      </c>
      <c r="BD116">
        <f t="shared" ref="BD116:BR116" si="69">BD104</f>
        <v>0</v>
      </c>
      <c r="BE116">
        <f t="shared" si="69"/>
        <v>0</v>
      </c>
      <c r="BF116">
        <f t="shared" si="69"/>
        <v>0</v>
      </c>
      <c r="BG116">
        <f t="shared" si="69"/>
        <v>0</v>
      </c>
      <c r="BH116">
        <f t="shared" si="69"/>
        <v>0</v>
      </c>
      <c r="BI116">
        <f t="shared" si="69"/>
        <v>0</v>
      </c>
      <c r="BJ116">
        <f t="shared" si="69"/>
        <v>1</v>
      </c>
      <c r="BK116">
        <f t="shared" si="69"/>
        <v>0</v>
      </c>
      <c r="BL116">
        <f t="shared" si="69"/>
        <v>0</v>
      </c>
      <c r="BM116">
        <f t="shared" si="69"/>
        <v>0</v>
      </c>
      <c r="BN116">
        <f t="shared" si="69"/>
        <v>0</v>
      </c>
      <c r="BO116">
        <f t="shared" si="69"/>
        <v>0</v>
      </c>
      <c r="BP116" s="1">
        <f t="shared" si="69"/>
        <v>0</v>
      </c>
      <c r="BQ116" s="1">
        <f t="shared" si="69"/>
        <v>0</v>
      </c>
      <c r="BR116" s="1">
        <f t="shared" si="69"/>
        <v>0</v>
      </c>
      <c r="BS116" s="1">
        <f t="shared" si="33"/>
        <v>115</v>
      </c>
      <c r="BT116">
        <f t="shared" si="63"/>
        <v>31</v>
      </c>
      <c r="BU116" s="1">
        <v>22</v>
      </c>
      <c r="BV116" s="1">
        <v>0</v>
      </c>
      <c r="BW116" s="1">
        <v>0</v>
      </c>
      <c r="BX116" s="1">
        <v>0.25</v>
      </c>
      <c r="BY116" s="1">
        <v>0</v>
      </c>
      <c r="BZ116">
        <f t="shared" ref="BZ116:BZ121" si="70">$BW116*AP116</f>
        <v>0</v>
      </c>
      <c r="CA116">
        <f t="shared" ref="CA116:CA121" si="71">$BW116*AQ116</f>
        <v>0</v>
      </c>
      <c r="CB116">
        <f t="shared" ref="CB116:CB121" si="72">$BW116*AR116</f>
        <v>0</v>
      </c>
      <c r="CC116">
        <f t="shared" ref="CC116:CC121" si="73">$BW116*AS116</f>
        <v>0</v>
      </c>
      <c r="CD116">
        <f t="shared" ref="CD116:CD121" si="74">$BW116*AT116</f>
        <v>0</v>
      </c>
      <c r="CE116">
        <f t="shared" ref="CE116:CE121" si="75">$BW116*AU116</f>
        <v>0</v>
      </c>
      <c r="CF116">
        <f t="shared" ref="CF116:CF121" si="76">$BW116*AV116</f>
        <v>0</v>
      </c>
      <c r="CG116">
        <f t="shared" ref="CG116:CG121" si="77">$BW116*AW116</f>
        <v>0</v>
      </c>
      <c r="CH116">
        <f t="shared" ref="CH116:CH121" si="78">$BW116*AX116</f>
        <v>0</v>
      </c>
      <c r="CI116">
        <f t="shared" ref="CI116:CI121" si="79">$BW116*AY116</f>
        <v>0</v>
      </c>
      <c r="CJ116">
        <f t="shared" ref="CJ116:CJ121" si="80">$BW116*AZ116</f>
        <v>0</v>
      </c>
      <c r="CK116">
        <f t="shared" ref="CK116:CK121" si="81">$BW116*BA116</f>
        <v>0</v>
      </c>
      <c r="CL116">
        <f t="shared" ref="CL116:CL121" si="82">$BW116*BB116</f>
        <v>0</v>
      </c>
      <c r="CM116">
        <f t="shared" ref="CM116:CM121" si="83">$BW116*BC116</f>
        <v>0</v>
      </c>
      <c r="CN116">
        <f t="shared" ref="CN116:CN121" si="84">$BX116*AP116</f>
        <v>1.3000000000000007</v>
      </c>
      <c r="CO116">
        <f t="shared" ref="CO116:CO121" si="85">$BX116*AQ116</f>
        <v>20.25</v>
      </c>
      <c r="CP116">
        <f t="shared" ref="CP116:CP121" si="86">$BX116*AR116</f>
        <v>0.22500000000000053</v>
      </c>
      <c r="CQ116">
        <f t="shared" ref="CQ116:CQ121" si="87">$BX116*AS116</f>
        <v>34.675000000000004</v>
      </c>
      <c r="CR116">
        <f t="shared" ref="CR116:CR121" si="88">$BX116*AT116</f>
        <v>0</v>
      </c>
      <c r="CS116">
        <f t="shared" ref="CS116:CS121" si="89">$BX116*AU116</f>
        <v>49.949999999999996</v>
      </c>
      <c r="CT116">
        <f t="shared" ref="CT116:CT121" si="90">$BX116*AV116</f>
        <v>0</v>
      </c>
      <c r="CU116">
        <f t="shared" ref="CU116:CU121" si="91">$BX116*AW116</f>
        <v>65.45</v>
      </c>
      <c r="CV116">
        <f t="shared" ref="CV116:CV121" si="92">$BX116*AX116</f>
        <v>0</v>
      </c>
      <c r="CW116">
        <f t="shared" ref="CW116:CW121" si="93">$BX116*AY116</f>
        <v>80.95</v>
      </c>
      <c r="CX116">
        <f t="shared" ref="CX116:CX121" si="94">$BX116*AZ116</f>
        <v>0</v>
      </c>
      <c r="CY116">
        <f t="shared" ref="CY116:CY121" si="95">$BX116*BA116</f>
        <v>96.45</v>
      </c>
      <c r="CZ116">
        <f t="shared" ref="CZ116:CZ121" si="96">$BX116*BB116</f>
        <v>0</v>
      </c>
      <c r="DA116">
        <f t="shared" ref="DA116:DA121" si="97">$BX116*BC116</f>
        <v>111.95</v>
      </c>
      <c r="DB116" s="74">
        <f t="shared" ref="DB116:DB121" si="98">F116/G116</f>
        <v>1031.0039404355862</v>
      </c>
      <c r="DC116" s="74">
        <f t="shared" ref="DC116:DC121" si="99">DB116/BT116</f>
        <v>33.258191626954392</v>
      </c>
      <c r="DD116" s="73">
        <f t="shared" ref="DD116:DD121" si="100">F116/BT116</f>
        <v>2083625.7054286925</v>
      </c>
      <c r="DE116" s="74">
        <f t="shared" ref="DE116:DE121" si="101">J116/K116</f>
        <v>3044.299837017189</v>
      </c>
      <c r="DF116" s="74">
        <f t="shared" ref="DF116:DF121" si="102">DE116/BT116</f>
        <v>98.203220548941587</v>
      </c>
      <c r="DG116" s="74">
        <f t="shared" ref="DG116:DG121" si="103">J116/BT116</f>
        <v>561231.40543720115</v>
      </c>
      <c r="DH116" s="74">
        <f t="shared" ref="DH116:DH121" si="104">N116/P116</f>
        <v>82744.217045538215</v>
      </c>
      <c r="DI116" s="74">
        <f t="shared" ref="DI116:DI121" si="105">DH116/BT116</f>
        <v>2669.1682917915555</v>
      </c>
      <c r="DJ116" s="74">
        <f t="shared" ref="DJ116:DJ121" si="106">DH116/BU116</f>
        <v>3761.1007747971917</v>
      </c>
      <c r="DK116" s="74">
        <f t="shared" ref="DK116:DK121" si="107">N116/BT116</f>
        <v>2573078.2332870597</v>
      </c>
      <c r="DL116" s="74">
        <f t="shared" ref="DL116:DL121" si="108">N116/BU116</f>
        <v>3625701.1469044928</v>
      </c>
    </row>
    <row r="117" spans="1:116" x14ac:dyDescent="0.2">
      <c r="A117" s="96">
        <v>45505</v>
      </c>
      <c r="B117" s="4">
        <f t="shared" si="64"/>
        <v>2024</v>
      </c>
      <c r="C117" s="4">
        <f t="shared" si="65"/>
        <v>8</v>
      </c>
      <c r="D117" s="59">
        <v>57716651.360000014</v>
      </c>
      <c r="E117" s="59">
        <f>IFERROR(VLOOKUP($B117-1,CDM!$I$7:$N$18,2,FALSE)/12,0)+IFERROR(VLOOKUP($B117,CDM!$I$36:$L$46,2,FALSE)/24,0)+IFERROR(VLOOKUP($B117,CDM!$I$36:$L$46,2,FALSE)/2*$C117/78,0)</f>
        <v>2743219.7469822355</v>
      </c>
      <c r="F117" s="59">
        <f t="shared" si="66"/>
        <v>60459871.106982246</v>
      </c>
      <c r="G117" s="59">
        <v>62612</v>
      </c>
      <c r="H117" s="59">
        <v>15474376.090000002</v>
      </c>
      <c r="I117" s="59">
        <f>IFERROR(VLOOKUP($B117-1,CDM!$I$7:$N$18,3,FALSE)/12,0)+IFERROR(VLOOKUP($B117,CDM!$I$36:$L$46,3,FALSE)/24,0)+IFERROR(VLOOKUP($B117,CDM!$I$36:$L$46,3,FALSE)/2*$C117/78,0)</f>
        <v>1277413.3146169898</v>
      </c>
      <c r="J117" s="59">
        <f t="shared" si="67"/>
        <v>16751789.404616991</v>
      </c>
      <c r="K117" s="59">
        <v>5712</v>
      </c>
      <c r="L117" s="59">
        <v>73015421.790000007</v>
      </c>
      <c r="M117" s="2">
        <f>IFERROR(VLOOKUP($B117-1,CDM!$I$7:$N$18,4,FALSE)/12,0)+IFERROR(VLOOKUP($B117,CDM!$I$36:$L$46,4,FALSE)/24,0)+IFERROR(VLOOKUP($B117,CDM!$I$36:$L$46,4,FALSE)/2*$C117/78,0)</f>
        <v>4746370.2276807614</v>
      </c>
      <c r="N117" s="59">
        <f t="shared" si="68"/>
        <v>77761792.017680764</v>
      </c>
      <c r="O117" s="59">
        <v>189791.32999999981</v>
      </c>
      <c r="P117" s="59">
        <v>964</v>
      </c>
      <c r="Q117" s="59">
        <v>406961.75</v>
      </c>
      <c r="R117" s="59">
        <v>1297.71</v>
      </c>
      <c r="S117" s="59">
        <v>17330</v>
      </c>
      <c r="T117" s="59">
        <v>273326.48</v>
      </c>
      <c r="U117" s="1">
        <v>22</v>
      </c>
      <c r="V117" s="59">
        <v>579</v>
      </c>
      <c r="W117" s="114">
        <f>Economic!J179</f>
        <v>865859.6</v>
      </c>
      <c r="X117" s="114">
        <f>Economic!K179</f>
        <v>679067</v>
      </c>
      <c r="Y117" s="114">
        <f>Economic!L179</f>
        <v>74531.5</v>
      </c>
      <c r="Z117" s="114">
        <f>Economic!M179</f>
        <v>867701</v>
      </c>
      <c r="AA117" s="114">
        <f>Economic!N179</f>
        <v>682077</v>
      </c>
      <c r="AB117" s="114">
        <f>Economic!O179</f>
        <v>32844</v>
      </c>
      <c r="AC117" s="114">
        <f>Economic!D179</f>
        <v>7940.5</v>
      </c>
      <c r="AD117" s="114">
        <f>Economic!E179</f>
        <v>8020.3</v>
      </c>
      <c r="AE117" s="114">
        <f>Economic!F179</f>
        <v>3694.5</v>
      </c>
      <c r="AF117" s="114">
        <f>Economic!G179</f>
        <v>3733</v>
      </c>
      <c r="AG117" s="114">
        <f>Economic!H179</f>
        <v>414.3</v>
      </c>
      <c r="AH117" s="114">
        <f>Economic!I179</f>
        <v>412.1</v>
      </c>
      <c r="AI117" s="114">
        <f>Economic!P191</f>
        <v>126.39999999999964</v>
      </c>
      <c r="AJ117" s="114">
        <f>Economic!Q191</f>
        <v>126.89999999999964</v>
      </c>
      <c r="AK117" s="114">
        <f>Economic!R191</f>
        <v>51.199999999999818</v>
      </c>
      <c r="AL117" s="114">
        <f>Economic!S191</f>
        <v>55.300000000000182</v>
      </c>
      <c r="AM117" s="114">
        <f>Economic!T191</f>
        <v>12410.654266666621</v>
      </c>
      <c r="AN117" s="114">
        <f>Economic!U191</f>
        <v>730</v>
      </c>
      <c r="AO117" s="28">
        <f>Weather!D309</f>
        <v>21.751612903225805</v>
      </c>
      <c r="AP117" s="28">
        <f>Weather!E309</f>
        <v>11.999999999999996</v>
      </c>
      <c r="AQ117" s="28">
        <f>Weather!F309</f>
        <v>66.3</v>
      </c>
      <c r="AR117" s="28">
        <f>Weather!G309</f>
        <v>4.1999999999999993</v>
      </c>
      <c r="AS117" s="28">
        <f>Weather!H309</f>
        <v>120.49999999999997</v>
      </c>
      <c r="AT117" s="28">
        <f>Weather!I309</f>
        <v>0.19999999999999929</v>
      </c>
      <c r="AU117" s="28">
        <f>Weather!J309</f>
        <v>178.5</v>
      </c>
      <c r="AV117" s="28">
        <f>Weather!K309</f>
        <v>0</v>
      </c>
      <c r="AW117" s="28">
        <f>Weather!L309</f>
        <v>240.3</v>
      </c>
      <c r="AX117" s="28">
        <f>Weather!M309</f>
        <v>0</v>
      </c>
      <c r="AY117" s="28">
        <f>Weather!N309</f>
        <v>302.30000000000007</v>
      </c>
      <c r="AZ117" s="28">
        <f>Weather!O309</f>
        <v>0</v>
      </c>
      <c r="BA117" s="28">
        <f>Weather!P309</f>
        <v>364.30000000000007</v>
      </c>
      <c r="BB117" s="28">
        <f>Weather!Q309</f>
        <v>0</v>
      </c>
      <c r="BC117" s="28">
        <f>Weather!R309</f>
        <v>426.30000000000007</v>
      </c>
      <c r="BD117">
        <f t="shared" ref="BD117:BR117" si="109">BD105</f>
        <v>0</v>
      </c>
      <c r="BE117">
        <f t="shared" si="109"/>
        <v>0</v>
      </c>
      <c r="BF117">
        <f t="shared" si="109"/>
        <v>0</v>
      </c>
      <c r="BG117">
        <f t="shared" si="109"/>
        <v>0</v>
      </c>
      <c r="BH117">
        <f t="shared" si="109"/>
        <v>0</v>
      </c>
      <c r="BI117">
        <f t="shared" si="109"/>
        <v>0</v>
      </c>
      <c r="BJ117">
        <f t="shared" si="109"/>
        <v>0</v>
      </c>
      <c r="BK117">
        <f t="shared" si="109"/>
        <v>1</v>
      </c>
      <c r="BL117">
        <f t="shared" si="109"/>
        <v>0</v>
      </c>
      <c r="BM117">
        <f t="shared" si="109"/>
        <v>0</v>
      </c>
      <c r="BN117">
        <f t="shared" si="109"/>
        <v>0</v>
      </c>
      <c r="BO117">
        <f t="shared" si="109"/>
        <v>0</v>
      </c>
      <c r="BP117" s="1">
        <f t="shared" si="109"/>
        <v>0</v>
      </c>
      <c r="BQ117" s="1">
        <f t="shared" si="109"/>
        <v>0</v>
      </c>
      <c r="BR117" s="1">
        <f t="shared" si="109"/>
        <v>0</v>
      </c>
      <c r="BS117" s="1">
        <f t="shared" si="33"/>
        <v>116</v>
      </c>
      <c r="BT117">
        <f t="shared" si="63"/>
        <v>31</v>
      </c>
      <c r="BU117" s="1">
        <v>22</v>
      </c>
      <c r="BV117" s="1">
        <v>0</v>
      </c>
      <c r="BW117" s="1">
        <v>0</v>
      </c>
      <c r="BX117" s="1">
        <v>0.25</v>
      </c>
      <c r="BY117" s="1">
        <v>0</v>
      </c>
      <c r="BZ117">
        <f t="shared" si="70"/>
        <v>0</v>
      </c>
      <c r="CA117">
        <f t="shared" si="71"/>
        <v>0</v>
      </c>
      <c r="CB117">
        <f t="shared" si="72"/>
        <v>0</v>
      </c>
      <c r="CC117">
        <f t="shared" si="73"/>
        <v>0</v>
      </c>
      <c r="CD117">
        <f t="shared" si="74"/>
        <v>0</v>
      </c>
      <c r="CE117">
        <f t="shared" si="75"/>
        <v>0</v>
      </c>
      <c r="CF117">
        <f t="shared" si="76"/>
        <v>0</v>
      </c>
      <c r="CG117">
        <f t="shared" si="77"/>
        <v>0</v>
      </c>
      <c r="CH117">
        <f t="shared" si="78"/>
        <v>0</v>
      </c>
      <c r="CI117">
        <f t="shared" si="79"/>
        <v>0</v>
      </c>
      <c r="CJ117">
        <f t="shared" si="80"/>
        <v>0</v>
      </c>
      <c r="CK117">
        <f t="shared" si="81"/>
        <v>0</v>
      </c>
      <c r="CL117">
        <f t="shared" si="82"/>
        <v>0</v>
      </c>
      <c r="CM117">
        <f t="shared" si="83"/>
        <v>0</v>
      </c>
      <c r="CN117">
        <f t="shared" si="84"/>
        <v>2.9999999999999991</v>
      </c>
      <c r="CO117">
        <f t="shared" si="85"/>
        <v>16.574999999999999</v>
      </c>
      <c r="CP117">
        <f t="shared" si="86"/>
        <v>1.0499999999999998</v>
      </c>
      <c r="CQ117">
        <f t="shared" si="87"/>
        <v>30.124999999999993</v>
      </c>
      <c r="CR117">
        <f t="shared" si="88"/>
        <v>4.9999999999999822E-2</v>
      </c>
      <c r="CS117">
        <f t="shared" si="89"/>
        <v>44.625</v>
      </c>
      <c r="CT117">
        <f t="shared" si="90"/>
        <v>0</v>
      </c>
      <c r="CU117">
        <f t="shared" si="91"/>
        <v>60.075000000000003</v>
      </c>
      <c r="CV117">
        <f t="shared" si="92"/>
        <v>0</v>
      </c>
      <c r="CW117">
        <f t="shared" si="93"/>
        <v>75.575000000000017</v>
      </c>
      <c r="CX117">
        <f t="shared" si="94"/>
        <v>0</v>
      </c>
      <c r="CY117">
        <f t="shared" si="95"/>
        <v>91.075000000000017</v>
      </c>
      <c r="CZ117">
        <f t="shared" si="96"/>
        <v>0</v>
      </c>
      <c r="DA117">
        <f t="shared" si="97"/>
        <v>106.57500000000002</v>
      </c>
      <c r="DB117" s="74">
        <f t="shared" si="98"/>
        <v>965.62753317227123</v>
      </c>
      <c r="DC117" s="74">
        <f t="shared" si="99"/>
        <v>31.149275263621654</v>
      </c>
      <c r="DD117" s="73">
        <f t="shared" si="100"/>
        <v>1950318.4228058788</v>
      </c>
      <c r="DE117" s="74">
        <f t="shared" si="101"/>
        <v>2932.7362403040952</v>
      </c>
      <c r="DF117" s="74">
        <f t="shared" si="102"/>
        <v>94.604394848519206</v>
      </c>
      <c r="DG117" s="74">
        <f t="shared" si="103"/>
        <v>540380.30337474169</v>
      </c>
      <c r="DH117" s="74">
        <f t="shared" si="104"/>
        <v>80665.759354440626</v>
      </c>
      <c r="DI117" s="74">
        <f t="shared" si="105"/>
        <v>2602.1212694980845</v>
      </c>
      <c r="DJ117" s="74">
        <f t="shared" si="106"/>
        <v>3666.6254252018466</v>
      </c>
      <c r="DK117" s="74">
        <f t="shared" si="107"/>
        <v>2508444.9037961536</v>
      </c>
      <c r="DL117" s="74">
        <f t="shared" si="108"/>
        <v>3534626.90989458</v>
      </c>
    </row>
    <row r="118" spans="1:116" x14ac:dyDescent="0.2">
      <c r="A118" s="96">
        <v>45536</v>
      </c>
      <c r="B118" s="4">
        <f t="shared" si="64"/>
        <v>2024</v>
      </c>
      <c r="C118" s="4">
        <f t="shared" si="65"/>
        <v>9</v>
      </c>
      <c r="D118" s="59">
        <v>45732823.859999992</v>
      </c>
      <c r="E118" s="59">
        <f>IFERROR(VLOOKUP($B118-1,CDM!$I$7:$N$18,2,FALSE)/12,0)+IFERROR(VLOOKUP($B118,CDM!$I$36:$L$46,2,FALSE)/24,0)+IFERROR(VLOOKUP($B118,CDM!$I$36:$L$46,2,FALSE)/2*$C118/78,0)</f>
        <v>2748687.3556750012</v>
      </c>
      <c r="F118" s="59">
        <f t="shared" si="66"/>
        <v>48481511.215674996</v>
      </c>
      <c r="G118" s="59">
        <v>62663</v>
      </c>
      <c r="H118" s="59">
        <v>13837503.450000001</v>
      </c>
      <c r="I118" s="59">
        <f>IFERROR(VLOOKUP($B118-1,CDM!$I$7:$N$18,3,FALSE)/12,0)+IFERROR(VLOOKUP($B118,CDM!$I$36:$L$46,3,FALSE)/24,0)+IFERROR(VLOOKUP($B118,CDM!$I$36:$L$46,3,FALSE)/2*$C118/78,0)</f>
        <v>1283367.3506807443</v>
      </c>
      <c r="J118" s="59">
        <f t="shared" si="67"/>
        <v>15120870.800680745</v>
      </c>
      <c r="K118" s="59">
        <v>5736</v>
      </c>
      <c r="L118" s="59">
        <v>66779172.68999999</v>
      </c>
      <c r="M118" s="2">
        <f>IFERROR(VLOOKUP($B118-1,CDM!$I$7:$N$18,4,FALSE)/12,0)+IFERROR(VLOOKUP($B118,CDM!$I$36:$L$46,4,FALSE)/24,0)+IFERROR(VLOOKUP($B118,CDM!$I$36:$L$46,4,FALSE)/2*$C118/78,0)</f>
        <v>4789839.8834626712</v>
      </c>
      <c r="N118" s="59">
        <f t="shared" si="68"/>
        <v>71569012.573462665</v>
      </c>
      <c r="O118" s="59">
        <v>180499.75300000023</v>
      </c>
      <c r="P118" s="59">
        <v>964</v>
      </c>
      <c r="Q118" s="59">
        <v>449202.26</v>
      </c>
      <c r="R118" s="59">
        <v>1297.71</v>
      </c>
      <c r="S118" s="59">
        <v>17330</v>
      </c>
      <c r="T118" s="59">
        <v>273326.48</v>
      </c>
      <c r="U118" s="1">
        <v>22</v>
      </c>
      <c r="V118" s="59">
        <v>579</v>
      </c>
      <c r="W118" s="114">
        <f>Economic!J180</f>
        <v>865859.6</v>
      </c>
      <c r="X118" s="114">
        <f>Economic!K180</f>
        <v>679067</v>
      </c>
      <c r="Y118" s="114">
        <f>Economic!L180</f>
        <v>74531.5</v>
      </c>
      <c r="Z118" s="114">
        <f>Economic!M180</f>
        <v>867701</v>
      </c>
      <c r="AA118" s="114">
        <f>Economic!N180</f>
        <v>682077</v>
      </c>
      <c r="AB118" s="114">
        <f>Economic!O180</f>
        <v>32844</v>
      </c>
      <c r="AC118" s="114">
        <f>Economic!D180</f>
        <v>7945</v>
      </c>
      <c r="AD118" s="114">
        <f>Economic!E180</f>
        <v>7968.4</v>
      </c>
      <c r="AE118" s="114">
        <f>Economic!F180</f>
        <v>3689.8</v>
      </c>
      <c r="AF118" s="114">
        <f>Economic!G180</f>
        <v>3698.6</v>
      </c>
      <c r="AG118" s="114">
        <f>Economic!H180</f>
        <v>414.9</v>
      </c>
      <c r="AH118" s="114">
        <f>Economic!I180</f>
        <v>411.6</v>
      </c>
      <c r="AI118" s="114">
        <f>Economic!P192</f>
        <v>141</v>
      </c>
      <c r="AJ118" s="114">
        <f>Economic!Q192</f>
        <v>155.20000000000073</v>
      </c>
      <c r="AK118" s="114">
        <f>Economic!R192</f>
        <v>64.399999999999636</v>
      </c>
      <c r="AL118" s="114">
        <f>Economic!S192</f>
        <v>75.400000000000091</v>
      </c>
      <c r="AM118" s="114">
        <f>Economic!T192</f>
        <v>12410.654266666621</v>
      </c>
      <c r="AN118" s="114">
        <f>Economic!U192</f>
        <v>730</v>
      </c>
      <c r="AO118" s="28">
        <f>Weather!D310</f>
        <v>18.926666666666669</v>
      </c>
      <c r="AP118" s="28">
        <f>Weather!E310</f>
        <v>37.4</v>
      </c>
      <c r="AQ118" s="28">
        <f>Weather!F310</f>
        <v>5.2000000000000028</v>
      </c>
      <c r="AR118" s="28">
        <f>Weather!G310</f>
        <v>10.800000000000002</v>
      </c>
      <c r="AS118" s="28">
        <f>Weather!H310</f>
        <v>38.6</v>
      </c>
      <c r="AT118" s="28">
        <f>Weather!I310</f>
        <v>3.9000000000000004</v>
      </c>
      <c r="AU118" s="28">
        <f>Weather!J310</f>
        <v>91.699999999999989</v>
      </c>
      <c r="AV118" s="28">
        <f>Weather!K310</f>
        <v>0.40000000000000036</v>
      </c>
      <c r="AW118" s="28">
        <f>Weather!L310</f>
        <v>148.19999999999999</v>
      </c>
      <c r="AX118" s="28">
        <f>Weather!M310</f>
        <v>0</v>
      </c>
      <c r="AY118" s="28">
        <f>Weather!N310</f>
        <v>207.79999999999995</v>
      </c>
      <c r="AZ118" s="28">
        <f>Weather!O310</f>
        <v>0</v>
      </c>
      <c r="BA118" s="28">
        <f>Weather!P310</f>
        <v>267.79999999999995</v>
      </c>
      <c r="BB118" s="28">
        <f>Weather!Q310</f>
        <v>0</v>
      </c>
      <c r="BC118" s="28">
        <f>Weather!R310</f>
        <v>327.8</v>
      </c>
      <c r="BD118">
        <f t="shared" ref="BD118:BR118" si="110">BD106</f>
        <v>0</v>
      </c>
      <c r="BE118">
        <f t="shared" si="110"/>
        <v>0</v>
      </c>
      <c r="BF118">
        <f t="shared" si="110"/>
        <v>0</v>
      </c>
      <c r="BG118">
        <f t="shared" si="110"/>
        <v>0</v>
      </c>
      <c r="BH118">
        <f t="shared" si="110"/>
        <v>0</v>
      </c>
      <c r="BI118">
        <f t="shared" si="110"/>
        <v>0</v>
      </c>
      <c r="BJ118">
        <f t="shared" si="110"/>
        <v>0</v>
      </c>
      <c r="BK118">
        <f t="shared" si="110"/>
        <v>0</v>
      </c>
      <c r="BL118">
        <f t="shared" si="110"/>
        <v>1</v>
      </c>
      <c r="BM118">
        <f t="shared" si="110"/>
        <v>0</v>
      </c>
      <c r="BN118">
        <f t="shared" si="110"/>
        <v>0</v>
      </c>
      <c r="BO118">
        <f t="shared" si="110"/>
        <v>0</v>
      </c>
      <c r="BP118" s="1">
        <f t="shared" si="110"/>
        <v>0</v>
      </c>
      <c r="BQ118" s="1">
        <f t="shared" si="110"/>
        <v>1</v>
      </c>
      <c r="BR118" s="1">
        <f t="shared" si="110"/>
        <v>1</v>
      </c>
      <c r="BS118" s="1">
        <f t="shared" ref="BS118:BS121" si="111">1+BS117</f>
        <v>117</v>
      </c>
      <c r="BT118">
        <f t="shared" si="63"/>
        <v>30</v>
      </c>
      <c r="BU118" s="1">
        <v>20</v>
      </c>
      <c r="BV118" s="1">
        <v>0</v>
      </c>
      <c r="BW118" s="1">
        <v>0</v>
      </c>
      <c r="BX118" s="1">
        <v>0.25</v>
      </c>
      <c r="BY118" s="1">
        <v>0</v>
      </c>
      <c r="BZ118">
        <f t="shared" si="70"/>
        <v>0</v>
      </c>
      <c r="CA118">
        <f t="shared" si="71"/>
        <v>0</v>
      </c>
      <c r="CB118">
        <f t="shared" si="72"/>
        <v>0</v>
      </c>
      <c r="CC118">
        <f t="shared" si="73"/>
        <v>0</v>
      </c>
      <c r="CD118">
        <f t="shared" si="74"/>
        <v>0</v>
      </c>
      <c r="CE118">
        <f t="shared" si="75"/>
        <v>0</v>
      </c>
      <c r="CF118">
        <f t="shared" si="76"/>
        <v>0</v>
      </c>
      <c r="CG118">
        <f t="shared" si="77"/>
        <v>0</v>
      </c>
      <c r="CH118">
        <f t="shared" si="78"/>
        <v>0</v>
      </c>
      <c r="CI118">
        <f t="shared" si="79"/>
        <v>0</v>
      </c>
      <c r="CJ118">
        <f t="shared" si="80"/>
        <v>0</v>
      </c>
      <c r="CK118">
        <f t="shared" si="81"/>
        <v>0</v>
      </c>
      <c r="CL118">
        <f t="shared" si="82"/>
        <v>0</v>
      </c>
      <c r="CM118">
        <f t="shared" si="83"/>
        <v>0</v>
      </c>
      <c r="CN118">
        <f t="shared" si="84"/>
        <v>9.35</v>
      </c>
      <c r="CO118">
        <f t="shared" si="85"/>
        <v>1.3000000000000007</v>
      </c>
      <c r="CP118">
        <f t="shared" si="86"/>
        <v>2.7000000000000006</v>
      </c>
      <c r="CQ118">
        <f t="shared" si="87"/>
        <v>9.65</v>
      </c>
      <c r="CR118">
        <f t="shared" si="88"/>
        <v>0.97500000000000009</v>
      </c>
      <c r="CS118">
        <f t="shared" si="89"/>
        <v>22.924999999999997</v>
      </c>
      <c r="CT118">
        <f t="shared" si="90"/>
        <v>0.10000000000000009</v>
      </c>
      <c r="CU118">
        <f t="shared" si="91"/>
        <v>37.049999999999997</v>
      </c>
      <c r="CV118">
        <f t="shared" si="92"/>
        <v>0</v>
      </c>
      <c r="CW118">
        <f t="shared" si="93"/>
        <v>51.949999999999989</v>
      </c>
      <c r="CX118">
        <f t="shared" si="94"/>
        <v>0</v>
      </c>
      <c r="CY118">
        <f t="shared" si="95"/>
        <v>66.949999999999989</v>
      </c>
      <c r="CZ118">
        <f t="shared" si="96"/>
        <v>0</v>
      </c>
      <c r="DA118">
        <f t="shared" si="97"/>
        <v>81.95</v>
      </c>
      <c r="DB118" s="74">
        <f t="shared" si="98"/>
        <v>773.68640530576249</v>
      </c>
      <c r="DC118" s="74">
        <f t="shared" si="99"/>
        <v>25.789546843525418</v>
      </c>
      <c r="DD118" s="73">
        <f t="shared" si="100"/>
        <v>1616050.3738558332</v>
      </c>
      <c r="DE118" s="74">
        <f t="shared" si="101"/>
        <v>2636.1350768271873</v>
      </c>
      <c r="DF118" s="74">
        <f t="shared" si="102"/>
        <v>87.871169227572906</v>
      </c>
      <c r="DG118" s="74">
        <f t="shared" si="103"/>
        <v>504029.02668935817</v>
      </c>
      <c r="DH118" s="74">
        <f t="shared" si="104"/>
        <v>74241.714287824347</v>
      </c>
      <c r="DI118" s="74">
        <f t="shared" si="105"/>
        <v>2474.7238095941448</v>
      </c>
      <c r="DJ118" s="74">
        <f t="shared" si="106"/>
        <v>3712.0857143912172</v>
      </c>
      <c r="DK118" s="74">
        <f t="shared" si="107"/>
        <v>2385633.7524487553</v>
      </c>
      <c r="DL118" s="74">
        <f t="shared" si="108"/>
        <v>3578450.6286731334</v>
      </c>
    </row>
    <row r="119" spans="1:116" x14ac:dyDescent="0.2">
      <c r="A119" s="96">
        <v>45566</v>
      </c>
      <c r="B119" s="4">
        <f t="shared" si="64"/>
        <v>2024</v>
      </c>
      <c r="C119" s="4">
        <f t="shared" si="65"/>
        <v>10</v>
      </c>
      <c r="D119" s="59">
        <v>38598022.640000001</v>
      </c>
      <c r="E119" s="59">
        <f>IFERROR(VLOOKUP($B119-1,CDM!$I$7:$N$18,2,FALSE)/12,0)+IFERROR(VLOOKUP($B119,CDM!$I$36:$L$46,2,FALSE)/24,0)+IFERROR(VLOOKUP($B119,CDM!$I$36:$L$46,2,FALSE)/2*$C119/78,0)</f>
        <v>2754154.9643677664</v>
      </c>
      <c r="F119" s="59">
        <f t="shared" si="66"/>
        <v>41352177.60436777</v>
      </c>
      <c r="G119" s="59">
        <v>62674</v>
      </c>
      <c r="H119" s="59">
        <v>13140181.549999999</v>
      </c>
      <c r="I119" s="59">
        <f>IFERROR(VLOOKUP($B119-1,CDM!$I$7:$N$18,3,FALSE)/12,0)+IFERROR(VLOOKUP($B119,CDM!$I$36:$L$46,3,FALSE)/24,0)+IFERROR(VLOOKUP($B119,CDM!$I$36:$L$46,3,FALSE)/2*$C119/78,0)</f>
        <v>1289321.3867444987</v>
      </c>
      <c r="J119" s="59">
        <f t="shared" si="67"/>
        <v>14429502.936744498</v>
      </c>
      <c r="K119" s="59">
        <v>5733</v>
      </c>
      <c r="L119" s="59">
        <v>63688206.770000003</v>
      </c>
      <c r="M119" s="2">
        <f>IFERROR(VLOOKUP($B119-1,CDM!$I$7:$N$18,4,FALSE)/12,0)+IFERROR(VLOOKUP($B119,CDM!$I$36:$L$46,4,FALSE)/24,0)+IFERROR(VLOOKUP($B119,CDM!$I$36:$L$46,4,FALSE)/2*$C119/78,0)</f>
        <v>4833309.539244581</v>
      </c>
      <c r="N119" s="59">
        <f t="shared" si="68"/>
        <v>68521516.309244588</v>
      </c>
      <c r="O119" s="59">
        <v>171276.80299999984</v>
      </c>
      <c r="P119" s="59">
        <v>958</v>
      </c>
      <c r="Q119" s="59">
        <v>523431.2</v>
      </c>
      <c r="R119" s="59">
        <v>1297.71</v>
      </c>
      <c r="S119" s="59">
        <v>17330</v>
      </c>
      <c r="T119" s="59">
        <v>273326.48</v>
      </c>
      <c r="U119" s="1">
        <v>22</v>
      </c>
      <c r="V119" s="59">
        <v>579</v>
      </c>
      <c r="W119" s="114">
        <f>Economic!J181</f>
        <v>865859.6</v>
      </c>
      <c r="X119" s="114">
        <f>Economic!K181</f>
        <v>679067</v>
      </c>
      <c r="Y119" s="114">
        <f>Economic!L181</f>
        <v>74531.5</v>
      </c>
      <c r="Z119" s="114">
        <f>Economic!M181</f>
        <v>869576</v>
      </c>
      <c r="AA119" s="114">
        <f>Economic!N181</f>
        <v>686415</v>
      </c>
      <c r="AB119" s="114">
        <f>Economic!O181</f>
        <v>33497</v>
      </c>
      <c r="AC119" s="114">
        <f>Economic!D181</f>
        <v>7949.8</v>
      </c>
      <c r="AD119" s="114">
        <f>Economic!E181</f>
        <v>7947.2</v>
      </c>
      <c r="AE119" s="114">
        <f>Economic!F181</f>
        <v>3686.7</v>
      </c>
      <c r="AF119" s="114">
        <f>Economic!G181</f>
        <v>3677.3</v>
      </c>
      <c r="AG119" s="114">
        <f>Economic!H181</f>
        <v>417.5</v>
      </c>
      <c r="AH119" s="114">
        <f>Economic!I181</f>
        <v>415.1</v>
      </c>
      <c r="AI119" s="114">
        <f>Economic!P193</f>
        <v>144.19999999999982</v>
      </c>
      <c r="AJ119" s="114">
        <f>Economic!Q193</f>
        <v>162.30000000000018</v>
      </c>
      <c r="AK119" s="114">
        <f>Economic!R193</f>
        <v>75.800000000000182</v>
      </c>
      <c r="AL119" s="114">
        <f>Economic!S193</f>
        <v>83.699999999999818</v>
      </c>
      <c r="AM119" s="114">
        <f>Economic!T193</f>
        <v>12410.654266666621</v>
      </c>
      <c r="AN119" s="114">
        <f>Economic!U193</f>
        <v>4174.92266666668</v>
      </c>
      <c r="AO119" s="28">
        <f>Weather!D311</f>
        <v>13.748387096774191</v>
      </c>
      <c r="AP119" s="28">
        <f>Weather!E311</f>
        <v>194.8</v>
      </c>
      <c r="AQ119" s="28">
        <f>Weather!F311</f>
        <v>1</v>
      </c>
      <c r="AR119" s="28">
        <f>Weather!G311</f>
        <v>141.79999999999998</v>
      </c>
      <c r="AS119" s="28">
        <f>Weather!H311</f>
        <v>10</v>
      </c>
      <c r="AT119" s="28">
        <f>Weather!I311</f>
        <v>94</v>
      </c>
      <c r="AU119" s="28">
        <f>Weather!J311</f>
        <v>24.2</v>
      </c>
      <c r="AV119" s="28">
        <f>Weather!K311</f>
        <v>55.2</v>
      </c>
      <c r="AW119" s="28">
        <f>Weather!L311</f>
        <v>47.400000000000006</v>
      </c>
      <c r="AX119" s="28">
        <f>Weather!M311</f>
        <v>27.900000000000002</v>
      </c>
      <c r="AY119" s="28">
        <f>Weather!N311</f>
        <v>82.100000000000009</v>
      </c>
      <c r="AZ119" s="28">
        <f>Weather!O311</f>
        <v>8.6000000000000014</v>
      </c>
      <c r="BA119" s="28">
        <f>Weather!P311</f>
        <v>124.80000000000001</v>
      </c>
      <c r="BB119" s="28">
        <f>Weather!Q311</f>
        <v>0.29999999999999982</v>
      </c>
      <c r="BC119" s="28">
        <f>Weather!R311</f>
        <v>178.5</v>
      </c>
      <c r="BD119">
        <f t="shared" ref="BD119:BR119" si="112">BD107</f>
        <v>0</v>
      </c>
      <c r="BE119">
        <f t="shared" si="112"/>
        <v>0</v>
      </c>
      <c r="BF119">
        <f t="shared" si="112"/>
        <v>0</v>
      </c>
      <c r="BG119">
        <f t="shared" si="112"/>
        <v>0</v>
      </c>
      <c r="BH119">
        <f t="shared" si="112"/>
        <v>0</v>
      </c>
      <c r="BI119">
        <f t="shared" si="112"/>
        <v>0</v>
      </c>
      <c r="BJ119">
        <f t="shared" si="112"/>
        <v>0</v>
      </c>
      <c r="BK119">
        <f t="shared" si="112"/>
        <v>0</v>
      </c>
      <c r="BL119">
        <f t="shared" si="112"/>
        <v>0</v>
      </c>
      <c r="BM119">
        <f t="shared" si="112"/>
        <v>1</v>
      </c>
      <c r="BN119">
        <f t="shared" si="112"/>
        <v>0</v>
      </c>
      <c r="BO119">
        <f t="shared" si="112"/>
        <v>0</v>
      </c>
      <c r="BP119" s="1">
        <f t="shared" si="112"/>
        <v>0</v>
      </c>
      <c r="BQ119" s="1">
        <f t="shared" si="112"/>
        <v>1</v>
      </c>
      <c r="BR119" s="1">
        <f t="shared" si="112"/>
        <v>1</v>
      </c>
      <c r="BS119" s="1">
        <f t="shared" si="111"/>
        <v>118</v>
      </c>
      <c r="BT119">
        <f t="shared" si="63"/>
        <v>31</v>
      </c>
      <c r="BU119" s="1">
        <v>22</v>
      </c>
      <c r="BV119" s="1">
        <v>0</v>
      </c>
      <c r="BW119" s="1">
        <v>0</v>
      </c>
      <c r="BX119" s="1">
        <v>0.25</v>
      </c>
      <c r="BY119" s="1">
        <v>0</v>
      </c>
      <c r="BZ119">
        <f t="shared" si="70"/>
        <v>0</v>
      </c>
      <c r="CA119">
        <f t="shared" si="71"/>
        <v>0</v>
      </c>
      <c r="CB119">
        <f t="shared" si="72"/>
        <v>0</v>
      </c>
      <c r="CC119">
        <f t="shared" si="73"/>
        <v>0</v>
      </c>
      <c r="CD119">
        <f t="shared" si="74"/>
        <v>0</v>
      </c>
      <c r="CE119">
        <f t="shared" si="75"/>
        <v>0</v>
      </c>
      <c r="CF119">
        <f t="shared" si="76"/>
        <v>0</v>
      </c>
      <c r="CG119">
        <f t="shared" si="77"/>
        <v>0</v>
      </c>
      <c r="CH119">
        <f t="shared" si="78"/>
        <v>0</v>
      </c>
      <c r="CI119">
        <f t="shared" si="79"/>
        <v>0</v>
      </c>
      <c r="CJ119">
        <f t="shared" si="80"/>
        <v>0</v>
      </c>
      <c r="CK119">
        <f t="shared" si="81"/>
        <v>0</v>
      </c>
      <c r="CL119">
        <f t="shared" si="82"/>
        <v>0</v>
      </c>
      <c r="CM119">
        <f t="shared" si="83"/>
        <v>0</v>
      </c>
      <c r="CN119">
        <f t="shared" si="84"/>
        <v>48.7</v>
      </c>
      <c r="CO119">
        <f t="shared" si="85"/>
        <v>0.25</v>
      </c>
      <c r="CP119">
        <f t="shared" si="86"/>
        <v>35.449999999999996</v>
      </c>
      <c r="CQ119">
        <f t="shared" si="87"/>
        <v>2.5</v>
      </c>
      <c r="CR119">
        <f t="shared" si="88"/>
        <v>23.5</v>
      </c>
      <c r="CS119">
        <f t="shared" si="89"/>
        <v>6.05</v>
      </c>
      <c r="CT119">
        <f t="shared" si="90"/>
        <v>13.8</v>
      </c>
      <c r="CU119">
        <f t="shared" si="91"/>
        <v>11.850000000000001</v>
      </c>
      <c r="CV119">
        <f t="shared" si="92"/>
        <v>6.9750000000000005</v>
      </c>
      <c r="CW119">
        <f t="shared" si="93"/>
        <v>20.525000000000002</v>
      </c>
      <c r="CX119">
        <f t="shared" si="94"/>
        <v>2.1500000000000004</v>
      </c>
      <c r="CY119">
        <f t="shared" si="95"/>
        <v>31.200000000000003</v>
      </c>
      <c r="CZ119">
        <f t="shared" si="96"/>
        <v>7.4999999999999956E-2</v>
      </c>
      <c r="DA119">
        <f t="shared" si="97"/>
        <v>44.625</v>
      </c>
      <c r="DB119" s="74">
        <f t="shared" si="98"/>
        <v>659.79796413772488</v>
      </c>
      <c r="DC119" s="74">
        <f t="shared" si="99"/>
        <v>21.283805294765319</v>
      </c>
      <c r="DD119" s="73">
        <f t="shared" si="100"/>
        <v>1333941.2130441216</v>
      </c>
      <c r="DE119" s="74">
        <f t="shared" si="101"/>
        <v>2516.9201006008193</v>
      </c>
      <c r="DF119" s="74">
        <f t="shared" si="102"/>
        <v>81.190970987123208</v>
      </c>
      <c r="DG119" s="74">
        <f t="shared" si="103"/>
        <v>465467.83666917734</v>
      </c>
      <c r="DH119" s="74">
        <f t="shared" si="104"/>
        <v>71525.591136998526</v>
      </c>
      <c r="DI119" s="74">
        <f t="shared" si="105"/>
        <v>2307.2771334515655</v>
      </c>
      <c r="DJ119" s="74">
        <f t="shared" si="106"/>
        <v>3251.1632334999331</v>
      </c>
      <c r="DK119" s="74">
        <f t="shared" si="107"/>
        <v>2210371.4938465995</v>
      </c>
      <c r="DL119" s="74">
        <f t="shared" si="108"/>
        <v>3114614.377692936</v>
      </c>
    </row>
    <row r="120" spans="1:116" x14ac:dyDescent="0.2">
      <c r="A120" s="96">
        <v>45597</v>
      </c>
      <c r="B120" s="4">
        <f t="shared" si="64"/>
        <v>2024</v>
      </c>
      <c r="C120" s="4">
        <f t="shared" si="65"/>
        <v>11</v>
      </c>
      <c r="D120" s="59">
        <v>38022776.759999998</v>
      </c>
      <c r="E120" s="59">
        <f>IFERROR(VLOOKUP($B120-1,CDM!$I$7:$N$18,2,FALSE)/12,0)+IFERROR(VLOOKUP($B120,CDM!$I$36:$L$46,2,FALSE)/24,0)+IFERROR(VLOOKUP($B120,CDM!$I$36:$L$46,2,FALSE)/2*$C120/78,0)</f>
        <v>2759622.5730605321</v>
      </c>
      <c r="F120" s="59">
        <f t="shared" si="66"/>
        <v>40782399.333060533</v>
      </c>
      <c r="G120" s="59">
        <v>62628</v>
      </c>
      <c r="H120" s="59">
        <v>13056159.080000002</v>
      </c>
      <c r="I120" s="59">
        <f>IFERROR(VLOOKUP($B120-1,CDM!$I$7:$N$18,3,FALSE)/12,0)+IFERROR(VLOOKUP($B120,CDM!$I$36:$L$46,3,FALSE)/24,0)+IFERROR(VLOOKUP($B120,CDM!$I$36:$L$46,3,FALSE)/2*$C120/78,0)</f>
        <v>1295275.4228082532</v>
      </c>
      <c r="J120" s="59">
        <f t="shared" si="67"/>
        <v>14351434.502808254</v>
      </c>
      <c r="K120" s="59">
        <v>5717</v>
      </c>
      <c r="L120" s="59">
        <v>61978567.100000024</v>
      </c>
      <c r="M120" s="2">
        <f>IFERROR(VLOOKUP($B120-1,CDM!$I$7:$N$18,4,FALSE)/12,0)+IFERROR(VLOOKUP($B120,CDM!$I$36:$L$46,4,FALSE)/24,0)+IFERROR(VLOOKUP($B120,CDM!$I$36:$L$46,4,FALSE)/2*$C120/78,0)</f>
        <v>4876779.1950264918</v>
      </c>
      <c r="N120" s="59">
        <f t="shared" si="68"/>
        <v>66855346.295026518</v>
      </c>
      <c r="O120" s="59">
        <v>167051.06500000012</v>
      </c>
      <c r="P120" s="59">
        <v>961</v>
      </c>
      <c r="Q120" s="59">
        <v>556868.89</v>
      </c>
      <c r="R120" s="59">
        <v>1297.71</v>
      </c>
      <c r="S120" s="59">
        <v>17330</v>
      </c>
      <c r="T120" s="59">
        <v>273326.48</v>
      </c>
      <c r="U120" s="1">
        <v>22</v>
      </c>
      <c r="V120" s="59">
        <v>579</v>
      </c>
      <c r="W120" s="114">
        <f>Economic!J182</f>
        <v>865859.6</v>
      </c>
      <c r="X120" s="114">
        <f>Economic!K182</f>
        <v>679067</v>
      </c>
      <c r="Y120" s="114">
        <f>Economic!L182</f>
        <v>74531.5</v>
      </c>
      <c r="Z120" s="114">
        <f>Economic!M182</f>
        <v>869576</v>
      </c>
      <c r="AA120" s="114">
        <f>Economic!N182</f>
        <v>686415</v>
      </c>
      <c r="AB120" s="114">
        <f>Economic!O182</f>
        <v>33497</v>
      </c>
      <c r="AC120" s="114">
        <f>Economic!D182</f>
        <v>7953.4</v>
      </c>
      <c r="AD120" s="114">
        <f>Economic!E182</f>
        <v>7939.3</v>
      </c>
      <c r="AE120" s="114">
        <f>Economic!F182</f>
        <v>3690.3</v>
      </c>
      <c r="AF120" s="114">
        <f>Economic!G182</f>
        <v>3673.4</v>
      </c>
      <c r="AG120" s="114">
        <f>Economic!H182</f>
        <v>419</v>
      </c>
      <c r="AH120" s="114">
        <f>Economic!I182</f>
        <v>418.5</v>
      </c>
      <c r="AI120" s="114">
        <f>Economic!P194</f>
        <v>149.40000000000055</v>
      </c>
      <c r="AJ120" s="114">
        <f>Economic!Q194</f>
        <v>161.89999999999964</v>
      </c>
      <c r="AK120" s="114">
        <f>Economic!R194</f>
        <v>75.299999999999727</v>
      </c>
      <c r="AL120" s="114">
        <f>Economic!S194</f>
        <v>80.799999999999727</v>
      </c>
      <c r="AM120" s="114">
        <f>Economic!T194</f>
        <v>12410.654266666621</v>
      </c>
      <c r="AN120" s="114">
        <f>Economic!U194</f>
        <v>4174.92266666668</v>
      </c>
      <c r="AO120" s="28">
        <f>Weather!D312</f>
        <v>7.8566666666666674</v>
      </c>
      <c r="AP120" s="28">
        <f>Weather!E312</f>
        <v>364.90000000000003</v>
      </c>
      <c r="AQ120" s="28">
        <f>Weather!F312</f>
        <v>0.60000000000000142</v>
      </c>
      <c r="AR120" s="28">
        <f>Weather!G312</f>
        <v>306.89999999999998</v>
      </c>
      <c r="AS120" s="28">
        <f>Weather!H312</f>
        <v>2.6000000000000014</v>
      </c>
      <c r="AT120" s="28">
        <f>Weather!I312</f>
        <v>250.19999999999996</v>
      </c>
      <c r="AU120" s="28">
        <f>Weather!J312</f>
        <v>5.9000000000000021</v>
      </c>
      <c r="AV120" s="28">
        <f>Weather!K312</f>
        <v>194.20000000000002</v>
      </c>
      <c r="AW120" s="28">
        <f>Weather!L312</f>
        <v>9.9000000000000021</v>
      </c>
      <c r="AX120" s="28">
        <f>Weather!M312</f>
        <v>140.29999999999998</v>
      </c>
      <c r="AY120" s="28">
        <f>Weather!N312</f>
        <v>16</v>
      </c>
      <c r="AZ120" s="28">
        <f>Weather!O312</f>
        <v>90.7</v>
      </c>
      <c r="BA120" s="28">
        <f>Weather!P312</f>
        <v>26.4</v>
      </c>
      <c r="BB120" s="28">
        <f>Weather!Q312</f>
        <v>50.1</v>
      </c>
      <c r="BC120" s="28">
        <f>Weather!R312</f>
        <v>45.800000000000011</v>
      </c>
      <c r="BD120">
        <f t="shared" ref="BD120:BR120" si="113">BD108</f>
        <v>0</v>
      </c>
      <c r="BE120">
        <f t="shared" si="113"/>
        <v>0</v>
      </c>
      <c r="BF120">
        <f t="shared" si="113"/>
        <v>0</v>
      </c>
      <c r="BG120">
        <f t="shared" si="113"/>
        <v>0</v>
      </c>
      <c r="BH120">
        <f t="shared" si="113"/>
        <v>0</v>
      </c>
      <c r="BI120">
        <f t="shared" si="113"/>
        <v>0</v>
      </c>
      <c r="BJ120">
        <f t="shared" si="113"/>
        <v>0</v>
      </c>
      <c r="BK120">
        <f t="shared" si="113"/>
        <v>0</v>
      </c>
      <c r="BL120">
        <f t="shared" si="113"/>
        <v>0</v>
      </c>
      <c r="BM120">
        <f t="shared" si="113"/>
        <v>0</v>
      </c>
      <c r="BN120">
        <f t="shared" si="113"/>
        <v>1</v>
      </c>
      <c r="BO120">
        <f t="shared" si="113"/>
        <v>0</v>
      </c>
      <c r="BP120" s="1">
        <f t="shared" si="113"/>
        <v>0</v>
      </c>
      <c r="BQ120" s="1">
        <f t="shared" si="113"/>
        <v>1</v>
      </c>
      <c r="BR120" s="1">
        <f t="shared" si="113"/>
        <v>1</v>
      </c>
      <c r="BS120" s="1">
        <f t="shared" si="111"/>
        <v>119</v>
      </c>
      <c r="BT120">
        <f t="shared" si="63"/>
        <v>30</v>
      </c>
      <c r="BU120" s="1">
        <v>21</v>
      </c>
      <c r="BV120" s="1">
        <v>0</v>
      </c>
      <c r="BW120" s="1">
        <v>0</v>
      </c>
      <c r="BX120" s="1">
        <v>0.25</v>
      </c>
      <c r="BY120" s="1">
        <v>0</v>
      </c>
      <c r="BZ120">
        <f t="shared" si="70"/>
        <v>0</v>
      </c>
      <c r="CA120">
        <f t="shared" si="71"/>
        <v>0</v>
      </c>
      <c r="CB120">
        <f t="shared" si="72"/>
        <v>0</v>
      </c>
      <c r="CC120">
        <f t="shared" si="73"/>
        <v>0</v>
      </c>
      <c r="CD120">
        <f t="shared" si="74"/>
        <v>0</v>
      </c>
      <c r="CE120">
        <f t="shared" si="75"/>
        <v>0</v>
      </c>
      <c r="CF120">
        <f t="shared" si="76"/>
        <v>0</v>
      </c>
      <c r="CG120">
        <f t="shared" si="77"/>
        <v>0</v>
      </c>
      <c r="CH120">
        <f t="shared" si="78"/>
        <v>0</v>
      </c>
      <c r="CI120">
        <f t="shared" si="79"/>
        <v>0</v>
      </c>
      <c r="CJ120">
        <f t="shared" si="80"/>
        <v>0</v>
      </c>
      <c r="CK120">
        <f t="shared" si="81"/>
        <v>0</v>
      </c>
      <c r="CL120">
        <f t="shared" si="82"/>
        <v>0</v>
      </c>
      <c r="CM120">
        <f t="shared" si="83"/>
        <v>0</v>
      </c>
      <c r="CN120">
        <f t="shared" si="84"/>
        <v>91.225000000000009</v>
      </c>
      <c r="CO120">
        <f t="shared" si="85"/>
        <v>0.15000000000000036</v>
      </c>
      <c r="CP120">
        <f t="shared" si="86"/>
        <v>76.724999999999994</v>
      </c>
      <c r="CQ120">
        <f t="shared" si="87"/>
        <v>0.65000000000000036</v>
      </c>
      <c r="CR120">
        <f t="shared" si="88"/>
        <v>62.54999999999999</v>
      </c>
      <c r="CS120">
        <f t="shared" si="89"/>
        <v>1.4750000000000005</v>
      </c>
      <c r="CT120">
        <f t="shared" si="90"/>
        <v>48.550000000000004</v>
      </c>
      <c r="CU120">
        <f t="shared" si="91"/>
        <v>2.4750000000000005</v>
      </c>
      <c r="CV120">
        <f t="shared" si="92"/>
        <v>35.074999999999996</v>
      </c>
      <c r="CW120">
        <f t="shared" si="93"/>
        <v>4</v>
      </c>
      <c r="CX120">
        <f t="shared" si="94"/>
        <v>22.675000000000001</v>
      </c>
      <c r="CY120">
        <f t="shared" si="95"/>
        <v>6.6</v>
      </c>
      <c r="CZ120">
        <f t="shared" si="96"/>
        <v>12.525</v>
      </c>
      <c r="DA120">
        <f t="shared" si="97"/>
        <v>11.450000000000003</v>
      </c>
      <c r="DB120" s="74">
        <f t="shared" si="98"/>
        <v>651.18476293447873</v>
      </c>
      <c r="DC120" s="74">
        <f t="shared" si="99"/>
        <v>21.706158764482623</v>
      </c>
      <c r="DD120" s="73">
        <f t="shared" si="100"/>
        <v>1359413.3111020178</v>
      </c>
      <c r="DE120" s="74">
        <f t="shared" si="101"/>
        <v>2510.3086413867859</v>
      </c>
      <c r="DF120" s="74">
        <f t="shared" si="102"/>
        <v>83.676954712892865</v>
      </c>
      <c r="DG120" s="74">
        <f t="shared" si="103"/>
        <v>478381.15009360848</v>
      </c>
      <c r="DH120" s="74">
        <f t="shared" si="104"/>
        <v>69568.518517197212</v>
      </c>
      <c r="DI120" s="74">
        <f t="shared" si="105"/>
        <v>2318.9506172399069</v>
      </c>
      <c r="DJ120" s="74">
        <f t="shared" si="106"/>
        <v>3312.7865960570102</v>
      </c>
      <c r="DK120" s="74">
        <f t="shared" si="107"/>
        <v>2228511.5431675506</v>
      </c>
      <c r="DL120" s="74">
        <f t="shared" si="108"/>
        <v>3183587.9188107867</v>
      </c>
    </row>
    <row r="121" spans="1:116" x14ac:dyDescent="0.2">
      <c r="A121" s="96">
        <v>45627</v>
      </c>
      <c r="B121" s="4">
        <f t="shared" si="64"/>
        <v>2024</v>
      </c>
      <c r="C121" s="4">
        <f t="shared" si="65"/>
        <v>12</v>
      </c>
      <c r="D121" s="59">
        <v>45895744.519999996</v>
      </c>
      <c r="E121" s="59">
        <f>IFERROR(VLOOKUP($B121-1,CDM!$I$7:$N$18,2,FALSE)/12,0)+IFERROR(VLOOKUP($B121,CDM!$I$36:$L$46,2,FALSE)/24,0)+IFERROR(VLOOKUP($B121,CDM!$I$36:$L$46,2,FALSE)/2*$C121/78,0)</f>
        <v>2765090.1817532973</v>
      </c>
      <c r="F121" s="59">
        <f t="shared" si="66"/>
        <v>48660834.701753296</v>
      </c>
      <c r="G121" s="59">
        <v>62651</v>
      </c>
      <c r="H121" s="59">
        <v>14711448.200000001</v>
      </c>
      <c r="I121" s="59">
        <f>IFERROR(VLOOKUP($B121-1,CDM!$I$7:$N$18,3,FALSE)/12,0)+IFERROR(VLOOKUP($B121,CDM!$I$36:$L$46,3,FALSE)/24,0)+IFERROR(VLOOKUP($B121,CDM!$I$36:$L$46,3,FALSE)/2*$C121/78,0)</f>
        <v>1301229.4588720077</v>
      </c>
      <c r="J121" s="59">
        <f t="shared" si="67"/>
        <v>16012677.658872008</v>
      </c>
      <c r="K121" s="59">
        <v>5733</v>
      </c>
      <c r="L121" s="59">
        <v>64468543.969999999</v>
      </c>
      <c r="M121" s="2">
        <f>IFERROR(VLOOKUP($B121-1,CDM!$I$7:$N$18,4,FALSE)/12,0)+IFERROR(VLOOKUP($B121,CDM!$I$36:$L$46,4,FALSE)/24,0)+IFERROR(VLOOKUP($B121,CDM!$I$36:$L$46,4,FALSE)/2*$C121/78,0)</f>
        <v>4920248.8508084016</v>
      </c>
      <c r="N121" s="59">
        <f t="shared" si="68"/>
        <v>69388792.820808396</v>
      </c>
      <c r="O121" s="59">
        <v>166014.43899999993</v>
      </c>
      <c r="P121" s="59">
        <v>959</v>
      </c>
      <c r="Q121" s="59">
        <v>602180.53999999992</v>
      </c>
      <c r="R121" s="59">
        <v>1297.71</v>
      </c>
      <c r="S121" s="59">
        <v>17330</v>
      </c>
      <c r="T121" s="59">
        <v>282062.48</v>
      </c>
      <c r="U121" s="1">
        <v>22</v>
      </c>
      <c r="V121" s="59">
        <v>579</v>
      </c>
      <c r="W121" s="114">
        <f>Economic!J183</f>
        <v>865859.6</v>
      </c>
      <c r="X121" s="114">
        <f>Economic!K183</f>
        <v>679067</v>
      </c>
      <c r="Y121" s="114">
        <f>Economic!L183</f>
        <v>74531.5</v>
      </c>
      <c r="Z121" s="114">
        <f>Economic!M183</f>
        <v>869576</v>
      </c>
      <c r="AA121" s="114">
        <f>Economic!N183</f>
        <v>686415</v>
      </c>
      <c r="AB121" s="114">
        <f>Economic!O183</f>
        <v>33497</v>
      </c>
      <c r="AC121" s="114">
        <f>Economic!D183</f>
        <v>7938</v>
      </c>
      <c r="AD121" s="114">
        <f>Economic!E183</f>
        <v>7938.2</v>
      </c>
      <c r="AE121" s="114">
        <f>Economic!F183</f>
        <v>3680.9</v>
      </c>
      <c r="AF121" s="114">
        <f>Economic!G183</f>
        <v>3676.1</v>
      </c>
      <c r="AG121" s="114">
        <f>Economic!H183</f>
        <v>417.5</v>
      </c>
      <c r="AH121" s="114">
        <f>Economic!I183</f>
        <v>419.9</v>
      </c>
      <c r="AI121" s="114">
        <f>Economic!P195</f>
        <v>167.10000000000036</v>
      </c>
      <c r="AJ121" s="114">
        <f>Economic!Q195</f>
        <v>159.10000000000036</v>
      </c>
      <c r="AK121" s="114">
        <f>Economic!R195</f>
        <v>94.699999999999818</v>
      </c>
      <c r="AL121" s="114">
        <f>Economic!S195</f>
        <v>91.200000000000273</v>
      </c>
      <c r="AM121" s="114">
        <f>Economic!T195</f>
        <v>12410.654266666621</v>
      </c>
      <c r="AN121" s="114">
        <f>Economic!U195</f>
        <v>4174.92266666668</v>
      </c>
      <c r="AO121" s="28">
        <f>Weather!D313</f>
        <v>1.0709677419354837</v>
      </c>
      <c r="AP121" s="28">
        <f>Weather!E313</f>
        <v>586.79999999999995</v>
      </c>
      <c r="AQ121" s="28">
        <f>Weather!F313</f>
        <v>0</v>
      </c>
      <c r="AR121" s="28">
        <f>Weather!G313</f>
        <v>524.79999999999995</v>
      </c>
      <c r="AS121" s="28">
        <f>Weather!H313</f>
        <v>0</v>
      </c>
      <c r="AT121" s="28">
        <f>Weather!I313</f>
        <v>462.79999999999995</v>
      </c>
      <c r="AU121" s="28">
        <f>Weather!J313</f>
        <v>0</v>
      </c>
      <c r="AV121" s="28">
        <f>Weather!K313</f>
        <v>400.7999999999999</v>
      </c>
      <c r="AW121" s="28">
        <f>Weather!L313</f>
        <v>0</v>
      </c>
      <c r="AX121" s="28">
        <f>Weather!M313</f>
        <v>338.7999999999999</v>
      </c>
      <c r="AY121" s="28">
        <f>Weather!N313</f>
        <v>0</v>
      </c>
      <c r="AZ121" s="28">
        <f>Weather!O313</f>
        <v>276.80000000000007</v>
      </c>
      <c r="BA121" s="28">
        <f>Weather!P313</f>
        <v>0</v>
      </c>
      <c r="BB121" s="28">
        <f>Weather!Q313</f>
        <v>215.20000000000005</v>
      </c>
      <c r="BC121" s="28">
        <f>Weather!R313</f>
        <v>0.40000000000000036</v>
      </c>
      <c r="BD121">
        <f t="shared" ref="BD121:BR121" si="114">BD109</f>
        <v>0</v>
      </c>
      <c r="BE121">
        <f t="shared" si="114"/>
        <v>0</v>
      </c>
      <c r="BF121">
        <f t="shared" si="114"/>
        <v>0</v>
      </c>
      <c r="BG121">
        <f t="shared" si="114"/>
        <v>0</v>
      </c>
      <c r="BH121">
        <f t="shared" si="114"/>
        <v>0</v>
      </c>
      <c r="BI121">
        <f t="shared" si="114"/>
        <v>0</v>
      </c>
      <c r="BJ121">
        <f t="shared" si="114"/>
        <v>0</v>
      </c>
      <c r="BK121">
        <f t="shared" si="114"/>
        <v>0</v>
      </c>
      <c r="BL121">
        <f t="shared" si="114"/>
        <v>0</v>
      </c>
      <c r="BM121">
        <f t="shared" si="114"/>
        <v>0</v>
      </c>
      <c r="BN121">
        <f t="shared" si="114"/>
        <v>0</v>
      </c>
      <c r="BO121">
        <f t="shared" si="114"/>
        <v>1</v>
      </c>
      <c r="BP121" s="1">
        <f t="shared" si="114"/>
        <v>0</v>
      </c>
      <c r="BQ121" s="1">
        <f t="shared" si="114"/>
        <v>0</v>
      </c>
      <c r="BR121" s="1">
        <f t="shared" si="114"/>
        <v>0</v>
      </c>
      <c r="BS121" s="1">
        <f t="shared" si="111"/>
        <v>120</v>
      </c>
      <c r="BT121">
        <f t="shared" si="63"/>
        <v>31</v>
      </c>
      <c r="BU121" s="1">
        <v>20</v>
      </c>
      <c r="BV121" s="1">
        <v>0</v>
      </c>
      <c r="BW121" s="1">
        <v>0</v>
      </c>
      <c r="BX121" s="1">
        <v>0.25</v>
      </c>
      <c r="BY121" s="1">
        <v>0</v>
      </c>
      <c r="BZ121">
        <f t="shared" si="70"/>
        <v>0</v>
      </c>
      <c r="CA121">
        <f t="shared" si="71"/>
        <v>0</v>
      </c>
      <c r="CB121">
        <f t="shared" si="72"/>
        <v>0</v>
      </c>
      <c r="CC121">
        <f t="shared" si="73"/>
        <v>0</v>
      </c>
      <c r="CD121">
        <f t="shared" si="74"/>
        <v>0</v>
      </c>
      <c r="CE121">
        <f t="shared" si="75"/>
        <v>0</v>
      </c>
      <c r="CF121">
        <f t="shared" si="76"/>
        <v>0</v>
      </c>
      <c r="CG121">
        <f t="shared" si="77"/>
        <v>0</v>
      </c>
      <c r="CH121">
        <f t="shared" si="78"/>
        <v>0</v>
      </c>
      <c r="CI121">
        <f t="shared" si="79"/>
        <v>0</v>
      </c>
      <c r="CJ121">
        <f t="shared" si="80"/>
        <v>0</v>
      </c>
      <c r="CK121">
        <f t="shared" si="81"/>
        <v>0</v>
      </c>
      <c r="CL121">
        <f t="shared" si="82"/>
        <v>0</v>
      </c>
      <c r="CM121">
        <f t="shared" si="83"/>
        <v>0</v>
      </c>
      <c r="CN121">
        <f t="shared" si="84"/>
        <v>146.69999999999999</v>
      </c>
      <c r="CO121">
        <f t="shared" si="85"/>
        <v>0</v>
      </c>
      <c r="CP121">
        <f t="shared" si="86"/>
        <v>131.19999999999999</v>
      </c>
      <c r="CQ121">
        <f t="shared" si="87"/>
        <v>0</v>
      </c>
      <c r="CR121">
        <f t="shared" si="88"/>
        <v>115.69999999999999</v>
      </c>
      <c r="CS121">
        <f t="shared" si="89"/>
        <v>0</v>
      </c>
      <c r="CT121">
        <f t="shared" si="90"/>
        <v>100.19999999999997</v>
      </c>
      <c r="CU121">
        <f t="shared" si="91"/>
        <v>0</v>
      </c>
      <c r="CV121">
        <f t="shared" si="92"/>
        <v>84.699999999999974</v>
      </c>
      <c r="CW121">
        <f t="shared" si="93"/>
        <v>0</v>
      </c>
      <c r="CX121">
        <f t="shared" si="94"/>
        <v>69.200000000000017</v>
      </c>
      <c r="CY121">
        <f t="shared" si="95"/>
        <v>0</v>
      </c>
      <c r="CZ121">
        <f t="shared" si="96"/>
        <v>53.800000000000011</v>
      </c>
      <c r="DA121">
        <f t="shared" si="97"/>
        <v>0.10000000000000009</v>
      </c>
      <c r="DB121" s="74">
        <f t="shared" si="98"/>
        <v>776.69685562486302</v>
      </c>
      <c r="DC121" s="74">
        <f t="shared" si="99"/>
        <v>25.054737278221388</v>
      </c>
      <c r="DD121" s="73">
        <f t="shared" si="100"/>
        <v>1569704.3452178482</v>
      </c>
      <c r="DE121" s="74">
        <f t="shared" si="101"/>
        <v>2793.071281854528</v>
      </c>
      <c r="DF121" s="74">
        <f t="shared" si="102"/>
        <v>90.099073608210588</v>
      </c>
      <c r="DG121" s="74">
        <f t="shared" si="103"/>
        <v>516537.98899587122</v>
      </c>
      <c r="DH121" s="74">
        <f t="shared" si="104"/>
        <v>72355.362691145361</v>
      </c>
      <c r="DI121" s="74">
        <f t="shared" si="105"/>
        <v>2334.0439577788825</v>
      </c>
      <c r="DJ121" s="74">
        <f t="shared" si="106"/>
        <v>3617.7681345572682</v>
      </c>
      <c r="DK121" s="74">
        <f t="shared" si="107"/>
        <v>2238348.1555099483</v>
      </c>
      <c r="DL121" s="74">
        <f t="shared" si="108"/>
        <v>3469439.6410404197</v>
      </c>
    </row>
    <row r="122" spans="1:116" x14ac:dyDescent="0.2">
      <c r="A122" s="96"/>
      <c r="B122" s="4"/>
      <c r="C122" s="4"/>
    </row>
  </sheetData>
  <pageMargins left="0.75" right="0.75" top="1" bottom="1" header="0.5" footer="0.5"/>
  <pageSetup scale="10" fitToHeight="0" orientation="landscape"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B1843-7E1B-46B0-955E-9992B1CD9DB9}">
  <sheetPr codeName="Sheet22">
    <tabColor theme="3" tint="0.499984740745262"/>
  </sheetPr>
  <dimension ref="B1:W62"/>
  <sheetViews>
    <sheetView workbookViewId="0">
      <selection activeCell="F8" sqref="F8"/>
    </sheetView>
  </sheetViews>
  <sheetFormatPr defaultColWidth="8.83203125" defaultRowHeight="15" x14ac:dyDescent="0.25"/>
  <cols>
    <col min="1" max="1" width="8.83203125" style="125"/>
    <col min="2" max="3" width="27" style="125" customWidth="1"/>
    <col min="4" max="4" width="13.83203125" style="125" bestFit="1" customWidth="1"/>
    <col min="5" max="5" width="19.1640625" style="125" customWidth="1"/>
    <col min="6" max="6" width="13.33203125" style="125" customWidth="1"/>
    <col min="7" max="7" width="14.83203125" style="125" bestFit="1" customWidth="1"/>
    <col min="8" max="8" width="13.6640625" style="125" customWidth="1"/>
    <col min="9" max="9" width="14.83203125" style="125" customWidth="1"/>
    <col min="10" max="10" width="14.6640625" style="125" bestFit="1" customWidth="1"/>
    <col min="11" max="11" width="13.1640625" style="125" customWidth="1"/>
    <col min="12" max="14" width="8.83203125" style="125"/>
    <col min="15" max="15" width="15.1640625" style="125" customWidth="1"/>
    <col min="16" max="17" width="11.6640625" style="125" customWidth="1"/>
    <col min="18" max="18" width="13.6640625" style="125" customWidth="1"/>
    <col min="19" max="20" width="8.83203125" style="125"/>
    <col min="21" max="21" width="13.6640625" style="125" customWidth="1"/>
    <col min="22" max="22" width="10.5" style="125" bestFit="1" customWidth="1"/>
    <col min="23" max="16384" width="8.83203125" style="125"/>
  </cols>
  <sheetData>
    <row r="1" spans="2:23" x14ac:dyDescent="0.25">
      <c r="F1" s="126" t="s">
        <v>29</v>
      </c>
      <c r="G1" s="126" t="s">
        <v>39</v>
      </c>
      <c r="T1" s="125" t="s">
        <v>29</v>
      </c>
      <c r="V1" s="125" t="s">
        <v>341</v>
      </c>
    </row>
    <row r="2" spans="2:23" x14ac:dyDescent="0.25">
      <c r="E2" s="125" t="s">
        <v>342</v>
      </c>
      <c r="F2" s="182">
        <f>U15</f>
        <v>1788</v>
      </c>
      <c r="G2" s="154">
        <f>W15</f>
        <v>6955</v>
      </c>
      <c r="H2" s="125" t="s">
        <v>343</v>
      </c>
      <c r="I2" s="125" t="s">
        <v>344</v>
      </c>
      <c r="O2" s="543" t="s">
        <v>345</v>
      </c>
      <c r="P2" s="543"/>
      <c r="Q2" s="543"/>
      <c r="T2" s="183" t="s">
        <v>346</v>
      </c>
      <c r="U2" s="125" t="s">
        <v>347</v>
      </c>
      <c r="V2" s="183" t="s">
        <v>346</v>
      </c>
      <c r="W2" s="125" t="s">
        <v>347</v>
      </c>
    </row>
    <row r="3" spans="2:23" x14ac:dyDescent="0.25">
      <c r="E3" s="125" t="s">
        <v>348</v>
      </c>
      <c r="F3" s="125">
        <v>3.4299999999999997E-2</v>
      </c>
      <c r="G3" s="125">
        <f>F3</f>
        <v>3.4299999999999997E-2</v>
      </c>
      <c r="H3" s="125" t="s">
        <v>349</v>
      </c>
      <c r="I3" s="125" t="s">
        <v>350</v>
      </c>
      <c r="O3" s="125" t="s">
        <v>96</v>
      </c>
      <c r="P3" s="184">
        <f ca="1">Weather!AP56</f>
        <v>632.53999999999985</v>
      </c>
      <c r="Q3" s="156">
        <f t="shared" ref="Q3:Q14" ca="1" si="0">P3/$P$15</f>
        <v>0.19138822575423373</v>
      </c>
      <c r="R3" s="544">
        <f ca="1">SUM(Q3:Q9)</f>
        <v>0.67404334631362695</v>
      </c>
      <c r="T3" s="185">
        <v>419</v>
      </c>
      <c r="U3" s="154">
        <f t="shared" ref="U3:U14" si="1">MAX(T3-$T$9,0)</f>
        <v>368</v>
      </c>
      <c r="V3" s="182">
        <v>1640</v>
      </c>
      <c r="W3" s="154">
        <f t="shared" ref="W3:W14" si="2">MAX(V3-$V$9,0)</f>
        <v>1491</v>
      </c>
    </row>
    <row r="4" spans="2:23" x14ac:dyDescent="0.25">
      <c r="E4" s="125" t="s">
        <v>351</v>
      </c>
      <c r="F4" s="125">
        <v>277</v>
      </c>
      <c r="G4" s="125">
        <f>F4</f>
        <v>277</v>
      </c>
      <c r="H4" s="125" t="s">
        <v>352</v>
      </c>
      <c r="I4" s="125" t="s">
        <v>350</v>
      </c>
      <c r="O4" s="125" t="s">
        <v>97</v>
      </c>
      <c r="P4" s="184">
        <f ca="1">Weather!AP57</f>
        <v>564.30999999999995</v>
      </c>
      <c r="Q4" s="156">
        <f t="shared" ca="1" si="0"/>
        <v>0.1707438101548861</v>
      </c>
      <c r="R4" s="544"/>
      <c r="T4" s="185">
        <v>404</v>
      </c>
      <c r="U4" s="154">
        <f t="shared" si="1"/>
        <v>353</v>
      </c>
      <c r="V4" s="182">
        <v>1463</v>
      </c>
      <c r="W4" s="154">
        <f t="shared" si="2"/>
        <v>1314</v>
      </c>
    </row>
    <row r="5" spans="2:23" x14ac:dyDescent="0.25">
      <c r="E5" s="125" t="s">
        <v>353</v>
      </c>
      <c r="F5" s="125">
        <f>F3*F4</f>
        <v>9.5010999999999992</v>
      </c>
      <c r="G5" s="125">
        <f>G3*G4</f>
        <v>9.5010999999999992</v>
      </c>
      <c r="H5" s="125" t="s">
        <v>354</v>
      </c>
      <c r="O5" s="125" t="s">
        <v>98</v>
      </c>
      <c r="P5" s="184">
        <f ca="1">Weather!AP58</f>
        <v>498.73999999999995</v>
      </c>
      <c r="Q5" s="156">
        <f t="shared" ca="1" si="0"/>
        <v>0.15090423327009603</v>
      </c>
      <c r="R5" s="544"/>
      <c r="T5" s="185">
        <v>354</v>
      </c>
      <c r="U5" s="154">
        <f t="shared" si="1"/>
        <v>303</v>
      </c>
      <c r="V5" s="182">
        <v>1262</v>
      </c>
      <c r="W5" s="154">
        <f t="shared" si="2"/>
        <v>1113</v>
      </c>
    </row>
    <row r="6" spans="2:23" x14ac:dyDescent="0.25">
      <c r="E6" s="125" t="s">
        <v>355</v>
      </c>
      <c r="F6" s="186">
        <f>F2*F5</f>
        <v>16987.966799999998</v>
      </c>
      <c r="G6" s="186">
        <f>G2*G5</f>
        <v>66080.150499999989</v>
      </c>
      <c r="H6" s="125" t="s">
        <v>356</v>
      </c>
      <c r="J6" s="154"/>
      <c r="O6" s="125" t="s">
        <v>99</v>
      </c>
      <c r="P6" s="184">
        <f ca="1">Weather!AP59</f>
        <v>338.95999999999992</v>
      </c>
      <c r="Q6" s="156">
        <f t="shared" ca="1" si="0"/>
        <v>0.10255944762648221</v>
      </c>
      <c r="R6" s="544"/>
      <c r="T6" s="185">
        <v>252</v>
      </c>
      <c r="U6" s="154">
        <f t="shared" si="1"/>
        <v>201</v>
      </c>
      <c r="V6" s="182">
        <v>679</v>
      </c>
      <c r="W6" s="154">
        <f t="shared" si="2"/>
        <v>530</v>
      </c>
    </row>
    <row r="7" spans="2:23" x14ac:dyDescent="0.25">
      <c r="E7" s="125" t="s">
        <v>357</v>
      </c>
      <c r="F7" s="125">
        <v>2.5499999999999998</v>
      </c>
      <c r="G7" s="125">
        <v>2.5499999999999998</v>
      </c>
      <c r="H7" s="125" t="s">
        <v>358</v>
      </c>
      <c r="I7" s="97" t="s">
        <v>359</v>
      </c>
      <c r="O7" s="125" t="s">
        <v>54</v>
      </c>
      <c r="P7" s="184">
        <f ca="1">Weather!AP60</f>
        <v>164.26</v>
      </c>
      <c r="Q7" s="156">
        <f t="shared" ca="1" si="0"/>
        <v>4.9700303478658163E-2</v>
      </c>
      <c r="R7" s="544"/>
      <c r="T7" s="185">
        <v>158</v>
      </c>
      <c r="U7" s="154">
        <f t="shared" si="1"/>
        <v>107</v>
      </c>
      <c r="V7" s="182">
        <v>331</v>
      </c>
      <c r="W7" s="154">
        <f t="shared" si="2"/>
        <v>182</v>
      </c>
    </row>
    <row r="8" spans="2:23" x14ac:dyDescent="0.25">
      <c r="E8" s="125" t="s">
        <v>360</v>
      </c>
      <c r="F8" s="179">
        <f>F6/F7</f>
        <v>6661.947764705882</v>
      </c>
      <c r="G8" s="179">
        <f>G6/G7</f>
        <v>25913.784509803918</v>
      </c>
      <c r="H8" s="125" t="s">
        <v>356</v>
      </c>
      <c r="O8" s="125" t="s">
        <v>92</v>
      </c>
      <c r="P8" s="184">
        <f ca="1">Weather!AP61</f>
        <v>28.27</v>
      </c>
      <c r="Q8" s="156">
        <f t="shared" ca="1" si="0"/>
        <v>8.5536806242643756E-3</v>
      </c>
      <c r="R8" s="544"/>
      <c r="T8" s="185">
        <v>69</v>
      </c>
      <c r="U8" s="154">
        <f t="shared" si="1"/>
        <v>18</v>
      </c>
      <c r="V8" s="182">
        <v>82</v>
      </c>
      <c r="W8" s="154">
        <f t="shared" si="2"/>
        <v>0</v>
      </c>
    </row>
    <row r="9" spans="2:23" x14ac:dyDescent="0.25">
      <c r="O9" s="125" t="s">
        <v>93</v>
      </c>
      <c r="P9" s="184">
        <f ca="1">Weather!AP62</f>
        <v>0.6400000000000009</v>
      </c>
      <c r="Q9" s="156">
        <f t="shared" ca="1" si="0"/>
        <v>1.9364540500633917E-4</v>
      </c>
      <c r="R9" s="544"/>
      <c r="T9" s="185">
        <v>51</v>
      </c>
      <c r="U9" s="154">
        <f t="shared" si="1"/>
        <v>0</v>
      </c>
      <c r="V9" s="182">
        <v>149</v>
      </c>
      <c r="W9" s="154">
        <f t="shared" si="2"/>
        <v>0</v>
      </c>
    </row>
    <row r="10" spans="2:23" x14ac:dyDescent="0.25">
      <c r="O10" s="125" t="s">
        <v>94</v>
      </c>
      <c r="P10" s="184">
        <f ca="1">Weather!AP63</f>
        <v>2.1800000000000002</v>
      </c>
      <c r="Q10" s="156">
        <f t="shared" ca="1" si="0"/>
        <v>6.5960466080284197E-4</v>
      </c>
      <c r="R10" s="544">
        <f ca="1">SUM(Q10:Q14)</f>
        <v>0.32595665368637328</v>
      </c>
      <c r="T10" s="185">
        <v>54</v>
      </c>
      <c r="U10" s="154">
        <f t="shared" si="1"/>
        <v>3</v>
      </c>
      <c r="V10" s="182">
        <v>166</v>
      </c>
      <c r="W10" s="154">
        <f t="shared" si="2"/>
        <v>17</v>
      </c>
    </row>
    <row r="11" spans="2:23" x14ac:dyDescent="0.25">
      <c r="O11" s="125" t="s">
        <v>100</v>
      </c>
      <c r="P11" s="184">
        <f ca="1">Weather!AP64</f>
        <v>28.300000000000004</v>
      </c>
      <c r="Q11" s="156">
        <f t="shared" ca="1" si="0"/>
        <v>8.5627577526240489E-3</v>
      </c>
      <c r="R11" s="544"/>
      <c r="T11" s="185">
        <v>58</v>
      </c>
      <c r="U11" s="154">
        <f t="shared" si="1"/>
        <v>7</v>
      </c>
      <c r="V11" s="182">
        <v>193</v>
      </c>
      <c r="W11" s="154">
        <f t="shared" si="2"/>
        <v>44</v>
      </c>
    </row>
    <row r="12" spans="2:23" x14ac:dyDescent="0.25">
      <c r="O12" s="125" t="s">
        <v>101</v>
      </c>
      <c r="P12" s="184">
        <f ca="1">Weather!AP65</f>
        <v>178.40000000000003</v>
      </c>
      <c r="Q12" s="156">
        <f t="shared" ca="1" si="0"/>
        <v>5.397865664551698E-2</v>
      </c>
      <c r="R12" s="544"/>
      <c r="T12" s="185">
        <v>91</v>
      </c>
      <c r="U12" s="154">
        <f t="shared" si="1"/>
        <v>40</v>
      </c>
      <c r="V12" s="182">
        <v>407</v>
      </c>
      <c r="W12" s="154">
        <f t="shared" si="2"/>
        <v>258</v>
      </c>
    </row>
    <row r="13" spans="2:23" x14ac:dyDescent="0.25">
      <c r="O13" s="125" t="s">
        <v>102</v>
      </c>
      <c r="P13" s="184">
        <f ca="1">Weather!AP66</f>
        <v>357.79</v>
      </c>
      <c r="Q13" s="156">
        <f t="shared" ca="1" si="0"/>
        <v>0.10825685852690313</v>
      </c>
      <c r="R13" s="544"/>
      <c r="T13" s="185">
        <v>174</v>
      </c>
      <c r="U13" s="154">
        <f t="shared" si="1"/>
        <v>123</v>
      </c>
      <c r="V13" s="182">
        <v>919</v>
      </c>
      <c r="W13" s="154">
        <f t="shared" si="2"/>
        <v>770</v>
      </c>
    </row>
    <row r="14" spans="2:23" x14ac:dyDescent="0.25">
      <c r="O14" s="125" t="s">
        <v>103</v>
      </c>
      <c r="P14" s="184">
        <f ca="1">Weather!AP67</f>
        <v>510.62000000000006</v>
      </c>
      <c r="Q14" s="156">
        <f t="shared" ca="1" si="0"/>
        <v>0.15449877610052623</v>
      </c>
      <c r="R14" s="544"/>
      <c r="T14" s="185">
        <v>316</v>
      </c>
      <c r="U14" s="154">
        <f t="shared" si="1"/>
        <v>265</v>
      </c>
      <c r="V14" s="182">
        <v>1385</v>
      </c>
      <c r="W14" s="154">
        <f t="shared" si="2"/>
        <v>1236</v>
      </c>
    </row>
    <row r="15" spans="2:23" x14ac:dyDescent="0.25">
      <c r="O15" s="125" t="s">
        <v>138</v>
      </c>
      <c r="P15" s="187">
        <f ca="1">SUM(P3:P14)</f>
        <v>3305.0099999999993</v>
      </c>
      <c r="Q15" s="188">
        <f ca="1">SUM(Q3:Q14)</f>
        <v>1.0000000000000002</v>
      </c>
      <c r="R15" s="189"/>
      <c r="T15" s="182">
        <f>SUM(T3:T14)</f>
        <v>2400</v>
      </c>
      <c r="U15" s="182">
        <f>SUM(U3:U14)</f>
        <v>1788</v>
      </c>
      <c r="V15" s="182">
        <f>SUM(V3:V14)</f>
        <v>8676</v>
      </c>
      <c r="W15" s="182">
        <f>SUM(W3:W14)</f>
        <v>6955</v>
      </c>
    </row>
    <row r="16" spans="2:23" ht="18.75" x14ac:dyDescent="0.3">
      <c r="B16" s="215"/>
      <c r="C16" s="215"/>
      <c r="D16" s="215"/>
      <c r="E16" s="215"/>
      <c r="F16" s="215"/>
      <c r="G16" s="215"/>
      <c r="H16" s="215"/>
      <c r="I16" s="215"/>
      <c r="J16" s="215"/>
      <c r="R16" s="189"/>
    </row>
    <row r="17" spans="2:18" x14ac:dyDescent="0.25">
      <c r="B17" s="155" t="s">
        <v>29</v>
      </c>
      <c r="C17" s="155"/>
      <c r="D17" s="125">
        <v>2022</v>
      </c>
      <c r="E17" s="125">
        <v>2023</v>
      </c>
      <c r="F17" s="125">
        <v>2024</v>
      </c>
      <c r="G17" s="125">
        <v>2025</v>
      </c>
      <c r="H17" s="125">
        <v>2026</v>
      </c>
      <c r="R17" s="189"/>
    </row>
    <row r="18" spans="2:18" x14ac:dyDescent="0.25">
      <c r="B18" s="125" t="s">
        <v>361</v>
      </c>
      <c r="C18" s="131">
        <f>'Customer Count'!C11</f>
        <v>61867.75</v>
      </c>
      <c r="D18" s="182">
        <f>'Customer Count'!C12</f>
        <v>62004.083333333336</v>
      </c>
      <c r="E18" s="182">
        <f>'Customer Count'!C13</f>
        <v>62206.666666666664</v>
      </c>
      <c r="F18" s="182">
        <f>'Customer Count'!C14</f>
        <v>62563.5</v>
      </c>
      <c r="G18" s="182">
        <f>'Customer Count'!C15</f>
        <v>62840.680541172725</v>
      </c>
      <c r="H18" s="182">
        <f>'Customer Count'!C16</f>
        <v>63119.089099518482</v>
      </c>
      <c r="I18" s="182"/>
      <c r="J18" s="182"/>
    </row>
    <row r="19" spans="2:18" x14ac:dyDescent="0.25">
      <c r="B19" s="125" t="s">
        <v>362</v>
      </c>
      <c r="D19" s="182">
        <f t="shared" ref="D19:H19" si="3">D18-C18</f>
        <v>136.33333333333576</v>
      </c>
      <c r="E19" s="182">
        <f t="shared" si="3"/>
        <v>202.58333333332848</v>
      </c>
      <c r="F19" s="182">
        <f t="shared" si="3"/>
        <v>356.83333333333576</v>
      </c>
      <c r="G19" s="182">
        <f t="shared" si="3"/>
        <v>277.1805411727255</v>
      </c>
      <c r="H19" s="182">
        <f t="shared" si="3"/>
        <v>278.40855834575632</v>
      </c>
      <c r="I19" s="182"/>
      <c r="J19" s="182"/>
    </row>
    <row r="20" spans="2:18" x14ac:dyDescent="0.25">
      <c r="B20" s="125" t="s">
        <v>363</v>
      </c>
      <c r="D20" s="190">
        <v>1.5E-3</v>
      </c>
      <c r="E20" s="139">
        <f>D20</f>
        <v>1.5E-3</v>
      </c>
      <c r="F20" s="139">
        <f t="shared" ref="F20:H20" si="4">E20</f>
        <v>1.5E-3</v>
      </c>
      <c r="G20" s="139">
        <f t="shared" si="4"/>
        <v>1.5E-3</v>
      </c>
      <c r="H20" s="139">
        <f t="shared" si="4"/>
        <v>1.5E-3</v>
      </c>
      <c r="I20" s="139"/>
      <c r="J20" s="139"/>
    </row>
    <row r="21" spans="2:18" x14ac:dyDescent="0.25">
      <c r="B21" s="125" t="s">
        <v>364</v>
      </c>
      <c r="D21" s="191">
        <v>0.15</v>
      </c>
      <c r="E21" s="161">
        <v>0.15</v>
      </c>
      <c r="F21" s="161">
        <f>E21</f>
        <v>0.15</v>
      </c>
      <c r="G21" s="161">
        <f>F21</f>
        <v>0.15</v>
      </c>
      <c r="H21" s="161">
        <v>0.15</v>
      </c>
      <c r="I21" s="161"/>
      <c r="J21" s="161"/>
    </row>
    <row r="22" spans="2:18" x14ac:dyDescent="0.25">
      <c r="B22" s="125" t="s">
        <v>365</v>
      </c>
      <c r="D22" s="182">
        <f>D20*(D18-D19)</f>
        <v>92.801625000000001</v>
      </c>
      <c r="E22" s="182">
        <f>E20*(E18-E19)</f>
        <v>93.006125000000011</v>
      </c>
      <c r="F22" s="182">
        <f t="shared" ref="F22:H22" si="5">F20*(F18-F19)</f>
        <v>93.31</v>
      </c>
      <c r="G22" s="182">
        <f t="shared" si="5"/>
        <v>93.845250000000007</v>
      </c>
      <c r="H22" s="182">
        <f t="shared" si="5"/>
        <v>94.261020811759096</v>
      </c>
      <c r="I22" s="182"/>
      <c r="J22" s="182"/>
    </row>
    <row r="23" spans="2:18" x14ac:dyDescent="0.25">
      <c r="B23" s="125" t="s">
        <v>366</v>
      </c>
      <c r="D23" s="182">
        <f>D21*D19</f>
        <v>20.450000000000362</v>
      </c>
      <c r="E23" s="182">
        <f>E21*E19</f>
        <v>30.387499999999271</v>
      </c>
      <c r="F23" s="182">
        <f t="shared" ref="F23:G23" si="6">F21*F19</f>
        <v>53.525000000000361</v>
      </c>
      <c r="G23" s="182">
        <f t="shared" si="6"/>
        <v>41.577081175908823</v>
      </c>
      <c r="H23" s="182">
        <f>H21*H19</f>
        <v>41.761283751863445</v>
      </c>
      <c r="I23" s="182"/>
      <c r="J23" s="182"/>
    </row>
    <row r="24" spans="2:18" x14ac:dyDescent="0.25">
      <c r="B24" s="125" t="s">
        <v>367</v>
      </c>
      <c r="D24" s="182">
        <f t="shared" ref="D24:H24" si="7">D22+D23</f>
        <v>113.25162500000036</v>
      </c>
      <c r="E24" s="182">
        <f t="shared" si="7"/>
        <v>123.39362499999928</v>
      </c>
      <c r="F24" s="182">
        <f t="shared" si="7"/>
        <v>146.83500000000038</v>
      </c>
      <c r="G24" s="182">
        <f t="shared" si="7"/>
        <v>135.42233117590882</v>
      </c>
      <c r="H24" s="182">
        <f t="shared" si="7"/>
        <v>136.02230456362253</v>
      </c>
      <c r="I24" s="182"/>
      <c r="J24" s="182"/>
    </row>
    <row r="25" spans="2:18" x14ac:dyDescent="0.25">
      <c r="B25" s="125" t="s">
        <v>356</v>
      </c>
      <c r="D25" s="182">
        <f>$F$8</f>
        <v>6661.947764705882</v>
      </c>
      <c r="E25" s="182">
        <f t="shared" ref="E25:H25" si="8">$F$8</f>
        <v>6661.947764705882</v>
      </c>
      <c r="F25" s="182">
        <f t="shared" si="8"/>
        <v>6661.947764705882</v>
      </c>
      <c r="G25" s="182">
        <f t="shared" si="8"/>
        <v>6661.947764705882</v>
      </c>
      <c r="H25" s="182">
        <f t="shared" si="8"/>
        <v>6661.947764705882</v>
      </c>
      <c r="I25" s="182"/>
      <c r="J25" s="182"/>
    </row>
    <row r="26" spans="2:18" x14ac:dyDescent="0.25">
      <c r="B26" s="155" t="s">
        <v>368</v>
      </c>
      <c r="C26" s="155"/>
      <c r="D26" s="192">
        <f t="shared" ref="D26:H26" si="9">D24*D25</f>
        <v>754476.41001806117</v>
      </c>
      <c r="E26" s="192">
        <f t="shared" si="9"/>
        <v>822041.88424770103</v>
      </c>
      <c r="F26" s="192">
        <f t="shared" si="9"/>
        <v>978207.10003059066</v>
      </c>
      <c r="G26" s="192">
        <f t="shared" si="9"/>
        <v>902176.49646860547</v>
      </c>
      <c r="H26" s="192">
        <f t="shared" si="9"/>
        <v>906173.48783776781</v>
      </c>
      <c r="I26" s="192"/>
      <c r="J26" s="192"/>
      <c r="L26" s="182"/>
      <c r="M26" s="182"/>
    </row>
    <row r="27" spans="2:18" x14ac:dyDescent="0.25">
      <c r="D27" s="182"/>
      <c r="E27" s="182"/>
      <c r="F27" s="182"/>
      <c r="G27" s="182"/>
      <c r="H27" s="182"/>
      <c r="I27" s="182"/>
      <c r="J27" s="182"/>
    </row>
    <row r="28" spans="2:18" x14ac:dyDescent="0.25">
      <c r="B28" s="155" t="s">
        <v>39</v>
      </c>
      <c r="C28" s="155"/>
      <c r="D28" s="182"/>
      <c r="E28" s="182"/>
      <c r="F28" s="182"/>
      <c r="G28" s="182"/>
      <c r="H28" s="182"/>
      <c r="I28" s="182"/>
      <c r="J28" s="182"/>
    </row>
    <row r="29" spans="2:18" x14ac:dyDescent="0.25">
      <c r="B29" s="125" t="s">
        <v>361</v>
      </c>
      <c r="C29" s="182">
        <f>'Customer Count'!G11</f>
        <v>5605.083333333333</v>
      </c>
      <c r="D29" s="182">
        <f>'Customer Count'!G12</f>
        <v>5664.333333333333</v>
      </c>
      <c r="E29" s="182">
        <f>'Customer Count'!G13</f>
        <v>5698.833333333333</v>
      </c>
      <c r="F29" s="182">
        <f>'Customer Count'!G18</f>
        <v>5712.416666666667</v>
      </c>
      <c r="G29" s="182">
        <f>'Customer Count'!G19</f>
        <v>5767.6533095588848</v>
      </c>
      <c r="H29" s="182">
        <f>'Customer Count'!G20</f>
        <v>5823.4233253664679</v>
      </c>
      <c r="I29" s="182"/>
      <c r="J29" s="182"/>
    </row>
    <row r="30" spans="2:18" x14ac:dyDescent="0.25">
      <c r="B30" s="125" t="s">
        <v>362</v>
      </c>
      <c r="D30" s="182">
        <f t="shared" ref="D30:H30" si="10">D29-C29</f>
        <v>59.25</v>
      </c>
      <c r="E30" s="182">
        <f t="shared" si="10"/>
        <v>34.5</v>
      </c>
      <c r="F30" s="182">
        <f t="shared" si="10"/>
        <v>13.58333333333394</v>
      </c>
      <c r="G30" s="182">
        <f t="shared" si="10"/>
        <v>55.236642892217787</v>
      </c>
      <c r="H30" s="182">
        <f t="shared" si="10"/>
        <v>55.77001580758315</v>
      </c>
      <c r="I30" s="182"/>
      <c r="J30" s="182"/>
    </row>
    <row r="31" spans="2:18" x14ac:dyDescent="0.25">
      <c r="B31" s="125" t="s">
        <v>363</v>
      </c>
      <c r="D31" s="190">
        <f>D20</f>
        <v>1.5E-3</v>
      </c>
      <c r="E31" s="139">
        <f>D31</f>
        <v>1.5E-3</v>
      </c>
      <c r="F31" s="139">
        <f t="shared" ref="F31:H32" si="11">E31</f>
        <v>1.5E-3</v>
      </c>
      <c r="G31" s="139">
        <f t="shared" si="11"/>
        <v>1.5E-3</v>
      </c>
      <c r="H31" s="139">
        <f t="shared" si="11"/>
        <v>1.5E-3</v>
      </c>
      <c r="I31" s="139"/>
      <c r="J31" s="139"/>
    </row>
    <row r="32" spans="2:18" x14ac:dyDescent="0.25">
      <c r="B32" s="125" t="s">
        <v>364</v>
      </c>
      <c r="D32" s="314">
        <v>0.15</v>
      </c>
      <c r="E32" s="161">
        <f>D32</f>
        <v>0.15</v>
      </c>
      <c r="F32" s="161">
        <f t="shared" si="11"/>
        <v>0.15</v>
      </c>
      <c r="G32" s="161">
        <f t="shared" si="11"/>
        <v>0.15</v>
      </c>
      <c r="H32" s="161">
        <f t="shared" si="11"/>
        <v>0.15</v>
      </c>
      <c r="I32" s="161"/>
      <c r="J32" s="161"/>
    </row>
    <row r="33" spans="2:14" x14ac:dyDescent="0.25">
      <c r="B33" s="125" t="s">
        <v>365</v>
      </c>
      <c r="D33" s="182">
        <f>D31*(D29-D30)</f>
        <v>8.4076249999999995</v>
      </c>
      <c r="E33" s="182">
        <f t="shared" ref="E33:H33" si="12">E31*(E29-E30)</f>
        <v>8.4964999999999993</v>
      </c>
      <c r="F33" s="182">
        <f t="shared" si="12"/>
        <v>8.5482499999999995</v>
      </c>
      <c r="G33" s="182">
        <f t="shared" si="12"/>
        <v>8.5686250000000008</v>
      </c>
      <c r="H33" s="182">
        <f t="shared" si="12"/>
        <v>8.6514799643383267</v>
      </c>
      <c r="I33" s="182"/>
      <c r="J33" s="182"/>
    </row>
    <row r="34" spans="2:14" x14ac:dyDescent="0.25">
      <c r="B34" s="125" t="s">
        <v>366</v>
      </c>
      <c r="D34" s="182">
        <f>MAX(D32*D30,0)</f>
        <v>8.8874999999999993</v>
      </c>
      <c r="E34" s="182">
        <f t="shared" ref="E34:H34" si="13">MAX(E32*E30,0)</f>
        <v>5.1749999999999998</v>
      </c>
      <c r="F34" s="182">
        <f t="shared" si="13"/>
        <v>2.0375000000000907</v>
      </c>
      <c r="G34" s="182">
        <f t="shared" si="13"/>
        <v>8.2854964338326678</v>
      </c>
      <c r="H34" s="182">
        <f t="shared" si="13"/>
        <v>8.3655023711374721</v>
      </c>
      <c r="I34" s="182"/>
      <c r="J34" s="182"/>
    </row>
    <row r="35" spans="2:14" x14ac:dyDescent="0.25">
      <c r="B35" s="125" t="s">
        <v>367</v>
      </c>
      <c r="D35" s="182">
        <f t="shared" ref="D35:H35" si="14">D33+D34</f>
        <v>17.295124999999999</v>
      </c>
      <c r="E35" s="182">
        <f t="shared" si="14"/>
        <v>13.671499999999998</v>
      </c>
      <c r="F35" s="182">
        <f t="shared" si="14"/>
        <v>10.58575000000009</v>
      </c>
      <c r="G35" s="182">
        <f t="shared" si="14"/>
        <v>16.854121433832667</v>
      </c>
      <c r="H35" s="182">
        <f t="shared" si="14"/>
        <v>17.016982335475799</v>
      </c>
      <c r="I35" s="182"/>
      <c r="J35" s="182"/>
    </row>
    <row r="36" spans="2:14" x14ac:dyDescent="0.25">
      <c r="B36" s="125" t="s">
        <v>356</v>
      </c>
      <c r="D36" s="182">
        <f>G8</f>
        <v>25913.784509803918</v>
      </c>
      <c r="E36" s="182">
        <f>D36</f>
        <v>25913.784509803918</v>
      </c>
      <c r="F36" s="182">
        <f>E36</f>
        <v>25913.784509803918</v>
      </c>
      <c r="G36" s="182">
        <f>F36</f>
        <v>25913.784509803918</v>
      </c>
      <c r="H36" s="182">
        <f t="shared" ref="H36" si="15">G36</f>
        <v>25913.784509803918</v>
      </c>
      <c r="I36" s="182"/>
      <c r="J36" s="182"/>
    </row>
    <row r="37" spans="2:14" x14ac:dyDescent="0.25">
      <c r="B37" s="155" t="s">
        <v>368</v>
      </c>
      <c r="C37" s="155"/>
      <c r="D37" s="192">
        <f t="shared" ref="D37:H37" si="16">D35*D36</f>
        <v>448182.14232012245</v>
      </c>
      <c r="E37" s="192">
        <f t="shared" si="16"/>
        <v>354280.30492578424</v>
      </c>
      <c r="F37" s="192">
        <f t="shared" si="16"/>
        <v>274316.84437465912</v>
      </c>
      <c r="G37" s="192">
        <f t="shared" si="16"/>
        <v>436754.07093840715</v>
      </c>
      <c r="H37" s="192">
        <f t="shared" si="16"/>
        <v>440974.41324865964</v>
      </c>
      <c r="I37" s="192"/>
      <c r="J37" s="192"/>
      <c r="L37" s="182"/>
      <c r="M37" s="182"/>
    </row>
    <row r="38" spans="2:14" x14ac:dyDescent="0.25">
      <c r="D38" s="182"/>
      <c r="E38" s="161"/>
      <c r="F38" s="161"/>
      <c r="G38" s="161"/>
    </row>
    <row r="40" spans="2:14" x14ac:dyDescent="0.25">
      <c r="L40" s="158"/>
      <c r="M40" s="193"/>
    </row>
    <row r="41" spans="2:14" x14ac:dyDescent="0.25">
      <c r="D41" s="125">
        <v>2022</v>
      </c>
      <c r="E41" s="125">
        <v>2023</v>
      </c>
      <c r="F41" s="125">
        <v>2024</v>
      </c>
      <c r="G41" s="125">
        <v>2025</v>
      </c>
      <c r="H41" s="125">
        <v>2026</v>
      </c>
      <c r="I41" s="125">
        <v>2027</v>
      </c>
      <c r="L41" s="158"/>
      <c r="M41" s="194"/>
      <c r="N41" s="195"/>
    </row>
    <row r="42" spans="2:14" x14ac:dyDescent="0.25">
      <c r="B42" s="125" t="s">
        <v>105</v>
      </c>
      <c r="D42" s="154">
        <f>D26</f>
        <v>754476.41001806117</v>
      </c>
      <c r="E42" s="154">
        <f>E26</f>
        <v>822041.88424770103</v>
      </c>
      <c r="F42" s="154">
        <f t="shared" ref="F42:I42" si="17">F26</f>
        <v>978207.10003059066</v>
      </c>
      <c r="G42" s="154">
        <f t="shared" si="17"/>
        <v>902176.49646860547</v>
      </c>
      <c r="H42" s="154">
        <f t="shared" si="17"/>
        <v>906173.48783776781</v>
      </c>
      <c r="I42" s="154">
        <f t="shared" si="17"/>
        <v>0</v>
      </c>
      <c r="J42" s="154"/>
      <c r="K42" s="154"/>
      <c r="L42" s="158"/>
      <c r="M42" s="194"/>
      <c r="N42" s="195"/>
    </row>
    <row r="43" spans="2:14" x14ac:dyDescent="0.25">
      <c r="B43" s="125" t="s">
        <v>369</v>
      </c>
      <c r="D43" s="182">
        <f ca="1">C42*$R$3</f>
        <v>0</v>
      </c>
      <c r="E43" s="182">
        <f ca="1">D42*$R$3</f>
        <v>508549.80412326602</v>
      </c>
      <c r="F43" s="182">
        <f ca="1">E42*$R$3</f>
        <v>554091.86246827955</v>
      </c>
      <c r="G43" s="182">
        <f ca="1">F42*$R$3</f>
        <v>659353.98709236819</v>
      </c>
      <c r="H43" s="182">
        <f t="shared" ref="H43:I43" ca="1" si="18">G42*$R$3</f>
        <v>608106.06464520283</v>
      </c>
      <c r="I43" s="182">
        <f t="shared" ca="1" si="18"/>
        <v>610800.21008285973</v>
      </c>
      <c r="J43" s="182"/>
      <c r="K43" s="182"/>
      <c r="L43" s="158"/>
      <c r="M43" s="194"/>
      <c r="N43" s="195"/>
    </row>
    <row r="44" spans="2:14" x14ac:dyDescent="0.25">
      <c r="B44" s="125" t="s">
        <v>370</v>
      </c>
      <c r="D44" s="182">
        <f t="shared" ref="D44:I44" ca="1" si="19">D42*$R$10</f>
        <v>245926.60589479533</v>
      </c>
      <c r="E44" s="182">
        <f t="shared" ca="1" si="19"/>
        <v>267950.02177942166</v>
      </c>
      <c r="F44" s="182">
        <f t="shared" ca="1" si="19"/>
        <v>318853.11293822277</v>
      </c>
      <c r="G44" s="182">
        <f ca="1">G42*$R$10</f>
        <v>294070.43182340282</v>
      </c>
      <c r="H44" s="182">
        <f t="shared" ca="1" si="19"/>
        <v>295373.27775490825</v>
      </c>
      <c r="I44" s="182">
        <f t="shared" ca="1" si="19"/>
        <v>0</v>
      </c>
      <c r="J44" s="182"/>
      <c r="K44" s="182"/>
      <c r="L44" s="158"/>
      <c r="M44" s="194"/>
      <c r="N44" s="195"/>
    </row>
    <row r="45" spans="2:14" x14ac:dyDescent="0.25">
      <c r="B45" s="155" t="s">
        <v>371</v>
      </c>
      <c r="C45" s="155"/>
      <c r="D45" s="160">
        <f t="shared" ref="D45:E45" ca="1" si="20">D43+D44</f>
        <v>245926.60589479533</v>
      </c>
      <c r="E45" s="160">
        <f t="shared" ca="1" si="20"/>
        <v>776499.82590268762</v>
      </c>
      <c r="F45" s="160">
        <f ca="1">F43+F44</f>
        <v>872944.97540650237</v>
      </c>
      <c r="G45" s="160">
        <f ca="1">G43+G44</f>
        <v>953424.41891577095</v>
      </c>
      <c r="H45" s="160">
        <f t="shared" ref="H45:I45" ca="1" si="21">H43+H44</f>
        <v>903479.34240011103</v>
      </c>
      <c r="I45" s="160">
        <f t="shared" ca="1" si="21"/>
        <v>610800.21008285973</v>
      </c>
      <c r="J45" s="160"/>
      <c r="K45" s="160"/>
      <c r="M45" s="194"/>
    </row>
    <row r="46" spans="2:14" x14ac:dyDescent="0.25">
      <c r="B46" s="125" t="s">
        <v>86</v>
      </c>
      <c r="D46" s="154">
        <f t="shared" ref="D46:I46" si="22">D37</f>
        <v>448182.14232012245</v>
      </c>
      <c r="E46" s="154">
        <f t="shared" si="22"/>
        <v>354280.30492578424</v>
      </c>
      <c r="F46" s="154">
        <f t="shared" si="22"/>
        <v>274316.84437465912</v>
      </c>
      <c r="G46" s="154">
        <f t="shared" si="22"/>
        <v>436754.07093840715</v>
      </c>
      <c r="H46" s="154">
        <f t="shared" si="22"/>
        <v>440974.41324865964</v>
      </c>
      <c r="I46" s="154">
        <f t="shared" si="22"/>
        <v>0</v>
      </c>
      <c r="J46" s="154"/>
      <c r="K46" s="154"/>
    </row>
    <row r="47" spans="2:14" x14ac:dyDescent="0.25">
      <c r="B47" s="125" t="s">
        <v>369</v>
      </c>
      <c r="D47" s="182">
        <f ca="1">C46*$R$3</f>
        <v>0</v>
      </c>
      <c r="E47" s="182">
        <f ca="1">D46*$R$3</f>
        <v>302094.19096746552</v>
      </c>
      <c r="F47" s="182">
        <f ca="1">E46*$R$3</f>
        <v>238800.28226518774</v>
      </c>
      <c r="G47" s="182">
        <f ca="1">F46*$R$3</f>
        <v>184901.44373248966</v>
      </c>
      <c r="H47" s="182">
        <f t="shared" ref="H47:I47" ca="1" si="23">G46*$R$3</f>
        <v>294391.17549142317</v>
      </c>
      <c r="I47" s="182">
        <f t="shared" ca="1" si="23"/>
        <v>297235.86914481473</v>
      </c>
      <c r="J47" s="182"/>
      <c r="K47" s="182"/>
    </row>
    <row r="48" spans="2:14" x14ac:dyDescent="0.25">
      <c r="B48" s="125" t="s">
        <v>370</v>
      </c>
      <c r="D48" s="182">
        <f t="shared" ref="D48:I48" ca="1" si="24">D46*$R$10</f>
        <v>146087.95135265702</v>
      </c>
      <c r="E48" s="182">
        <f t="shared" ca="1" si="24"/>
        <v>115480.02266059657</v>
      </c>
      <c r="F48" s="182">
        <f t="shared" ca="1" si="24"/>
        <v>89415.400642169523</v>
      </c>
      <c r="G48" s="182">
        <f t="shared" ca="1" si="24"/>
        <v>142362.8954469841</v>
      </c>
      <c r="H48" s="182">
        <f t="shared" ca="1" si="24"/>
        <v>143738.54410384499</v>
      </c>
      <c r="I48" s="182">
        <f t="shared" ca="1" si="24"/>
        <v>0</v>
      </c>
      <c r="J48" s="182"/>
      <c r="K48" s="182"/>
    </row>
    <row r="49" spans="2:11" x14ac:dyDescent="0.25">
      <c r="B49" s="155" t="s">
        <v>371</v>
      </c>
      <c r="C49" s="155"/>
      <c r="D49" s="160">
        <f t="shared" ref="D49:E49" ca="1" si="25">D47+D48</f>
        <v>146087.95135265702</v>
      </c>
      <c r="E49" s="160">
        <f t="shared" ca="1" si="25"/>
        <v>417574.21362806211</v>
      </c>
      <c r="F49" s="160">
        <f ca="1">F47+F48</f>
        <v>328215.68290735723</v>
      </c>
      <c r="G49" s="160">
        <f ca="1">G47+G48</f>
        <v>327264.33917947375</v>
      </c>
      <c r="H49" s="160">
        <f t="shared" ref="H49:I49" ca="1" si="26">H47+H48</f>
        <v>438129.71959526814</v>
      </c>
      <c r="I49" s="160">
        <f t="shared" ca="1" si="26"/>
        <v>297235.86914481473</v>
      </c>
      <c r="J49" s="160"/>
      <c r="K49" s="160"/>
    </row>
    <row r="53" spans="2:11" ht="45" x14ac:dyDescent="0.25">
      <c r="D53" s="196"/>
      <c r="E53" s="196" t="s">
        <v>338</v>
      </c>
      <c r="F53" s="196" t="s">
        <v>339</v>
      </c>
      <c r="G53" s="196" t="s">
        <v>340</v>
      </c>
      <c r="H53" s="196"/>
    </row>
    <row r="54" spans="2:11" x14ac:dyDescent="0.25">
      <c r="C54" s="125" t="s">
        <v>29</v>
      </c>
      <c r="D54" s="179"/>
      <c r="E54" s="179">
        <f ca="1">G45</f>
        <v>953424.41891577095</v>
      </c>
      <c r="F54" s="179">
        <f t="shared" ref="F54:G54" ca="1" si="27">H45</f>
        <v>903479.34240011103</v>
      </c>
      <c r="G54" s="179">
        <f t="shared" ca="1" si="27"/>
        <v>610800.21008285973</v>
      </c>
      <c r="H54" s="179"/>
    </row>
    <row r="55" spans="2:11" x14ac:dyDescent="0.25">
      <c r="C55" s="125" t="s">
        <v>119</v>
      </c>
      <c r="D55" s="179"/>
      <c r="E55" s="179">
        <f ca="1">G49</f>
        <v>327264.33917947375</v>
      </c>
      <c r="F55" s="179">
        <f t="shared" ref="F55:G55" ca="1" si="28">H49</f>
        <v>438129.71959526814</v>
      </c>
      <c r="G55" s="179">
        <f t="shared" ca="1" si="28"/>
        <v>297235.86914481473</v>
      </c>
      <c r="H55" s="179"/>
    </row>
    <row r="56" spans="2:11" x14ac:dyDescent="0.25">
      <c r="C56" s="125" t="s">
        <v>138</v>
      </c>
      <c r="D56" s="181"/>
      <c r="E56" s="181">
        <f ca="1">SUM(E54:E55)</f>
        <v>1280688.7580952446</v>
      </c>
      <c r="F56" s="181">
        <f t="shared" ref="F56:G56" ca="1" si="29">SUM(F54:F55)</f>
        <v>1341609.0619953792</v>
      </c>
      <c r="G56" s="181">
        <f t="shared" ca="1" si="29"/>
        <v>908036.07922767452</v>
      </c>
      <c r="H56" s="181"/>
    </row>
    <row r="59" spans="2:11" x14ac:dyDescent="0.25">
      <c r="E59" s="126">
        <v>2025</v>
      </c>
      <c r="F59" s="125">
        <v>2026</v>
      </c>
      <c r="G59" s="125">
        <v>2027</v>
      </c>
    </row>
    <row r="60" spans="2:11" x14ac:dyDescent="0.25">
      <c r="C60" s="125" t="str">
        <f>C54</f>
        <v>Residential</v>
      </c>
      <c r="D60" s="179"/>
      <c r="E60" s="179">
        <f ca="1">SUM($D54:E54)</f>
        <v>953424.41891577095</v>
      </c>
      <c r="F60" s="179">
        <f ca="1">SUM($D54:F54)</f>
        <v>1856903.761315882</v>
      </c>
      <c r="G60" s="179">
        <f ca="1">SUM($D54:G54)</f>
        <v>2467703.9713987419</v>
      </c>
      <c r="H60" s="179"/>
    </row>
    <row r="61" spans="2:11" x14ac:dyDescent="0.25">
      <c r="C61" s="125" t="str">
        <f>C55</f>
        <v>GS &lt; 50</v>
      </c>
      <c r="D61" s="179"/>
      <c r="E61" s="179">
        <f ca="1">SUM($D55:E55)</f>
        <v>327264.33917947375</v>
      </c>
      <c r="F61" s="179">
        <f ca="1">SUM($D55:F55)</f>
        <v>765394.05877474183</v>
      </c>
      <c r="G61" s="179">
        <f ca="1">SUM($D55:G55)</f>
        <v>1062629.9279195566</v>
      </c>
      <c r="H61" s="179"/>
    </row>
    <row r="62" spans="2:11" x14ac:dyDescent="0.25">
      <c r="C62" s="155" t="s">
        <v>138</v>
      </c>
      <c r="D62" s="181"/>
      <c r="E62" s="181">
        <f t="shared" ref="E62:G62" ca="1" si="30">E60+E61</f>
        <v>1280688.7580952446</v>
      </c>
      <c r="F62" s="181">
        <f t="shared" ca="1" si="30"/>
        <v>2622297.8200906236</v>
      </c>
      <c r="G62" s="181">
        <f t="shared" ca="1" si="30"/>
        <v>3530333.8993182983</v>
      </c>
      <c r="H62" s="181"/>
    </row>
  </sheetData>
  <mergeCells count="3">
    <mergeCell ref="O2:Q2"/>
    <mergeCell ref="R3:R9"/>
    <mergeCell ref="R10:R14"/>
  </mergeCells>
  <hyperlinks>
    <hyperlink ref="I7" r:id="rId1" xr:uid="{25F5FA15-88AA-4E3A-ACAC-BA92961BEF1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D47B5-B413-415D-8701-E27FE0BD4C30}">
  <sheetPr codeName="Sheet23">
    <tabColor theme="3" tint="0.499984740745262"/>
  </sheetPr>
  <dimension ref="A2:R44"/>
  <sheetViews>
    <sheetView topLeftCell="A19" workbookViewId="0">
      <selection activeCell="N31" sqref="N31"/>
    </sheetView>
  </sheetViews>
  <sheetFormatPr defaultColWidth="10.1640625" defaultRowHeight="14.25" x14ac:dyDescent="0.2"/>
  <cols>
    <col min="1" max="1" width="10.1640625" style="197"/>
    <col min="2" max="2" width="11.6640625" style="197" customWidth="1"/>
    <col min="3" max="4" width="13.33203125" style="197" customWidth="1"/>
    <col min="5" max="5" width="15.6640625" style="197" bestFit="1" customWidth="1"/>
    <col min="6" max="6" width="15.6640625" style="197" customWidth="1"/>
    <col min="7" max="7" width="13.33203125" style="197" customWidth="1"/>
    <col min="8" max="9" width="11" style="197" customWidth="1"/>
    <col min="10" max="10" width="14.6640625" style="197" bestFit="1" customWidth="1"/>
    <col min="11" max="11" width="14" style="197" customWidth="1"/>
    <col min="12" max="13" width="10.1640625" style="197"/>
    <col min="14" max="15" width="10.83203125" style="197" bestFit="1" customWidth="1"/>
    <col min="16" max="16384" width="10.1640625" style="197"/>
  </cols>
  <sheetData>
    <row r="2" spans="1:13" x14ac:dyDescent="0.2">
      <c r="E2" s="545" t="s">
        <v>124</v>
      </c>
      <c r="F2" s="546"/>
      <c r="J2" s="545" t="s">
        <v>125</v>
      </c>
      <c r="K2" s="546"/>
    </row>
    <row r="3" spans="1:13" x14ac:dyDescent="0.2">
      <c r="E3" s="213">
        <v>2025</v>
      </c>
      <c r="F3" s="214">
        <v>2026</v>
      </c>
      <c r="J3" s="213">
        <v>2025</v>
      </c>
      <c r="K3" s="214">
        <v>2026</v>
      </c>
    </row>
    <row r="4" spans="1:13" x14ac:dyDescent="0.2">
      <c r="B4" s="198"/>
      <c r="C4" s="199" t="s">
        <v>29</v>
      </c>
      <c r="D4" s="199"/>
      <c r="E4" s="200">
        <f>'EV Forecast'!F162</f>
        <v>1197803.5565905371</v>
      </c>
      <c r="F4" s="201">
        <f>'EV Forecast'!G162</f>
        <v>3926091.4759200662</v>
      </c>
      <c r="G4" s="202"/>
      <c r="H4" s="202"/>
      <c r="I4" s="202"/>
      <c r="J4" s="200"/>
      <c r="K4" s="201"/>
    </row>
    <row r="5" spans="1:13" x14ac:dyDescent="0.2">
      <c r="B5" s="203" t="s">
        <v>278</v>
      </c>
      <c r="C5" s="197" t="s">
        <v>39</v>
      </c>
      <c r="E5" s="204">
        <f>'EV Forecast'!F163</f>
        <v>227728.21628975013</v>
      </c>
      <c r="F5" s="205">
        <f>'EV Forecast'!G163</f>
        <v>738952.55539804045</v>
      </c>
      <c r="G5" s="202"/>
      <c r="H5" s="202"/>
      <c r="I5" s="202"/>
      <c r="J5" s="204"/>
      <c r="K5" s="205"/>
    </row>
    <row r="6" spans="1:13" x14ac:dyDescent="0.2">
      <c r="B6" s="203"/>
      <c r="C6" s="197" t="s">
        <v>40</v>
      </c>
      <c r="E6" s="204">
        <f>'EV Forecast'!F164</f>
        <v>222592.67511557974</v>
      </c>
      <c r="F6" s="205">
        <f>'EV Forecast'!G164</f>
        <v>720912.71929844364</v>
      </c>
      <c r="G6" s="202"/>
      <c r="H6" s="202"/>
      <c r="I6" s="202"/>
      <c r="J6" s="204">
        <f>'EV Forecast'!N97/2</f>
        <v>1524.6073638053408</v>
      </c>
      <c r="K6" s="205">
        <f>'EV Forecast'!O97/2+'EV Forecast'!N97</f>
        <v>4937.7583513592035</v>
      </c>
    </row>
    <row r="7" spans="1:13" ht="15" x14ac:dyDescent="0.25">
      <c r="B7" s="206"/>
      <c r="C7" s="207" t="s">
        <v>138</v>
      </c>
      <c r="D7" s="207"/>
      <c r="E7" s="208">
        <f>SUM(E4:E6)</f>
        <v>1648124.4479958669</v>
      </c>
      <c r="F7" s="209">
        <f t="shared" ref="F7" si="0">SUM(F4:F6)</f>
        <v>5385956.7506165504</v>
      </c>
      <c r="G7" s="210"/>
      <c r="H7" s="210"/>
      <c r="I7" s="210"/>
      <c r="J7" s="208">
        <f>SUM(J4:J6)</f>
        <v>1524.6073638053408</v>
      </c>
      <c r="K7" s="209">
        <f t="shared" ref="K7" si="1">SUM(K4:K6)</f>
        <v>4937.7583513592035</v>
      </c>
    </row>
    <row r="8" spans="1:13" x14ac:dyDescent="0.2">
      <c r="B8" s="198"/>
      <c r="C8" s="199" t="s">
        <v>29</v>
      </c>
      <c r="D8" s="199"/>
      <c r="E8" s="200">
        <f ca="1">Heating!E60</f>
        <v>953424.41891577095</v>
      </c>
      <c r="F8" s="201">
        <f ca="1">Heating!F60</f>
        <v>1856903.761315882</v>
      </c>
      <c r="G8" s="202"/>
      <c r="H8" s="202"/>
      <c r="I8" s="202"/>
      <c r="J8" s="200"/>
      <c r="K8" s="201"/>
    </row>
    <row r="9" spans="1:13" x14ac:dyDescent="0.2">
      <c r="A9" s="197" t="s">
        <v>484</v>
      </c>
      <c r="B9" s="203" t="s">
        <v>372</v>
      </c>
      <c r="C9" s="197" t="s">
        <v>39</v>
      </c>
      <c r="E9" s="204">
        <f ca="1">Heating!E61</f>
        <v>327264.33917947375</v>
      </c>
      <c r="F9" s="205">
        <f ca="1">Heating!F61</f>
        <v>765394.05877474183</v>
      </c>
      <c r="G9" s="202"/>
      <c r="H9" s="202"/>
      <c r="I9" s="202"/>
      <c r="J9" s="204"/>
      <c r="K9" s="205"/>
    </row>
    <row r="10" spans="1:13" x14ac:dyDescent="0.2">
      <c r="B10" s="203"/>
      <c r="C10" s="197" t="s">
        <v>40</v>
      </c>
      <c r="E10" s="204"/>
      <c r="F10" s="205"/>
      <c r="G10" s="202"/>
      <c r="H10" s="202"/>
      <c r="I10" s="202"/>
      <c r="J10" s="204">
        <f>Heating!M45</f>
        <v>0</v>
      </c>
      <c r="K10" s="205"/>
      <c r="M10" s="197" t="s">
        <v>373</v>
      </c>
    </row>
    <row r="11" spans="1:13" ht="15" x14ac:dyDescent="0.25">
      <c r="B11" s="206"/>
      <c r="C11" s="207" t="s">
        <v>138</v>
      </c>
      <c r="D11" s="207"/>
      <c r="E11" s="208">
        <f ca="1">SUM(E8:E10)</f>
        <v>1280688.7580952446</v>
      </c>
      <c r="F11" s="209">
        <f t="shared" ref="F11" ca="1" si="2">SUM(F8:F10)</f>
        <v>2622297.8200906236</v>
      </c>
      <c r="G11" s="210"/>
      <c r="H11" s="210"/>
      <c r="I11" s="210"/>
      <c r="J11" s="208">
        <f>SUM(J8:J10)</f>
        <v>0</v>
      </c>
      <c r="K11" s="209">
        <f t="shared" ref="K11" si="3">SUM(K8:K10)</f>
        <v>0</v>
      </c>
      <c r="M11" s="197" t="s">
        <v>374</v>
      </c>
    </row>
    <row r="12" spans="1:13" hidden="1" x14ac:dyDescent="0.2">
      <c r="B12" s="198"/>
      <c r="C12" s="199" t="s">
        <v>29</v>
      </c>
      <c r="D12" s="199"/>
      <c r="E12" s="200"/>
      <c r="F12" s="201"/>
      <c r="G12" s="202"/>
      <c r="H12" s="202"/>
      <c r="I12" s="202"/>
      <c r="J12" s="200"/>
      <c r="K12" s="201"/>
    </row>
    <row r="13" spans="1:13" hidden="1" x14ac:dyDescent="0.2">
      <c r="B13" s="203" t="s">
        <v>375</v>
      </c>
      <c r="C13" s="197" t="s">
        <v>39</v>
      </c>
      <c r="E13" s="204"/>
      <c r="F13" s="205"/>
      <c r="G13" s="202"/>
      <c r="H13" s="202"/>
      <c r="I13" s="202"/>
      <c r="J13" s="204"/>
      <c r="K13" s="205"/>
    </row>
    <row r="14" spans="1:13" hidden="1" x14ac:dyDescent="0.2">
      <c r="B14" s="203" t="s">
        <v>376</v>
      </c>
      <c r="C14" s="197" t="s">
        <v>40</v>
      </c>
      <c r="E14" s="204"/>
      <c r="F14" s="205"/>
      <c r="G14" s="202"/>
      <c r="H14" s="202"/>
      <c r="I14" s="202"/>
      <c r="J14" s="204"/>
      <c r="K14" s="205"/>
      <c r="L14" s="211"/>
    </row>
    <row r="15" spans="1:13" ht="15" hidden="1" x14ac:dyDescent="0.25">
      <c r="B15" s="206"/>
      <c r="C15" s="207" t="s">
        <v>138</v>
      </c>
      <c r="D15" s="207"/>
      <c r="E15" s="208">
        <f>SUM(E12:E14)</f>
        <v>0</v>
      </c>
      <c r="F15" s="209">
        <f t="shared" ref="F15" si="4">SUM(F12:F14)</f>
        <v>0</v>
      </c>
      <c r="G15" s="210"/>
      <c r="H15" s="210"/>
      <c r="I15" s="210"/>
      <c r="J15" s="208">
        <f>SUM(J12:J14)</f>
        <v>0</v>
      </c>
      <c r="K15" s="209">
        <f t="shared" ref="K15" si="5">SUM(K12:K14)</f>
        <v>0</v>
      </c>
    </row>
    <row r="16" spans="1:13" x14ac:dyDescent="0.2">
      <c r="B16" s="198"/>
      <c r="C16" s="199" t="s">
        <v>29</v>
      </c>
      <c r="D16" s="199"/>
      <c r="E16" s="200">
        <f t="shared" ref="E16:F18" ca="1" si="6">E4+E8+E12</f>
        <v>2151227.975506308</v>
      </c>
      <c r="F16" s="201">
        <f t="shared" ca="1" si="6"/>
        <v>5782995.2372359484</v>
      </c>
      <c r="G16" s="202"/>
      <c r="H16" s="202"/>
      <c r="I16" s="202"/>
      <c r="J16" s="200"/>
      <c r="K16" s="201"/>
    </row>
    <row r="17" spans="1:18" ht="15" x14ac:dyDescent="0.25">
      <c r="B17" s="212" t="s">
        <v>138</v>
      </c>
      <c r="C17" s="197" t="s">
        <v>39</v>
      </c>
      <c r="E17" s="204">
        <f t="shared" ca="1" si="6"/>
        <v>554992.55546922388</v>
      </c>
      <c r="F17" s="205">
        <f t="shared" ca="1" si="6"/>
        <v>1504346.6141727823</v>
      </c>
      <c r="G17" s="202"/>
      <c r="H17" s="202"/>
      <c r="I17" s="202"/>
      <c r="J17" s="204"/>
      <c r="K17" s="205"/>
    </row>
    <row r="18" spans="1:18" x14ac:dyDescent="0.2">
      <c r="B18" s="203"/>
      <c r="C18" s="197" t="s">
        <v>40</v>
      </c>
      <c r="E18" s="204">
        <f t="shared" si="6"/>
        <v>222592.67511557974</v>
      </c>
      <c r="F18" s="205">
        <f t="shared" si="6"/>
        <v>720912.71929844364</v>
      </c>
      <c r="G18" s="202"/>
      <c r="H18" s="202"/>
      <c r="I18" s="202"/>
      <c r="J18" s="204">
        <f>J6+J10+J14</f>
        <v>1524.6073638053408</v>
      </c>
      <c r="K18" s="205">
        <f t="shared" ref="K18" si="7">K6+K10+K14</f>
        <v>4937.7583513592035</v>
      </c>
    </row>
    <row r="19" spans="1:18" ht="15" x14ac:dyDescent="0.25">
      <c r="B19" s="206"/>
      <c r="C19" s="207" t="s">
        <v>138</v>
      </c>
      <c r="D19" s="207"/>
      <c r="E19" s="208">
        <f ca="1">SUM(E16:E18)</f>
        <v>2928813.2060911115</v>
      </c>
      <c r="F19" s="209">
        <f t="shared" ref="F19" ca="1" si="8">SUM(F16:F18)</f>
        <v>8008254.5707071749</v>
      </c>
      <c r="G19" s="210"/>
      <c r="H19" s="210"/>
      <c r="I19" s="210"/>
      <c r="J19" s="208">
        <f>SUM(J16:J18)</f>
        <v>1524.6073638053408</v>
      </c>
      <c r="K19" s="209">
        <f t="shared" ref="K19" si="9">SUM(K16:K18)</f>
        <v>4937.7583513592035</v>
      </c>
    </row>
    <row r="22" spans="1:18" x14ac:dyDescent="0.2">
      <c r="E22" s="545" t="s">
        <v>124</v>
      </c>
      <c r="F22" s="546"/>
      <c r="J22" s="545" t="s">
        <v>125</v>
      </c>
      <c r="K22" s="546"/>
    </row>
    <row r="23" spans="1:18" x14ac:dyDescent="0.2">
      <c r="E23" s="213">
        <v>2025</v>
      </c>
      <c r="F23" s="214">
        <v>2026</v>
      </c>
      <c r="J23" s="213">
        <v>2025</v>
      </c>
      <c r="K23" s="214">
        <v>2026</v>
      </c>
    </row>
    <row r="24" spans="1:18" x14ac:dyDescent="0.2">
      <c r="B24" s="198"/>
      <c r="C24" s="199" t="s">
        <v>29</v>
      </c>
      <c r="D24" s="199"/>
      <c r="E24" s="200"/>
      <c r="F24" s="201"/>
      <c r="G24" s="202"/>
      <c r="H24" s="202"/>
      <c r="I24" s="202"/>
      <c r="J24" s="200"/>
      <c r="K24" s="201"/>
    </row>
    <row r="25" spans="1:18" x14ac:dyDescent="0.2">
      <c r="B25" s="203"/>
      <c r="C25" s="197" t="s">
        <v>39</v>
      </c>
      <c r="E25" s="204"/>
      <c r="F25" s="205"/>
      <c r="G25" s="202"/>
      <c r="H25" s="202"/>
      <c r="I25" s="202"/>
      <c r="J25" s="204"/>
      <c r="K25" s="205"/>
    </row>
    <row r="26" spans="1:18" x14ac:dyDescent="0.2">
      <c r="A26" s="197" t="s">
        <v>485</v>
      </c>
      <c r="B26" s="203"/>
      <c r="C26" s="197" t="s">
        <v>40</v>
      </c>
      <c r="E26" s="204">
        <f>E33</f>
        <v>-3718826.5583854811</v>
      </c>
      <c r="F26" s="205">
        <f>F33</f>
        <v>-5224855.123742817</v>
      </c>
      <c r="G26" s="202"/>
      <c r="H26" s="202"/>
      <c r="I26" s="202"/>
      <c r="J26" s="204">
        <f>J33</f>
        <v>-9980.9666666666672</v>
      </c>
      <c r="K26" s="205">
        <f>K33</f>
        <v>-14023</v>
      </c>
      <c r="P26" s="400"/>
      <c r="Q26" s="400"/>
      <c r="R26" s="400"/>
    </row>
    <row r="27" spans="1:18" ht="15" x14ac:dyDescent="0.25">
      <c r="B27" s="206"/>
      <c r="C27" s="207" t="s">
        <v>138</v>
      </c>
      <c r="D27" s="207"/>
      <c r="E27" s="208">
        <f>SUM(E24:E26)</f>
        <v>-3718826.5583854811</v>
      </c>
      <c r="F27" s="209">
        <f t="shared" ref="F27" si="10">SUM(F24:F26)</f>
        <v>-5224855.123742817</v>
      </c>
      <c r="G27" s="210"/>
      <c r="H27" s="210"/>
      <c r="I27" s="210"/>
      <c r="J27" s="208">
        <f>SUM(J24:J26)</f>
        <v>-9980.9666666666672</v>
      </c>
      <c r="K27" s="209">
        <f t="shared" ref="K27" si="11">SUM(K24:K26)</f>
        <v>-14023</v>
      </c>
      <c r="P27" s="400"/>
      <c r="Q27" s="400"/>
      <c r="R27" s="400"/>
    </row>
    <row r="28" spans="1:18" x14ac:dyDescent="0.2">
      <c r="P28" s="400"/>
      <c r="Q28" s="400"/>
      <c r="R28" s="400"/>
    </row>
    <row r="29" spans="1:18" x14ac:dyDescent="0.2">
      <c r="P29" s="401"/>
      <c r="Q29" s="402"/>
      <c r="R29" s="400"/>
    </row>
    <row r="30" spans="1:18" x14ac:dyDescent="0.2">
      <c r="A30" s="197" t="s">
        <v>486</v>
      </c>
      <c r="C30" s="391" t="s">
        <v>489</v>
      </c>
      <c r="D30" s="392" t="s">
        <v>489</v>
      </c>
      <c r="E30" s="392" t="s">
        <v>488</v>
      </c>
      <c r="F30" s="393" t="s">
        <v>488</v>
      </c>
      <c r="G30" s="394"/>
      <c r="H30" s="391" t="s">
        <v>106</v>
      </c>
      <c r="I30" s="392" t="s">
        <v>487</v>
      </c>
      <c r="J30" s="392" t="s">
        <v>488</v>
      </c>
      <c r="K30" s="393" t="s">
        <v>488</v>
      </c>
      <c r="P30" s="401"/>
      <c r="Q30" s="402"/>
      <c r="R30" s="400"/>
    </row>
    <row r="31" spans="1:18" x14ac:dyDescent="0.2">
      <c r="C31" s="395">
        <v>2023</v>
      </c>
      <c r="D31" s="396">
        <v>2024</v>
      </c>
      <c r="E31" s="396">
        <v>2025</v>
      </c>
      <c r="F31" s="397">
        <v>2026</v>
      </c>
      <c r="G31" s="394"/>
      <c r="H31" s="395">
        <v>2023</v>
      </c>
      <c r="I31" s="396">
        <v>2024</v>
      </c>
      <c r="J31" s="396">
        <v>2025</v>
      </c>
      <c r="K31" s="397">
        <v>2026</v>
      </c>
      <c r="P31" s="401"/>
      <c r="Q31" s="402"/>
      <c r="R31" s="400"/>
    </row>
    <row r="32" spans="1:18" x14ac:dyDescent="0.2">
      <c r="A32" s="197" t="s">
        <v>490</v>
      </c>
      <c r="C32" s="399">
        <f>H32/'kW Forecast'!$E$18</f>
        <v>5224855.123742817</v>
      </c>
      <c r="D32" s="386">
        <f>I32/'kW Forecast'!$E$18</f>
        <v>5163526.5097965803</v>
      </c>
      <c r="E32" s="386">
        <f>J32/'kW Forecast'!$E$18</f>
        <v>1506028.5653573361</v>
      </c>
      <c r="F32" s="388"/>
      <c r="H32" s="398">
        <v>14023</v>
      </c>
      <c r="I32" s="386">
        <v>13858.399999999998</v>
      </c>
      <c r="J32" s="386">
        <v>4042.0333333333328</v>
      </c>
      <c r="K32" s="390"/>
      <c r="P32" s="401"/>
      <c r="Q32" s="402"/>
      <c r="R32" s="400"/>
    </row>
    <row r="33" spans="1:18" x14ac:dyDescent="0.2">
      <c r="A33" s="197" t="s">
        <v>491</v>
      </c>
      <c r="C33" s="206"/>
      <c r="D33" s="387">
        <f>D32-$C$32</f>
        <v>-61328.61394623667</v>
      </c>
      <c r="E33" s="387">
        <f>E32-$C$32</f>
        <v>-3718826.5583854811</v>
      </c>
      <c r="F33" s="389">
        <f>F32-$C$32</f>
        <v>-5224855.123742817</v>
      </c>
      <c r="H33" s="206"/>
      <c r="I33" s="387">
        <f>I32-$H$32</f>
        <v>-164.60000000000218</v>
      </c>
      <c r="J33" s="387">
        <f>J32-$H$32</f>
        <v>-9980.9666666666672</v>
      </c>
      <c r="K33" s="389">
        <f>K32-$H$32</f>
        <v>-14023</v>
      </c>
      <c r="P33" s="401"/>
      <c r="Q33" s="402"/>
      <c r="R33" s="400"/>
    </row>
    <row r="34" spans="1:18" x14ac:dyDescent="0.2">
      <c r="P34" s="401"/>
      <c r="Q34" s="402"/>
      <c r="R34" s="400"/>
    </row>
    <row r="35" spans="1:18" x14ac:dyDescent="0.2">
      <c r="P35" s="401"/>
      <c r="Q35" s="402"/>
      <c r="R35" s="400"/>
    </row>
    <row r="36" spans="1:18" x14ac:dyDescent="0.2">
      <c r="P36" s="401"/>
      <c r="Q36" s="402"/>
      <c r="R36" s="400"/>
    </row>
    <row r="37" spans="1:18" x14ac:dyDescent="0.2">
      <c r="E37" s="211"/>
      <c r="F37" s="424"/>
      <c r="P37" s="401"/>
      <c r="Q37" s="402"/>
      <c r="R37" s="400"/>
    </row>
    <row r="38" spans="1:18" x14ac:dyDescent="0.2">
      <c r="E38" s="211"/>
      <c r="P38" s="401"/>
      <c r="Q38" s="402"/>
      <c r="R38" s="400"/>
    </row>
    <row r="39" spans="1:18" x14ac:dyDescent="0.2">
      <c r="E39" s="211"/>
      <c r="P39" s="401"/>
      <c r="Q39" s="402"/>
      <c r="R39" s="400"/>
    </row>
    <row r="40" spans="1:18" x14ac:dyDescent="0.2">
      <c r="P40" s="401"/>
      <c r="Q40" s="402"/>
      <c r="R40" s="400"/>
    </row>
    <row r="41" spans="1:18" x14ac:dyDescent="0.2">
      <c r="P41" s="401"/>
      <c r="Q41" s="402"/>
      <c r="R41" s="400"/>
    </row>
    <row r="42" spans="1:18" x14ac:dyDescent="0.2">
      <c r="P42" s="401"/>
      <c r="Q42" s="402"/>
      <c r="R42" s="400"/>
    </row>
    <row r="43" spans="1:18" x14ac:dyDescent="0.2">
      <c r="P43" s="401"/>
      <c r="Q43" s="402"/>
      <c r="R43" s="400"/>
    </row>
    <row r="44" spans="1:18" x14ac:dyDescent="0.2">
      <c r="P44" s="400"/>
      <c r="Q44" s="400"/>
      <c r="R44" s="400"/>
    </row>
  </sheetData>
  <mergeCells count="4">
    <mergeCell ref="J2:K2"/>
    <mergeCell ref="J22:K22"/>
    <mergeCell ref="E2:F2"/>
    <mergeCell ref="E22:F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rgb="FFFF0000"/>
  </sheetPr>
  <dimension ref="B1:Q17"/>
  <sheetViews>
    <sheetView topLeftCell="M1" workbookViewId="0">
      <selection activeCell="E12" sqref="E12"/>
    </sheetView>
  </sheetViews>
  <sheetFormatPr defaultColWidth="8.83203125" defaultRowHeight="12.75" x14ac:dyDescent="0.2"/>
  <cols>
    <col min="1" max="1" width="14.83203125" style="1" customWidth="1"/>
    <col min="2" max="2" width="8.83203125" style="1"/>
    <col min="3" max="3" width="21.1640625" style="1" customWidth="1"/>
    <col min="4" max="4" width="15.83203125" style="1" customWidth="1"/>
    <col min="5" max="5" width="8.83203125" style="1"/>
    <col min="6" max="7" width="22.5" style="1" customWidth="1"/>
    <col min="8" max="8" width="8.83203125" style="1"/>
    <col min="9" max="9" width="20" style="1" customWidth="1"/>
    <col min="10" max="10" width="16.83203125" style="1" customWidth="1"/>
    <col min="11" max="11" width="8.83203125" style="1"/>
    <col min="12" max="13" width="22.33203125" style="1" customWidth="1"/>
    <col min="14" max="14" width="8.83203125" style="1"/>
    <col min="15" max="15" width="19.33203125" style="1" customWidth="1"/>
    <col min="16" max="16" width="17.6640625" style="1" customWidth="1"/>
    <col min="17" max="17" width="8.83203125" style="1"/>
    <col min="18" max="18" width="25.1640625" style="1" customWidth="1"/>
    <col min="19" max="16384" width="8.83203125" style="1"/>
  </cols>
  <sheetData>
    <row r="1" spans="2:17" x14ac:dyDescent="0.2">
      <c r="D1" s="5"/>
    </row>
    <row r="2" spans="2:17" ht="14.25" x14ac:dyDescent="0.2">
      <c r="B2" s="379"/>
      <c r="C2" s="547" t="s">
        <v>84</v>
      </c>
      <c r="D2" s="547"/>
      <c r="E2" s="380" t="s">
        <v>85</v>
      </c>
      <c r="F2" s="378"/>
      <c r="G2" s="378"/>
      <c r="H2" s="379"/>
      <c r="I2" s="547" t="s">
        <v>86</v>
      </c>
      <c r="J2" s="547"/>
      <c r="K2" s="380" t="s">
        <v>85</v>
      </c>
      <c r="N2" s="379"/>
      <c r="O2" s="547" t="s">
        <v>87</v>
      </c>
      <c r="P2" s="547"/>
      <c r="Q2" s="380" t="s">
        <v>85</v>
      </c>
    </row>
    <row r="3" spans="2:17" ht="14.25" x14ac:dyDescent="0.2">
      <c r="B3" s="380" t="s">
        <v>0</v>
      </c>
      <c r="C3" s="380" t="s">
        <v>88</v>
      </c>
      <c r="D3" s="380" t="s">
        <v>82</v>
      </c>
      <c r="E3" s="380" t="s">
        <v>89</v>
      </c>
      <c r="F3" s="378"/>
      <c r="G3" s="378"/>
      <c r="H3" s="380" t="s">
        <v>0</v>
      </c>
      <c r="I3" s="380" t="s">
        <v>88</v>
      </c>
      <c r="J3" s="380" t="s">
        <v>82</v>
      </c>
      <c r="K3" s="380" t="s">
        <v>89</v>
      </c>
      <c r="N3" s="380" t="s">
        <v>0</v>
      </c>
      <c r="O3" s="380" t="s">
        <v>88</v>
      </c>
      <c r="P3" s="380" t="s">
        <v>82</v>
      </c>
      <c r="Q3" s="380" t="s">
        <v>89</v>
      </c>
    </row>
    <row r="4" spans="2:17" ht="14.25" x14ac:dyDescent="0.2">
      <c r="B4" s="380"/>
      <c r="C4" s="380"/>
      <c r="D4" s="380"/>
      <c r="E4" s="380"/>
      <c r="F4" s="378"/>
      <c r="G4" s="378"/>
      <c r="H4" s="380"/>
      <c r="I4" s="380"/>
      <c r="J4" s="380"/>
      <c r="K4" s="380"/>
      <c r="N4" s="380"/>
      <c r="O4" s="380"/>
      <c r="P4" s="380"/>
      <c r="Q4" s="380"/>
    </row>
    <row r="5" spans="2:17" ht="14.25" x14ac:dyDescent="0.2">
      <c r="B5" s="378">
        <v>2015</v>
      </c>
      <c r="C5" s="381">
        <f>SUMIF('Res Predicted Monthly'!$B:$B,B5,'Res Predicted Monthly'!D:D)</f>
        <v>532890860.25720596</v>
      </c>
      <c r="D5" s="381">
        <f>SUMIF('Res Predicted Monthly'!$B:$B,B5,'Res Predicted Monthly'!Q:Q)</f>
        <v>537298080.09407449</v>
      </c>
      <c r="E5" s="382">
        <f t="shared" ref="E5:E8" si="0">ABS(C5-D5)/C5</f>
        <v>8.2703986229775619E-3</v>
      </c>
      <c r="F5" s="382"/>
      <c r="G5" s="382"/>
      <c r="H5" s="378">
        <v>2015</v>
      </c>
      <c r="I5" s="381">
        <f>SUMIF('GS&lt;50 Predicted Monthly'!$B:$B,H5,'GS&lt;50 Predicted Monthly'!D:D)</f>
        <v>172218289.48210973</v>
      </c>
      <c r="J5" s="381">
        <f>SUMIF('GS&lt;50 Predicted Monthly'!$B:$B,H5,'GS&lt;50 Predicted Monthly'!S:S)</f>
        <v>171644592.97905749</v>
      </c>
      <c r="K5" s="382">
        <f t="shared" ref="K5:K8" si="1">ABS(I5-J5)/I5</f>
        <v>3.3312170546893685E-3</v>
      </c>
      <c r="N5" s="378">
        <v>2015</v>
      </c>
      <c r="O5" s="381">
        <f>SUMIF('GS&gt;50 Predicted Monthly'!$B:$B,N5,'GS&gt;50 Predicted Monthly'!D:D)</f>
        <v>910621414.84628558</v>
      </c>
      <c r="P5" s="381">
        <f>SUMIF('GS&gt;50 Predicted Monthly'!$B:$B,N5,'GS&gt;50 Predicted Monthly'!S:S)</f>
        <v>915589341.31175518</v>
      </c>
      <c r="Q5" s="382">
        <f t="shared" ref="Q5:Q8" si="2">ABS(O5-P5)/O5</f>
        <v>5.4555344125178443E-3</v>
      </c>
    </row>
    <row r="6" spans="2:17" ht="14.25" x14ac:dyDescent="0.2">
      <c r="B6" s="377">
        <v>2016</v>
      </c>
      <c r="C6" s="381">
        <f>SUMIF('Res Predicted Monthly'!$B:$B,B6,'Res Predicted Monthly'!D:D)</f>
        <v>552745360.65753627</v>
      </c>
      <c r="D6" s="381">
        <f>SUMIF('Res Predicted Monthly'!$B:$B,B6,'Res Predicted Monthly'!Q:Q)</f>
        <v>557965045.19494009</v>
      </c>
      <c r="E6" s="382">
        <f t="shared" si="0"/>
        <v>9.4431991816169673E-3</v>
      </c>
      <c r="F6" s="382"/>
      <c r="G6" s="382"/>
      <c r="H6" s="377">
        <v>2016</v>
      </c>
      <c r="I6" s="381">
        <f>SUMIF('GS&lt;50 Predicted Monthly'!$B:$B,H6,'GS&lt;50 Predicted Monthly'!D:D)</f>
        <v>174885321.01763114</v>
      </c>
      <c r="J6" s="381">
        <f>SUMIF('GS&lt;50 Predicted Monthly'!$B:$B,H6,'GS&lt;50 Predicted Monthly'!S:S)</f>
        <v>173813660.36021993</v>
      </c>
      <c r="K6" s="382">
        <f t="shared" si="1"/>
        <v>6.1277907784106009E-3</v>
      </c>
      <c r="N6" s="377">
        <v>2016</v>
      </c>
      <c r="O6" s="381">
        <f>SUMIF('GS&gt;50 Predicted Monthly'!$B:$B,N6,'GS&gt;50 Predicted Monthly'!D:D)</f>
        <v>932830020.28206766</v>
      </c>
      <c r="P6" s="381">
        <f>SUMIF('GS&gt;50 Predicted Monthly'!$B:$B,N6,'GS&gt;50 Predicted Monthly'!S:S)</f>
        <v>911728383.42667115</v>
      </c>
      <c r="Q6" s="382">
        <f t="shared" si="2"/>
        <v>2.2621095372783812E-2</v>
      </c>
    </row>
    <row r="7" spans="2:17" ht="14.25" x14ac:dyDescent="0.2">
      <c r="B7" s="378">
        <v>2017</v>
      </c>
      <c r="C7" s="381">
        <f>SUMIF('Res Predicted Monthly'!$B:$B,B7,'Res Predicted Monthly'!D:D)</f>
        <v>523095111.88667029</v>
      </c>
      <c r="D7" s="381">
        <f>SUMIF('Res Predicted Monthly'!$B:$B,B7,'Res Predicted Monthly'!Q:Q)</f>
        <v>543916717.92135894</v>
      </c>
      <c r="E7" s="382">
        <f t="shared" si="0"/>
        <v>3.9804627421560955E-2</v>
      </c>
      <c r="F7" s="382"/>
      <c r="G7" s="382"/>
      <c r="H7" s="378">
        <v>2017</v>
      </c>
      <c r="I7" s="381">
        <f>SUMIF('GS&lt;50 Predicted Monthly'!$B:$B,H7,'GS&lt;50 Predicted Monthly'!D:D)</f>
        <v>173841513.45425135</v>
      </c>
      <c r="J7" s="381">
        <f>SUMIF('GS&lt;50 Predicted Monthly'!$B:$B,H7,'GS&lt;50 Predicted Monthly'!S:S)</f>
        <v>173094628.68456352</v>
      </c>
      <c r="K7" s="382">
        <f t="shared" si="1"/>
        <v>4.296354506165662E-3</v>
      </c>
      <c r="N7" s="378">
        <v>2017</v>
      </c>
      <c r="O7" s="381">
        <f>SUMIF('GS&gt;50 Predicted Monthly'!$B:$B,N7,'GS&gt;50 Predicted Monthly'!D:D)</f>
        <v>906232408.24198496</v>
      </c>
      <c r="P7" s="381">
        <f>SUMIF('GS&gt;50 Predicted Monthly'!$B:$B,N7,'GS&gt;50 Predicted Monthly'!S:S)</f>
        <v>893402626.37491906</v>
      </c>
      <c r="Q7" s="382">
        <f t="shared" si="2"/>
        <v>1.415727549619927E-2</v>
      </c>
    </row>
    <row r="8" spans="2:17" ht="14.25" x14ac:dyDescent="0.2">
      <c r="B8" s="377">
        <v>2018</v>
      </c>
      <c r="C8" s="381">
        <f>SUMIF('Res Predicted Monthly'!$B:$B,B8,'Res Predicted Monthly'!D:D)</f>
        <v>566454235.37672377</v>
      </c>
      <c r="D8" s="381">
        <f>SUMIF('Res Predicted Monthly'!$B:$B,B8,'Res Predicted Monthly'!Q:Q)</f>
        <v>564365733.18507993</v>
      </c>
      <c r="E8" s="382">
        <f t="shared" si="0"/>
        <v>3.686974271195736E-3</v>
      </c>
      <c r="F8" s="382"/>
      <c r="G8" s="382"/>
      <c r="H8" s="377">
        <v>2018</v>
      </c>
      <c r="I8" s="381">
        <f>SUMIF('GS&lt;50 Predicted Monthly'!$B:$B,H8,'GS&lt;50 Predicted Monthly'!D:D)</f>
        <v>183676700.03861499</v>
      </c>
      <c r="J8" s="381">
        <f>SUMIF('GS&lt;50 Predicted Monthly'!$B:$B,H8,'GS&lt;50 Predicted Monthly'!S:S)</f>
        <v>178022310.55312464</v>
      </c>
      <c r="K8" s="382">
        <f t="shared" si="1"/>
        <v>3.0784467949944713E-2</v>
      </c>
      <c r="N8" s="377">
        <v>2018</v>
      </c>
      <c r="O8" s="381">
        <f>SUMIF('GS&gt;50 Predicted Monthly'!$B:$B,N8,'GS&gt;50 Predicted Monthly'!D:D)</f>
        <v>902283991.70787251</v>
      </c>
      <c r="P8" s="381">
        <f>SUMIF('GS&gt;50 Predicted Monthly'!$B:$B,N8,'GS&gt;50 Predicted Monthly'!S:S)</f>
        <v>895687067.17425251</v>
      </c>
      <c r="Q8" s="382">
        <f t="shared" si="2"/>
        <v>7.3113616048236943E-3</v>
      </c>
    </row>
    <row r="9" spans="2:17" ht="14.25" x14ac:dyDescent="0.2">
      <c r="B9" s="377">
        <v>2019</v>
      </c>
      <c r="C9" s="381">
        <f>SUMIF('Res Predicted Monthly'!$B:$B,B9,'Res Predicted Monthly'!D:D)</f>
        <v>544053943.83784747</v>
      </c>
      <c r="D9" s="381">
        <f>SUMIF('Res Predicted Monthly'!$B:$B,B9,'Res Predicted Monthly'!Q:Q)</f>
        <v>552624887.64097345</v>
      </c>
      <c r="E9" s="382">
        <f>ABS(C9-D9)/C9</f>
        <v>1.5753849228010566E-2</v>
      </c>
      <c r="F9" s="382"/>
      <c r="G9" s="382"/>
      <c r="H9" s="377">
        <v>2019</v>
      </c>
      <c r="I9" s="381">
        <f>SUMIF('GS&lt;50 Predicted Monthly'!$B:$B,H9,'GS&lt;50 Predicted Monthly'!D:D)</f>
        <v>182204005.0134041</v>
      </c>
      <c r="J9" s="381">
        <f>SUMIF('GS&lt;50 Predicted Monthly'!$B:$B,H9,'GS&lt;50 Predicted Monthly'!S:S)</f>
        <v>176673577.44080594</v>
      </c>
      <c r="K9" s="382">
        <f>ABS(I9-J9)/I9</f>
        <v>3.0352941869698776E-2</v>
      </c>
      <c r="N9" s="377">
        <v>2019</v>
      </c>
      <c r="O9" s="381">
        <f>SUMIF('GS&gt;50 Predicted Monthly'!$B:$B,N9,'GS&gt;50 Predicted Monthly'!D:D)</f>
        <v>871212888.34090328</v>
      </c>
      <c r="P9" s="381">
        <f>SUMIF('GS&gt;50 Predicted Monthly'!$B:$B,N9,'GS&gt;50 Predicted Monthly'!S:S)</f>
        <v>877989774.31764603</v>
      </c>
      <c r="Q9" s="382">
        <f>ABS(O9-P9)/O9</f>
        <v>7.7786796630710166E-3</v>
      </c>
    </row>
    <row r="10" spans="2:17" ht="14.25" x14ac:dyDescent="0.2">
      <c r="B10" s="378">
        <v>2020</v>
      </c>
      <c r="C10" s="381">
        <f>SUMIF('Res Predicted Monthly'!$B:$B,B10,'Res Predicted Monthly'!D:D)</f>
        <v>586747287.62514925</v>
      </c>
      <c r="D10" s="381">
        <f>SUMIF('Res Predicted Monthly'!$B:$B,B10,'Res Predicted Monthly'!Q:Q)</f>
        <v>564702707.14301348</v>
      </c>
      <c r="E10" s="382">
        <f t="shared" ref="E10:E13" si="3">ABS(C10-D10)/C10</f>
        <v>3.7570826396762527E-2</v>
      </c>
      <c r="F10" s="382"/>
      <c r="G10" s="382"/>
      <c r="H10" s="377">
        <v>2020</v>
      </c>
      <c r="I10" s="381">
        <f>SUMIF('GS&lt;50 Predicted Monthly'!$B:$B,H10,'GS&lt;50 Predicted Monthly'!D:D)</f>
        <v>165404249.78398204</v>
      </c>
      <c r="J10" s="381">
        <f>SUMIF('GS&lt;50 Predicted Monthly'!$B:$B,H10,'GS&lt;50 Predicted Monthly'!S:S)</f>
        <v>176925973.57837221</v>
      </c>
      <c r="K10" s="382">
        <f t="shared" ref="K10:K12" si="4">ABS(I10-J10)/I10</f>
        <v>6.9657967128641154E-2</v>
      </c>
      <c r="N10" s="377">
        <v>2020</v>
      </c>
      <c r="O10" s="381">
        <f>SUMIF('GS&gt;50 Predicted Monthly'!$B:$B,N10,'GS&gt;50 Predicted Monthly'!D:D)</f>
        <v>824214887.51585293</v>
      </c>
      <c r="P10" s="381">
        <f>SUMIF('GS&gt;50 Predicted Monthly'!$B:$B,N10,'GS&gt;50 Predicted Monthly'!S:S)</f>
        <v>848225220.87504244</v>
      </c>
      <c r="Q10" s="382">
        <f t="shared" ref="Q10:Q13" si="5">ABS(O10-P10)/O10</f>
        <v>2.9131157083992488E-2</v>
      </c>
    </row>
    <row r="11" spans="2:17" ht="14.25" x14ac:dyDescent="0.2">
      <c r="B11" s="377">
        <v>2021</v>
      </c>
      <c r="C11" s="381">
        <f>SUMIF('Res Predicted Monthly'!$B:$B,B11,'Res Predicted Monthly'!D:D)</f>
        <v>582379376.22512603</v>
      </c>
      <c r="D11" s="381">
        <f>SUMIF('Res Predicted Monthly'!$B:$B,B11,'Res Predicted Monthly'!Q:Q)</f>
        <v>560435678.24577177</v>
      </c>
      <c r="E11" s="382">
        <f t="shared" si="3"/>
        <v>3.7679387140370939E-2</v>
      </c>
      <c r="F11" s="382"/>
      <c r="G11" s="382"/>
      <c r="H11" s="378">
        <v>2021</v>
      </c>
      <c r="I11" s="381">
        <f>SUMIF('GS&lt;50 Predicted Monthly'!$B:$B,H11,'GS&lt;50 Predicted Monthly'!D:D)</f>
        <v>169419368.83821398</v>
      </c>
      <c r="J11" s="381">
        <f>SUMIF('GS&lt;50 Predicted Monthly'!$B:$B,H11,'GS&lt;50 Predicted Monthly'!S:S)</f>
        <v>180523743.62596887</v>
      </c>
      <c r="K11" s="382">
        <f t="shared" si="4"/>
        <v>6.5543714770646744E-2</v>
      </c>
      <c r="N11" s="377">
        <v>2021</v>
      </c>
      <c r="O11" s="381">
        <f>SUMIF('GS&gt;50 Predicted Monthly'!$B:$B,N11,'GS&gt;50 Predicted Monthly'!D:D)</f>
        <v>837126850.19182706</v>
      </c>
      <c r="P11" s="381">
        <f>SUMIF('GS&gt;50 Predicted Monthly'!$B:$B,N11,'GS&gt;50 Predicted Monthly'!S:S)</f>
        <v>867363585.13463402</v>
      </c>
      <c r="Q11" s="382">
        <f t="shared" si="5"/>
        <v>3.6119657296714625E-2</v>
      </c>
    </row>
    <row r="12" spans="2:17" ht="14.25" x14ac:dyDescent="0.2">
      <c r="B12" s="377">
        <v>2022</v>
      </c>
      <c r="C12" s="381">
        <f>SUMIF('Res Predicted Monthly'!$B:$B,B12,'Res Predicted Monthly'!D:D)</f>
        <v>574681696.74652433</v>
      </c>
      <c r="D12" s="381">
        <f>SUMIF('Res Predicted Monthly'!$B:$B,B12,'Res Predicted Monthly'!Q:Q)</f>
        <v>567130875.3679173</v>
      </c>
      <c r="E12" s="382">
        <f t="shared" si="3"/>
        <v>1.313913671055629E-2</v>
      </c>
      <c r="F12" s="382"/>
      <c r="G12" s="382"/>
      <c r="H12" s="377">
        <v>2022</v>
      </c>
      <c r="I12" s="381">
        <f>SUMIF('GS&lt;50 Predicted Monthly'!$B:$B,H12,'GS&lt;50 Predicted Monthly'!D:D)</f>
        <v>181122176.75763667</v>
      </c>
      <c r="J12" s="381">
        <f>SUMIF('GS&lt;50 Predicted Monthly'!$B:$B,H12,'GS&lt;50 Predicted Monthly'!S:S)</f>
        <v>181481031.05923861</v>
      </c>
      <c r="K12" s="382">
        <f t="shared" si="4"/>
        <v>1.9812830655306043E-3</v>
      </c>
      <c r="N12" s="377">
        <v>2022</v>
      </c>
      <c r="O12" s="381">
        <f>SUMIF('GS&gt;50 Predicted Monthly'!$B:$B,N12,'GS&gt;50 Predicted Monthly'!D:D)</f>
        <v>855997681.37404978</v>
      </c>
      <c r="P12" s="381">
        <f>SUMIF('GS&gt;50 Predicted Monthly'!$B:$B,N12,'GS&gt;50 Predicted Monthly'!S:S)</f>
        <v>860535356.32783306</v>
      </c>
      <c r="Q12" s="382">
        <f t="shared" si="5"/>
        <v>5.3010365010561543E-3</v>
      </c>
    </row>
    <row r="13" spans="2:17" ht="14.25" x14ac:dyDescent="0.2">
      <c r="B13" s="378">
        <v>2023</v>
      </c>
      <c r="C13" s="381">
        <f>SUMIF('Res Predicted Monthly'!$B:$B,B13,'Res Predicted Monthly'!D:D)</f>
        <v>552462521.05124557</v>
      </c>
      <c r="D13" s="381">
        <f>SUMIF('Res Predicted Monthly'!$B:$B,B13,'Res Predicted Monthly'!Q:Q)</f>
        <v>567487520.73096967</v>
      </c>
      <c r="E13" s="382">
        <f t="shared" si="3"/>
        <v>2.7196414430311015E-2</v>
      </c>
      <c r="F13" s="382"/>
      <c r="G13" s="382"/>
      <c r="H13" s="377">
        <v>2023</v>
      </c>
      <c r="I13" s="381">
        <f>SUMIF('GS&lt;50 Predicted Monthly'!$B:$B,H13,'GS&lt;50 Predicted Monthly'!D:D)</f>
        <v>183814795.50031063</v>
      </c>
      <c r="J13" s="381">
        <f>SUMIF('GS&lt;50 Predicted Monthly'!$B:$B,H13,'GS&lt;50 Predicted Monthly'!S:S)</f>
        <v>180065470.77986583</v>
      </c>
      <c r="K13" s="382">
        <f>ABS(I13-J13)/I13</f>
        <v>2.0397295605284735E-2</v>
      </c>
      <c r="N13" s="377">
        <v>2023</v>
      </c>
      <c r="O13" s="381">
        <f>SUMIF('GS&gt;50 Predicted Monthly'!$B:$B,N13,'GS&gt;50 Predicted Monthly'!D:D)</f>
        <v>835068670.62611675</v>
      </c>
      <c r="P13" s="381">
        <f>SUMIF('GS&gt;50 Predicted Monthly'!$B:$B,N13,'GS&gt;50 Predicted Monthly'!S:S)</f>
        <v>835189185.48854947</v>
      </c>
      <c r="Q13" s="382">
        <f t="shared" si="5"/>
        <v>1.4431730787164941E-4</v>
      </c>
    </row>
    <row r="14" spans="2:17" ht="14.25" x14ac:dyDescent="0.2">
      <c r="B14" s="377">
        <v>2024</v>
      </c>
      <c r="C14" s="381">
        <f>SUMIF('Res Predicted Monthly'!$B:$B,B14,'Res Predicted Monthly'!D:D)</f>
        <v>572872143.88731706</v>
      </c>
      <c r="D14" s="381">
        <f>SUMIF('Res Predicted Monthly'!$B:$B,B14,'Res Predicted Monthly'!Q:Q)</f>
        <v>576115074.1281445</v>
      </c>
      <c r="E14" s="382">
        <f t="shared" ref="E14" si="6">ABS(C14-D14)/C14</f>
        <v>5.6608272464114089E-3</v>
      </c>
      <c r="F14" s="382"/>
      <c r="G14" s="382"/>
      <c r="H14" s="377">
        <v>2024</v>
      </c>
      <c r="I14" s="381">
        <f>SUMIF('GS&lt;50 Predicted Monthly'!$B:$B,H14,'GS&lt;50 Predicted Monthly'!D:D)</f>
        <v>184141453.64625633</v>
      </c>
      <c r="J14" s="381">
        <f>SUMIF('GS&lt;50 Predicted Monthly'!$B:$B,H14,'GS&lt;50 Predicted Monthly'!S:S)</f>
        <v>180935546.45776901</v>
      </c>
      <c r="K14" s="382">
        <f t="shared" ref="K14" si="7">ABS(I14-J14)/I14</f>
        <v>1.7410024331870472E-2</v>
      </c>
      <c r="N14" s="377">
        <v>2024</v>
      </c>
      <c r="O14" s="381">
        <f>SUMIF('GS&gt;50 Predicted Monthly'!$B:$B,N14,'GS&gt;50 Predicted Monthly'!D:D)</f>
        <v>853065414.08809495</v>
      </c>
      <c r="P14" s="381">
        <f>SUMIF('GS&gt;50 Predicted Monthly'!$B:$B,N14,'GS&gt;50 Predicted Monthly'!S:S)</f>
        <v>826539854.93700957</v>
      </c>
      <c r="Q14" s="382">
        <f t="shared" ref="Q14" si="8">ABS(O14-P14)/O14</f>
        <v>3.1094402273289346E-2</v>
      </c>
    </row>
    <row r="15" spans="2:17" ht="14.25" x14ac:dyDescent="0.2">
      <c r="B15" s="377"/>
      <c r="C15" s="377"/>
      <c r="D15" s="377"/>
      <c r="E15" s="377"/>
      <c r="F15" s="377"/>
      <c r="G15" s="377"/>
      <c r="H15" s="377"/>
      <c r="I15" s="377"/>
      <c r="J15" s="377"/>
      <c r="K15" s="377"/>
      <c r="N15" s="377"/>
      <c r="O15" s="377"/>
      <c r="P15" s="377"/>
      <c r="Q15" s="377"/>
    </row>
    <row r="16" spans="2:17" ht="14.25" x14ac:dyDescent="0.2">
      <c r="B16" s="548" t="s">
        <v>90</v>
      </c>
      <c r="C16" s="548"/>
      <c r="D16" s="548"/>
      <c r="E16" s="383">
        <f>AVERAGE(E5:E14)</f>
        <v>1.9820564064977394E-2</v>
      </c>
      <c r="F16" s="383"/>
      <c r="G16" s="383"/>
      <c r="H16" s="548" t="s">
        <v>90</v>
      </c>
      <c r="I16" s="548"/>
      <c r="J16" s="548"/>
      <c r="K16" s="383">
        <f>AVERAGE(K5:K14)</f>
        <v>2.4988305706088284E-2</v>
      </c>
      <c r="N16" s="548" t="s">
        <v>90</v>
      </c>
      <c r="O16" s="548"/>
      <c r="P16" s="548"/>
      <c r="Q16" s="383">
        <f>AVERAGE(Q5:Q14)</f>
        <v>1.5911451701231989E-2</v>
      </c>
    </row>
    <row r="17" spans="2:17" ht="14.25" x14ac:dyDescent="0.2">
      <c r="B17" s="548" t="s">
        <v>91</v>
      </c>
      <c r="C17" s="548"/>
      <c r="D17" s="548"/>
      <c r="E17" s="383">
        <f>'Res Predicted Monthly'!S122</f>
        <v>3.1098759714291394E-2</v>
      </c>
      <c r="F17" s="383"/>
      <c r="G17" s="383"/>
      <c r="H17" s="548" t="s">
        <v>91</v>
      </c>
      <c r="I17" s="548"/>
      <c r="J17" s="548"/>
      <c r="K17" s="383">
        <f>'GS&lt;50 Predicted Monthly'!U122</f>
        <v>2.925323739038773E-2</v>
      </c>
      <c r="N17" s="548" t="s">
        <v>91</v>
      </c>
      <c r="O17" s="548"/>
      <c r="P17" s="548"/>
      <c r="Q17" s="383">
        <f>'GS&gt;50 Predicted Monthly'!U122</f>
        <v>2.1449991142931269E-2</v>
      </c>
    </row>
  </sheetData>
  <mergeCells count="9">
    <mergeCell ref="O2:P2"/>
    <mergeCell ref="N16:P16"/>
    <mergeCell ref="N17:P17"/>
    <mergeCell ref="C2:D2"/>
    <mergeCell ref="B16:D16"/>
    <mergeCell ref="B17:D17"/>
    <mergeCell ref="I2:J2"/>
    <mergeCell ref="H16:J16"/>
    <mergeCell ref="H17:J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dimension ref="A1:Q205"/>
  <sheetViews>
    <sheetView workbookViewId="0">
      <pane xSplit="1" ySplit="1" topLeftCell="B2" activePane="bottomRight" state="frozen"/>
      <selection activeCell="AF24" sqref="AF24"/>
      <selection pane="topRight" activeCell="AF24" sqref="AF24"/>
      <selection pane="bottomLeft" activeCell="AF24" sqref="AF24"/>
      <selection pane="bottomRight" activeCell="L122" sqref="L122"/>
    </sheetView>
  </sheetViews>
  <sheetFormatPr defaultColWidth="9.33203125" defaultRowHeight="12.75" x14ac:dyDescent="0.2"/>
  <cols>
    <col min="1" max="1" width="10.5" bestFit="1" customWidth="1"/>
    <col min="4" max="4" width="14.6640625" bestFit="1" customWidth="1"/>
    <col min="7" max="7" width="11.33203125" bestFit="1" customWidth="1"/>
    <col min="9" max="9" width="12.5" bestFit="1" customWidth="1"/>
    <col min="10" max="10" width="11.83203125" bestFit="1" customWidth="1"/>
    <col min="11" max="11" width="12" bestFit="1" customWidth="1"/>
    <col min="12" max="12" width="12.83203125" bestFit="1" customWidth="1"/>
    <col min="13" max="13" width="13.83203125" bestFit="1" customWidth="1"/>
    <col min="14" max="14" width="14.33203125" bestFit="1" customWidth="1"/>
    <col min="15" max="15" width="13.6640625" bestFit="1" customWidth="1"/>
    <col min="16" max="16" width="11.1640625" bestFit="1" customWidth="1"/>
    <col min="17" max="17" width="16.1640625" customWidth="1"/>
    <col min="18" max="18" width="13.83203125" bestFit="1" customWidth="1"/>
    <col min="19" max="19" width="13" bestFit="1" customWidth="1"/>
    <col min="20" max="21" width="16" bestFit="1" customWidth="1"/>
  </cols>
  <sheetData>
    <row r="1" spans="1:17" x14ac:dyDescent="0.2">
      <c r="A1" s="373" t="str">
        <f>'Monthly Data'!A1</f>
        <v>Date</v>
      </c>
      <c r="B1" s="351" t="s">
        <v>0</v>
      </c>
      <c r="C1" s="351" t="s">
        <v>28</v>
      </c>
      <c r="D1" s="374" t="str">
        <f>'Monthly Data'!F1</f>
        <v>Res_NoCDM</v>
      </c>
      <c r="E1" s="375" t="str">
        <f>'Monthly Data'!AV1</f>
        <v>HDD14</v>
      </c>
      <c r="F1" s="375" t="str">
        <f>'Monthly Data'!AW1</f>
        <v>CDD14</v>
      </c>
      <c r="G1" s="376" t="str">
        <f>'Monthly Data'!Z1</f>
        <v>OEA_GDP</v>
      </c>
      <c r="H1" s="351" t="str">
        <f>'Monthly Data'!BR1</f>
        <v>Shoulder</v>
      </c>
      <c r="I1" s="375" t="str">
        <f>'Monthly Data'!BT1</f>
        <v>Month Days</v>
      </c>
      <c r="K1" s="351" t="s">
        <v>72</v>
      </c>
      <c r="L1" s="375" t="str">
        <f>E1</f>
        <v>HDD14</v>
      </c>
      <c r="M1" s="375" t="str">
        <f>F1</f>
        <v>CDD14</v>
      </c>
      <c r="N1" s="375" t="str">
        <f>G1</f>
        <v>OEA_GDP</v>
      </c>
      <c r="O1" s="375" t="str">
        <f>H1</f>
        <v>Shoulder</v>
      </c>
      <c r="P1" s="375" t="str">
        <f>I1</f>
        <v>Month Days</v>
      </c>
      <c r="Q1" s="351" t="s">
        <v>483</v>
      </c>
    </row>
    <row r="2" spans="1:17" x14ac:dyDescent="0.2">
      <c r="A2" s="9">
        <f>'Monthly Data'!A2</f>
        <v>42005</v>
      </c>
      <c r="B2">
        <f t="shared" ref="B2:B5" si="0">YEAR(A2)</f>
        <v>2015</v>
      </c>
      <c r="C2">
        <f t="shared" ref="C2:C5" si="1">MONTH(A2)</f>
        <v>1</v>
      </c>
      <c r="D2" s="30">
        <f>'Monthly Data'!F2</f>
        <v>49127092.146981061</v>
      </c>
      <c r="E2" s="33">
        <f ca="1">Weather!BR56</f>
        <v>508.54000000000008</v>
      </c>
      <c r="F2" s="33">
        <f ca="1">Weather!BS56</f>
        <v>0</v>
      </c>
      <c r="G2" s="18">
        <f>'Monthly Data'!Z2</f>
        <v>699057</v>
      </c>
      <c r="H2">
        <f>'Monthly Data'!BR2</f>
        <v>0</v>
      </c>
      <c r="I2" s="33">
        <f>'Monthly Data'!BT2</f>
        <v>31</v>
      </c>
      <c r="K2" s="18">
        <f>'Res Predicted Monthly'!$V$9</f>
        <v>-23284736.647811599</v>
      </c>
      <c r="L2" s="18">
        <f ca="1">E2*'Res Predicted Monthly'!$V$10</f>
        <v>6959826.8692639284</v>
      </c>
      <c r="M2" s="18">
        <f ca="1">F2*'Res Predicted Monthly'!$V$11</f>
        <v>0</v>
      </c>
      <c r="N2" s="18">
        <f>G2*'Res Predicted Monthly'!$V$12</f>
        <v>13372301.475205945</v>
      </c>
      <c r="O2" s="18">
        <f>H2*'Res Predicted Monthly'!$V$13</f>
        <v>0</v>
      </c>
      <c r="P2" s="18">
        <f>I2*'Res Predicted Monthly'!$V$14</f>
        <v>48424797.051816143</v>
      </c>
      <c r="Q2" s="30">
        <f t="shared" ref="Q2:Q5" ca="1" si="2">SUM(K2:P2)</f>
        <v>45472188.748474419</v>
      </c>
    </row>
    <row r="3" spans="1:17" x14ac:dyDescent="0.2">
      <c r="A3" s="9">
        <f>'Monthly Data'!A3</f>
        <v>42036</v>
      </c>
      <c r="B3">
        <f t="shared" si="0"/>
        <v>2015</v>
      </c>
      <c r="C3">
        <f t="shared" si="1"/>
        <v>2</v>
      </c>
      <c r="D3" s="30">
        <f>'Monthly Data'!F3</f>
        <v>42235859.033245198</v>
      </c>
      <c r="E3" s="33">
        <f ca="1">Weather!BR57</f>
        <v>451.10999999999996</v>
      </c>
      <c r="F3" s="33">
        <f ca="1">Weather!BS57</f>
        <v>0</v>
      </c>
      <c r="G3" s="18">
        <f>'Monthly Data'!Z3</f>
        <v>699057</v>
      </c>
      <c r="H3">
        <f>'Monthly Data'!BR3</f>
        <v>0</v>
      </c>
      <c r="I3" s="33">
        <f>'Monthly Data'!BT3</f>
        <v>28</v>
      </c>
      <c r="K3" s="18">
        <f>'Res Predicted Monthly'!$V$9</f>
        <v>-23284736.647811599</v>
      </c>
      <c r="L3" s="18">
        <f ca="1">E3*'Res Predicted Monthly'!$V$10</f>
        <v>6173845.7132057454</v>
      </c>
      <c r="M3" s="18">
        <f ca="1">F3*'Res Predicted Monthly'!$V$11</f>
        <v>0</v>
      </c>
      <c r="N3" s="18">
        <f>G3*'Res Predicted Monthly'!$V$12</f>
        <v>13372301.475205945</v>
      </c>
      <c r="O3" s="18">
        <f>H3*'Res Predicted Monthly'!$V$13</f>
        <v>0</v>
      </c>
      <c r="P3" s="18">
        <f>I3*'Res Predicted Monthly'!$V$14</f>
        <v>43738526.369382322</v>
      </c>
      <c r="Q3" s="30">
        <f t="shared" ca="1" si="2"/>
        <v>39999936.909982413</v>
      </c>
    </row>
    <row r="4" spans="1:17" x14ac:dyDescent="0.2">
      <c r="A4" s="9">
        <f>'Monthly Data'!A4</f>
        <v>42064</v>
      </c>
      <c r="B4">
        <f t="shared" si="0"/>
        <v>2015</v>
      </c>
      <c r="C4">
        <f t="shared" si="1"/>
        <v>3</v>
      </c>
      <c r="D4" s="30">
        <f>'Monthly Data'!F4</f>
        <v>42686019.919509344</v>
      </c>
      <c r="E4" s="33">
        <f ca="1">Weather!BR58</f>
        <v>374.74</v>
      </c>
      <c r="F4" s="33">
        <f ca="1">Weather!BS58</f>
        <v>0</v>
      </c>
      <c r="G4" s="18">
        <f>'Monthly Data'!Z4</f>
        <v>699057</v>
      </c>
      <c r="H4">
        <f>'Monthly Data'!BR4</f>
        <v>1</v>
      </c>
      <c r="I4" s="33">
        <f>'Monthly Data'!BT4</f>
        <v>31</v>
      </c>
      <c r="K4" s="18">
        <f>'Res Predicted Monthly'!$V$9</f>
        <v>-23284736.647811599</v>
      </c>
      <c r="L4" s="18">
        <f ca="1">E4*'Res Predicted Monthly'!$V$10</f>
        <v>5128653.6378415944</v>
      </c>
      <c r="M4" s="18">
        <f ca="1">F4*'Res Predicted Monthly'!$V$11</f>
        <v>0</v>
      </c>
      <c r="N4" s="18">
        <f>G4*'Res Predicted Monthly'!$V$12</f>
        <v>13372301.475205945</v>
      </c>
      <c r="O4" s="18">
        <f>H4*'Res Predicted Monthly'!$V$13</f>
        <v>-2837598.3252266399</v>
      </c>
      <c r="P4" s="18">
        <f>I4*'Res Predicted Monthly'!$V$14</f>
        <v>48424797.051816143</v>
      </c>
      <c r="Q4" s="30">
        <f t="shared" ca="1" si="2"/>
        <v>40803417.191825442</v>
      </c>
    </row>
    <row r="5" spans="1:17" x14ac:dyDescent="0.2">
      <c r="A5" s="9">
        <f>'Monthly Data'!A5</f>
        <v>42095</v>
      </c>
      <c r="B5">
        <f t="shared" si="0"/>
        <v>2015</v>
      </c>
      <c r="C5">
        <f t="shared" si="1"/>
        <v>4</v>
      </c>
      <c r="D5" s="30">
        <f>'Monthly Data'!F5</f>
        <v>37892574.805773482</v>
      </c>
      <c r="E5" s="33">
        <f ca="1">Weather!BR59</f>
        <v>221.12999999999997</v>
      </c>
      <c r="F5" s="33">
        <f ca="1">Weather!BS59</f>
        <v>2.6300000000000003</v>
      </c>
      <c r="G5" s="18">
        <f>'Monthly Data'!Z5</f>
        <v>705966</v>
      </c>
      <c r="H5">
        <f>'Monthly Data'!BR5</f>
        <v>1</v>
      </c>
      <c r="I5" s="33">
        <f>'Monthly Data'!BT5</f>
        <v>30</v>
      </c>
      <c r="K5" s="18">
        <f>'Res Predicted Monthly'!$V$9</f>
        <v>-23284736.647811599</v>
      </c>
      <c r="L5" s="18">
        <f ca="1">E5*'Res Predicted Monthly'!$V$10</f>
        <v>3026362.755339466</v>
      </c>
      <c r="M5" s="18">
        <f ca="1">F5*'Res Predicted Monthly'!$V$11</f>
        <v>210883.48969666098</v>
      </c>
      <c r="N5" s="18">
        <f>G5*'Res Predicted Monthly'!$V$12</f>
        <v>13504464.132746315</v>
      </c>
      <c r="O5" s="18">
        <f>H5*'Res Predicted Monthly'!$V$13</f>
        <v>-2837598.3252266399</v>
      </c>
      <c r="P5" s="18">
        <f>I5*'Res Predicted Monthly'!$V$14</f>
        <v>46862706.824338198</v>
      </c>
      <c r="Q5" s="30">
        <f t="shared" ca="1" si="2"/>
        <v>37482082.229082398</v>
      </c>
    </row>
    <row r="6" spans="1:17" x14ac:dyDescent="0.2">
      <c r="A6" s="9">
        <f>'Monthly Data'!A6</f>
        <v>42125</v>
      </c>
      <c r="B6">
        <f t="shared" ref="B6:B61" si="3">YEAR(A6)</f>
        <v>2015</v>
      </c>
      <c r="C6">
        <f t="shared" ref="C6:C61" si="4">MONTH(A6)</f>
        <v>5</v>
      </c>
      <c r="D6" s="30">
        <f>'Monthly Data'!F6</f>
        <v>40054347.692037627</v>
      </c>
      <c r="E6" s="33">
        <f ca="1">Weather!BR60</f>
        <v>74.8</v>
      </c>
      <c r="F6" s="33">
        <f ca="1">Weather!BS60</f>
        <v>50.489999999999995</v>
      </c>
      <c r="G6" s="18">
        <f>'Monthly Data'!Z6</f>
        <v>705966</v>
      </c>
      <c r="H6">
        <f>'Monthly Data'!BR6</f>
        <v>1</v>
      </c>
      <c r="I6" s="33">
        <f>'Monthly Data'!BT6</f>
        <v>31</v>
      </c>
      <c r="K6" s="18">
        <f>'Res Predicted Monthly'!$V$9</f>
        <v>-23284736.647811599</v>
      </c>
      <c r="L6" s="18">
        <f ca="1">E6*'Res Predicted Monthly'!$V$10</f>
        <v>1023705.2145769099</v>
      </c>
      <c r="M6" s="18">
        <f ca="1">F6*'Res Predicted Monthly'!$V$11</f>
        <v>4048481.8991575702</v>
      </c>
      <c r="N6" s="18">
        <f>G6*'Res Predicted Monthly'!$V$12</f>
        <v>13504464.132746315</v>
      </c>
      <c r="O6" s="18">
        <f>H6*'Res Predicted Monthly'!$V$13</f>
        <v>-2837598.3252266399</v>
      </c>
      <c r="P6" s="18">
        <f>I6*'Res Predicted Monthly'!$V$14</f>
        <v>48424797.051816143</v>
      </c>
      <c r="Q6" s="30">
        <f t="shared" ref="Q6:Q69" ca="1" si="5">SUM(K6:P6)</f>
        <v>40879113.325258702</v>
      </c>
    </row>
    <row r="7" spans="1:17" x14ac:dyDescent="0.2">
      <c r="A7" s="9">
        <f>'Monthly Data'!A7</f>
        <v>42156</v>
      </c>
      <c r="B7">
        <f t="shared" si="3"/>
        <v>2015</v>
      </c>
      <c r="C7">
        <f t="shared" si="4"/>
        <v>6</v>
      </c>
      <c r="D7" s="30">
        <f>'Monthly Data'!F7</f>
        <v>45422610.578301765</v>
      </c>
      <c r="E7" s="33">
        <f ca="1">Weather!BR61</f>
        <v>2.15</v>
      </c>
      <c r="F7" s="33">
        <f ca="1">Weather!BS61</f>
        <v>154.05000000000001</v>
      </c>
      <c r="G7" s="18">
        <f>'Monthly Data'!Z7</f>
        <v>705966</v>
      </c>
      <c r="H7">
        <f>'Monthly Data'!BR7</f>
        <v>0</v>
      </c>
      <c r="I7" s="33">
        <f>'Monthly Data'!BT7</f>
        <v>30</v>
      </c>
      <c r="K7" s="18">
        <f>'Res Predicted Monthly'!$V$9</f>
        <v>-23284736.647811599</v>
      </c>
      <c r="L7" s="18">
        <f ca="1">E7*'Res Predicted Monthly'!$V$10</f>
        <v>29424.681969790858</v>
      </c>
      <c r="M7" s="18">
        <f ca="1">F7*'Res Predicted Monthly'!$V$11</f>
        <v>12352319.995350046</v>
      </c>
      <c r="N7" s="18">
        <f>G7*'Res Predicted Monthly'!$V$12</f>
        <v>13504464.132746315</v>
      </c>
      <c r="O7" s="18">
        <f>H7*'Res Predicted Monthly'!$V$13</f>
        <v>0</v>
      </c>
      <c r="P7" s="18">
        <f>I7*'Res Predicted Monthly'!$V$14</f>
        <v>46862706.824338198</v>
      </c>
      <c r="Q7" s="30">
        <f t="shared" ca="1" si="5"/>
        <v>49464178.986592755</v>
      </c>
    </row>
    <row r="8" spans="1:17" x14ac:dyDescent="0.2">
      <c r="A8" s="9">
        <f>'Monthly Data'!A8</f>
        <v>42186</v>
      </c>
      <c r="B8">
        <f t="shared" si="3"/>
        <v>2015</v>
      </c>
      <c r="C8">
        <f t="shared" si="4"/>
        <v>7</v>
      </c>
      <c r="D8" s="30">
        <f>'Monthly Data'!F8</f>
        <v>53739568.464565903</v>
      </c>
      <c r="E8" s="33">
        <f ca="1">Weather!BR62</f>
        <v>0</v>
      </c>
      <c r="F8" s="33">
        <f ca="1">Weather!BS62</f>
        <v>267.66999999999996</v>
      </c>
      <c r="G8" s="18">
        <f>'Monthly Data'!Z8</f>
        <v>713152</v>
      </c>
      <c r="H8">
        <f>'Monthly Data'!BR8</f>
        <v>0</v>
      </c>
      <c r="I8" s="33">
        <f>'Monthly Data'!BT8</f>
        <v>31</v>
      </c>
      <c r="K8" s="18">
        <f>'Res Predicted Monthly'!$V$9</f>
        <v>-23284736.647811599</v>
      </c>
      <c r="L8" s="18">
        <f ca="1">E8*'Res Predicted Monthly'!$V$10</f>
        <v>0</v>
      </c>
      <c r="M8" s="18">
        <f ca="1">F8*'Res Predicted Monthly'!$V$11</f>
        <v>21462807.485591341</v>
      </c>
      <c r="N8" s="18">
        <f>G8*'Res Predicted Monthly'!$V$12</f>
        <v>13641925.53918503</v>
      </c>
      <c r="O8" s="18">
        <f>H8*'Res Predicted Monthly'!$V$13</f>
        <v>0</v>
      </c>
      <c r="P8" s="18">
        <f>I8*'Res Predicted Monthly'!$V$14</f>
        <v>48424797.051816143</v>
      </c>
      <c r="Q8" s="30">
        <f t="shared" ca="1" si="5"/>
        <v>60244793.428780913</v>
      </c>
    </row>
    <row r="9" spans="1:17" x14ac:dyDescent="0.2">
      <c r="A9" s="9">
        <f>'Monthly Data'!A9</f>
        <v>42217</v>
      </c>
      <c r="B9">
        <f t="shared" si="3"/>
        <v>2015</v>
      </c>
      <c r="C9">
        <f t="shared" si="4"/>
        <v>8</v>
      </c>
      <c r="D9" s="30">
        <f>'Monthly Data'!F9</f>
        <v>54462241.350830048</v>
      </c>
      <c r="E9" s="33">
        <f ca="1">Weather!BR63</f>
        <v>0</v>
      </c>
      <c r="F9" s="33">
        <f ca="1">Weather!BS63</f>
        <v>246.315</v>
      </c>
      <c r="G9" s="18">
        <f>'Monthly Data'!Z9</f>
        <v>713152</v>
      </c>
      <c r="H9">
        <f>'Monthly Data'!BR9</f>
        <v>0</v>
      </c>
      <c r="I9" s="33">
        <f>'Monthly Data'!BT9</f>
        <v>31</v>
      </c>
      <c r="K9" s="18">
        <f>'Res Predicted Monthly'!$V$9</f>
        <v>-23284736.647811599</v>
      </c>
      <c r="L9" s="18">
        <f ca="1">E9*'Res Predicted Monthly'!$V$10</f>
        <v>0</v>
      </c>
      <c r="M9" s="18">
        <f ca="1">F9*'Res Predicted Monthly'!$V$11</f>
        <v>19750481.659556288</v>
      </c>
      <c r="N9" s="18">
        <f>G9*'Res Predicted Monthly'!$V$12</f>
        <v>13641925.53918503</v>
      </c>
      <c r="O9" s="18">
        <f>H9*'Res Predicted Monthly'!$V$13</f>
        <v>0</v>
      </c>
      <c r="P9" s="18">
        <f>I9*'Res Predicted Monthly'!$V$14</f>
        <v>48424797.051816143</v>
      </c>
      <c r="Q9" s="30">
        <f t="shared" ca="1" si="5"/>
        <v>58532467.602745861</v>
      </c>
    </row>
    <row r="10" spans="1:17" x14ac:dyDescent="0.2">
      <c r="A10" s="9">
        <f>'Monthly Data'!A10</f>
        <v>42248</v>
      </c>
      <c r="B10">
        <f t="shared" si="3"/>
        <v>2015</v>
      </c>
      <c r="C10">
        <f t="shared" si="4"/>
        <v>9</v>
      </c>
      <c r="D10" s="30">
        <f>'Monthly Data'!F10</f>
        <v>47137858.237094186</v>
      </c>
      <c r="E10" s="33">
        <f ca="1">Weather!BR64</f>
        <v>2.2699999999999996</v>
      </c>
      <c r="F10" s="33">
        <f ca="1">Weather!BS64</f>
        <v>146.80000000000001</v>
      </c>
      <c r="G10" s="18">
        <f>'Monthly Data'!Z10</f>
        <v>713152</v>
      </c>
      <c r="H10">
        <f>'Monthly Data'!BR10</f>
        <v>1</v>
      </c>
      <c r="I10" s="33">
        <f>'Monthly Data'!BT10</f>
        <v>30</v>
      </c>
      <c r="K10" s="18">
        <f>'Res Predicted Monthly'!$V$9</f>
        <v>-23284736.647811599</v>
      </c>
      <c r="L10" s="18">
        <f ca="1">E10*'Res Predicted Monthly'!$V$10</f>
        <v>31066.989800662901</v>
      </c>
      <c r="M10" s="18">
        <f ca="1">F10*'Res Predicted Monthly'!$V$11</f>
        <v>11770987.181547463</v>
      </c>
      <c r="N10" s="18">
        <f>G10*'Res Predicted Monthly'!$V$12</f>
        <v>13641925.53918503</v>
      </c>
      <c r="O10" s="18">
        <f>H10*'Res Predicted Monthly'!$V$13</f>
        <v>-2837598.3252266399</v>
      </c>
      <c r="P10" s="18">
        <f>I10*'Res Predicted Monthly'!$V$14</f>
        <v>46862706.824338198</v>
      </c>
      <c r="Q10" s="30">
        <f t="shared" ca="1" si="5"/>
        <v>46184351.561833113</v>
      </c>
    </row>
    <row r="11" spans="1:17" x14ac:dyDescent="0.2">
      <c r="A11" s="9">
        <f>'Monthly Data'!A11</f>
        <v>42278</v>
      </c>
      <c r="B11">
        <f t="shared" si="3"/>
        <v>2015</v>
      </c>
      <c r="C11">
        <f t="shared" si="4"/>
        <v>10</v>
      </c>
      <c r="D11" s="30">
        <f>'Monthly Data'!F11</f>
        <v>41235519.123358332</v>
      </c>
      <c r="E11" s="33">
        <f ca="1">Weather!BR65</f>
        <v>83.800000000000011</v>
      </c>
      <c r="F11" s="33">
        <f ca="1">Weather!BS65</f>
        <v>36.859999999999992</v>
      </c>
      <c r="G11" s="18">
        <f>'Monthly Data'!Z11</f>
        <v>716976</v>
      </c>
      <c r="H11">
        <f>'Monthly Data'!BR11</f>
        <v>1</v>
      </c>
      <c r="I11" s="33">
        <f>'Monthly Data'!BT11</f>
        <v>31</v>
      </c>
      <c r="K11" s="18">
        <f>'Res Predicted Monthly'!$V$9</f>
        <v>-23284736.647811599</v>
      </c>
      <c r="L11" s="18">
        <f ca="1">E11*'Res Predicted Monthly'!$V$10</f>
        <v>1146878.3018923136</v>
      </c>
      <c r="M11" s="18">
        <f ca="1">F11*'Res Predicted Monthly'!$V$11</f>
        <v>2955576.2092087152</v>
      </c>
      <c r="N11" s="18">
        <f>G11*'Res Predicted Monthly'!$V$12</f>
        <v>13715075.054662578</v>
      </c>
      <c r="O11" s="18">
        <f>H11*'Res Predicted Monthly'!$V$13</f>
        <v>-2837598.3252266399</v>
      </c>
      <c r="P11" s="18">
        <f>I11*'Res Predicted Monthly'!$V$14</f>
        <v>48424797.051816143</v>
      </c>
      <c r="Q11" s="30">
        <f t="shared" ca="1" si="5"/>
        <v>40119991.644541509</v>
      </c>
    </row>
    <row r="12" spans="1:17" x14ac:dyDescent="0.2">
      <c r="A12" s="9">
        <f>'Monthly Data'!A12</f>
        <v>42309</v>
      </c>
      <c r="B12">
        <f t="shared" si="3"/>
        <v>2015</v>
      </c>
      <c r="C12">
        <f t="shared" si="4"/>
        <v>11</v>
      </c>
      <c r="D12" s="30">
        <f>'Monthly Data'!F12</f>
        <v>37717263.00962247</v>
      </c>
      <c r="E12" s="33">
        <f ca="1">Weather!BR66</f>
        <v>240.7</v>
      </c>
      <c r="F12" s="33">
        <f ca="1">Weather!BS66</f>
        <v>3.410000000000001</v>
      </c>
      <c r="G12" s="18">
        <f>'Monthly Data'!Z12</f>
        <v>716976</v>
      </c>
      <c r="H12">
        <f>'Monthly Data'!BR12</f>
        <v>1</v>
      </c>
      <c r="I12" s="33">
        <f>'Monthly Data'!BT12</f>
        <v>30</v>
      </c>
      <c r="K12" s="18">
        <f>'Res Predicted Monthly'!$V$9</f>
        <v>-23284736.647811599</v>
      </c>
      <c r="L12" s="18">
        <f ca="1">E12*'Res Predicted Monthly'!$V$10</f>
        <v>3294195.7907575159</v>
      </c>
      <c r="M12" s="18">
        <f ca="1">F12*'Res Predicted Monthly'!$V$11</f>
        <v>273426.88207818026</v>
      </c>
      <c r="N12" s="18">
        <f>G12*'Res Predicted Monthly'!$V$12</f>
        <v>13715075.054662578</v>
      </c>
      <c r="O12" s="18">
        <f>H12*'Res Predicted Monthly'!$V$13</f>
        <v>-2837598.3252266399</v>
      </c>
      <c r="P12" s="18">
        <f>I12*'Res Predicted Monthly'!$V$14</f>
        <v>46862706.824338198</v>
      </c>
      <c r="Q12" s="30">
        <f t="shared" ca="1" si="5"/>
        <v>38023069.578798234</v>
      </c>
    </row>
    <row r="13" spans="1:17" x14ac:dyDescent="0.2">
      <c r="A13" s="9">
        <f>'Monthly Data'!A13</f>
        <v>42339</v>
      </c>
      <c r="B13">
        <f t="shared" si="3"/>
        <v>2015</v>
      </c>
      <c r="C13">
        <f t="shared" si="4"/>
        <v>12</v>
      </c>
      <c r="D13" s="30">
        <f>'Monthly Data'!F13</f>
        <v>41179905.895886615</v>
      </c>
      <c r="E13" s="33">
        <f ca="1">Weather!BR67</f>
        <v>386.61999999999995</v>
      </c>
      <c r="F13" s="33">
        <f ca="1">Weather!BS67</f>
        <v>0</v>
      </c>
      <c r="G13" s="18">
        <f>'Monthly Data'!Z13</f>
        <v>716976</v>
      </c>
      <c r="H13">
        <f>'Monthly Data'!BR13</f>
        <v>0</v>
      </c>
      <c r="I13" s="33">
        <f>'Monthly Data'!BT13</f>
        <v>31</v>
      </c>
      <c r="K13" s="18">
        <f>'Res Predicted Monthly'!$V$9</f>
        <v>-23284736.647811599</v>
      </c>
      <c r="L13" s="18">
        <f ca="1">E13*'Res Predicted Monthly'!$V$10</f>
        <v>5291242.1130979257</v>
      </c>
      <c r="M13" s="18">
        <f ca="1">F13*'Res Predicted Monthly'!$V$11</f>
        <v>0</v>
      </c>
      <c r="N13" s="18">
        <f>G13*'Res Predicted Monthly'!$V$12</f>
        <v>13715075.054662578</v>
      </c>
      <c r="O13" s="18">
        <f>H13*'Res Predicted Monthly'!$V$13</f>
        <v>0</v>
      </c>
      <c r="P13" s="18">
        <f>I13*'Res Predicted Monthly'!$V$14</f>
        <v>48424797.051816143</v>
      </c>
      <c r="Q13" s="30">
        <f t="shared" ca="1" si="5"/>
        <v>44146377.57176505</v>
      </c>
    </row>
    <row r="14" spans="1:17" x14ac:dyDescent="0.2">
      <c r="A14" s="9">
        <f>'Monthly Data'!A14</f>
        <v>42370</v>
      </c>
      <c r="B14">
        <f t="shared" si="3"/>
        <v>2016</v>
      </c>
      <c r="C14">
        <f t="shared" si="4"/>
        <v>1</v>
      </c>
      <c r="D14" s="30">
        <f>'Monthly Data'!F14</f>
        <v>45255473.713757403</v>
      </c>
      <c r="E14" s="33">
        <f ca="1">E2</f>
        <v>508.54000000000008</v>
      </c>
      <c r="F14" s="33">
        <f ca="1">F2</f>
        <v>0</v>
      </c>
      <c r="G14" s="18">
        <f>'Monthly Data'!Z14</f>
        <v>718587</v>
      </c>
      <c r="H14">
        <f>'Monthly Data'!BR14</f>
        <v>0</v>
      </c>
      <c r="I14" s="33">
        <f>'Monthly Data'!BT14</f>
        <v>31</v>
      </c>
      <c r="K14" s="18">
        <f>'Res Predicted Monthly'!$V$9</f>
        <v>-23284736.647811599</v>
      </c>
      <c r="L14" s="18">
        <f ca="1">E14*'Res Predicted Monthly'!$V$10</f>
        <v>6959826.8692639284</v>
      </c>
      <c r="M14" s="18">
        <f ca="1">F14*'Res Predicted Monthly'!$V$11</f>
        <v>0</v>
      </c>
      <c r="N14" s="18">
        <f>G14*'Res Predicted Monthly'!$V$12</f>
        <v>13745891.966125529</v>
      </c>
      <c r="O14" s="18">
        <f>H14*'Res Predicted Monthly'!$V$13</f>
        <v>0</v>
      </c>
      <c r="P14" s="18">
        <f>I14*'Res Predicted Monthly'!$V$14</f>
        <v>48424797.051816143</v>
      </c>
      <c r="Q14" s="30">
        <f t="shared" ca="1" si="5"/>
        <v>45845779.239394002</v>
      </c>
    </row>
    <row r="15" spans="1:17" x14ac:dyDescent="0.2">
      <c r="A15" s="9">
        <f>'Monthly Data'!A15</f>
        <v>42401</v>
      </c>
      <c r="B15">
        <f t="shared" si="3"/>
        <v>2016</v>
      </c>
      <c r="C15">
        <f t="shared" si="4"/>
        <v>2</v>
      </c>
      <c r="D15" s="30">
        <f>'Monthly Data'!F15</f>
        <v>39790337.472733878</v>
      </c>
      <c r="E15" s="33">
        <f t="shared" ref="E15:F15" ca="1" si="6">E3</f>
        <v>451.10999999999996</v>
      </c>
      <c r="F15" s="33">
        <f t="shared" ca="1" si="6"/>
        <v>0</v>
      </c>
      <c r="G15" s="18">
        <f>'Monthly Data'!Z15</f>
        <v>718587</v>
      </c>
      <c r="H15">
        <f>'Monthly Data'!BR15</f>
        <v>0</v>
      </c>
      <c r="I15" s="33">
        <f>'Monthly Data'!BT15</f>
        <v>29</v>
      </c>
      <c r="K15" s="18">
        <f>'Res Predicted Monthly'!$V$9</f>
        <v>-23284736.647811599</v>
      </c>
      <c r="L15" s="18">
        <f ca="1">E15*'Res Predicted Monthly'!$V$10</f>
        <v>6173845.7132057454</v>
      </c>
      <c r="M15" s="18">
        <f ca="1">F15*'Res Predicted Monthly'!$V$11</f>
        <v>0</v>
      </c>
      <c r="N15" s="18">
        <f>G15*'Res Predicted Monthly'!$V$12</f>
        <v>13745891.966125529</v>
      </c>
      <c r="O15" s="18">
        <f>H15*'Res Predicted Monthly'!$V$13</f>
        <v>0</v>
      </c>
      <c r="P15" s="18">
        <f>I15*'Res Predicted Monthly'!$V$14</f>
        <v>45300616.59686026</v>
      </c>
      <c r="Q15" s="30">
        <f t="shared" ca="1" si="5"/>
        <v>41935617.628379941</v>
      </c>
    </row>
    <row r="16" spans="1:17" x14ac:dyDescent="0.2">
      <c r="A16" s="9">
        <f>'Monthly Data'!A16</f>
        <v>42430</v>
      </c>
      <c r="B16">
        <f t="shared" si="3"/>
        <v>2016</v>
      </c>
      <c r="C16">
        <f t="shared" si="4"/>
        <v>3</v>
      </c>
      <c r="D16" s="30">
        <f>'Monthly Data'!F16</f>
        <v>39893155.231710352</v>
      </c>
      <c r="E16" s="33">
        <f t="shared" ref="E16:F16" ca="1" si="7">E4</f>
        <v>374.74</v>
      </c>
      <c r="F16" s="33">
        <f t="shared" ca="1" si="7"/>
        <v>0</v>
      </c>
      <c r="G16" s="18">
        <f>'Monthly Data'!Z16</f>
        <v>718587</v>
      </c>
      <c r="H16">
        <f>'Monthly Data'!BR16</f>
        <v>1</v>
      </c>
      <c r="I16" s="33">
        <f>'Monthly Data'!BT16</f>
        <v>31</v>
      </c>
      <c r="K16" s="18">
        <f>'Res Predicted Monthly'!$V$9</f>
        <v>-23284736.647811599</v>
      </c>
      <c r="L16" s="18">
        <f ca="1">E16*'Res Predicted Monthly'!$V$10</f>
        <v>5128653.6378415944</v>
      </c>
      <c r="M16" s="18">
        <f ca="1">F16*'Res Predicted Monthly'!$V$11</f>
        <v>0</v>
      </c>
      <c r="N16" s="18">
        <f>G16*'Res Predicted Monthly'!$V$12</f>
        <v>13745891.966125529</v>
      </c>
      <c r="O16" s="18">
        <f>H16*'Res Predicted Monthly'!$V$13</f>
        <v>-2837598.3252266399</v>
      </c>
      <c r="P16" s="18">
        <f>I16*'Res Predicted Monthly'!$V$14</f>
        <v>48424797.051816143</v>
      </c>
      <c r="Q16" s="30">
        <f t="shared" ca="1" si="5"/>
        <v>41177007.682745025</v>
      </c>
    </row>
    <row r="17" spans="1:17" x14ac:dyDescent="0.2">
      <c r="A17" s="9">
        <f>'Monthly Data'!A17</f>
        <v>42461</v>
      </c>
      <c r="B17">
        <f t="shared" si="3"/>
        <v>2016</v>
      </c>
      <c r="C17">
        <f t="shared" si="4"/>
        <v>4</v>
      </c>
      <c r="D17" s="30">
        <f>'Monthly Data'!F17</f>
        <v>37464228.990686826</v>
      </c>
      <c r="E17" s="33">
        <f t="shared" ref="E17:F17" ca="1" si="8">E5</f>
        <v>221.12999999999997</v>
      </c>
      <c r="F17" s="33">
        <f t="shared" ca="1" si="8"/>
        <v>2.6300000000000003</v>
      </c>
      <c r="G17" s="18">
        <f>'Monthly Data'!Z17</f>
        <v>723726</v>
      </c>
      <c r="H17">
        <f>'Monthly Data'!BR17</f>
        <v>1</v>
      </c>
      <c r="I17" s="33">
        <f>'Monthly Data'!BT17</f>
        <v>30</v>
      </c>
      <c r="K17" s="18">
        <f>'Res Predicted Monthly'!$V$9</f>
        <v>-23284736.647811599</v>
      </c>
      <c r="L17" s="18">
        <f ca="1">E17*'Res Predicted Monthly'!$V$10</f>
        <v>3026362.755339466</v>
      </c>
      <c r="M17" s="18">
        <f ca="1">F17*'Res Predicted Monthly'!$V$11</f>
        <v>210883.48969666098</v>
      </c>
      <c r="N17" s="18">
        <f>G17*'Res Predicted Monthly'!$V$12</f>
        <v>13844196.19207718</v>
      </c>
      <c r="O17" s="18">
        <f>H17*'Res Predicted Monthly'!$V$13</f>
        <v>-2837598.3252266399</v>
      </c>
      <c r="P17" s="18">
        <f>I17*'Res Predicted Monthly'!$V$14</f>
        <v>46862706.824338198</v>
      </c>
      <c r="Q17" s="30">
        <f t="shared" ca="1" si="5"/>
        <v>37821814.288413264</v>
      </c>
    </row>
    <row r="18" spans="1:17" x14ac:dyDescent="0.2">
      <c r="A18" s="9">
        <f>'Monthly Data'!A18</f>
        <v>42491</v>
      </c>
      <c r="B18">
        <f t="shared" si="3"/>
        <v>2016</v>
      </c>
      <c r="C18">
        <f t="shared" si="4"/>
        <v>5</v>
      </c>
      <c r="D18" s="30">
        <f>'Monthly Data'!F18</f>
        <v>41966514.749663308</v>
      </c>
      <c r="E18" s="33">
        <f t="shared" ref="E18:F18" ca="1" si="9">E6</f>
        <v>74.8</v>
      </c>
      <c r="F18" s="33">
        <f t="shared" ca="1" si="9"/>
        <v>50.489999999999995</v>
      </c>
      <c r="G18" s="18">
        <f>'Monthly Data'!Z18</f>
        <v>723726</v>
      </c>
      <c r="H18">
        <f>'Monthly Data'!BR18</f>
        <v>1</v>
      </c>
      <c r="I18" s="33">
        <f>'Monthly Data'!BT18</f>
        <v>31</v>
      </c>
      <c r="K18" s="18">
        <f>'Res Predicted Monthly'!$V$9</f>
        <v>-23284736.647811599</v>
      </c>
      <c r="L18" s="18">
        <f ca="1">E18*'Res Predicted Monthly'!$V$10</f>
        <v>1023705.2145769099</v>
      </c>
      <c r="M18" s="18">
        <f ca="1">F18*'Res Predicted Monthly'!$V$11</f>
        <v>4048481.8991575702</v>
      </c>
      <c r="N18" s="18">
        <f>G18*'Res Predicted Monthly'!$V$12</f>
        <v>13844196.19207718</v>
      </c>
      <c r="O18" s="18">
        <f>H18*'Res Predicted Monthly'!$V$13</f>
        <v>-2837598.3252266399</v>
      </c>
      <c r="P18" s="18">
        <f>I18*'Res Predicted Monthly'!$V$14</f>
        <v>48424797.051816143</v>
      </c>
      <c r="Q18" s="30">
        <f t="shared" ca="1" si="5"/>
        <v>41218845.384589568</v>
      </c>
    </row>
    <row r="19" spans="1:17" x14ac:dyDescent="0.2">
      <c r="A19" s="9">
        <f>'Monthly Data'!A19</f>
        <v>42522</v>
      </c>
      <c r="B19">
        <f t="shared" si="3"/>
        <v>2016</v>
      </c>
      <c r="C19">
        <f t="shared" si="4"/>
        <v>6</v>
      </c>
      <c r="D19" s="30">
        <f>'Monthly Data'!F19</f>
        <v>51191605.508639783</v>
      </c>
      <c r="E19" s="33">
        <f t="shared" ref="E19:F19" ca="1" si="10">E7</f>
        <v>2.15</v>
      </c>
      <c r="F19" s="33">
        <f t="shared" ca="1" si="10"/>
        <v>154.05000000000001</v>
      </c>
      <c r="G19" s="18">
        <f>'Monthly Data'!Z19</f>
        <v>723726</v>
      </c>
      <c r="H19">
        <f>'Monthly Data'!BR19</f>
        <v>0</v>
      </c>
      <c r="I19" s="33">
        <f>'Monthly Data'!BT19</f>
        <v>30</v>
      </c>
      <c r="K19" s="18">
        <f>'Res Predicted Monthly'!$V$9</f>
        <v>-23284736.647811599</v>
      </c>
      <c r="L19" s="18">
        <f ca="1">E19*'Res Predicted Monthly'!$V$10</f>
        <v>29424.681969790858</v>
      </c>
      <c r="M19" s="18">
        <f ca="1">F19*'Res Predicted Monthly'!$V$11</f>
        <v>12352319.995350046</v>
      </c>
      <c r="N19" s="18">
        <f>G19*'Res Predicted Monthly'!$V$12</f>
        <v>13844196.19207718</v>
      </c>
      <c r="O19" s="18">
        <f>H19*'Res Predicted Monthly'!$V$13</f>
        <v>0</v>
      </c>
      <c r="P19" s="18">
        <f>I19*'Res Predicted Monthly'!$V$14</f>
        <v>46862706.824338198</v>
      </c>
      <c r="Q19" s="30">
        <f t="shared" ca="1" si="5"/>
        <v>49803911.04592362</v>
      </c>
    </row>
    <row r="20" spans="1:17" x14ac:dyDescent="0.2">
      <c r="A20" s="9">
        <f>'Monthly Data'!A20</f>
        <v>42552</v>
      </c>
      <c r="B20">
        <f t="shared" si="3"/>
        <v>2016</v>
      </c>
      <c r="C20">
        <f t="shared" si="4"/>
        <v>7</v>
      </c>
      <c r="D20" s="30">
        <f>'Monthly Data'!F20</f>
        <v>62342093.267616257</v>
      </c>
      <c r="E20" s="33">
        <f t="shared" ref="E20:F20" ca="1" si="11">E8</f>
        <v>0</v>
      </c>
      <c r="F20" s="33">
        <f t="shared" ca="1" si="11"/>
        <v>267.66999999999996</v>
      </c>
      <c r="G20" s="18">
        <f>'Monthly Data'!Z20</f>
        <v>730341</v>
      </c>
      <c r="H20">
        <f>'Monthly Data'!BR20</f>
        <v>0</v>
      </c>
      <c r="I20" s="33">
        <f>'Monthly Data'!BT20</f>
        <v>31</v>
      </c>
      <c r="K20" s="18">
        <f>'Res Predicted Monthly'!$V$9</f>
        <v>-23284736.647811599</v>
      </c>
      <c r="L20" s="18">
        <f ca="1">E20*'Res Predicted Monthly'!$V$10</f>
        <v>0</v>
      </c>
      <c r="M20" s="18">
        <f ca="1">F20*'Res Predicted Monthly'!$V$11</f>
        <v>21462807.485591341</v>
      </c>
      <c r="N20" s="18">
        <f>G20*'Res Predicted Monthly'!$V$12</f>
        <v>13970734.906743491</v>
      </c>
      <c r="O20" s="18">
        <f>H20*'Res Predicted Monthly'!$V$13</f>
        <v>0</v>
      </c>
      <c r="P20" s="18">
        <f>I20*'Res Predicted Monthly'!$V$14</f>
        <v>48424797.051816143</v>
      </c>
      <c r="Q20" s="30">
        <f t="shared" ca="1" si="5"/>
        <v>60573602.796339378</v>
      </c>
    </row>
    <row r="21" spans="1:17" x14ac:dyDescent="0.2">
      <c r="A21" s="9">
        <f>'Monthly Data'!A21</f>
        <v>42583</v>
      </c>
      <c r="B21">
        <f t="shared" si="3"/>
        <v>2016</v>
      </c>
      <c r="C21">
        <f t="shared" si="4"/>
        <v>8</v>
      </c>
      <c r="D21" s="30">
        <f>'Monthly Data'!F21</f>
        <v>60905685.026592731</v>
      </c>
      <c r="E21" s="33">
        <f t="shared" ref="E21:F21" ca="1" si="12">E9</f>
        <v>0</v>
      </c>
      <c r="F21" s="33">
        <f t="shared" ca="1" si="12"/>
        <v>246.315</v>
      </c>
      <c r="G21" s="18">
        <f>'Monthly Data'!Z21</f>
        <v>730341</v>
      </c>
      <c r="H21">
        <f>'Monthly Data'!BR21</f>
        <v>0</v>
      </c>
      <c r="I21" s="33">
        <f>'Monthly Data'!BT21</f>
        <v>31</v>
      </c>
      <c r="K21" s="18">
        <f>'Res Predicted Monthly'!$V$9</f>
        <v>-23284736.647811599</v>
      </c>
      <c r="L21" s="18">
        <f ca="1">E21*'Res Predicted Monthly'!$V$10</f>
        <v>0</v>
      </c>
      <c r="M21" s="18">
        <f ca="1">F21*'Res Predicted Monthly'!$V$11</f>
        <v>19750481.659556288</v>
      </c>
      <c r="N21" s="18">
        <f>G21*'Res Predicted Monthly'!$V$12</f>
        <v>13970734.906743491</v>
      </c>
      <c r="O21" s="18">
        <f>H21*'Res Predicted Monthly'!$V$13</f>
        <v>0</v>
      </c>
      <c r="P21" s="18">
        <f>I21*'Res Predicted Monthly'!$V$14</f>
        <v>48424797.051816143</v>
      </c>
      <c r="Q21" s="30">
        <f t="shared" ca="1" si="5"/>
        <v>58861276.970304325</v>
      </c>
    </row>
    <row r="22" spans="1:17" x14ac:dyDescent="0.2">
      <c r="A22" s="9">
        <f>'Monthly Data'!A22</f>
        <v>42614</v>
      </c>
      <c r="B22">
        <f t="shared" si="3"/>
        <v>2016</v>
      </c>
      <c r="C22">
        <f t="shared" si="4"/>
        <v>9</v>
      </c>
      <c r="D22" s="30">
        <f>'Monthly Data'!F22</f>
        <v>50436740.785569206</v>
      </c>
      <c r="E22" s="33">
        <f t="shared" ref="E22:F22" ca="1" si="13">E10</f>
        <v>2.2699999999999996</v>
      </c>
      <c r="F22" s="33">
        <f t="shared" ca="1" si="13"/>
        <v>146.80000000000001</v>
      </c>
      <c r="G22" s="18">
        <f>'Monthly Data'!Z22</f>
        <v>730341</v>
      </c>
      <c r="H22">
        <f>'Monthly Data'!BR22</f>
        <v>1</v>
      </c>
      <c r="I22" s="33">
        <f>'Monthly Data'!BT22</f>
        <v>30</v>
      </c>
      <c r="K22" s="18">
        <f>'Res Predicted Monthly'!$V$9</f>
        <v>-23284736.647811599</v>
      </c>
      <c r="L22" s="18">
        <f ca="1">E22*'Res Predicted Monthly'!$V$10</f>
        <v>31066.989800662901</v>
      </c>
      <c r="M22" s="18">
        <f ca="1">F22*'Res Predicted Monthly'!$V$11</f>
        <v>11770987.181547463</v>
      </c>
      <c r="N22" s="18">
        <f>G22*'Res Predicted Monthly'!$V$12</f>
        <v>13970734.906743491</v>
      </c>
      <c r="O22" s="18">
        <f>H22*'Res Predicted Monthly'!$V$13</f>
        <v>-2837598.3252266399</v>
      </c>
      <c r="P22" s="18">
        <f>I22*'Res Predicted Monthly'!$V$14</f>
        <v>46862706.824338198</v>
      </c>
      <c r="Q22" s="30">
        <f t="shared" ca="1" si="5"/>
        <v>46513160.929391578</v>
      </c>
    </row>
    <row r="23" spans="1:17" x14ac:dyDescent="0.2">
      <c r="A23" s="9">
        <f>'Monthly Data'!A23</f>
        <v>42644</v>
      </c>
      <c r="B23">
        <f t="shared" si="3"/>
        <v>2016</v>
      </c>
      <c r="C23">
        <f t="shared" si="4"/>
        <v>10</v>
      </c>
      <c r="D23" s="30">
        <f>'Monthly Data'!F23</f>
        <v>41879541.544545688</v>
      </c>
      <c r="E23" s="33">
        <f t="shared" ref="E23:F23" ca="1" si="14">E11</f>
        <v>83.800000000000011</v>
      </c>
      <c r="F23" s="33">
        <f t="shared" ca="1" si="14"/>
        <v>36.859999999999992</v>
      </c>
      <c r="G23" s="18">
        <f>'Monthly Data'!Z23</f>
        <v>737784</v>
      </c>
      <c r="H23">
        <f>'Monthly Data'!BR23</f>
        <v>1</v>
      </c>
      <c r="I23" s="33">
        <f>'Monthly Data'!BT23</f>
        <v>31</v>
      </c>
      <c r="K23" s="18">
        <f>'Res Predicted Monthly'!$V$9</f>
        <v>-23284736.647811599</v>
      </c>
      <c r="L23" s="18">
        <f ca="1">E23*'Res Predicted Monthly'!$V$10</f>
        <v>1146878.3018923136</v>
      </c>
      <c r="M23" s="18">
        <f ca="1">F23*'Res Predicted Monthly'!$V$11</f>
        <v>2955576.2092087152</v>
      </c>
      <c r="N23" s="18">
        <f>G23*'Res Predicted Monthly'!$V$12</f>
        <v>14113112.48093266</v>
      </c>
      <c r="O23" s="18">
        <f>H23*'Res Predicted Monthly'!$V$13</f>
        <v>-2837598.3252266399</v>
      </c>
      <c r="P23" s="18">
        <f>I23*'Res Predicted Monthly'!$V$14</f>
        <v>48424797.051816143</v>
      </c>
      <c r="Q23" s="30">
        <f t="shared" ca="1" si="5"/>
        <v>40518029.070811592</v>
      </c>
    </row>
    <row r="24" spans="1:17" x14ac:dyDescent="0.2">
      <c r="A24" s="9">
        <f>'Monthly Data'!A24</f>
        <v>42675</v>
      </c>
      <c r="B24">
        <f t="shared" si="3"/>
        <v>2016</v>
      </c>
      <c r="C24">
        <f t="shared" si="4"/>
        <v>11</v>
      </c>
      <c r="D24" s="30">
        <f>'Monthly Data'!F24</f>
        <v>37972992.303522162</v>
      </c>
      <c r="E24" s="33">
        <f t="shared" ref="E24:F24" ca="1" si="15">E12</f>
        <v>240.7</v>
      </c>
      <c r="F24" s="33">
        <f t="shared" ca="1" si="15"/>
        <v>3.410000000000001</v>
      </c>
      <c r="G24" s="18">
        <f>'Monthly Data'!Z24</f>
        <v>737784</v>
      </c>
      <c r="H24">
        <f>'Monthly Data'!BR24</f>
        <v>1</v>
      </c>
      <c r="I24" s="33">
        <f>'Monthly Data'!BT24</f>
        <v>30</v>
      </c>
      <c r="K24" s="18">
        <f>'Res Predicted Monthly'!$V$9</f>
        <v>-23284736.647811599</v>
      </c>
      <c r="L24" s="18">
        <f ca="1">E24*'Res Predicted Monthly'!$V$10</f>
        <v>3294195.7907575159</v>
      </c>
      <c r="M24" s="18">
        <f ca="1">F24*'Res Predicted Monthly'!$V$11</f>
        <v>273426.88207818026</v>
      </c>
      <c r="N24" s="18">
        <f>G24*'Res Predicted Monthly'!$V$12</f>
        <v>14113112.48093266</v>
      </c>
      <c r="O24" s="18">
        <f>H24*'Res Predicted Monthly'!$V$13</f>
        <v>-2837598.3252266399</v>
      </c>
      <c r="P24" s="18">
        <f>I24*'Res Predicted Monthly'!$V$14</f>
        <v>46862706.824338198</v>
      </c>
      <c r="Q24" s="30">
        <f t="shared" ca="1" si="5"/>
        <v>38421107.005068317</v>
      </c>
    </row>
    <row r="25" spans="1:17" x14ac:dyDescent="0.2">
      <c r="A25" s="9">
        <f>'Monthly Data'!A25</f>
        <v>42705</v>
      </c>
      <c r="B25">
        <f t="shared" si="3"/>
        <v>2016</v>
      </c>
      <c r="C25">
        <f t="shared" si="4"/>
        <v>12</v>
      </c>
      <c r="D25" s="30">
        <f>'Monthly Data'!F25</f>
        <v>43646992.062498637</v>
      </c>
      <c r="E25" s="33">
        <f t="shared" ref="E25:F25" ca="1" si="16">E13</f>
        <v>386.61999999999995</v>
      </c>
      <c r="F25" s="33">
        <f t="shared" ca="1" si="16"/>
        <v>0</v>
      </c>
      <c r="G25" s="18">
        <f>'Monthly Data'!Z25</f>
        <v>737784</v>
      </c>
      <c r="H25">
        <f>'Monthly Data'!BR25</f>
        <v>0</v>
      </c>
      <c r="I25" s="33">
        <f>'Monthly Data'!BT25</f>
        <v>31</v>
      </c>
      <c r="K25" s="18">
        <f>'Res Predicted Monthly'!$V$9</f>
        <v>-23284736.647811599</v>
      </c>
      <c r="L25" s="18">
        <f ca="1">E25*'Res Predicted Monthly'!$V$10</f>
        <v>5291242.1130979257</v>
      </c>
      <c r="M25" s="18">
        <f ca="1">F25*'Res Predicted Monthly'!$V$11</f>
        <v>0</v>
      </c>
      <c r="N25" s="18">
        <f>G25*'Res Predicted Monthly'!$V$12</f>
        <v>14113112.48093266</v>
      </c>
      <c r="O25" s="18">
        <f>H25*'Res Predicted Monthly'!$V$13</f>
        <v>0</v>
      </c>
      <c r="P25" s="18">
        <f>I25*'Res Predicted Monthly'!$V$14</f>
        <v>48424797.051816143</v>
      </c>
      <c r="Q25" s="30">
        <f t="shared" ca="1" si="5"/>
        <v>44544414.998035133</v>
      </c>
    </row>
    <row r="26" spans="1:17" x14ac:dyDescent="0.2">
      <c r="A26" s="9">
        <f>'Monthly Data'!A26</f>
        <v>42736</v>
      </c>
      <c r="B26">
        <f t="shared" si="3"/>
        <v>2017</v>
      </c>
      <c r="C26">
        <f t="shared" si="4"/>
        <v>1</v>
      </c>
      <c r="D26" s="30">
        <f>'Monthly Data'!F26</f>
        <v>44428210.437605619</v>
      </c>
      <c r="E26" s="33">
        <f t="shared" ref="E26:F26" ca="1" si="17">E14</f>
        <v>508.54000000000008</v>
      </c>
      <c r="F26" s="33">
        <f t="shared" ca="1" si="17"/>
        <v>0</v>
      </c>
      <c r="G26" s="18">
        <f>'Monthly Data'!Z26</f>
        <v>743287</v>
      </c>
      <c r="H26">
        <f>'Monthly Data'!BR26</f>
        <v>0</v>
      </c>
      <c r="I26" s="33">
        <f>'Monthly Data'!BT26</f>
        <v>31</v>
      </c>
      <c r="K26" s="18">
        <f>'Res Predicted Monthly'!$V$9</f>
        <v>-23284736.647811599</v>
      </c>
      <c r="L26" s="18">
        <f ca="1">E26*'Res Predicted Monthly'!$V$10</f>
        <v>6959826.8692639284</v>
      </c>
      <c r="M26" s="18">
        <f ca="1">F26*'Res Predicted Monthly'!$V$11</f>
        <v>0</v>
      </c>
      <c r="N26" s="18">
        <f>G26*'Res Predicted Monthly'!$V$12</f>
        <v>14218379.683776002</v>
      </c>
      <c r="O26" s="18">
        <f>H26*'Res Predicted Monthly'!$V$13</f>
        <v>0</v>
      </c>
      <c r="P26" s="18">
        <f>I26*'Res Predicted Monthly'!$V$14</f>
        <v>48424797.051816143</v>
      </c>
      <c r="Q26" s="30">
        <f t="shared" ca="1" si="5"/>
        <v>46318266.957044475</v>
      </c>
    </row>
    <row r="27" spans="1:17" x14ac:dyDescent="0.2">
      <c r="A27" s="9">
        <f>'Monthly Data'!A27</f>
        <v>42767</v>
      </c>
      <c r="B27">
        <f t="shared" si="3"/>
        <v>2017</v>
      </c>
      <c r="C27">
        <f t="shared" si="4"/>
        <v>2</v>
      </c>
      <c r="D27" s="30">
        <f>'Monthly Data'!F27</f>
        <v>38008250.644202635</v>
      </c>
      <c r="E27" s="33">
        <f t="shared" ref="E27:F27" ca="1" si="18">E15</f>
        <v>451.10999999999996</v>
      </c>
      <c r="F27" s="33">
        <f t="shared" ca="1" si="18"/>
        <v>0</v>
      </c>
      <c r="G27" s="18">
        <f>'Monthly Data'!Z27</f>
        <v>743287</v>
      </c>
      <c r="H27">
        <f>'Monthly Data'!BR27</f>
        <v>0</v>
      </c>
      <c r="I27" s="33">
        <f>'Monthly Data'!BT27</f>
        <v>28</v>
      </c>
      <c r="K27" s="18">
        <f>'Res Predicted Monthly'!$V$9</f>
        <v>-23284736.647811599</v>
      </c>
      <c r="L27" s="18">
        <f ca="1">E27*'Res Predicted Monthly'!$V$10</f>
        <v>6173845.7132057454</v>
      </c>
      <c r="M27" s="18">
        <f ca="1">F27*'Res Predicted Monthly'!$V$11</f>
        <v>0</v>
      </c>
      <c r="N27" s="18">
        <f>G27*'Res Predicted Monthly'!$V$12</f>
        <v>14218379.683776002</v>
      </c>
      <c r="O27" s="18">
        <f>H27*'Res Predicted Monthly'!$V$13</f>
        <v>0</v>
      </c>
      <c r="P27" s="18">
        <f>I27*'Res Predicted Monthly'!$V$14</f>
        <v>43738526.369382322</v>
      </c>
      <c r="Q27" s="30">
        <f t="shared" ca="1" si="5"/>
        <v>40846015.118552476</v>
      </c>
    </row>
    <row r="28" spans="1:17" x14ac:dyDescent="0.2">
      <c r="A28" s="9">
        <f>'Monthly Data'!A28</f>
        <v>42795</v>
      </c>
      <c r="B28">
        <f t="shared" si="3"/>
        <v>2017</v>
      </c>
      <c r="C28">
        <f t="shared" si="4"/>
        <v>3</v>
      </c>
      <c r="D28" s="30">
        <f>'Monthly Data'!F28</f>
        <v>39754350.85079965</v>
      </c>
      <c r="E28" s="33">
        <f t="shared" ref="E28:F28" ca="1" si="19">E16</f>
        <v>374.74</v>
      </c>
      <c r="F28" s="33">
        <f t="shared" ca="1" si="19"/>
        <v>0</v>
      </c>
      <c r="G28" s="18">
        <f>'Monthly Data'!Z28</f>
        <v>743287</v>
      </c>
      <c r="H28">
        <f>'Monthly Data'!BR28</f>
        <v>1</v>
      </c>
      <c r="I28" s="33">
        <f>'Monthly Data'!BT28</f>
        <v>31</v>
      </c>
      <c r="K28" s="18">
        <f>'Res Predicted Monthly'!$V$9</f>
        <v>-23284736.647811599</v>
      </c>
      <c r="L28" s="18">
        <f ca="1">E28*'Res Predicted Monthly'!$V$10</f>
        <v>5128653.6378415944</v>
      </c>
      <c r="M28" s="18">
        <f ca="1">F28*'Res Predicted Monthly'!$V$11</f>
        <v>0</v>
      </c>
      <c r="N28" s="18">
        <f>G28*'Res Predicted Monthly'!$V$12</f>
        <v>14218379.683776002</v>
      </c>
      <c r="O28" s="18">
        <f>H28*'Res Predicted Monthly'!$V$13</f>
        <v>-2837598.3252266399</v>
      </c>
      <c r="P28" s="18">
        <f>I28*'Res Predicted Monthly'!$V$14</f>
        <v>48424797.051816143</v>
      </c>
      <c r="Q28" s="30">
        <f t="shared" ca="1" si="5"/>
        <v>41649495.400395498</v>
      </c>
    </row>
    <row r="29" spans="1:17" x14ac:dyDescent="0.2">
      <c r="A29" s="9">
        <f>'Monthly Data'!A29</f>
        <v>42826</v>
      </c>
      <c r="B29">
        <f t="shared" si="3"/>
        <v>2017</v>
      </c>
      <c r="C29">
        <f t="shared" si="4"/>
        <v>4</v>
      </c>
      <c r="D29" s="30">
        <f>'Monthly Data'!F29</f>
        <v>35550881.057396658</v>
      </c>
      <c r="E29" s="33">
        <f t="shared" ref="E29:F29" ca="1" si="20">E17</f>
        <v>221.12999999999997</v>
      </c>
      <c r="F29" s="33">
        <f t="shared" ca="1" si="20"/>
        <v>2.6300000000000003</v>
      </c>
      <c r="G29" s="18">
        <f>'Monthly Data'!Z29</f>
        <v>740632</v>
      </c>
      <c r="H29">
        <f>'Monthly Data'!BR29</f>
        <v>1</v>
      </c>
      <c r="I29" s="33">
        <f>'Monthly Data'!BT29</f>
        <v>30</v>
      </c>
      <c r="K29" s="18">
        <f>'Res Predicted Monthly'!$V$9</f>
        <v>-23284736.647811599</v>
      </c>
      <c r="L29" s="18">
        <f ca="1">E29*'Res Predicted Monthly'!$V$10</f>
        <v>3026362.755339466</v>
      </c>
      <c r="M29" s="18">
        <f ca="1">F29*'Res Predicted Monthly'!$V$11</f>
        <v>210883.48969666098</v>
      </c>
      <c r="N29" s="18">
        <f>G29*'Res Predicted Monthly'!$V$12</f>
        <v>14167592.036392925</v>
      </c>
      <c r="O29" s="18">
        <f>H29*'Res Predicted Monthly'!$V$13</f>
        <v>-2837598.3252266399</v>
      </c>
      <c r="P29" s="18">
        <f>I29*'Res Predicted Monthly'!$V$14</f>
        <v>46862706.824338198</v>
      </c>
      <c r="Q29" s="30">
        <f t="shared" ca="1" si="5"/>
        <v>38145210.132729009</v>
      </c>
    </row>
    <row r="30" spans="1:17" x14ac:dyDescent="0.2">
      <c r="A30" s="9">
        <f>'Monthly Data'!A30</f>
        <v>42856</v>
      </c>
      <c r="B30">
        <f t="shared" si="3"/>
        <v>2017</v>
      </c>
      <c r="C30">
        <f t="shared" si="4"/>
        <v>5</v>
      </c>
      <c r="D30" s="30">
        <f>'Monthly Data'!F30</f>
        <v>38527675.263993673</v>
      </c>
      <c r="E30" s="33">
        <f t="shared" ref="E30:F30" ca="1" si="21">E18</f>
        <v>74.8</v>
      </c>
      <c r="F30" s="33">
        <f t="shared" ca="1" si="21"/>
        <v>50.489999999999995</v>
      </c>
      <c r="G30" s="18">
        <f>'Monthly Data'!Z30</f>
        <v>740632</v>
      </c>
      <c r="H30">
        <f>'Monthly Data'!BR30</f>
        <v>1</v>
      </c>
      <c r="I30" s="33">
        <f>'Monthly Data'!BT30</f>
        <v>31</v>
      </c>
      <c r="K30" s="18">
        <f>'Res Predicted Monthly'!$V$9</f>
        <v>-23284736.647811599</v>
      </c>
      <c r="L30" s="18">
        <f ca="1">E30*'Res Predicted Monthly'!$V$10</f>
        <v>1023705.2145769099</v>
      </c>
      <c r="M30" s="18">
        <f ca="1">F30*'Res Predicted Monthly'!$V$11</f>
        <v>4048481.8991575702</v>
      </c>
      <c r="N30" s="18">
        <f>G30*'Res Predicted Monthly'!$V$12</f>
        <v>14167592.036392925</v>
      </c>
      <c r="O30" s="18">
        <f>H30*'Res Predicted Monthly'!$V$13</f>
        <v>-2837598.3252266399</v>
      </c>
      <c r="P30" s="18">
        <f>I30*'Res Predicted Monthly'!$V$14</f>
        <v>48424797.051816143</v>
      </c>
      <c r="Q30" s="30">
        <f t="shared" ca="1" si="5"/>
        <v>41542241.228905305</v>
      </c>
    </row>
    <row r="31" spans="1:17" x14ac:dyDescent="0.2">
      <c r="A31" s="9">
        <f>'Monthly Data'!A31</f>
        <v>42887</v>
      </c>
      <c r="B31">
        <f t="shared" si="3"/>
        <v>2017</v>
      </c>
      <c r="C31">
        <f t="shared" si="4"/>
        <v>6</v>
      </c>
      <c r="D31" s="30">
        <f>'Monthly Data'!F31</f>
        <v>46993946.470590688</v>
      </c>
      <c r="E31" s="33">
        <f t="shared" ref="E31:F31" ca="1" si="22">E19</f>
        <v>2.15</v>
      </c>
      <c r="F31" s="33">
        <f t="shared" ca="1" si="22"/>
        <v>154.05000000000001</v>
      </c>
      <c r="G31" s="18">
        <f>'Monthly Data'!Z31</f>
        <v>740632</v>
      </c>
      <c r="H31">
        <f>'Monthly Data'!BR31</f>
        <v>0</v>
      </c>
      <c r="I31" s="33">
        <f>'Monthly Data'!BT31</f>
        <v>30</v>
      </c>
      <c r="K31" s="18">
        <f>'Res Predicted Monthly'!$V$9</f>
        <v>-23284736.647811599</v>
      </c>
      <c r="L31" s="18">
        <f ca="1">E31*'Res Predicted Monthly'!$V$10</f>
        <v>29424.681969790858</v>
      </c>
      <c r="M31" s="18">
        <f ca="1">F31*'Res Predicted Monthly'!$V$11</f>
        <v>12352319.995350046</v>
      </c>
      <c r="N31" s="18">
        <f>G31*'Res Predicted Monthly'!$V$12</f>
        <v>14167592.036392925</v>
      </c>
      <c r="O31" s="18">
        <f>H31*'Res Predicted Monthly'!$V$13</f>
        <v>0</v>
      </c>
      <c r="P31" s="18">
        <f>I31*'Res Predicted Monthly'!$V$14</f>
        <v>46862706.824338198</v>
      </c>
      <c r="Q31" s="30">
        <f t="shared" ca="1" si="5"/>
        <v>50127306.890239358</v>
      </c>
    </row>
    <row r="32" spans="1:17" x14ac:dyDescent="0.2">
      <c r="A32" s="9">
        <f>'Monthly Data'!A32</f>
        <v>42917</v>
      </c>
      <c r="B32">
        <f t="shared" si="3"/>
        <v>2017</v>
      </c>
      <c r="C32">
        <f t="shared" si="4"/>
        <v>7</v>
      </c>
      <c r="D32" s="30">
        <f>'Monthly Data'!F32</f>
        <v>55250414.677187696</v>
      </c>
      <c r="E32" s="33">
        <f t="shared" ref="E32:F32" ca="1" si="23">E20</f>
        <v>0</v>
      </c>
      <c r="F32" s="33">
        <f t="shared" ca="1" si="23"/>
        <v>267.66999999999996</v>
      </c>
      <c r="G32" s="18">
        <f>'Monthly Data'!Z32</f>
        <v>746606</v>
      </c>
      <c r="H32">
        <f>'Monthly Data'!BR32</f>
        <v>0</v>
      </c>
      <c r="I32" s="33">
        <f>'Monthly Data'!BT32</f>
        <v>31</v>
      </c>
      <c r="K32" s="18">
        <f>'Res Predicted Monthly'!$V$9</f>
        <v>-23284736.647811599</v>
      </c>
      <c r="L32" s="18">
        <f ca="1">E32*'Res Predicted Monthly'!$V$10</f>
        <v>0</v>
      </c>
      <c r="M32" s="18">
        <f ca="1">F32*'Res Predicted Monthly'!$V$11</f>
        <v>21462807.485591341</v>
      </c>
      <c r="N32" s="18">
        <f>G32*'Res Predicted Monthly'!$V$12</f>
        <v>14281869.025269197</v>
      </c>
      <c r="O32" s="18">
        <f>H32*'Res Predicted Monthly'!$V$13</f>
        <v>0</v>
      </c>
      <c r="P32" s="18">
        <f>I32*'Res Predicted Monthly'!$V$14</f>
        <v>48424797.051816143</v>
      </c>
      <c r="Q32" s="30">
        <f t="shared" ca="1" si="5"/>
        <v>60884736.914865084</v>
      </c>
    </row>
    <row r="33" spans="1:17" x14ac:dyDescent="0.2">
      <c r="A33" s="9">
        <f>'Monthly Data'!A33</f>
        <v>42948</v>
      </c>
      <c r="B33">
        <f t="shared" si="3"/>
        <v>2017</v>
      </c>
      <c r="C33">
        <f t="shared" si="4"/>
        <v>8</v>
      </c>
      <c r="D33" s="30">
        <f>'Monthly Data'!F33</f>
        <v>52000413.883784711</v>
      </c>
      <c r="E33" s="33">
        <f t="shared" ref="E33:F33" ca="1" si="24">E21</f>
        <v>0</v>
      </c>
      <c r="F33" s="33">
        <f t="shared" ca="1" si="24"/>
        <v>246.315</v>
      </c>
      <c r="G33" s="18">
        <f>'Monthly Data'!Z33</f>
        <v>746606</v>
      </c>
      <c r="H33">
        <f>'Monthly Data'!BR33</f>
        <v>0</v>
      </c>
      <c r="I33" s="33">
        <f>'Monthly Data'!BT33</f>
        <v>31</v>
      </c>
      <c r="K33" s="18">
        <f>'Res Predicted Monthly'!$V$9</f>
        <v>-23284736.647811599</v>
      </c>
      <c r="L33" s="18">
        <f ca="1">E33*'Res Predicted Monthly'!$V$10</f>
        <v>0</v>
      </c>
      <c r="M33" s="18">
        <f ca="1">F33*'Res Predicted Monthly'!$V$11</f>
        <v>19750481.659556288</v>
      </c>
      <c r="N33" s="18">
        <f>G33*'Res Predicted Monthly'!$V$12</f>
        <v>14281869.025269197</v>
      </c>
      <c r="O33" s="18">
        <f>H33*'Res Predicted Monthly'!$V$13</f>
        <v>0</v>
      </c>
      <c r="P33" s="18">
        <f>I33*'Res Predicted Monthly'!$V$14</f>
        <v>48424797.051816143</v>
      </c>
      <c r="Q33" s="30">
        <f t="shared" ca="1" si="5"/>
        <v>59172411.088830031</v>
      </c>
    </row>
    <row r="34" spans="1:17" x14ac:dyDescent="0.2">
      <c r="A34" s="9">
        <f>'Monthly Data'!A34</f>
        <v>42979</v>
      </c>
      <c r="B34">
        <f t="shared" si="3"/>
        <v>2017</v>
      </c>
      <c r="C34">
        <f t="shared" si="4"/>
        <v>9</v>
      </c>
      <c r="D34" s="30">
        <f>'Monthly Data'!F34</f>
        <v>45504410.090381727</v>
      </c>
      <c r="E34" s="33">
        <f t="shared" ref="E34:F34" ca="1" si="25">E22</f>
        <v>2.2699999999999996</v>
      </c>
      <c r="F34" s="33">
        <f t="shared" ca="1" si="25"/>
        <v>146.80000000000001</v>
      </c>
      <c r="G34" s="18">
        <f>'Monthly Data'!Z34</f>
        <v>746606</v>
      </c>
      <c r="H34">
        <f>'Monthly Data'!BR34</f>
        <v>1</v>
      </c>
      <c r="I34" s="33">
        <f>'Monthly Data'!BT34</f>
        <v>30</v>
      </c>
      <c r="K34" s="18">
        <f>'Res Predicted Monthly'!$V$9</f>
        <v>-23284736.647811599</v>
      </c>
      <c r="L34" s="18">
        <f ca="1">E34*'Res Predicted Monthly'!$V$10</f>
        <v>31066.989800662901</v>
      </c>
      <c r="M34" s="18">
        <f ca="1">F34*'Res Predicted Monthly'!$V$11</f>
        <v>11770987.181547463</v>
      </c>
      <c r="N34" s="18">
        <f>G34*'Res Predicted Monthly'!$V$12</f>
        <v>14281869.025269197</v>
      </c>
      <c r="O34" s="18">
        <f>H34*'Res Predicted Monthly'!$V$13</f>
        <v>-2837598.3252266399</v>
      </c>
      <c r="P34" s="18">
        <f>I34*'Res Predicted Monthly'!$V$14</f>
        <v>46862706.824338198</v>
      </c>
      <c r="Q34" s="30">
        <f t="shared" ca="1" si="5"/>
        <v>46824295.047917284</v>
      </c>
    </row>
    <row r="35" spans="1:17" x14ac:dyDescent="0.2">
      <c r="A35" s="9">
        <f>'Monthly Data'!A35</f>
        <v>43009</v>
      </c>
      <c r="B35">
        <f t="shared" si="3"/>
        <v>2017</v>
      </c>
      <c r="C35">
        <f t="shared" si="4"/>
        <v>10</v>
      </c>
      <c r="D35" s="30">
        <f>'Monthly Data'!F35</f>
        <v>40966849.296978742</v>
      </c>
      <c r="E35" s="33">
        <f t="shared" ref="E35:F35" ca="1" si="26">E23</f>
        <v>83.800000000000011</v>
      </c>
      <c r="F35" s="33">
        <f t="shared" ca="1" si="26"/>
        <v>36.859999999999992</v>
      </c>
      <c r="G35" s="18">
        <f>'Monthly Data'!Z35</f>
        <v>745380</v>
      </c>
      <c r="H35">
        <f>'Monthly Data'!BR35</f>
        <v>1</v>
      </c>
      <c r="I35" s="33">
        <f>'Monthly Data'!BT35</f>
        <v>31</v>
      </c>
      <c r="K35" s="18">
        <f>'Res Predicted Monthly'!$V$9</f>
        <v>-23284736.647811599</v>
      </c>
      <c r="L35" s="18">
        <f ca="1">E35*'Res Predicted Monthly'!$V$10</f>
        <v>1146878.3018923136</v>
      </c>
      <c r="M35" s="18">
        <f ca="1">F35*'Res Predicted Monthly'!$V$11</f>
        <v>2955576.2092087152</v>
      </c>
      <c r="N35" s="18">
        <f>G35*'Res Predicted Monthly'!$V$12</f>
        <v>14258416.800903227</v>
      </c>
      <c r="O35" s="18">
        <f>H35*'Res Predicted Monthly'!$V$13</f>
        <v>-2837598.3252266399</v>
      </c>
      <c r="P35" s="18">
        <f>I35*'Res Predicted Monthly'!$V$14</f>
        <v>48424797.051816143</v>
      </c>
      <c r="Q35" s="30">
        <f t="shared" ca="1" si="5"/>
        <v>40663333.390782163</v>
      </c>
    </row>
    <row r="36" spans="1:17" x14ac:dyDescent="0.2">
      <c r="A36" s="9">
        <f>'Monthly Data'!A36</f>
        <v>43040</v>
      </c>
      <c r="B36">
        <f t="shared" si="3"/>
        <v>2017</v>
      </c>
      <c r="C36">
        <f t="shared" si="4"/>
        <v>11</v>
      </c>
      <c r="D36" s="30">
        <f>'Monthly Data'!F36</f>
        <v>39001404.503575757</v>
      </c>
      <c r="E36" s="33">
        <f t="shared" ref="E36:F36" ca="1" si="27">E24</f>
        <v>240.7</v>
      </c>
      <c r="F36" s="33">
        <f t="shared" ca="1" si="27"/>
        <v>3.410000000000001</v>
      </c>
      <c r="G36" s="18">
        <f>'Monthly Data'!Z36</f>
        <v>745380</v>
      </c>
      <c r="H36">
        <f>'Monthly Data'!BR36</f>
        <v>1</v>
      </c>
      <c r="I36" s="33">
        <f>'Monthly Data'!BT36</f>
        <v>30</v>
      </c>
      <c r="K36" s="18">
        <f>'Res Predicted Monthly'!$V$9</f>
        <v>-23284736.647811599</v>
      </c>
      <c r="L36" s="18">
        <f ca="1">E36*'Res Predicted Monthly'!$V$10</f>
        <v>3294195.7907575159</v>
      </c>
      <c r="M36" s="18">
        <f ca="1">F36*'Res Predicted Monthly'!$V$11</f>
        <v>273426.88207818026</v>
      </c>
      <c r="N36" s="18">
        <f>G36*'Res Predicted Monthly'!$V$12</f>
        <v>14258416.800903227</v>
      </c>
      <c r="O36" s="18">
        <f>H36*'Res Predicted Monthly'!$V$13</f>
        <v>-2837598.3252266399</v>
      </c>
      <c r="P36" s="18">
        <f>I36*'Res Predicted Monthly'!$V$14</f>
        <v>46862706.824338198</v>
      </c>
      <c r="Q36" s="30">
        <f t="shared" ca="1" si="5"/>
        <v>38566411.32503888</v>
      </c>
    </row>
    <row r="37" spans="1:17" x14ac:dyDescent="0.2">
      <c r="A37" s="9">
        <f>'Monthly Data'!A37</f>
        <v>43070</v>
      </c>
      <c r="B37">
        <f t="shared" si="3"/>
        <v>2017</v>
      </c>
      <c r="C37">
        <f t="shared" si="4"/>
        <v>12</v>
      </c>
      <c r="D37" s="30">
        <f>'Monthly Data'!F37</f>
        <v>47108304.710172765</v>
      </c>
      <c r="E37" s="33">
        <f t="shared" ref="E37:F37" ca="1" si="28">E25</f>
        <v>386.61999999999995</v>
      </c>
      <c r="F37" s="33">
        <f t="shared" ca="1" si="28"/>
        <v>0</v>
      </c>
      <c r="G37" s="18">
        <f>'Monthly Data'!Z37</f>
        <v>745380</v>
      </c>
      <c r="H37">
        <f>'Monthly Data'!BR37</f>
        <v>0</v>
      </c>
      <c r="I37" s="33">
        <f>'Monthly Data'!BT37</f>
        <v>31</v>
      </c>
      <c r="K37" s="18">
        <f>'Res Predicted Monthly'!$V$9</f>
        <v>-23284736.647811599</v>
      </c>
      <c r="L37" s="18">
        <f ca="1">E37*'Res Predicted Monthly'!$V$10</f>
        <v>5291242.1130979257</v>
      </c>
      <c r="M37" s="18">
        <f ca="1">F37*'Res Predicted Monthly'!$V$11</f>
        <v>0</v>
      </c>
      <c r="N37" s="18">
        <f>G37*'Res Predicted Monthly'!$V$12</f>
        <v>14258416.800903227</v>
      </c>
      <c r="O37" s="18">
        <f>H37*'Res Predicted Monthly'!$V$13</f>
        <v>0</v>
      </c>
      <c r="P37" s="18">
        <f>I37*'Res Predicted Monthly'!$V$14</f>
        <v>48424797.051816143</v>
      </c>
      <c r="Q37" s="30">
        <f t="shared" ca="1" si="5"/>
        <v>44689719.318005696</v>
      </c>
    </row>
    <row r="38" spans="1:17" x14ac:dyDescent="0.2">
      <c r="A38" s="9">
        <f>'Monthly Data'!A38</f>
        <v>43101</v>
      </c>
      <c r="B38">
        <f t="shared" si="3"/>
        <v>2018</v>
      </c>
      <c r="C38">
        <f t="shared" si="4"/>
        <v>1</v>
      </c>
      <c r="D38" s="30">
        <f>'Monthly Data'!F38</f>
        <v>47709598.683987916</v>
      </c>
      <c r="E38" s="33">
        <f t="shared" ref="E38:F38" ca="1" si="29">E26</f>
        <v>508.54000000000008</v>
      </c>
      <c r="F38" s="33">
        <f t="shared" ca="1" si="29"/>
        <v>0</v>
      </c>
      <c r="G38" s="18">
        <f>'Monthly Data'!Z38</f>
        <v>756702</v>
      </c>
      <c r="H38">
        <f>'Monthly Data'!BR38</f>
        <v>0</v>
      </c>
      <c r="I38" s="33">
        <f>'Monthly Data'!BT38</f>
        <v>31</v>
      </c>
      <c r="K38" s="18">
        <f>'Res Predicted Monthly'!$V$9</f>
        <v>-23284736.647811599</v>
      </c>
      <c r="L38" s="18">
        <f ca="1">E38*'Res Predicted Monthly'!$V$10</f>
        <v>6959826.8692639284</v>
      </c>
      <c r="M38" s="18">
        <f ca="1">F38*'Res Predicted Monthly'!$V$11</f>
        <v>0</v>
      </c>
      <c r="N38" s="18">
        <f>G38*'Res Predicted Monthly'!$V$12</f>
        <v>14474995.988726655</v>
      </c>
      <c r="O38" s="18">
        <f>H38*'Res Predicted Monthly'!$V$13</f>
        <v>0</v>
      </c>
      <c r="P38" s="18">
        <f>I38*'Res Predicted Monthly'!$V$14</f>
        <v>48424797.051816143</v>
      </c>
      <c r="Q38" s="30">
        <f t="shared" ca="1" si="5"/>
        <v>46574883.261995129</v>
      </c>
    </row>
    <row r="39" spans="1:17" x14ac:dyDescent="0.2">
      <c r="A39" s="9">
        <f>'Monthly Data'!A39</f>
        <v>43132</v>
      </c>
      <c r="B39">
        <f t="shared" si="3"/>
        <v>2018</v>
      </c>
      <c r="C39">
        <f t="shared" si="4"/>
        <v>2</v>
      </c>
      <c r="D39" s="30">
        <f>'Monthly Data'!F39</f>
        <v>39687279.898667745</v>
      </c>
      <c r="E39" s="33">
        <f t="shared" ref="E39:F39" ca="1" si="30">E27</f>
        <v>451.10999999999996</v>
      </c>
      <c r="F39" s="33">
        <f t="shared" ca="1" si="30"/>
        <v>0</v>
      </c>
      <c r="G39" s="18">
        <f>'Monthly Data'!Z39</f>
        <v>756702</v>
      </c>
      <c r="H39">
        <f>'Monthly Data'!BR39</f>
        <v>0</v>
      </c>
      <c r="I39" s="33">
        <f>'Monthly Data'!BT39</f>
        <v>28</v>
      </c>
      <c r="K39" s="18">
        <f>'Res Predicted Monthly'!$V$9</f>
        <v>-23284736.647811599</v>
      </c>
      <c r="L39" s="18">
        <f ca="1">E39*'Res Predicted Monthly'!$V$10</f>
        <v>6173845.7132057454</v>
      </c>
      <c r="M39" s="18">
        <f ca="1">F39*'Res Predicted Monthly'!$V$11</f>
        <v>0</v>
      </c>
      <c r="N39" s="18">
        <f>G39*'Res Predicted Monthly'!$V$12</f>
        <v>14474995.988726655</v>
      </c>
      <c r="O39" s="18">
        <f>H39*'Res Predicted Monthly'!$V$13</f>
        <v>0</v>
      </c>
      <c r="P39" s="18">
        <f>I39*'Res Predicted Monthly'!$V$14</f>
        <v>43738526.369382322</v>
      </c>
      <c r="Q39" s="30">
        <f t="shared" ca="1" si="5"/>
        <v>41102631.423503123</v>
      </c>
    </row>
    <row r="40" spans="1:17" x14ac:dyDescent="0.2">
      <c r="A40" s="9">
        <f>'Monthly Data'!A40</f>
        <v>43160</v>
      </c>
      <c r="B40">
        <f t="shared" si="3"/>
        <v>2018</v>
      </c>
      <c r="C40">
        <f t="shared" si="4"/>
        <v>3</v>
      </c>
      <c r="D40" s="30">
        <f>'Monthly Data'!F40</f>
        <v>41074250.113347575</v>
      </c>
      <c r="E40" s="33">
        <f t="shared" ref="E40:F40" ca="1" si="31">E28</f>
        <v>374.74</v>
      </c>
      <c r="F40" s="33">
        <f t="shared" ca="1" si="31"/>
        <v>0</v>
      </c>
      <c r="G40" s="18">
        <f>'Monthly Data'!Z40</f>
        <v>756702</v>
      </c>
      <c r="H40">
        <f>'Monthly Data'!BR40</f>
        <v>1</v>
      </c>
      <c r="I40" s="33">
        <f>'Monthly Data'!BT40</f>
        <v>31</v>
      </c>
      <c r="K40" s="18">
        <f>'Res Predicted Monthly'!$V$9</f>
        <v>-23284736.647811599</v>
      </c>
      <c r="L40" s="18">
        <f ca="1">E40*'Res Predicted Monthly'!$V$10</f>
        <v>5128653.6378415944</v>
      </c>
      <c r="M40" s="18">
        <f ca="1">F40*'Res Predicted Monthly'!$V$11</f>
        <v>0</v>
      </c>
      <c r="N40" s="18">
        <f>G40*'Res Predicted Monthly'!$V$12</f>
        <v>14474995.988726655</v>
      </c>
      <c r="O40" s="18">
        <f>H40*'Res Predicted Monthly'!$V$13</f>
        <v>-2837598.3252266399</v>
      </c>
      <c r="P40" s="18">
        <f>I40*'Res Predicted Monthly'!$V$14</f>
        <v>48424797.051816143</v>
      </c>
      <c r="Q40" s="30">
        <f t="shared" ca="1" si="5"/>
        <v>41906111.705346152</v>
      </c>
    </row>
    <row r="41" spans="1:17" x14ac:dyDescent="0.2">
      <c r="A41" s="9">
        <f>'Monthly Data'!A41</f>
        <v>43191</v>
      </c>
      <c r="B41">
        <f t="shared" si="3"/>
        <v>2018</v>
      </c>
      <c r="C41">
        <f t="shared" si="4"/>
        <v>4</v>
      </c>
      <c r="D41" s="30">
        <f>'Monthly Data'!F41</f>
        <v>38168978.328027405</v>
      </c>
      <c r="E41" s="33">
        <f t="shared" ref="E41:F41" ca="1" si="32">E29</f>
        <v>221.12999999999997</v>
      </c>
      <c r="F41" s="33">
        <f t="shared" ca="1" si="32"/>
        <v>2.6300000000000003</v>
      </c>
      <c r="G41" s="18">
        <f>'Monthly Data'!Z41</f>
        <v>764644</v>
      </c>
      <c r="H41">
        <f>'Monthly Data'!BR41</f>
        <v>1</v>
      </c>
      <c r="I41" s="33">
        <f>'Monthly Data'!BT41</f>
        <v>30</v>
      </c>
      <c r="K41" s="18">
        <f>'Res Predicted Monthly'!$V$9</f>
        <v>-23284736.647811599</v>
      </c>
      <c r="L41" s="18">
        <f ca="1">E41*'Res Predicted Monthly'!$V$10</f>
        <v>3026362.755339466</v>
      </c>
      <c r="M41" s="18">
        <f ca="1">F41*'Res Predicted Monthly'!$V$11</f>
        <v>210883.48969666098</v>
      </c>
      <c r="N41" s="18">
        <f>G41*'Res Predicted Monthly'!$V$12</f>
        <v>14626918.962555807</v>
      </c>
      <c r="O41" s="18">
        <f>H41*'Res Predicted Monthly'!$V$13</f>
        <v>-2837598.3252266399</v>
      </c>
      <c r="P41" s="18">
        <f>I41*'Res Predicted Monthly'!$V$14</f>
        <v>46862706.824338198</v>
      </c>
      <c r="Q41" s="30">
        <f t="shared" ca="1" si="5"/>
        <v>38604537.058891892</v>
      </c>
    </row>
    <row r="42" spans="1:17" x14ac:dyDescent="0.2">
      <c r="A42" s="9">
        <f>'Monthly Data'!A42</f>
        <v>43221</v>
      </c>
      <c r="B42">
        <f t="shared" si="3"/>
        <v>2018</v>
      </c>
      <c r="C42">
        <f t="shared" si="4"/>
        <v>5</v>
      </c>
      <c r="D42" s="30">
        <f>'Monthly Data'!F42</f>
        <v>41244600.542707235</v>
      </c>
      <c r="E42" s="33">
        <f t="shared" ref="E42:F42" ca="1" si="33">E30</f>
        <v>74.8</v>
      </c>
      <c r="F42" s="33">
        <f t="shared" ca="1" si="33"/>
        <v>50.489999999999995</v>
      </c>
      <c r="G42" s="18">
        <f>'Monthly Data'!Z42</f>
        <v>764644</v>
      </c>
      <c r="H42">
        <f>'Monthly Data'!BR42</f>
        <v>1</v>
      </c>
      <c r="I42" s="33">
        <f>'Monthly Data'!BT42</f>
        <v>31</v>
      </c>
      <c r="K42" s="18">
        <f>'Res Predicted Monthly'!$V$9</f>
        <v>-23284736.647811599</v>
      </c>
      <c r="L42" s="18">
        <f ca="1">E42*'Res Predicted Monthly'!$V$10</f>
        <v>1023705.2145769099</v>
      </c>
      <c r="M42" s="18">
        <f ca="1">F42*'Res Predicted Monthly'!$V$11</f>
        <v>4048481.8991575702</v>
      </c>
      <c r="N42" s="18">
        <f>G42*'Res Predicted Monthly'!$V$12</f>
        <v>14626918.962555807</v>
      </c>
      <c r="O42" s="18">
        <f>H42*'Res Predicted Monthly'!$V$13</f>
        <v>-2837598.3252266399</v>
      </c>
      <c r="P42" s="18">
        <f>I42*'Res Predicted Monthly'!$V$14</f>
        <v>48424797.051816143</v>
      </c>
      <c r="Q42" s="30">
        <f t="shared" ca="1" si="5"/>
        <v>42001568.155068189</v>
      </c>
    </row>
    <row r="43" spans="1:17" x14ac:dyDescent="0.2">
      <c r="A43" s="9">
        <f>'Monthly Data'!A43</f>
        <v>43252</v>
      </c>
      <c r="B43">
        <f t="shared" si="3"/>
        <v>2018</v>
      </c>
      <c r="C43">
        <f t="shared" si="4"/>
        <v>6</v>
      </c>
      <c r="D43" s="30">
        <f>'Monthly Data'!F43</f>
        <v>52144868.757387064</v>
      </c>
      <c r="E43" s="33">
        <f t="shared" ref="E43:F43" ca="1" si="34">E31</f>
        <v>2.15</v>
      </c>
      <c r="F43" s="33">
        <f t="shared" ca="1" si="34"/>
        <v>154.05000000000001</v>
      </c>
      <c r="G43" s="18">
        <f>'Monthly Data'!Z43</f>
        <v>764644</v>
      </c>
      <c r="H43">
        <f>'Monthly Data'!BR43</f>
        <v>0</v>
      </c>
      <c r="I43" s="33">
        <f>'Monthly Data'!BT43</f>
        <v>30</v>
      </c>
      <c r="K43" s="18">
        <f>'Res Predicted Monthly'!$V$9</f>
        <v>-23284736.647811599</v>
      </c>
      <c r="L43" s="18">
        <f ca="1">E43*'Res Predicted Monthly'!$V$10</f>
        <v>29424.681969790858</v>
      </c>
      <c r="M43" s="18">
        <f ca="1">F43*'Res Predicted Monthly'!$V$11</f>
        <v>12352319.995350046</v>
      </c>
      <c r="N43" s="18">
        <f>G43*'Res Predicted Monthly'!$V$12</f>
        <v>14626918.962555807</v>
      </c>
      <c r="O43" s="18">
        <f>H43*'Res Predicted Monthly'!$V$13</f>
        <v>0</v>
      </c>
      <c r="P43" s="18">
        <f>I43*'Res Predicted Monthly'!$V$14</f>
        <v>46862706.824338198</v>
      </c>
      <c r="Q43" s="30">
        <f t="shared" ca="1" si="5"/>
        <v>50586633.816402242</v>
      </c>
    </row>
    <row r="44" spans="1:17" x14ac:dyDescent="0.2">
      <c r="A44" s="9">
        <f>'Monthly Data'!A44</f>
        <v>43282</v>
      </c>
      <c r="B44">
        <f t="shared" si="3"/>
        <v>2018</v>
      </c>
      <c r="C44">
        <f t="shared" si="4"/>
        <v>7</v>
      </c>
      <c r="D44" s="30">
        <f>'Monthly Data'!F44</f>
        <v>64966905.972066894</v>
      </c>
      <c r="E44" s="33">
        <f t="shared" ref="E44:F44" ca="1" si="35">E32</f>
        <v>0</v>
      </c>
      <c r="F44" s="33">
        <f t="shared" ca="1" si="35"/>
        <v>267.66999999999996</v>
      </c>
      <c r="G44" s="18">
        <f>'Monthly Data'!Z44</f>
        <v>765060</v>
      </c>
      <c r="H44">
        <f>'Monthly Data'!BR44</f>
        <v>0</v>
      </c>
      <c r="I44" s="33">
        <f>'Monthly Data'!BT44</f>
        <v>31</v>
      </c>
      <c r="K44" s="18">
        <f>'Res Predicted Monthly'!$V$9</f>
        <v>-23284736.647811599</v>
      </c>
      <c r="L44" s="18">
        <f ca="1">E44*'Res Predicted Monthly'!$V$10</f>
        <v>0</v>
      </c>
      <c r="M44" s="18">
        <f ca="1">F44*'Res Predicted Monthly'!$V$11</f>
        <v>21462807.485591341</v>
      </c>
      <c r="N44" s="18">
        <f>G44*'Res Predicted Monthly'!$V$12</f>
        <v>14634876.650432026</v>
      </c>
      <c r="O44" s="18">
        <f>H44*'Res Predicted Monthly'!$V$13</f>
        <v>0</v>
      </c>
      <c r="P44" s="18">
        <f>I44*'Res Predicted Monthly'!$V$14</f>
        <v>48424797.051816143</v>
      </c>
      <c r="Q44" s="30">
        <f t="shared" ca="1" si="5"/>
        <v>61237744.540027909</v>
      </c>
    </row>
    <row r="45" spans="1:17" x14ac:dyDescent="0.2">
      <c r="A45" s="9">
        <f>'Monthly Data'!A45</f>
        <v>43313</v>
      </c>
      <c r="B45">
        <f t="shared" si="3"/>
        <v>2018</v>
      </c>
      <c r="C45">
        <f t="shared" si="4"/>
        <v>8</v>
      </c>
      <c r="D45" s="30">
        <f>'Monthly Data'!F45</f>
        <v>63232261.186746724</v>
      </c>
      <c r="E45" s="33">
        <f t="shared" ref="E45:F45" ca="1" si="36">E33</f>
        <v>0</v>
      </c>
      <c r="F45" s="33">
        <f t="shared" ca="1" si="36"/>
        <v>246.315</v>
      </c>
      <c r="G45" s="18">
        <f>'Monthly Data'!Z45</f>
        <v>765060</v>
      </c>
      <c r="H45">
        <f>'Monthly Data'!BR45</f>
        <v>0</v>
      </c>
      <c r="I45" s="33">
        <f>'Monthly Data'!BT45</f>
        <v>31</v>
      </c>
      <c r="K45" s="18">
        <f>'Res Predicted Monthly'!$V$9</f>
        <v>-23284736.647811599</v>
      </c>
      <c r="L45" s="18">
        <f ca="1">E45*'Res Predicted Monthly'!$V$10</f>
        <v>0</v>
      </c>
      <c r="M45" s="18">
        <f ca="1">F45*'Res Predicted Monthly'!$V$11</f>
        <v>19750481.659556288</v>
      </c>
      <c r="N45" s="18">
        <f>G45*'Res Predicted Monthly'!$V$12</f>
        <v>14634876.650432026</v>
      </c>
      <c r="O45" s="18">
        <f>H45*'Res Predicted Monthly'!$V$13</f>
        <v>0</v>
      </c>
      <c r="P45" s="18">
        <f>I45*'Res Predicted Monthly'!$V$14</f>
        <v>48424797.051816143</v>
      </c>
      <c r="Q45" s="30">
        <f t="shared" ca="1" si="5"/>
        <v>59525418.713992856</v>
      </c>
    </row>
    <row r="46" spans="1:17" x14ac:dyDescent="0.2">
      <c r="A46" s="9">
        <f>'Monthly Data'!A46</f>
        <v>43344</v>
      </c>
      <c r="B46">
        <f t="shared" si="3"/>
        <v>2018</v>
      </c>
      <c r="C46">
        <f t="shared" si="4"/>
        <v>9</v>
      </c>
      <c r="D46" s="30">
        <f>'Monthly Data'!F46</f>
        <v>50855019.401426554</v>
      </c>
      <c r="E46" s="33">
        <f t="shared" ref="E46:F46" ca="1" si="37">E34</f>
        <v>2.2699999999999996</v>
      </c>
      <c r="F46" s="33">
        <f t="shared" ca="1" si="37"/>
        <v>146.80000000000001</v>
      </c>
      <c r="G46" s="18">
        <f>'Monthly Data'!Z46</f>
        <v>765060</v>
      </c>
      <c r="H46">
        <f>'Monthly Data'!BR46</f>
        <v>1</v>
      </c>
      <c r="I46" s="33">
        <f>'Monthly Data'!BT46</f>
        <v>30</v>
      </c>
      <c r="K46" s="18">
        <f>'Res Predicted Monthly'!$V$9</f>
        <v>-23284736.647811599</v>
      </c>
      <c r="L46" s="18">
        <f ca="1">E46*'Res Predicted Monthly'!$V$10</f>
        <v>31066.989800662901</v>
      </c>
      <c r="M46" s="18">
        <f ca="1">F46*'Res Predicted Monthly'!$V$11</f>
        <v>11770987.181547463</v>
      </c>
      <c r="N46" s="18">
        <f>G46*'Res Predicted Monthly'!$V$12</f>
        <v>14634876.650432026</v>
      </c>
      <c r="O46" s="18">
        <f>H46*'Res Predicted Monthly'!$V$13</f>
        <v>-2837598.3252266399</v>
      </c>
      <c r="P46" s="18">
        <f>I46*'Res Predicted Monthly'!$V$14</f>
        <v>46862706.824338198</v>
      </c>
      <c r="Q46" s="30">
        <f t="shared" ca="1" si="5"/>
        <v>47177302.673080109</v>
      </c>
    </row>
    <row r="47" spans="1:17" x14ac:dyDescent="0.2">
      <c r="A47" s="9">
        <f>'Monthly Data'!A47</f>
        <v>43374</v>
      </c>
      <c r="B47">
        <f t="shared" si="3"/>
        <v>2018</v>
      </c>
      <c r="C47">
        <f t="shared" si="4"/>
        <v>10</v>
      </c>
      <c r="D47" s="30">
        <f>'Monthly Data'!F47</f>
        <v>40650132.616106384</v>
      </c>
      <c r="E47" s="33">
        <f t="shared" ref="E47:F47" ca="1" si="38">E35</f>
        <v>83.800000000000011</v>
      </c>
      <c r="F47" s="33">
        <f t="shared" ca="1" si="38"/>
        <v>36.859999999999992</v>
      </c>
      <c r="G47" s="18">
        <f>'Monthly Data'!Z47</f>
        <v>771453</v>
      </c>
      <c r="H47">
        <f>'Monthly Data'!BR47</f>
        <v>1</v>
      </c>
      <c r="I47" s="33">
        <f>'Monthly Data'!BT47</f>
        <v>31</v>
      </c>
      <c r="K47" s="18">
        <f>'Res Predicted Monthly'!$V$9</f>
        <v>-23284736.647811599</v>
      </c>
      <c r="L47" s="18">
        <f ca="1">E47*'Res Predicted Monthly'!$V$10</f>
        <v>1146878.3018923136</v>
      </c>
      <c r="M47" s="18">
        <f ca="1">F47*'Res Predicted Monthly'!$V$11</f>
        <v>2955576.2092087152</v>
      </c>
      <c r="N47" s="18">
        <f>G47*'Res Predicted Monthly'!$V$12</f>
        <v>14757168.7143567</v>
      </c>
      <c r="O47" s="18">
        <f>H47*'Res Predicted Monthly'!$V$13</f>
        <v>-2837598.3252266399</v>
      </c>
      <c r="P47" s="18">
        <f>I47*'Res Predicted Monthly'!$V$14</f>
        <v>48424797.051816143</v>
      </c>
      <c r="Q47" s="30">
        <f t="shared" ca="1" si="5"/>
        <v>41162085.304235637</v>
      </c>
    </row>
    <row r="48" spans="1:17" x14ac:dyDescent="0.2">
      <c r="A48" s="9">
        <f>'Monthly Data'!A48</f>
        <v>43405</v>
      </c>
      <c r="B48">
        <f t="shared" si="3"/>
        <v>2018</v>
      </c>
      <c r="C48">
        <f t="shared" si="4"/>
        <v>11</v>
      </c>
      <c r="D48" s="30">
        <f>'Monthly Data'!F48</f>
        <v>40817846.830786213</v>
      </c>
      <c r="E48" s="33">
        <f t="shared" ref="E48:F48" ca="1" si="39">E36</f>
        <v>240.7</v>
      </c>
      <c r="F48" s="33">
        <f t="shared" ca="1" si="39"/>
        <v>3.410000000000001</v>
      </c>
      <c r="G48" s="18">
        <f>'Monthly Data'!Z48</f>
        <v>771453</v>
      </c>
      <c r="H48">
        <f>'Monthly Data'!BR48</f>
        <v>1</v>
      </c>
      <c r="I48" s="33">
        <f>'Monthly Data'!BT48</f>
        <v>30</v>
      </c>
      <c r="K48" s="18">
        <f>'Res Predicted Monthly'!$V$9</f>
        <v>-23284736.647811599</v>
      </c>
      <c r="L48" s="18">
        <f ca="1">E48*'Res Predicted Monthly'!$V$10</f>
        <v>3294195.7907575159</v>
      </c>
      <c r="M48" s="18">
        <f ca="1">F48*'Res Predicted Monthly'!$V$11</f>
        <v>273426.88207818026</v>
      </c>
      <c r="N48" s="18">
        <f>G48*'Res Predicted Monthly'!$V$12</f>
        <v>14757168.7143567</v>
      </c>
      <c r="O48" s="18">
        <f>H48*'Res Predicted Monthly'!$V$13</f>
        <v>-2837598.3252266399</v>
      </c>
      <c r="P48" s="18">
        <f>I48*'Res Predicted Monthly'!$V$14</f>
        <v>46862706.824338198</v>
      </c>
      <c r="Q48" s="30">
        <f t="shared" ca="1" si="5"/>
        <v>39065163.238492355</v>
      </c>
    </row>
    <row r="49" spans="1:17" x14ac:dyDescent="0.2">
      <c r="A49" s="9">
        <f>'Monthly Data'!A49</f>
        <v>43435</v>
      </c>
      <c r="B49">
        <f t="shared" si="3"/>
        <v>2018</v>
      </c>
      <c r="C49">
        <f t="shared" si="4"/>
        <v>12</v>
      </c>
      <c r="D49" s="30">
        <f>'Monthly Data'!F49</f>
        <v>45902493.045466043</v>
      </c>
      <c r="E49" s="33">
        <f t="shared" ref="E49:F49" ca="1" si="40">E37</f>
        <v>386.61999999999995</v>
      </c>
      <c r="F49" s="33">
        <f t="shared" ca="1" si="40"/>
        <v>0</v>
      </c>
      <c r="G49" s="18">
        <f>'Monthly Data'!Z49</f>
        <v>771453</v>
      </c>
      <c r="H49">
        <f>'Monthly Data'!BR49</f>
        <v>0</v>
      </c>
      <c r="I49" s="33">
        <f>'Monthly Data'!BT49</f>
        <v>31</v>
      </c>
      <c r="K49" s="18">
        <f>'Res Predicted Monthly'!$V$9</f>
        <v>-23284736.647811599</v>
      </c>
      <c r="L49" s="18">
        <f ca="1">E49*'Res Predicted Monthly'!$V$10</f>
        <v>5291242.1130979257</v>
      </c>
      <c r="M49" s="18">
        <f ca="1">F49*'Res Predicted Monthly'!$V$11</f>
        <v>0</v>
      </c>
      <c r="N49" s="18">
        <f>G49*'Res Predicted Monthly'!$V$12</f>
        <v>14757168.7143567</v>
      </c>
      <c r="O49" s="18">
        <f>H49*'Res Predicted Monthly'!$V$13</f>
        <v>0</v>
      </c>
      <c r="P49" s="18">
        <f>I49*'Res Predicted Monthly'!$V$14</f>
        <v>48424797.051816143</v>
      </c>
      <c r="Q49" s="30">
        <f t="shared" ca="1" si="5"/>
        <v>45188471.231459171</v>
      </c>
    </row>
    <row r="50" spans="1:17" x14ac:dyDescent="0.2">
      <c r="A50" s="9">
        <f>'Monthly Data'!A50</f>
        <v>43466</v>
      </c>
      <c r="B50">
        <f t="shared" si="3"/>
        <v>2019</v>
      </c>
      <c r="C50">
        <f t="shared" si="4"/>
        <v>1</v>
      </c>
      <c r="D50" s="30">
        <f>'Monthly Data'!F50</f>
        <v>47310902.790742546</v>
      </c>
      <c r="E50" s="33">
        <f t="shared" ref="E50:F50" ca="1" si="41">E38</f>
        <v>508.54000000000008</v>
      </c>
      <c r="F50" s="33">
        <f t="shared" ca="1" si="41"/>
        <v>0</v>
      </c>
      <c r="G50" s="18">
        <f>'Monthly Data'!Z50</f>
        <v>779459</v>
      </c>
      <c r="H50">
        <f>'Monthly Data'!BR50</f>
        <v>0</v>
      </c>
      <c r="I50" s="33">
        <f>'Monthly Data'!BT50</f>
        <v>31</v>
      </c>
      <c r="K50" s="18">
        <f>'Res Predicted Monthly'!$V$9</f>
        <v>-23284736.647811599</v>
      </c>
      <c r="L50" s="18">
        <f ca="1">E50*'Res Predicted Monthly'!$V$10</f>
        <v>6959826.8692639284</v>
      </c>
      <c r="M50" s="18">
        <f ca="1">F50*'Res Predicted Monthly'!$V$11</f>
        <v>0</v>
      </c>
      <c r="N50" s="18">
        <f>G50*'Res Predicted Monthly'!$V$12</f>
        <v>14910315.947859118</v>
      </c>
      <c r="O50" s="18">
        <f>H50*'Res Predicted Monthly'!$V$13</f>
        <v>0</v>
      </c>
      <c r="P50" s="18">
        <f>I50*'Res Predicted Monthly'!$V$14</f>
        <v>48424797.051816143</v>
      </c>
      <c r="Q50" s="30">
        <f t="shared" ca="1" si="5"/>
        <v>47010203.221127592</v>
      </c>
    </row>
    <row r="51" spans="1:17" x14ac:dyDescent="0.2">
      <c r="A51" s="9">
        <f>'Monthly Data'!A51</f>
        <v>43497</v>
      </c>
      <c r="B51">
        <f t="shared" si="3"/>
        <v>2019</v>
      </c>
      <c r="C51">
        <f t="shared" si="4"/>
        <v>2</v>
      </c>
      <c r="D51" s="30">
        <f>'Monthly Data'!F51</f>
        <v>42211303.114211284</v>
      </c>
      <c r="E51" s="33">
        <f t="shared" ref="E51:F51" ca="1" si="42">E39</f>
        <v>451.10999999999996</v>
      </c>
      <c r="F51" s="33">
        <f t="shared" ca="1" si="42"/>
        <v>0</v>
      </c>
      <c r="G51" s="18">
        <f>'Monthly Data'!Z51</f>
        <v>779459</v>
      </c>
      <c r="H51">
        <f>'Monthly Data'!BR51</f>
        <v>0</v>
      </c>
      <c r="I51" s="33">
        <f>'Monthly Data'!BT51</f>
        <v>28</v>
      </c>
      <c r="K51" s="18">
        <f>'Res Predicted Monthly'!$V$9</f>
        <v>-23284736.647811599</v>
      </c>
      <c r="L51" s="18">
        <f ca="1">E51*'Res Predicted Monthly'!$V$10</f>
        <v>6173845.7132057454</v>
      </c>
      <c r="M51" s="18">
        <f ca="1">F51*'Res Predicted Monthly'!$V$11</f>
        <v>0</v>
      </c>
      <c r="N51" s="18">
        <f>G51*'Res Predicted Monthly'!$V$12</f>
        <v>14910315.947859118</v>
      </c>
      <c r="O51" s="18">
        <f>H51*'Res Predicted Monthly'!$V$13</f>
        <v>0</v>
      </c>
      <c r="P51" s="18">
        <f>I51*'Res Predicted Monthly'!$V$14</f>
        <v>43738526.369382322</v>
      </c>
      <c r="Q51" s="30">
        <f t="shared" ca="1" si="5"/>
        <v>41537951.382635586</v>
      </c>
    </row>
    <row r="52" spans="1:17" x14ac:dyDescent="0.2">
      <c r="A52" s="9">
        <f>'Monthly Data'!A52</f>
        <v>43525</v>
      </c>
      <c r="B52">
        <f t="shared" si="3"/>
        <v>2019</v>
      </c>
      <c r="C52">
        <f t="shared" si="4"/>
        <v>3</v>
      </c>
      <c r="D52" s="30">
        <f>'Monthly Data'!F52</f>
        <v>42541593.437680028</v>
      </c>
      <c r="E52" s="33">
        <f t="shared" ref="E52:F52" ca="1" si="43">E40</f>
        <v>374.74</v>
      </c>
      <c r="F52" s="33">
        <f t="shared" ca="1" si="43"/>
        <v>0</v>
      </c>
      <c r="G52" s="18">
        <f>'Monthly Data'!Z52</f>
        <v>779459</v>
      </c>
      <c r="H52">
        <f>'Monthly Data'!BR52</f>
        <v>1</v>
      </c>
      <c r="I52" s="33">
        <f>'Monthly Data'!BT52</f>
        <v>31</v>
      </c>
      <c r="K52" s="18">
        <f>'Res Predicted Monthly'!$V$9</f>
        <v>-23284736.647811599</v>
      </c>
      <c r="L52" s="18">
        <f ca="1">E52*'Res Predicted Monthly'!$V$10</f>
        <v>5128653.6378415944</v>
      </c>
      <c r="M52" s="18">
        <f ca="1">F52*'Res Predicted Monthly'!$V$11</f>
        <v>0</v>
      </c>
      <c r="N52" s="18">
        <f>G52*'Res Predicted Monthly'!$V$12</f>
        <v>14910315.947859118</v>
      </c>
      <c r="O52" s="18">
        <f>H52*'Res Predicted Monthly'!$V$13</f>
        <v>-2837598.3252266399</v>
      </c>
      <c r="P52" s="18">
        <f>I52*'Res Predicted Monthly'!$V$14</f>
        <v>48424797.051816143</v>
      </c>
      <c r="Q52" s="30">
        <f t="shared" ca="1" si="5"/>
        <v>42341431.664478615</v>
      </c>
    </row>
    <row r="53" spans="1:17" x14ac:dyDescent="0.2">
      <c r="A53" s="9">
        <f>'Monthly Data'!A53</f>
        <v>43556</v>
      </c>
      <c r="B53">
        <f t="shared" si="3"/>
        <v>2019</v>
      </c>
      <c r="C53">
        <f t="shared" si="4"/>
        <v>4</v>
      </c>
      <c r="D53" s="30">
        <f>'Monthly Data'!F53</f>
        <v>37536349.761148773</v>
      </c>
      <c r="E53" s="33">
        <f t="shared" ref="E53:F53" ca="1" si="44">E41</f>
        <v>221.12999999999997</v>
      </c>
      <c r="F53" s="33">
        <f t="shared" ca="1" si="44"/>
        <v>2.6300000000000003</v>
      </c>
      <c r="G53" s="18">
        <f>'Monthly Data'!Z53</f>
        <v>784896</v>
      </c>
      <c r="H53">
        <f>'Monthly Data'!BR53</f>
        <v>1</v>
      </c>
      <c r="I53" s="33">
        <f>'Monthly Data'!BT53</f>
        <v>30</v>
      </c>
      <c r="K53" s="18">
        <f>'Res Predicted Monthly'!$V$9</f>
        <v>-23284736.647811599</v>
      </c>
      <c r="L53" s="18">
        <f ca="1">E53*'Res Predicted Monthly'!$V$10</f>
        <v>3026362.755339466</v>
      </c>
      <c r="M53" s="18">
        <f ca="1">F53*'Res Predicted Monthly'!$V$11</f>
        <v>210883.48969666098</v>
      </c>
      <c r="N53" s="18">
        <f>G53*'Res Predicted Monthly'!$V$12</f>
        <v>15014320.632914405</v>
      </c>
      <c r="O53" s="18">
        <f>H53*'Res Predicted Monthly'!$V$13</f>
        <v>-2837598.3252266399</v>
      </c>
      <c r="P53" s="18">
        <f>I53*'Res Predicted Monthly'!$V$14</f>
        <v>46862706.824338198</v>
      </c>
      <c r="Q53" s="30">
        <f t="shared" ca="1" si="5"/>
        <v>38991938.729250491</v>
      </c>
    </row>
    <row r="54" spans="1:17" x14ac:dyDescent="0.2">
      <c r="A54" s="9">
        <f>'Monthly Data'!A54</f>
        <v>43586</v>
      </c>
      <c r="B54">
        <f t="shared" si="3"/>
        <v>2019</v>
      </c>
      <c r="C54">
        <f t="shared" si="4"/>
        <v>5</v>
      </c>
      <c r="D54" s="30">
        <f>'Monthly Data'!F54</f>
        <v>38099337.08461751</v>
      </c>
      <c r="E54" s="33">
        <f t="shared" ref="E54:F54" ca="1" si="45">E42</f>
        <v>74.8</v>
      </c>
      <c r="F54" s="33">
        <f t="shared" ca="1" si="45"/>
        <v>50.489999999999995</v>
      </c>
      <c r="G54" s="18">
        <f>'Monthly Data'!Z54</f>
        <v>784896</v>
      </c>
      <c r="H54">
        <f>'Monthly Data'!BR54</f>
        <v>1</v>
      </c>
      <c r="I54" s="33">
        <f>'Monthly Data'!BT54</f>
        <v>31</v>
      </c>
      <c r="K54" s="18">
        <f>'Res Predicted Monthly'!$V$9</f>
        <v>-23284736.647811599</v>
      </c>
      <c r="L54" s="18">
        <f ca="1">E54*'Res Predicted Monthly'!$V$10</f>
        <v>1023705.2145769099</v>
      </c>
      <c r="M54" s="18">
        <f ca="1">F54*'Res Predicted Monthly'!$V$11</f>
        <v>4048481.8991575702</v>
      </c>
      <c r="N54" s="18">
        <f>G54*'Res Predicted Monthly'!$V$12</f>
        <v>15014320.632914405</v>
      </c>
      <c r="O54" s="18">
        <f>H54*'Res Predicted Monthly'!$V$13</f>
        <v>-2837598.3252266399</v>
      </c>
      <c r="P54" s="18">
        <f>I54*'Res Predicted Monthly'!$V$14</f>
        <v>48424797.051816143</v>
      </c>
      <c r="Q54" s="30">
        <f t="shared" ca="1" si="5"/>
        <v>42388969.825426787</v>
      </c>
    </row>
    <row r="55" spans="1:17" x14ac:dyDescent="0.2">
      <c r="A55" s="9">
        <f>'Monthly Data'!A55</f>
        <v>43617</v>
      </c>
      <c r="B55">
        <f t="shared" si="3"/>
        <v>2019</v>
      </c>
      <c r="C55">
        <f t="shared" si="4"/>
        <v>6</v>
      </c>
      <c r="D55" s="30">
        <f>'Monthly Data'!F55</f>
        <v>45232822.408086255</v>
      </c>
      <c r="E55" s="33">
        <f t="shared" ref="E55:F55" ca="1" si="46">E43</f>
        <v>2.15</v>
      </c>
      <c r="F55" s="33">
        <f t="shared" ca="1" si="46"/>
        <v>154.05000000000001</v>
      </c>
      <c r="G55" s="18">
        <f>'Monthly Data'!Z55</f>
        <v>784896</v>
      </c>
      <c r="H55">
        <f>'Monthly Data'!BR55</f>
        <v>0</v>
      </c>
      <c r="I55" s="33">
        <f>'Monthly Data'!BT55</f>
        <v>30</v>
      </c>
      <c r="K55" s="18">
        <f>'Res Predicted Monthly'!$V$9</f>
        <v>-23284736.647811599</v>
      </c>
      <c r="L55" s="18">
        <f ca="1">E55*'Res Predicted Monthly'!$V$10</f>
        <v>29424.681969790858</v>
      </c>
      <c r="M55" s="18">
        <f ca="1">F55*'Res Predicted Monthly'!$V$11</f>
        <v>12352319.995350046</v>
      </c>
      <c r="N55" s="18">
        <f>G55*'Res Predicted Monthly'!$V$12</f>
        <v>15014320.632914405</v>
      </c>
      <c r="O55" s="18">
        <f>H55*'Res Predicted Monthly'!$V$13</f>
        <v>0</v>
      </c>
      <c r="P55" s="18">
        <f>I55*'Res Predicted Monthly'!$V$14</f>
        <v>46862706.824338198</v>
      </c>
      <c r="Q55" s="30">
        <f t="shared" ca="1" si="5"/>
        <v>50974035.48676084</v>
      </c>
    </row>
    <row r="56" spans="1:17" x14ac:dyDescent="0.2">
      <c r="A56" s="9">
        <f>'Monthly Data'!A56</f>
        <v>43647</v>
      </c>
      <c r="B56">
        <f t="shared" si="3"/>
        <v>2019</v>
      </c>
      <c r="C56">
        <f t="shared" si="4"/>
        <v>7</v>
      </c>
      <c r="D56" s="30">
        <f>'Monthly Data'!F56</f>
        <v>63142023.731554992</v>
      </c>
      <c r="E56" s="33">
        <f t="shared" ref="E56:F56" ca="1" si="47">E44</f>
        <v>0</v>
      </c>
      <c r="F56" s="33">
        <f t="shared" ca="1" si="47"/>
        <v>267.66999999999996</v>
      </c>
      <c r="G56" s="18">
        <f>'Monthly Data'!Z56</f>
        <v>794140</v>
      </c>
      <c r="H56">
        <f>'Monthly Data'!BR56</f>
        <v>0</v>
      </c>
      <c r="I56" s="33">
        <f>'Monthly Data'!BT56</f>
        <v>31</v>
      </c>
      <c r="K56" s="18">
        <f>'Res Predicted Monthly'!$V$9</f>
        <v>-23284736.647811599</v>
      </c>
      <c r="L56" s="18">
        <f ca="1">E56*'Res Predicted Monthly'!$V$10</f>
        <v>0</v>
      </c>
      <c r="M56" s="18">
        <f ca="1">F56*'Res Predicted Monthly'!$V$11</f>
        <v>21462807.485591341</v>
      </c>
      <c r="N56" s="18">
        <f>G56*'Res Predicted Monthly'!$V$12</f>
        <v>15191149.639471529</v>
      </c>
      <c r="O56" s="18">
        <f>H56*'Res Predicted Monthly'!$V$13</f>
        <v>0</v>
      </c>
      <c r="P56" s="18">
        <f>I56*'Res Predicted Monthly'!$V$14</f>
        <v>48424797.051816143</v>
      </c>
      <c r="Q56" s="30">
        <f t="shared" ca="1" si="5"/>
        <v>61794017.529067412</v>
      </c>
    </row>
    <row r="57" spans="1:17" x14ac:dyDescent="0.2">
      <c r="A57" s="9">
        <f>'Monthly Data'!A57</f>
        <v>43678</v>
      </c>
      <c r="B57">
        <f t="shared" si="3"/>
        <v>2019</v>
      </c>
      <c r="C57">
        <f t="shared" si="4"/>
        <v>8</v>
      </c>
      <c r="D57" s="30">
        <f>'Monthly Data'!F57</f>
        <v>58238131.055023737</v>
      </c>
      <c r="E57" s="33">
        <f t="shared" ref="E57:F57" ca="1" si="48">E45</f>
        <v>0</v>
      </c>
      <c r="F57" s="33">
        <f t="shared" ca="1" si="48"/>
        <v>246.315</v>
      </c>
      <c r="G57" s="18">
        <f>'Monthly Data'!Z57</f>
        <v>794140</v>
      </c>
      <c r="H57">
        <f>'Monthly Data'!BR57</f>
        <v>0</v>
      </c>
      <c r="I57" s="33">
        <f>'Monthly Data'!BT57</f>
        <v>31</v>
      </c>
      <c r="K57" s="18">
        <f>'Res Predicted Monthly'!$V$9</f>
        <v>-23284736.647811599</v>
      </c>
      <c r="L57" s="18">
        <f ca="1">E57*'Res Predicted Monthly'!$V$10</f>
        <v>0</v>
      </c>
      <c r="M57" s="18">
        <f ca="1">F57*'Res Predicted Monthly'!$V$11</f>
        <v>19750481.659556288</v>
      </c>
      <c r="N57" s="18">
        <f>G57*'Res Predicted Monthly'!$V$12</f>
        <v>15191149.639471529</v>
      </c>
      <c r="O57" s="18">
        <f>H57*'Res Predicted Monthly'!$V$13</f>
        <v>0</v>
      </c>
      <c r="P57" s="18">
        <f>I57*'Res Predicted Monthly'!$V$14</f>
        <v>48424797.051816143</v>
      </c>
      <c r="Q57" s="30">
        <f t="shared" ca="1" si="5"/>
        <v>60081691.703032359</v>
      </c>
    </row>
    <row r="58" spans="1:17" x14ac:dyDescent="0.2">
      <c r="A58" s="9">
        <f>'Monthly Data'!A58</f>
        <v>43709</v>
      </c>
      <c r="B58">
        <f t="shared" si="3"/>
        <v>2019</v>
      </c>
      <c r="C58">
        <f t="shared" si="4"/>
        <v>9</v>
      </c>
      <c r="D58" s="30">
        <f>'Monthly Data'!F58</f>
        <v>44304376.378492482</v>
      </c>
      <c r="E58" s="33">
        <f t="shared" ref="E58:F58" ca="1" si="49">E46</f>
        <v>2.2699999999999996</v>
      </c>
      <c r="F58" s="33">
        <f t="shared" ca="1" si="49"/>
        <v>146.80000000000001</v>
      </c>
      <c r="G58" s="18">
        <f>'Monthly Data'!Z58</f>
        <v>794140</v>
      </c>
      <c r="H58">
        <f>'Monthly Data'!BR58</f>
        <v>1</v>
      </c>
      <c r="I58" s="33">
        <f>'Monthly Data'!BT58</f>
        <v>30</v>
      </c>
      <c r="K58" s="18">
        <f>'Res Predicted Monthly'!$V$9</f>
        <v>-23284736.647811599</v>
      </c>
      <c r="L58" s="18">
        <f ca="1">E58*'Res Predicted Monthly'!$V$10</f>
        <v>31066.989800662901</v>
      </c>
      <c r="M58" s="18">
        <f ca="1">F58*'Res Predicted Monthly'!$V$11</f>
        <v>11770987.181547463</v>
      </c>
      <c r="N58" s="18">
        <f>G58*'Res Predicted Monthly'!$V$12</f>
        <v>15191149.639471529</v>
      </c>
      <c r="O58" s="18">
        <f>H58*'Res Predicted Monthly'!$V$13</f>
        <v>-2837598.3252266399</v>
      </c>
      <c r="P58" s="18">
        <f>I58*'Res Predicted Monthly'!$V$14</f>
        <v>46862706.824338198</v>
      </c>
      <c r="Q58" s="30">
        <f t="shared" ca="1" si="5"/>
        <v>47733575.662119612</v>
      </c>
    </row>
    <row r="59" spans="1:17" x14ac:dyDescent="0.2">
      <c r="A59" s="9">
        <f>'Monthly Data'!A59</f>
        <v>43739</v>
      </c>
      <c r="B59">
        <f t="shared" si="3"/>
        <v>2019</v>
      </c>
      <c r="C59">
        <f t="shared" si="4"/>
        <v>10</v>
      </c>
      <c r="D59" s="30">
        <f>'Monthly Data'!F59</f>
        <v>39423259.701961219</v>
      </c>
      <c r="E59" s="33">
        <f t="shared" ref="E59:F59" ca="1" si="50">E47</f>
        <v>83.800000000000011</v>
      </c>
      <c r="F59" s="33">
        <f t="shared" ca="1" si="50"/>
        <v>36.859999999999992</v>
      </c>
      <c r="G59" s="18">
        <f>'Monthly Data'!Z59</f>
        <v>799632</v>
      </c>
      <c r="H59">
        <f>'Monthly Data'!BR59</f>
        <v>1</v>
      </c>
      <c r="I59" s="33">
        <f>'Monthly Data'!BT59</f>
        <v>31</v>
      </c>
      <c r="K59" s="18">
        <f>'Res Predicted Monthly'!$V$9</f>
        <v>-23284736.647811599</v>
      </c>
      <c r="L59" s="18">
        <f ca="1">E59*'Res Predicted Monthly'!$V$10</f>
        <v>1146878.3018923136</v>
      </c>
      <c r="M59" s="18">
        <f ca="1">F59*'Res Predicted Monthly'!$V$11</f>
        <v>2955576.2092087152</v>
      </c>
      <c r="N59" s="18">
        <f>G59*'Res Predicted Monthly'!$V$12</f>
        <v>15296206.42268353</v>
      </c>
      <c r="O59" s="18">
        <f>H59*'Res Predicted Monthly'!$V$13</f>
        <v>-2837598.3252266399</v>
      </c>
      <c r="P59" s="18">
        <f>I59*'Res Predicted Monthly'!$V$14</f>
        <v>48424797.051816143</v>
      </c>
      <c r="Q59" s="30">
        <f t="shared" ca="1" si="5"/>
        <v>41701123.012562461</v>
      </c>
    </row>
    <row r="60" spans="1:17" x14ac:dyDescent="0.2">
      <c r="A60" s="9">
        <f>'Monthly Data'!A60</f>
        <v>43770</v>
      </c>
      <c r="B60">
        <f t="shared" si="3"/>
        <v>2019</v>
      </c>
      <c r="C60">
        <f t="shared" si="4"/>
        <v>11</v>
      </c>
      <c r="D60" s="30">
        <f>'Monthly Data'!F60</f>
        <v>40460397.025429964</v>
      </c>
      <c r="E60" s="33">
        <f t="shared" ref="E60:F60" ca="1" si="51">E48</f>
        <v>240.7</v>
      </c>
      <c r="F60" s="33">
        <f t="shared" ca="1" si="51"/>
        <v>3.410000000000001</v>
      </c>
      <c r="G60" s="18">
        <f>'Monthly Data'!Z60</f>
        <v>799632</v>
      </c>
      <c r="H60">
        <f>'Monthly Data'!BR60</f>
        <v>1</v>
      </c>
      <c r="I60" s="33">
        <f>'Monthly Data'!BT60</f>
        <v>30</v>
      </c>
      <c r="K60" s="18">
        <f>'Res Predicted Monthly'!$V$9</f>
        <v>-23284736.647811599</v>
      </c>
      <c r="L60" s="18">
        <f ca="1">E60*'Res Predicted Monthly'!$V$10</f>
        <v>3294195.7907575159</v>
      </c>
      <c r="M60" s="18">
        <f ca="1">F60*'Res Predicted Monthly'!$V$11</f>
        <v>273426.88207818026</v>
      </c>
      <c r="N60" s="18">
        <f>G60*'Res Predicted Monthly'!$V$12</f>
        <v>15296206.42268353</v>
      </c>
      <c r="O60" s="18">
        <f>H60*'Res Predicted Monthly'!$V$13</f>
        <v>-2837598.3252266399</v>
      </c>
      <c r="P60" s="18">
        <f>I60*'Res Predicted Monthly'!$V$14</f>
        <v>46862706.824338198</v>
      </c>
      <c r="Q60" s="30">
        <f t="shared" ca="1" si="5"/>
        <v>39604200.946819186</v>
      </c>
    </row>
    <row r="61" spans="1:17" x14ac:dyDescent="0.2">
      <c r="A61" s="9">
        <f>'Monthly Data'!A61</f>
        <v>43800</v>
      </c>
      <c r="B61">
        <f t="shared" si="3"/>
        <v>2019</v>
      </c>
      <c r="C61">
        <f t="shared" si="4"/>
        <v>12</v>
      </c>
      <c r="D61" s="30">
        <f>'Monthly Data'!F61</f>
        <v>45553447.348898709</v>
      </c>
      <c r="E61" s="33">
        <f t="shared" ref="E61:F61" ca="1" si="52">E49</f>
        <v>386.61999999999995</v>
      </c>
      <c r="F61" s="33">
        <f t="shared" ca="1" si="52"/>
        <v>0</v>
      </c>
      <c r="G61" s="18">
        <f>'Monthly Data'!Z61</f>
        <v>799632</v>
      </c>
      <c r="H61">
        <f>'Monthly Data'!BR61</f>
        <v>0</v>
      </c>
      <c r="I61" s="33">
        <f>'Monthly Data'!BT61</f>
        <v>31</v>
      </c>
      <c r="K61" s="18">
        <f>'Res Predicted Monthly'!$V$9</f>
        <v>-23284736.647811599</v>
      </c>
      <c r="L61" s="18">
        <f ca="1">E61*'Res Predicted Monthly'!$V$10</f>
        <v>5291242.1130979257</v>
      </c>
      <c r="M61" s="18">
        <f ca="1">F61*'Res Predicted Monthly'!$V$11</f>
        <v>0</v>
      </c>
      <c r="N61" s="18">
        <f>G61*'Res Predicted Monthly'!$V$12</f>
        <v>15296206.42268353</v>
      </c>
      <c r="O61" s="18">
        <f>H61*'Res Predicted Monthly'!$V$13</f>
        <v>0</v>
      </c>
      <c r="P61" s="18">
        <f>I61*'Res Predicted Monthly'!$V$14</f>
        <v>48424797.051816143</v>
      </c>
      <c r="Q61" s="30">
        <f t="shared" ca="1" si="5"/>
        <v>45727508.939786002</v>
      </c>
    </row>
    <row r="62" spans="1:17" x14ac:dyDescent="0.2">
      <c r="A62" s="9">
        <f>'Monthly Data'!A62</f>
        <v>43831</v>
      </c>
      <c r="B62">
        <f t="shared" ref="B62:B109" si="53">YEAR(A62)</f>
        <v>2020</v>
      </c>
      <c r="C62">
        <f t="shared" ref="C62:C109" si="54">MONTH(A62)</f>
        <v>1</v>
      </c>
      <c r="D62" s="30">
        <f>'Monthly Data'!F62</f>
        <v>44911593.71344091</v>
      </c>
      <c r="E62" s="33">
        <f t="shared" ref="E62:F62" ca="1" si="55">E50</f>
        <v>508.54000000000008</v>
      </c>
      <c r="F62" s="33">
        <f t="shared" ca="1" si="55"/>
        <v>0</v>
      </c>
      <c r="G62" s="18">
        <f>'Monthly Data'!Z62</f>
        <v>800724</v>
      </c>
      <c r="H62">
        <f>'Monthly Data'!BR62</f>
        <v>0</v>
      </c>
      <c r="I62" s="33">
        <f>'Monthly Data'!BT62</f>
        <v>31</v>
      </c>
      <c r="K62" s="18">
        <f>'Res Predicted Monthly'!$V$9</f>
        <v>-23284736.647811599</v>
      </c>
      <c r="L62" s="18">
        <f ca="1">E62*'Res Predicted Monthly'!$V$10</f>
        <v>6959826.8692639284</v>
      </c>
      <c r="M62" s="18">
        <f ca="1">F62*'Res Predicted Monthly'!$V$11</f>
        <v>0</v>
      </c>
      <c r="N62" s="18">
        <f>G62*'Res Predicted Monthly'!$V$12</f>
        <v>15317095.353358604</v>
      </c>
      <c r="O62" s="18">
        <f>H62*'Res Predicted Monthly'!$V$13</f>
        <v>0</v>
      </c>
      <c r="P62" s="18">
        <f>I62*'Res Predicted Monthly'!$V$14</f>
        <v>48424797.051816143</v>
      </c>
      <c r="Q62" s="30">
        <f t="shared" ca="1" si="5"/>
        <v>47416982.626627073</v>
      </c>
    </row>
    <row r="63" spans="1:17" x14ac:dyDescent="0.2">
      <c r="A63" s="9">
        <f>'Monthly Data'!A63</f>
        <v>43862</v>
      </c>
      <c r="B63">
        <f t="shared" si="53"/>
        <v>2020</v>
      </c>
      <c r="C63">
        <f t="shared" si="54"/>
        <v>2</v>
      </c>
      <c r="D63" s="30">
        <f>'Monthly Data'!F63</f>
        <v>40905172.199256942</v>
      </c>
      <c r="E63" s="33">
        <f t="shared" ref="E63:F63" ca="1" si="56">E51</f>
        <v>451.10999999999996</v>
      </c>
      <c r="F63" s="33">
        <f t="shared" ca="1" si="56"/>
        <v>0</v>
      </c>
      <c r="G63" s="18">
        <f>'Monthly Data'!Z63</f>
        <v>800724</v>
      </c>
      <c r="H63">
        <f>'Monthly Data'!BR63</f>
        <v>0</v>
      </c>
      <c r="I63" s="33">
        <f>'Monthly Data'!BT63</f>
        <v>29</v>
      </c>
      <c r="K63" s="18">
        <f>'Res Predicted Monthly'!$V$9</f>
        <v>-23284736.647811599</v>
      </c>
      <c r="L63" s="18">
        <f ca="1">E63*'Res Predicted Monthly'!$V$10</f>
        <v>6173845.7132057454</v>
      </c>
      <c r="M63" s="18">
        <f ca="1">F63*'Res Predicted Monthly'!$V$11</f>
        <v>0</v>
      </c>
      <c r="N63" s="18">
        <f>G63*'Res Predicted Monthly'!$V$12</f>
        <v>15317095.353358604</v>
      </c>
      <c r="O63" s="18">
        <f>H63*'Res Predicted Monthly'!$V$13</f>
        <v>0</v>
      </c>
      <c r="P63" s="18">
        <f>I63*'Res Predicted Monthly'!$V$14</f>
        <v>45300616.59686026</v>
      </c>
      <c r="Q63" s="30">
        <f t="shared" ca="1" si="5"/>
        <v>43506821.015613012</v>
      </c>
    </row>
    <row r="64" spans="1:17" x14ac:dyDescent="0.2">
      <c r="A64" s="9">
        <f>'Monthly Data'!A64</f>
        <v>43891</v>
      </c>
      <c r="B64">
        <f t="shared" si="53"/>
        <v>2020</v>
      </c>
      <c r="C64">
        <f t="shared" si="54"/>
        <v>3</v>
      </c>
      <c r="D64" s="30">
        <f>'Monthly Data'!F64</f>
        <v>42164842.685072981</v>
      </c>
      <c r="E64" s="33">
        <f t="shared" ref="E64:F64" ca="1" si="57">E52</f>
        <v>374.74</v>
      </c>
      <c r="F64" s="33">
        <f t="shared" ca="1" si="57"/>
        <v>0</v>
      </c>
      <c r="G64" s="18">
        <f>'Monthly Data'!Z64</f>
        <v>800724</v>
      </c>
      <c r="H64">
        <f>'Monthly Data'!BR64</f>
        <v>1</v>
      </c>
      <c r="I64" s="33">
        <f>'Monthly Data'!BT64</f>
        <v>31</v>
      </c>
      <c r="K64" s="18">
        <f>'Res Predicted Monthly'!$V$9</f>
        <v>-23284736.647811599</v>
      </c>
      <c r="L64" s="18">
        <f ca="1">E64*'Res Predicted Monthly'!$V$10</f>
        <v>5128653.6378415944</v>
      </c>
      <c r="M64" s="18">
        <f ca="1">F64*'Res Predicted Monthly'!$V$11</f>
        <v>0</v>
      </c>
      <c r="N64" s="18">
        <f>G64*'Res Predicted Monthly'!$V$12</f>
        <v>15317095.353358604</v>
      </c>
      <c r="O64" s="18">
        <f>H64*'Res Predicted Monthly'!$V$13</f>
        <v>-2837598.3252266399</v>
      </c>
      <c r="P64" s="18">
        <f>I64*'Res Predicted Monthly'!$V$14</f>
        <v>48424797.051816143</v>
      </c>
      <c r="Q64" s="30">
        <f t="shared" ca="1" si="5"/>
        <v>42748211.069978103</v>
      </c>
    </row>
    <row r="65" spans="1:17" x14ac:dyDescent="0.2">
      <c r="A65" s="9">
        <f>'Monthly Data'!A65</f>
        <v>43922</v>
      </c>
      <c r="B65">
        <f t="shared" si="53"/>
        <v>2020</v>
      </c>
      <c r="C65">
        <f t="shared" si="54"/>
        <v>4</v>
      </c>
      <c r="D65" s="30">
        <f>'Monthly Data'!F65</f>
        <v>40550697.17088902</v>
      </c>
      <c r="E65" s="33">
        <f t="shared" ref="E65:F65" ca="1" si="58">E53</f>
        <v>221.12999999999997</v>
      </c>
      <c r="F65" s="33">
        <f t="shared" ca="1" si="58"/>
        <v>2.6300000000000003</v>
      </c>
      <c r="G65" s="18">
        <f>'Monthly Data'!Z65</f>
        <v>806630</v>
      </c>
      <c r="H65">
        <f>'Monthly Data'!BR65</f>
        <v>1</v>
      </c>
      <c r="I65" s="33">
        <f>'Monthly Data'!BT65</f>
        <v>30</v>
      </c>
      <c r="K65" s="18">
        <f>'Res Predicted Monthly'!$V$9</f>
        <v>-23284736.647811599</v>
      </c>
      <c r="L65" s="18">
        <f ca="1">E65*'Res Predicted Monthly'!$V$10</f>
        <v>3026362.755339466</v>
      </c>
      <c r="M65" s="18">
        <f ca="1">F65*'Res Predicted Monthly'!$V$11</f>
        <v>210883.48969666098</v>
      </c>
      <c r="N65" s="18">
        <f>G65*'Res Predicted Monthly'!$V$12</f>
        <v>15430071.566332033</v>
      </c>
      <c r="O65" s="18">
        <f>H65*'Res Predicted Monthly'!$V$13</f>
        <v>-2837598.3252266399</v>
      </c>
      <c r="P65" s="18">
        <f>I65*'Res Predicted Monthly'!$V$14</f>
        <v>46862706.824338198</v>
      </c>
      <c r="Q65" s="30">
        <f t="shared" ca="1" si="5"/>
        <v>39407689.662668116</v>
      </c>
    </row>
    <row r="66" spans="1:17" x14ac:dyDescent="0.2">
      <c r="A66" s="9">
        <f>'Monthly Data'!A66</f>
        <v>43952</v>
      </c>
      <c r="B66">
        <f t="shared" si="53"/>
        <v>2020</v>
      </c>
      <c r="C66">
        <f t="shared" si="54"/>
        <v>5</v>
      </c>
      <c r="D66" s="30">
        <f>'Monthly Data'!F66</f>
        <v>45655296.656705059</v>
      </c>
      <c r="E66" s="33">
        <f t="shared" ref="E66:F66" ca="1" si="59">E54</f>
        <v>74.8</v>
      </c>
      <c r="F66" s="33">
        <f t="shared" ca="1" si="59"/>
        <v>50.489999999999995</v>
      </c>
      <c r="G66" s="18">
        <f>'Monthly Data'!Z66</f>
        <v>806630</v>
      </c>
      <c r="H66">
        <f>'Monthly Data'!BR66</f>
        <v>1</v>
      </c>
      <c r="I66" s="33">
        <f>'Monthly Data'!BT66</f>
        <v>31</v>
      </c>
      <c r="K66" s="18">
        <f>'Res Predicted Monthly'!$V$9</f>
        <v>-23284736.647811599</v>
      </c>
      <c r="L66" s="18">
        <f ca="1">E66*'Res Predicted Monthly'!$V$10</f>
        <v>1023705.2145769099</v>
      </c>
      <c r="M66" s="18">
        <f ca="1">F66*'Res Predicted Monthly'!$V$11</f>
        <v>4048481.8991575702</v>
      </c>
      <c r="N66" s="18">
        <f>G66*'Res Predicted Monthly'!$V$12</f>
        <v>15430071.566332033</v>
      </c>
      <c r="O66" s="18">
        <f>H66*'Res Predicted Monthly'!$V$13</f>
        <v>-2837598.3252266399</v>
      </c>
      <c r="P66" s="18">
        <f>I66*'Res Predicted Monthly'!$V$14</f>
        <v>48424797.051816143</v>
      </c>
      <c r="Q66" s="30">
        <f t="shared" ca="1" si="5"/>
        <v>42804720.75884442</v>
      </c>
    </row>
    <row r="67" spans="1:17" x14ac:dyDescent="0.2">
      <c r="A67" s="9">
        <f>'Monthly Data'!A67</f>
        <v>43983</v>
      </c>
      <c r="B67">
        <f t="shared" si="53"/>
        <v>2020</v>
      </c>
      <c r="C67">
        <f t="shared" si="54"/>
        <v>6</v>
      </c>
      <c r="D67" s="30">
        <f>'Monthly Data'!F67</f>
        <v>59532998.142521091</v>
      </c>
      <c r="E67" s="33">
        <f t="shared" ref="E67:F67" ca="1" si="60">E55</f>
        <v>2.15</v>
      </c>
      <c r="F67" s="33">
        <f t="shared" ca="1" si="60"/>
        <v>154.05000000000001</v>
      </c>
      <c r="G67" s="18">
        <f>'Monthly Data'!Z67</f>
        <v>806630</v>
      </c>
      <c r="H67">
        <f>'Monthly Data'!BR67</f>
        <v>0</v>
      </c>
      <c r="I67" s="33">
        <f>'Monthly Data'!BT67</f>
        <v>30</v>
      </c>
      <c r="K67" s="18">
        <f>'Res Predicted Monthly'!$V$9</f>
        <v>-23284736.647811599</v>
      </c>
      <c r="L67" s="18">
        <f ca="1">E67*'Res Predicted Monthly'!$V$10</f>
        <v>29424.681969790858</v>
      </c>
      <c r="M67" s="18">
        <f ca="1">F67*'Res Predicted Monthly'!$V$11</f>
        <v>12352319.995350046</v>
      </c>
      <c r="N67" s="18">
        <f>G67*'Res Predicted Monthly'!$V$12</f>
        <v>15430071.566332033</v>
      </c>
      <c r="O67" s="18">
        <f>H67*'Res Predicted Monthly'!$V$13</f>
        <v>0</v>
      </c>
      <c r="P67" s="18">
        <f>I67*'Res Predicted Monthly'!$V$14</f>
        <v>46862706.824338198</v>
      </c>
      <c r="Q67" s="30">
        <f t="shared" ca="1" si="5"/>
        <v>51389786.420178473</v>
      </c>
    </row>
    <row r="68" spans="1:17" x14ac:dyDescent="0.2">
      <c r="A68" s="9">
        <f>'Monthly Data'!A68</f>
        <v>44013</v>
      </c>
      <c r="B68">
        <f t="shared" si="53"/>
        <v>2020</v>
      </c>
      <c r="C68">
        <f t="shared" si="54"/>
        <v>7</v>
      </c>
      <c r="D68" s="30">
        <f>'Monthly Data'!F68</f>
        <v>72305754.62833713</v>
      </c>
      <c r="E68" s="33">
        <f t="shared" ref="E68:F68" ca="1" si="61">E56</f>
        <v>0</v>
      </c>
      <c r="F68" s="33">
        <f t="shared" ca="1" si="61"/>
        <v>267.66999999999996</v>
      </c>
      <c r="G68" s="18">
        <f>'Monthly Data'!Z68</f>
        <v>810347</v>
      </c>
      <c r="H68">
        <f>'Monthly Data'!BR68</f>
        <v>0</v>
      </c>
      <c r="I68" s="33">
        <f>'Monthly Data'!BT68</f>
        <v>31</v>
      </c>
      <c r="K68" s="18">
        <f>'Res Predicted Monthly'!$V$9</f>
        <v>-23284736.647811599</v>
      </c>
      <c r="L68" s="18">
        <f ca="1">E68*'Res Predicted Monthly'!$V$10</f>
        <v>0</v>
      </c>
      <c r="M68" s="18">
        <f ca="1">F68*'Res Predicted Monthly'!$V$11</f>
        <v>21462807.485591341</v>
      </c>
      <c r="N68" s="18">
        <f>G68*'Res Predicted Monthly'!$V$12</f>
        <v>15501174.272668339</v>
      </c>
      <c r="O68" s="18">
        <f>H68*'Res Predicted Monthly'!$V$13</f>
        <v>0</v>
      </c>
      <c r="P68" s="18">
        <f>I68*'Res Predicted Monthly'!$V$14</f>
        <v>48424797.051816143</v>
      </c>
      <c r="Q68" s="30">
        <f t="shared" ca="1" si="5"/>
        <v>62104042.162264228</v>
      </c>
    </row>
    <row r="69" spans="1:17" x14ac:dyDescent="0.2">
      <c r="A69" s="9">
        <f>'Monthly Data'!A69</f>
        <v>44044</v>
      </c>
      <c r="B69">
        <f t="shared" si="53"/>
        <v>2020</v>
      </c>
      <c r="C69">
        <f t="shared" si="54"/>
        <v>8</v>
      </c>
      <c r="D69" s="30">
        <f>'Monthly Data'!F69</f>
        <v>63879386.114153169</v>
      </c>
      <c r="E69" s="33">
        <f t="shared" ref="E69:F69" ca="1" si="62">E57</f>
        <v>0</v>
      </c>
      <c r="F69" s="33">
        <f t="shared" ca="1" si="62"/>
        <v>246.315</v>
      </c>
      <c r="G69" s="18">
        <f>'Monthly Data'!Z69</f>
        <v>810347</v>
      </c>
      <c r="H69">
        <f>'Monthly Data'!BR69</f>
        <v>0</v>
      </c>
      <c r="I69" s="33">
        <f>'Monthly Data'!BT69</f>
        <v>31</v>
      </c>
      <c r="K69" s="18">
        <f>'Res Predicted Monthly'!$V$9</f>
        <v>-23284736.647811599</v>
      </c>
      <c r="L69" s="18">
        <f ca="1">E69*'Res Predicted Monthly'!$V$10</f>
        <v>0</v>
      </c>
      <c r="M69" s="18">
        <f ca="1">F69*'Res Predicted Monthly'!$V$11</f>
        <v>19750481.659556288</v>
      </c>
      <c r="N69" s="18">
        <f>G69*'Res Predicted Monthly'!$V$12</f>
        <v>15501174.272668339</v>
      </c>
      <c r="O69" s="18">
        <f>H69*'Res Predicted Monthly'!$V$13</f>
        <v>0</v>
      </c>
      <c r="P69" s="18">
        <f>I69*'Res Predicted Monthly'!$V$14</f>
        <v>48424797.051816143</v>
      </c>
      <c r="Q69" s="30">
        <f t="shared" ca="1" si="5"/>
        <v>60391716.336229175</v>
      </c>
    </row>
    <row r="70" spans="1:17" x14ac:dyDescent="0.2">
      <c r="A70" s="9">
        <f>'Monthly Data'!A70</f>
        <v>44075</v>
      </c>
      <c r="B70">
        <f t="shared" si="53"/>
        <v>2020</v>
      </c>
      <c r="C70">
        <f t="shared" si="54"/>
        <v>9</v>
      </c>
      <c r="D70" s="30">
        <f>'Monthly Data'!F70</f>
        <v>46969020.599969208</v>
      </c>
      <c r="E70" s="33">
        <f t="shared" ref="E70:F70" ca="1" si="63">E58</f>
        <v>2.2699999999999996</v>
      </c>
      <c r="F70" s="33">
        <f t="shared" ca="1" si="63"/>
        <v>146.80000000000001</v>
      </c>
      <c r="G70" s="18">
        <f>'Monthly Data'!Z70</f>
        <v>810347</v>
      </c>
      <c r="H70">
        <f>'Monthly Data'!BR70</f>
        <v>1</v>
      </c>
      <c r="I70" s="33">
        <f>'Monthly Data'!BT70</f>
        <v>30</v>
      </c>
      <c r="K70" s="18">
        <f>'Res Predicted Monthly'!$V$9</f>
        <v>-23284736.647811599</v>
      </c>
      <c r="L70" s="18">
        <f ca="1">E70*'Res Predicted Monthly'!$V$10</f>
        <v>31066.989800662901</v>
      </c>
      <c r="M70" s="18">
        <f ca="1">F70*'Res Predicted Monthly'!$V$11</f>
        <v>11770987.181547463</v>
      </c>
      <c r="N70" s="18">
        <f>G70*'Res Predicted Monthly'!$V$12</f>
        <v>15501174.272668339</v>
      </c>
      <c r="O70" s="18">
        <f>H70*'Res Predicted Monthly'!$V$13</f>
        <v>-2837598.3252266399</v>
      </c>
      <c r="P70" s="18">
        <f>I70*'Res Predicted Monthly'!$V$14</f>
        <v>46862706.824338198</v>
      </c>
      <c r="Q70" s="30">
        <f t="shared" ref="Q70:Q133" ca="1" si="64">SUM(K70:P70)</f>
        <v>48043600.29531642</v>
      </c>
    </row>
    <row r="71" spans="1:17" x14ac:dyDescent="0.2">
      <c r="A71" s="9">
        <f>'Monthly Data'!A71</f>
        <v>44105</v>
      </c>
      <c r="B71">
        <f t="shared" si="53"/>
        <v>2020</v>
      </c>
      <c r="C71">
        <f t="shared" si="54"/>
        <v>10</v>
      </c>
      <c r="D71" s="30">
        <f>'Monthly Data'!F71</f>
        <v>40798366.08578524</v>
      </c>
      <c r="E71" s="33">
        <f t="shared" ref="E71:F71" ca="1" si="65">E59</f>
        <v>83.800000000000011</v>
      </c>
      <c r="F71" s="33">
        <f t="shared" ca="1" si="65"/>
        <v>36.859999999999992</v>
      </c>
      <c r="G71" s="18">
        <f>'Monthly Data'!Z71</f>
        <v>811397</v>
      </c>
      <c r="H71">
        <f>'Monthly Data'!BR71</f>
        <v>1</v>
      </c>
      <c r="I71" s="33">
        <f>'Monthly Data'!BT71</f>
        <v>31</v>
      </c>
      <c r="K71" s="18">
        <f>'Res Predicted Monthly'!$V$9</f>
        <v>-23284736.647811599</v>
      </c>
      <c r="L71" s="18">
        <f ca="1">E71*'Res Predicted Monthly'!$V$10</f>
        <v>1146878.3018923136</v>
      </c>
      <c r="M71" s="18">
        <f ca="1">F71*'Res Predicted Monthly'!$V$11</f>
        <v>2955576.2092087152</v>
      </c>
      <c r="N71" s="18">
        <f>G71*'Res Predicted Monthly'!$V$12</f>
        <v>15521259.782932835</v>
      </c>
      <c r="O71" s="18">
        <f>H71*'Res Predicted Monthly'!$V$13</f>
        <v>-2837598.3252266399</v>
      </c>
      <c r="P71" s="18">
        <f>I71*'Res Predicted Monthly'!$V$14</f>
        <v>48424797.051816143</v>
      </c>
      <c r="Q71" s="30">
        <f t="shared" ca="1" si="64"/>
        <v>41926176.372811764</v>
      </c>
    </row>
    <row r="72" spans="1:17" x14ac:dyDescent="0.2">
      <c r="A72" s="9">
        <f>'Monthly Data'!A72</f>
        <v>44136</v>
      </c>
      <c r="B72">
        <f t="shared" si="53"/>
        <v>2020</v>
      </c>
      <c r="C72">
        <f t="shared" si="54"/>
        <v>11</v>
      </c>
      <c r="D72" s="30">
        <f>'Monthly Data'!F72</f>
        <v>41142966.571601279</v>
      </c>
      <c r="E72" s="33">
        <f t="shared" ref="E72:F72" ca="1" si="66">E60</f>
        <v>240.7</v>
      </c>
      <c r="F72" s="33">
        <f t="shared" ca="1" si="66"/>
        <v>3.410000000000001</v>
      </c>
      <c r="G72" s="18">
        <f>'Monthly Data'!Z72</f>
        <v>811397</v>
      </c>
      <c r="H72">
        <f>'Monthly Data'!BR72</f>
        <v>1</v>
      </c>
      <c r="I72" s="33">
        <f>'Monthly Data'!BT72</f>
        <v>30</v>
      </c>
      <c r="K72" s="18">
        <f>'Res Predicted Monthly'!$V$9</f>
        <v>-23284736.647811599</v>
      </c>
      <c r="L72" s="18">
        <f ca="1">E72*'Res Predicted Monthly'!$V$10</f>
        <v>3294195.7907575159</v>
      </c>
      <c r="M72" s="18">
        <f ca="1">F72*'Res Predicted Monthly'!$V$11</f>
        <v>273426.88207818026</v>
      </c>
      <c r="N72" s="18">
        <f>G72*'Res Predicted Monthly'!$V$12</f>
        <v>15521259.782932835</v>
      </c>
      <c r="O72" s="18">
        <f>H72*'Res Predicted Monthly'!$V$13</f>
        <v>-2837598.3252266399</v>
      </c>
      <c r="P72" s="18">
        <f>I72*'Res Predicted Monthly'!$V$14</f>
        <v>46862706.824338198</v>
      </c>
      <c r="Q72" s="30">
        <f t="shared" ca="1" si="64"/>
        <v>39829254.307068489</v>
      </c>
    </row>
    <row r="73" spans="1:17" x14ac:dyDescent="0.2">
      <c r="A73" s="9">
        <f>'Monthly Data'!A73</f>
        <v>44166</v>
      </c>
      <c r="B73">
        <f t="shared" si="53"/>
        <v>2020</v>
      </c>
      <c r="C73">
        <f t="shared" si="54"/>
        <v>12</v>
      </c>
      <c r="D73" s="30">
        <f>'Monthly Data'!F73</f>
        <v>47931193.057417318</v>
      </c>
      <c r="E73" s="33">
        <f t="shared" ref="E73:F73" ca="1" si="67">E61</f>
        <v>386.61999999999995</v>
      </c>
      <c r="F73" s="33">
        <f t="shared" ca="1" si="67"/>
        <v>0</v>
      </c>
      <c r="G73" s="18">
        <f>'Monthly Data'!Z73</f>
        <v>811397</v>
      </c>
      <c r="H73">
        <f>'Monthly Data'!BR73</f>
        <v>0</v>
      </c>
      <c r="I73" s="33">
        <f>'Monthly Data'!BT73</f>
        <v>31</v>
      </c>
      <c r="K73" s="18">
        <f>'Res Predicted Monthly'!$V$9</f>
        <v>-23284736.647811599</v>
      </c>
      <c r="L73" s="18">
        <f ca="1">E73*'Res Predicted Monthly'!$V$10</f>
        <v>5291242.1130979257</v>
      </c>
      <c r="M73" s="18">
        <f ca="1">F73*'Res Predicted Monthly'!$V$11</f>
        <v>0</v>
      </c>
      <c r="N73" s="18">
        <f>G73*'Res Predicted Monthly'!$V$12</f>
        <v>15521259.782932835</v>
      </c>
      <c r="O73" s="18">
        <f>H73*'Res Predicted Monthly'!$V$13</f>
        <v>0</v>
      </c>
      <c r="P73" s="18">
        <f>I73*'Res Predicted Monthly'!$V$14</f>
        <v>48424797.051816143</v>
      </c>
      <c r="Q73" s="30">
        <f t="shared" ca="1" si="64"/>
        <v>45952562.300035305</v>
      </c>
    </row>
    <row r="74" spans="1:17" x14ac:dyDescent="0.2">
      <c r="A74" s="9">
        <f>'Monthly Data'!A74</f>
        <v>44197</v>
      </c>
      <c r="B74">
        <f t="shared" si="53"/>
        <v>2021</v>
      </c>
      <c r="C74">
        <f t="shared" si="54"/>
        <v>1</v>
      </c>
      <c r="D74" s="30">
        <f>'Monthly Data'!F74</f>
        <v>49036599.020043381</v>
      </c>
      <c r="E74" s="33">
        <f t="shared" ref="E74:F74" ca="1" si="68">E62</f>
        <v>508.54000000000008</v>
      </c>
      <c r="F74" s="33">
        <f t="shared" ca="1" si="68"/>
        <v>0</v>
      </c>
      <c r="G74" s="18">
        <f>'Monthly Data'!Z74</f>
        <v>800126</v>
      </c>
      <c r="H74">
        <f>'Monthly Data'!BR74</f>
        <v>0</v>
      </c>
      <c r="I74" s="33">
        <f>'Monthly Data'!BT74</f>
        <v>31</v>
      </c>
      <c r="K74" s="18">
        <f>'Res Predicted Monthly'!$V$9</f>
        <v>-23284736.647811599</v>
      </c>
      <c r="L74" s="18">
        <f ca="1">E74*'Res Predicted Monthly'!$V$10</f>
        <v>6959826.8692639284</v>
      </c>
      <c r="M74" s="18">
        <f ca="1">F74*'Res Predicted Monthly'!$V$11</f>
        <v>0</v>
      </c>
      <c r="N74" s="18">
        <f>G74*'Res Predicted Monthly'!$V$12</f>
        <v>15305656.177036539</v>
      </c>
      <c r="O74" s="18">
        <f>H74*'Res Predicted Monthly'!$V$13</f>
        <v>0</v>
      </c>
      <c r="P74" s="18">
        <f>I74*'Res Predicted Monthly'!$V$14</f>
        <v>48424797.051816143</v>
      </c>
      <c r="Q74" s="30">
        <f t="shared" ca="1" si="64"/>
        <v>47405543.450305015</v>
      </c>
    </row>
    <row r="75" spans="1:17" x14ac:dyDescent="0.2">
      <c r="A75" s="9">
        <f>'Monthly Data'!A75</f>
        <v>44228</v>
      </c>
      <c r="B75">
        <f t="shared" si="53"/>
        <v>2021</v>
      </c>
      <c r="C75">
        <f t="shared" si="54"/>
        <v>2</v>
      </c>
      <c r="D75" s="30">
        <f>'Monthly Data'!F75</f>
        <v>44239591.50465861</v>
      </c>
      <c r="E75" s="33">
        <f t="shared" ref="E75:F75" ca="1" si="69">E63</f>
        <v>451.10999999999996</v>
      </c>
      <c r="F75" s="33">
        <f t="shared" ca="1" si="69"/>
        <v>0</v>
      </c>
      <c r="G75" s="18">
        <f>'Monthly Data'!Z75</f>
        <v>800126</v>
      </c>
      <c r="H75">
        <f>'Monthly Data'!BR75</f>
        <v>0</v>
      </c>
      <c r="I75" s="33">
        <f>'Monthly Data'!BT75</f>
        <v>28</v>
      </c>
      <c r="K75" s="18">
        <f>'Res Predicted Monthly'!$V$9</f>
        <v>-23284736.647811599</v>
      </c>
      <c r="L75" s="18">
        <f ca="1">E75*'Res Predicted Monthly'!$V$10</f>
        <v>6173845.7132057454</v>
      </c>
      <c r="M75" s="18">
        <f ca="1">F75*'Res Predicted Monthly'!$V$11</f>
        <v>0</v>
      </c>
      <c r="N75" s="18">
        <f>G75*'Res Predicted Monthly'!$V$12</f>
        <v>15305656.177036539</v>
      </c>
      <c r="O75" s="18">
        <f>H75*'Res Predicted Monthly'!$V$13</f>
        <v>0</v>
      </c>
      <c r="P75" s="18">
        <f>I75*'Res Predicted Monthly'!$V$14</f>
        <v>43738526.369382322</v>
      </c>
      <c r="Q75" s="30">
        <f t="shared" ca="1" si="64"/>
        <v>41933291.611813009</v>
      </c>
    </row>
    <row r="76" spans="1:17" x14ac:dyDescent="0.2">
      <c r="A76" s="9">
        <f>'Monthly Data'!A76</f>
        <v>44256</v>
      </c>
      <c r="B76">
        <f t="shared" si="53"/>
        <v>2021</v>
      </c>
      <c r="C76">
        <f t="shared" si="54"/>
        <v>3</v>
      </c>
      <c r="D76" s="30">
        <f>'Monthly Data'!F76</f>
        <v>43218533.989273846</v>
      </c>
      <c r="E76" s="33">
        <f t="shared" ref="E76:F76" ca="1" si="70">E64</f>
        <v>374.74</v>
      </c>
      <c r="F76" s="33">
        <f t="shared" ca="1" si="70"/>
        <v>0</v>
      </c>
      <c r="G76" s="18">
        <f>'Monthly Data'!Z76</f>
        <v>800126</v>
      </c>
      <c r="H76">
        <f>'Monthly Data'!BR76</f>
        <v>1</v>
      </c>
      <c r="I76" s="33">
        <f>'Monthly Data'!BT76</f>
        <v>31</v>
      </c>
      <c r="K76" s="18">
        <f>'Res Predicted Monthly'!$V$9</f>
        <v>-23284736.647811599</v>
      </c>
      <c r="L76" s="18">
        <f ca="1">E76*'Res Predicted Monthly'!$V$10</f>
        <v>5128653.6378415944</v>
      </c>
      <c r="M76" s="18">
        <f ca="1">F76*'Res Predicted Monthly'!$V$11</f>
        <v>0</v>
      </c>
      <c r="N76" s="18">
        <f>G76*'Res Predicted Monthly'!$V$12</f>
        <v>15305656.177036539</v>
      </c>
      <c r="O76" s="18">
        <f>H76*'Res Predicted Monthly'!$V$13</f>
        <v>-2837598.3252266399</v>
      </c>
      <c r="P76" s="18">
        <f>I76*'Res Predicted Monthly'!$V$14</f>
        <v>48424797.051816143</v>
      </c>
      <c r="Q76" s="30">
        <f t="shared" ca="1" si="64"/>
        <v>42736771.893656038</v>
      </c>
    </row>
    <row r="77" spans="1:17" x14ac:dyDescent="0.2">
      <c r="A77" s="9">
        <f>'Monthly Data'!A77</f>
        <v>44287</v>
      </c>
      <c r="B77">
        <f t="shared" si="53"/>
        <v>2021</v>
      </c>
      <c r="C77">
        <f t="shared" si="54"/>
        <v>4</v>
      </c>
      <c r="D77" s="30">
        <f>'Monthly Data'!F77</f>
        <v>39165169.473889083</v>
      </c>
      <c r="E77" s="33">
        <f t="shared" ref="E77:F77" ca="1" si="71">E65</f>
        <v>221.12999999999997</v>
      </c>
      <c r="F77" s="33">
        <f t="shared" ca="1" si="71"/>
        <v>2.6300000000000003</v>
      </c>
      <c r="G77" s="18">
        <f>'Monthly Data'!Z77</f>
        <v>706539</v>
      </c>
      <c r="H77">
        <f>'Monthly Data'!BR77</f>
        <v>1</v>
      </c>
      <c r="I77" s="33">
        <f>'Monthly Data'!BT77</f>
        <v>30</v>
      </c>
      <c r="K77" s="18">
        <f>'Res Predicted Monthly'!$V$9</f>
        <v>-23284736.647811599</v>
      </c>
      <c r="L77" s="18">
        <f ca="1">E77*'Res Predicted Monthly'!$V$10</f>
        <v>3026362.755339466</v>
      </c>
      <c r="M77" s="18">
        <f ca="1">F77*'Res Predicted Monthly'!$V$11</f>
        <v>210883.48969666098</v>
      </c>
      <c r="N77" s="18">
        <f>G77*'Res Predicted Monthly'!$V$12</f>
        <v>13515425.08263351</v>
      </c>
      <c r="O77" s="18">
        <f>H77*'Res Predicted Monthly'!$V$13</f>
        <v>-2837598.3252266399</v>
      </c>
      <c r="P77" s="18">
        <f>I77*'Res Predicted Monthly'!$V$14</f>
        <v>46862706.824338198</v>
      </c>
      <c r="Q77" s="30">
        <f t="shared" ca="1" si="64"/>
        <v>37493043.178969592</v>
      </c>
    </row>
    <row r="78" spans="1:17" x14ac:dyDescent="0.2">
      <c r="A78" s="9">
        <f>'Monthly Data'!A78</f>
        <v>44317</v>
      </c>
      <c r="B78">
        <f t="shared" si="53"/>
        <v>2021</v>
      </c>
      <c r="C78">
        <f t="shared" si="54"/>
        <v>5</v>
      </c>
      <c r="D78" s="30">
        <f>'Monthly Data'!F78</f>
        <v>47117065.958504319</v>
      </c>
      <c r="E78" s="33">
        <f t="shared" ref="E78:F78" ca="1" si="72">E66</f>
        <v>74.8</v>
      </c>
      <c r="F78" s="33">
        <f t="shared" ca="1" si="72"/>
        <v>50.489999999999995</v>
      </c>
      <c r="G78" s="18">
        <f>'Monthly Data'!Z78</f>
        <v>706539</v>
      </c>
      <c r="H78">
        <f>'Monthly Data'!BR78</f>
        <v>1</v>
      </c>
      <c r="I78" s="33">
        <f>'Monthly Data'!BT78</f>
        <v>31</v>
      </c>
      <c r="K78" s="18">
        <f>'Res Predicted Monthly'!$V$9</f>
        <v>-23284736.647811599</v>
      </c>
      <c r="L78" s="18">
        <f ca="1">E78*'Res Predicted Monthly'!$V$10</f>
        <v>1023705.2145769099</v>
      </c>
      <c r="M78" s="18">
        <f ca="1">F78*'Res Predicted Monthly'!$V$11</f>
        <v>4048481.8991575702</v>
      </c>
      <c r="N78" s="18">
        <f>G78*'Res Predicted Monthly'!$V$12</f>
        <v>13515425.08263351</v>
      </c>
      <c r="O78" s="18">
        <f>H78*'Res Predicted Monthly'!$V$13</f>
        <v>-2837598.3252266399</v>
      </c>
      <c r="P78" s="18">
        <f>I78*'Res Predicted Monthly'!$V$14</f>
        <v>48424797.051816143</v>
      </c>
      <c r="Q78" s="30">
        <f t="shared" ca="1" si="64"/>
        <v>40890074.275145896</v>
      </c>
    </row>
    <row r="79" spans="1:17" x14ac:dyDescent="0.2">
      <c r="A79" s="9">
        <f>'Monthly Data'!A79</f>
        <v>44348</v>
      </c>
      <c r="B79">
        <f t="shared" si="53"/>
        <v>2021</v>
      </c>
      <c r="C79">
        <f t="shared" si="54"/>
        <v>6</v>
      </c>
      <c r="D79" s="30">
        <f>'Monthly Data'!F79</f>
        <v>54507390.443119556</v>
      </c>
      <c r="E79" s="33">
        <f t="shared" ref="E79:F79" ca="1" si="73">E67</f>
        <v>2.15</v>
      </c>
      <c r="F79" s="33">
        <f t="shared" ca="1" si="73"/>
        <v>154.05000000000001</v>
      </c>
      <c r="G79" s="18">
        <f>'Monthly Data'!Z79</f>
        <v>706539</v>
      </c>
      <c r="H79">
        <f>'Monthly Data'!BR79</f>
        <v>0</v>
      </c>
      <c r="I79" s="33">
        <f>'Monthly Data'!BT79</f>
        <v>30</v>
      </c>
      <c r="K79" s="18">
        <f>'Res Predicted Monthly'!$V$9</f>
        <v>-23284736.647811599</v>
      </c>
      <c r="L79" s="18">
        <f ca="1">E79*'Res Predicted Monthly'!$V$10</f>
        <v>29424.681969790858</v>
      </c>
      <c r="M79" s="18">
        <f ca="1">F79*'Res Predicted Monthly'!$V$11</f>
        <v>12352319.995350046</v>
      </c>
      <c r="N79" s="18">
        <f>G79*'Res Predicted Monthly'!$V$12</f>
        <v>13515425.08263351</v>
      </c>
      <c r="O79" s="18">
        <f>H79*'Res Predicted Monthly'!$V$13</f>
        <v>0</v>
      </c>
      <c r="P79" s="18">
        <f>I79*'Res Predicted Monthly'!$V$14</f>
        <v>46862706.824338198</v>
      </c>
      <c r="Q79" s="30">
        <f t="shared" ca="1" si="64"/>
        <v>49475139.936479948</v>
      </c>
    </row>
    <row r="80" spans="1:17" x14ac:dyDescent="0.2">
      <c r="A80" s="9">
        <f>'Monthly Data'!A80</f>
        <v>44378</v>
      </c>
      <c r="B80">
        <f t="shared" si="53"/>
        <v>2021</v>
      </c>
      <c r="C80">
        <f t="shared" si="54"/>
        <v>7</v>
      </c>
      <c r="D80" s="30">
        <f>'Monthly Data'!F80</f>
        <v>61736270.927734792</v>
      </c>
      <c r="E80" s="33">
        <f t="shared" ref="E80:F80" ca="1" si="74">E68</f>
        <v>0</v>
      </c>
      <c r="F80" s="33">
        <f t="shared" ca="1" si="74"/>
        <v>267.66999999999996</v>
      </c>
      <c r="G80" s="18">
        <f>'Monthly Data'!Z80</f>
        <v>777225</v>
      </c>
      <c r="H80">
        <f>'Monthly Data'!BR80</f>
        <v>0</v>
      </c>
      <c r="I80" s="33">
        <f>'Monthly Data'!BT80</f>
        <v>31</v>
      </c>
      <c r="K80" s="18">
        <f>'Res Predicted Monthly'!$V$9</f>
        <v>-23284736.647811599</v>
      </c>
      <c r="L80" s="18">
        <f ca="1">E80*'Res Predicted Monthly'!$V$10</f>
        <v>0</v>
      </c>
      <c r="M80" s="18">
        <f ca="1">F80*'Res Predicted Monthly'!$V$11</f>
        <v>21462807.485591341</v>
      </c>
      <c r="N80" s="18">
        <f>G80*'Res Predicted Monthly'!$V$12</f>
        <v>14867581.633639231</v>
      </c>
      <c r="O80" s="18">
        <f>H80*'Res Predicted Monthly'!$V$13</f>
        <v>0</v>
      </c>
      <c r="P80" s="18">
        <f>I80*'Res Predicted Monthly'!$V$14</f>
        <v>48424797.051816143</v>
      </c>
      <c r="Q80" s="30">
        <f t="shared" ca="1" si="64"/>
        <v>61470449.523235112</v>
      </c>
    </row>
    <row r="81" spans="1:17" x14ac:dyDescent="0.2">
      <c r="A81" s="9">
        <f>'Monthly Data'!A81</f>
        <v>44409</v>
      </c>
      <c r="B81">
        <f t="shared" si="53"/>
        <v>2021</v>
      </c>
      <c r="C81">
        <f t="shared" si="54"/>
        <v>8</v>
      </c>
      <c r="D81" s="30">
        <f>'Monthly Data'!F81</f>
        <v>64473872.412350029</v>
      </c>
      <c r="E81" s="33">
        <f t="shared" ref="E81:F81" ca="1" si="75">E69</f>
        <v>0</v>
      </c>
      <c r="F81" s="33">
        <f t="shared" ca="1" si="75"/>
        <v>246.315</v>
      </c>
      <c r="G81" s="18">
        <f>'Monthly Data'!Z81</f>
        <v>777225</v>
      </c>
      <c r="H81">
        <f>'Monthly Data'!BR81</f>
        <v>0</v>
      </c>
      <c r="I81" s="33">
        <f>'Monthly Data'!BT81</f>
        <v>31</v>
      </c>
      <c r="K81" s="18">
        <f>'Res Predicted Monthly'!$V$9</f>
        <v>-23284736.647811599</v>
      </c>
      <c r="L81" s="18">
        <f ca="1">E81*'Res Predicted Monthly'!$V$10</f>
        <v>0</v>
      </c>
      <c r="M81" s="18">
        <f ca="1">F81*'Res Predicted Monthly'!$V$11</f>
        <v>19750481.659556288</v>
      </c>
      <c r="N81" s="18">
        <f>G81*'Res Predicted Monthly'!$V$12</f>
        <v>14867581.633639231</v>
      </c>
      <c r="O81" s="18">
        <f>H81*'Res Predicted Monthly'!$V$13</f>
        <v>0</v>
      </c>
      <c r="P81" s="18">
        <f>I81*'Res Predicted Monthly'!$V$14</f>
        <v>48424797.051816143</v>
      </c>
      <c r="Q81" s="30">
        <f t="shared" ca="1" si="64"/>
        <v>59758123.69720006</v>
      </c>
    </row>
    <row r="82" spans="1:17" x14ac:dyDescent="0.2">
      <c r="A82" s="9">
        <f>'Monthly Data'!A82</f>
        <v>44440</v>
      </c>
      <c r="B82">
        <f t="shared" si="53"/>
        <v>2021</v>
      </c>
      <c r="C82">
        <f t="shared" si="54"/>
        <v>9</v>
      </c>
      <c r="D82" s="30">
        <f>'Monthly Data'!F82</f>
        <v>49910611.896965258</v>
      </c>
      <c r="E82" s="33">
        <f t="shared" ref="E82:F82" ca="1" si="76">E70</f>
        <v>2.2699999999999996</v>
      </c>
      <c r="F82" s="33">
        <f t="shared" ca="1" si="76"/>
        <v>146.80000000000001</v>
      </c>
      <c r="G82" s="18">
        <f>'Monthly Data'!Z82</f>
        <v>777225</v>
      </c>
      <c r="H82">
        <f>'Monthly Data'!BR82</f>
        <v>1</v>
      </c>
      <c r="I82" s="33">
        <f>'Monthly Data'!BT82</f>
        <v>30</v>
      </c>
      <c r="K82" s="18">
        <f>'Res Predicted Monthly'!$V$9</f>
        <v>-23284736.647811599</v>
      </c>
      <c r="L82" s="18">
        <f ca="1">E82*'Res Predicted Monthly'!$V$10</f>
        <v>31066.989800662901</v>
      </c>
      <c r="M82" s="18">
        <f ca="1">F82*'Res Predicted Monthly'!$V$11</f>
        <v>11770987.181547463</v>
      </c>
      <c r="N82" s="18">
        <f>G82*'Res Predicted Monthly'!$V$12</f>
        <v>14867581.633639231</v>
      </c>
      <c r="O82" s="18">
        <f>H82*'Res Predicted Monthly'!$V$13</f>
        <v>-2837598.3252266399</v>
      </c>
      <c r="P82" s="18">
        <f>I82*'Res Predicted Monthly'!$V$14</f>
        <v>46862706.824338198</v>
      </c>
      <c r="Q82" s="30">
        <f t="shared" ca="1" si="64"/>
        <v>47410007.656287313</v>
      </c>
    </row>
    <row r="83" spans="1:17" x14ac:dyDescent="0.2">
      <c r="A83" s="9">
        <f>'Monthly Data'!A83</f>
        <v>44470</v>
      </c>
      <c r="B83">
        <f t="shared" si="53"/>
        <v>2021</v>
      </c>
      <c r="C83">
        <f t="shared" si="54"/>
        <v>10</v>
      </c>
      <c r="D83" s="30">
        <f>'Monthly Data'!F83</f>
        <v>41149312.381580494</v>
      </c>
      <c r="E83" s="33">
        <f t="shared" ref="E83:F83" ca="1" si="77">E71</f>
        <v>83.800000000000011</v>
      </c>
      <c r="F83" s="33">
        <f t="shared" ca="1" si="77"/>
        <v>36.859999999999992</v>
      </c>
      <c r="G83" s="18">
        <f>'Monthly Data'!Z83</f>
        <v>795879</v>
      </c>
      <c r="H83">
        <f>'Monthly Data'!BR83</f>
        <v>1</v>
      </c>
      <c r="I83" s="33">
        <f>'Monthly Data'!BT83</f>
        <v>31</v>
      </c>
      <c r="K83" s="18">
        <f>'Res Predicted Monthly'!$V$9</f>
        <v>-23284736.647811599</v>
      </c>
      <c r="L83" s="18">
        <f ca="1">E83*'Res Predicted Monthly'!$V$10</f>
        <v>1146878.3018923136</v>
      </c>
      <c r="M83" s="18">
        <f ca="1">F83*'Res Predicted Monthly'!$V$11</f>
        <v>2955576.2092087152</v>
      </c>
      <c r="N83" s="18">
        <f>G83*'Res Predicted Monthly'!$V$12</f>
        <v>15224415.07028101</v>
      </c>
      <c r="O83" s="18">
        <f>H83*'Res Predicted Monthly'!$V$13</f>
        <v>-2837598.3252266399</v>
      </c>
      <c r="P83" s="18">
        <f>I83*'Res Predicted Monthly'!$V$14</f>
        <v>48424797.051816143</v>
      </c>
      <c r="Q83" s="30">
        <f t="shared" ca="1" si="64"/>
        <v>41629331.660159945</v>
      </c>
    </row>
    <row r="84" spans="1:17" x14ac:dyDescent="0.2">
      <c r="A84" s="9">
        <f>'Monthly Data'!A84</f>
        <v>44501</v>
      </c>
      <c r="B84">
        <f t="shared" si="53"/>
        <v>2021</v>
      </c>
      <c r="C84">
        <f t="shared" si="54"/>
        <v>11</v>
      </c>
      <c r="D84" s="30">
        <f>'Monthly Data'!F84</f>
        <v>40886298.866195731</v>
      </c>
      <c r="E84" s="33">
        <f t="shared" ref="E84:F84" ca="1" si="78">E72</f>
        <v>240.7</v>
      </c>
      <c r="F84" s="33">
        <f t="shared" ca="1" si="78"/>
        <v>3.410000000000001</v>
      </c>
      <c r="G84" s="18">
        <f>'Monthly Data'!Z84</f>
        <v>795879</v>
      </c>
      <c r="H84">
        <f>'Monthly Data'!BR84</f>
        <v>1</v>
      </c>
      <c r="I84" s="33">
        <f>'Monthly Data'!BT84</f>
        <v>30</v>
      </c>
      <c r="K84" s="18">
        <f>'Res Predicted Monthly'!$V$9</f>
        <v>-23284736.647811599</v>
      </c>
      <c r="L84" s="18">
        <f ca="1">E84*'Res Predicted Monthly'!$V$10</f>
        <v>3294195.7907575159</v>
      </c>
      <c r="M84" s="18">
        <f ca="1">F84*'Res Predicted Monthly'!$V$11</f>
        <v>273426.88207818026</v>
      </c>
      <c r="N84" s="18">
        <f>G84*'Res Predicted Monthly'!$V$12</f>
        <v>15224415.07028101</v>
      </c>
      <c r="O84" s="18">
        <f>H84*'Res Predicted Monthly'!$V$13</f>
        <v>-2837598.3252266399</v>
      </c>
      <c r="P84" s="18">
        <f>I84*'Res Predicted Monthly'!$V$14</f>
        <v>46862706.824338198</v>
      </c>
      <c r="Q84" s="30">
        <f t="shared" ca="1" si="64"/>
        <v>39532409.594416663</v>
      </c>
    </row>
    <row r="85" spans="1:17" x14ac:dyDescent="0.2">
      <c r="A85" s="9">
        <f>'Monthly Data'!A85</f>
        <v>44531</v>
      </c>
      <c r="B85">
        <f t="shared" si="53"/>
        <v>2021</v>
      </c>
      <c r="C85">
        <f t="shared" si="54"/>
        <v>12</v>
      </c>
      <c r="D85" s="30">
        <f>'Monthly Data'!F85</f>
        <v>46938659.350810967</v>
      </c>
      <c r="E85" s="33">
        <f t="shared" ref="E85:F85" ca="1" si="79">E73</f>
        <v>386.61999999999995</v>
      </c>
      <c r="F85" s="33">
        <f t="shared" ca="1" si="79"/>
        <v>0</v>
      </c>
      <c r="G85" s="18">
        <f>'Monthly Data'!Z85</f>
        <v>795879</v>
      </c>
      <c r="H85">
        <f>'Monthly Data'!BR85</f>
        <v>0</v>
      </c>
      <c r="I85" s="33">
        <f>'Monthly Data'!BT85</f>
        <v>31</v>
      </c>
      <c r="K85" s="18">
        <f>'Res Predicted Monthly'!$V$9</f>
        <v>-23284736.647811599</v>
      </c>
      <c r="L85" s="18">
        <f ca="1">E85*'Res Predicted Monthly'!$V$10</f>
        <v>5291242.1130979257</v>
      </c>
      <c r="M85" s="18">
        <f ca="1">F85*'Res Predicted Monthly'!$V$11</f>
        <v>0</v>
      </c>
      <c r="N85" s="18">
        <f>G85*'Res Predicted Monthly'!$V$12</f>
        <v>15224415.07028101</v>
      </c>
      <c r="O85" s="18">
        <f>H85*'Res Predicted Monthly'!$V$13</f>
        <v>0</v>
      </c>
      <c r="P85" s="18">
        <f>I85*'Res Predicted Monthly'!$V$14</f>
        <v>48424797.051816143</v>
      </c>
      <c r="Q85" s="30">
        <f t="shared" ca="1" si="64"/>
        <v>45655717.587383479</v>
      </c>
    </row>
    <row r="86" spans="1:17" x14ac:dyDescent="0.2">
      <c r="A86" s="9">
        <f>'Monthly Data'!A86</f>
        <v>44562</v>
      </c>
      <c r="B86">
        <f t="shared" si="53"/>
        <v>2022</v>
      </c>
      <c r="C86">
        <f t="shared" si="54"/>
        <v>1</v>
      </c>
      <c r="D86" s="30">
        <f>'Monthly Data'!F86</f>
        <v>50264546.652802087</v>
      </c>
      <c r="E86" s="33">
        <f t="shared" ref="E86:F86" ca="1" si="80">E74</f>
        <v>508.54000000000008</v>
      </c>
      <c r="F86" s="33">
        <f t="shared" ca="1" si="80"/>
        <v>0</v>
      </c>
      <c r="G86" s="18">
        <f>'Monthly Data'!Z86</f>
        <v>808584</v>
      </c>
      <c r="H86">
        <f>'Monthly Data'!BR86</f>
        <v>0</v>
      </c>
      <c r="I86" s="33">
        <f>'Monthly Data'!BT86</f>
        <v>31</v>
      </c>
      <c r="K86" s="18">
        <f>'Res Predicted Monthly'!$V$9</f>
        <v>-23284736.647811599</v>
      </c>
      <c r="L86" s="18">
        <f ca="1">E86*'Res Predicted Monthly'!$V$10</f>
        <v>6959826.8692639284</v>
      </c>
      <c r="M86" s="18">
        <f ca="1">F86*'Res Predicted Monthly'!$V$11</f>
        <v>0</v>
      </c>
      <c r="N86" s="18">
        <f>G86*'Res Predicted Monthly'!$V$12</f>
        <v>15467449.744481385</v>
      </c>
      <c r="O86" s="18">
        <f>H86*'Res Predicted Monthly'!$V$13</f>
        <v>0</v>
      </c>
      <c r="P86" s="18">
        <f>I86*'Res Predicted Monthly'!$V$14</f>
        <v>48424797.051816143</v>
      </c>
      <c r="Q86" s="30">
        <f t="shared" ca="1" si="64"/>
        <v>47567337.017749861</v>
      </c>
    </row>
    <row r="87" spans="1:17" x14ac:dyDescent="0.2">
      <c r="A87" s="9">
        <f>'Monthly Data'!A87</f>
        <v>44593</v>
      </c>
      <c r="B87">
        <f t="shared" si="53"/>
        <v>2022</v>
      </c>
      <c r="C87">
        <f t="shared" si="54"/>
        <v>2</v>
      </c>
      <c r="D87" s="30">
        <f>'Monthly Data'!F87</f>
        <v>43857792.181785412</v>
      </c>
      <c r="E87" s="33">
        <f t="shared" ref="E87:F87" ca="1" si="81">E75</f>
        <v>451.10999999999996</v>
      </c>
      <c r="F87" s="33">
        <f t="shared" ca="1" si="81"/>
        <v>0</v>
      </c>
      <c r="G87" s="18">
        <f>'Monthly Data'!Z87</f>
        <v>808584</v>
      </c>
      <c r="H87">
        <f>'Monthly Data'!BR87</f>
        <v>0</v>
      </c>
      <c r="I87" s="33">
        <f>'Monthly Data'!BT87</f>
        <v>28</v>
      </c>
      <c r="K87" s="18">
        <f>'Res Predicted Monthly'!$V$9</f>
        <v>-23284736.647811599</v>
      </c>
      <c r="L87" s="18">
        <f ca="1">E87*'Res Predicted Monthly'!$V$10</f>
        <v>6173845.7132057454</v>
      </c>
      <c r="M87" s="18">
        <f ca="1">F87*'Res Predicted Monthly'!$V$11</f>
        <v>0</v>
      </c>
      <c r="N87" s="18">
        <f>G87*'Res Predicted Monthly'!$V$12</f>
        <v>15467449.744481385</v>
      </c>
      <c r="O87" s="18">
        <f>H87*'Res Predicted Monthly'!$V$13</f>
        <v>0</v>
      </c>
      <c r="P87" s="18">
        <f>I87*'Res Predicted Monthly'!$V$14</f>
        <v>43738526.369382322</v>
      </c>
      <c r="Q87" s="30">
        <f t="shared" ca="1" si="64"/>
        <v>42095085.179257855</v>
      </c>
    </row>
    <row r="88" spans="1:17" x14ac:dyDescent="0.2">
      <c r="A88" s="9">
        <f>'Monthly Data'!A88</f>
        <v>44621</v>
      </c>
      <c r="B88">
        <f t="shared" si="53"/>
        <v>2022</v>
      </c>
      <c r="C88">
        <f t="shared" si="54"/>
        <v>3</v>
      </c>
      <c r="D88" s="30">
        <f>'Monthly Data'!F88</f>
        <v>43860485.710768737</v>
      </c>
      <c r="E88" s="33">
        <f t="shared" ref="E88:F88" ca="1" si="82">E76</f>
        <v>374.74</v>
      </c>
      <c r="F88" s="33">
        <f t="shared" ca="1" si="82"/>
        <v>0</v>
      </c>
      <c r="G88" s="18">
        <f>'Monthly Data'!Z88</f>
        <v>808584</v>
      </c>
      <c r="H88">
        <f>'Monthly Data'!BR88</f>
        <v>1</v>
      </c>
      <c r="I88" s="33">
        <f>'Monthly Data'!BT88</f>
        <v>31</v>
      </c>
      <c r="K88" s="18">
        <f>'Res Predicted Monthly'!$V$9</f>
        <v>-23284736.647811599</v>
      </c>
      <c r="L88" s="18">
        <f ca="1">E88*'Res Predicted Monthly'!$V$10</f>
        <v>5128653.6378415944</v>
      </c>
      <c r="M88" s="18">
        <f ca="1">F88*'Res Predicted Monthly'!$V$11</f>
        <v>0</v>
      </c>
      <c r="N88" s="18">
        <f>G88*'Res Predicted Monthly'!$V$12</f>
        <v>15467449.744481385</v>
      </c>
      <c r="O88" s="18">
        <f>H88*'Res Predicted Monthly'!$V$13</f>
        <v>-2837598.3252266399</v>
      </c>
      <c r="P88" s="18">
        <f>I88*'Res Predicted Monthly'!$V$14</f>
        <v>48424797.051816143</v>
      </c>
      <c r="Q88" s="30">
        <f t="shared" ca="1" si="64"/>
        <v>42898565.461100884</v>
      </c>
    </row>
    <row r="89" spans="1:17" x14ac:dyDescent="0.2">
      <c r="A89" s="9">
        <f>'Monthly Data'!A89</f>
        <v>44652</v>
      </c>
      <c r="B89">
        <f t="shared" si="53"/>
        <v>2022</v>
      </c>
      <c r="C89">
        <f t="shared" si="54"/>
        <v>4</v>
      </c>
      <c r="D89" s="30">
        <f>'Monthly Data'!F89</f>
        <v>39331597.239752054</v>
      </c>
      <c r="E89" s="33">
        <f t="shared" ref="E89:F89" ca="1" si="83">E77</f>
        <v>221.12999999999997</v>
      </c>
      <c r="F89" s="33">
        <f t="shared" ca="1" si="83"/>
        <v>2.6300000000000003</v>
      </c>
      <c r="G89" s="18">
        <f>'Monthly Data'!Z89</f>
        <v>802518</v>
      </c>
      <c r="H89">
        <f>'Monthly Data'!BR89</f>
        <v>1</v>
      </c>
      <c r="I89" s="33">
        <f>'Monthly Data'!BT89</f>
        <v>30</v>
      </c>
      <c r="K89" s="18">
        <f>'Res Predicted Monthly'!$V$9</f>
        <v>-23284736.647811599</v>
      </c>
      <c r="L89" s="18">
        <f ca="1">E89*'Res Predicted Monthly'!$V$10</f>
        <v>3026362.755339466</v>
      </c>
      <c r="M89" s="18">
        <f ca="1">F89*'Res Predicted Monthly'!$V$11</f>
        <v>210883.48969666098</v>
      </c>
      <c r="N89" s="18">
        <f>G89*'Res Predicted Monthly'!$V$12</f>
        <v>15351412.882324796</v>
      </c>
      <c r="O89" s="18">
        <f>H89*'Res Predicted Monthly'!$V$13</f>
        <v>-2837598.3252266399</v>
      </c>
      <c r="P89" s="18">
        <f>I89*'Res Predicted Monthly'!$V$14</f>
        <v>46862706.824338198</v>
      </c>
      <c r="Q89" s="30">
        <f t="shared" ca="1" si="64"/>
        <v>39329030.978660882</v>
      </c>
    </row>
    <row r="90" spans="1:17" x14ac:dyDescent="0.2">
      <c r="A90" s="9">
        <f>'Monthly Data'!A90</f>
        <v>44682</v>
      </c>
      <c r="B90">
        <f t="shared" si="53"/>
        <v>2022</v>
      </c>
      <c r="C90">
        <f t="shared" si="54"/>
        <v>5</v>
      </c>
      <c r="D90" s="30">
        <f>'Monthly Data'!F90</f>
        <v>43290007.768735379</v>
      </c>
      <c r="E90" s="33">
        <f t="shared" ref="E90:F90" ca="1" si="84">E78</f>
        <v>74.8</v>
      </c>
      <c r="F90" s="33">
        <f t="shared" ca="1" si="84"/>
        <v>50.489999999999995</v>
      </c>
      <c r="G90" s="18">
        <f>'Monthly Data'!Z90</f>
        <v>802518</v>
      </c>
      <c r="H90">
        <f>'Monthly Data'!BR90</f>
        <v>1</v>
      </c>
      <c r="I90" s="33">
        <f>'Monthly Data'!BT90</f>
        <v>31</v>
      </c>
      <c r="K90" s="18">
        <f>'Res Predicted Monthly'!$V$9</f>
        <v>-23284736.647811599</v>
      </c>
      <c r="L90" s="18">
        <f ca="1">E90*'Res Predicted Monthly'!$V$10</f>
        <v>1023705.2145769099</v>
      </c>
      <c r="M90" s="18">
        <f ca="1">F90*'Res Predicted Monthly'!$V$11</f>
        <v>4048481.8991575702</v>
      </c>
      <c r="N90" s="18">
        <f>G90*'Res Predicted Monthly'!$V$12</f>
        <v>15351412.882324796</v>
      </c>
      <c r="O90" s="18">
        <f>H90*'Res Predicted Monthly'!$V$13</f>
        <v>-2837598.3252266399</v>
      </c>
      <c r="P90" s="18">
        <f>I90*'Res Predicted Monthly'!$V$14</f>
        <v>48424797.051816143</v>
      </c>
      <c r="Q90" s="30">
        <f t="shared" ca="1" si="64"/>
        <v>42726062.074837178</v>
      </c>
    </row>
    <row r="91" spans="1:17" x14ac:dyDescent="0.2">
      <c r="A91" s="9">
        <f>'Monthly Data'!A91</f>
        <v>44713</v>
      </c>
      <c r="B91">
        <f t="shared" si="53"/>
        <v>2022</v>
      </c>
      <c r="C91">
        <f t="shared" si="54"/>
        <v>6</v>
      </c>
      <c r="D91" s="30">
        <f>'Monthly Data'!F91</f>
        <v>52900848.297718704</v>
      </c>
      <c r="E91" s="33">
        <f t="shared" ref="E91:F91" ca="1" si="85">E79</f>
        <v>2.15</v>
      </c>
      <c r="F91" s="33">
        <f t="shared" ca="1" si="85"/>
        <v>154.05000000000001</v>
      </c>
      <c r="G91" s="18">
        <f>'Monthly Data'!Z91</f>
        <v>802518</v>
      </c>
      <c r="H91">
        <f>'Monthly Data'!BR91</f>
        <v>0</v>
      </c>
      <c r="I91" s="33">
        <f>'Monthly Data'!BT91</f>
        <v>30</v>
      </c>
      <c r="K91" s="18">
        <f>'Res Predicted Monthly'!$V$9</f>
        <v>-23284736.647811599</v>
      </c>
      <c r="L91" s="18">
        <f ca="1">E91*'Res Predicted Monthly'!$V$10</f>
        <v>29424.681969790858</v>
      </c>
      <c r="M91" s="18">
        <f ca="1">F91*'Res Predicted Monthly'!$V$11</f>
        <v>12352319.995350046</v>
      </c>
      <c r="N91" s="18">
        <f>G91*'Res Predicted Monthly'!$V$12</f>
        <v>15351412.882324796</v>
      </c>
      <c r="O91" s="18">
        <f>H91*'Res Predicted Monthly'!$V$13</f>
        <v>0</v>
      </c>
      <c r="P91" s="18">
        <f>I91*'Res Predicted Monthly'!$V$14</f>
        <v>46862706.824338198</v>
      </c>
      <c r="Q91" s="30">
        <f t="shared" ca="1" si="64"/>
        <v>51311127.736171231</v>
      </c>
    </row>
    <row r="92" spans="1:17" x14ac:dyDescent="0.2">
      <c r="A92" s="9">
        <f>'Monthly Data'!A92</f>
        <v>44743</v>
      </c>
      <c r="B92">
        <f t="shared" si="53"/>
        <v>2022</v>
      </c>
      <c r="C92">
        <f t="shared" si="54"/>
        <v>7</v>
      </c>
      <c r="D92" s="30">
        <f>'Monthly Data'!F92</f>
        <v>63898027.826702021</v>
      </c>
      <c r="E92" s="33">
        <f t="shared" ref="E92:F92" ca="1" si="86">E80</f>
        <v>0</v>
      </c>
      <c r="F92" s="33">
        <f t="shared" ca="1" si="86"/>
        <v>267.66999999999996</v>
      </c>
      <c r="G92" s="18">
        <f>'Monthly Data'!Z92</f>
        <v>819564</v>
      </c>
      <c r="H92">
        <f>'Monthly Data'!BR92</f>
        <v>0</v>
      </c>
      <c r="I92" s="33">
        <f>'Monthly Data'!BT92</f>
        <v>31</v>
      </c>
      <c r="K92" s="18">
        <f>'Res Predicted Monthly'!$V$9</f>
        <v>-23284736.647811599</v>
      </c>
      <c r="L92" s="18">
        <f ca="1">E92*'Res Predicted Monthly'!$V$10</f>
        <v>0</v>
      </c>
      <c r="M92" s="18">
        <f ca="1">F92*'Res Predicted Monthly'!$V$11</f>
        <v>21462807.485591341</v>
      </c>
      <c r="N92" s="18">
        <f>G92*'Res Predicted Monthly'!$V$12</f>
        <v>15677486.794675807</v>
      </c>
      <c r="O92" s="18">
        <f>H92*'Res Predicted Monthly'!$V$13</f>
        <v>0</v>
      </c>
      <c r="P92" s="18">
        <f>I92*'Res Predicted Monthly'!$V$14</f>
        <v>48424797.051816143</v>
      </c>
      <c r="Q92" s="30">
        <f t="shared" ca="1" si="64"/>
        <v>62280354.684271693</v>
      </c>
    </row>
    <row r="93" spans="1:17" x14ac:dyDescent="0.2">
      <c r="A93" s="9">
        <f>'Monthly Data'!A93</f>
        <v>44774</v>
      </c>
      <c r="B93">
        <f t="shared" si="53"/>
        <v>2022</v>
      </c>
      <c r="C93">
        <f t="shared" si="54"/>
        <v>8</v>
      </c>
      <c r="D93" s="30">
        <f>'Monthly Data'!F93</f>
        <v>62500468.355685346</v>
      </c>
      <c r="E93" s="33">
        <f t="shared" ref="E93:F93" ca="1" si="87">E81</f>
        <v>0</v>
      </c>
      <c r="F93" s="33">
        <f t="shared" ca="1" si="87"/>
        <v>246.315</v>
      </c>
      <c r="G93" s="18">
        <f>'Monthly Data'!Z93</f>
        <v>819564</v>
      </c>
      <c r="H93">
        <f>'Monthly Data'!BR93</f>
        <v>0</v>
      </c>
      <c r="I93" s="33">
        <f>'Monthly Data'!BT93</f>
        <v>31</v>
      </c>
      <c r="K93" s="18">
        <f>'Res Predicted Monthly'!$V$9</f>
        <v>-23284736.647811599</v>
      </c>
      <c r="L93" s="18">
        <f ca="1">E93*'Res Predicted Monthly'!$V$10</f>
        <v>0</v>
      </c>
      <c r="M93" s="18">
        <f ca="1">F93*'Res Predicted Monthly'!$V$11</f>
        <v>19750481.659556288</v>
      </c>
      <c r="N93" s="18">
        <f>G93*'Res Predicted Monthly'!$V$12</f>
        <v>15677486.794675807</v>
      </c>
      <c r="O93" s="18">
        <f>H93*'Res Predicted Monthly'!$V$13</f>
        <v>0</v>
      </c>
      <c r="P93" s="18">
        <f>I93*'Res Predicted Monthly'!$V$14</f>
        <v>48424797.051816143</v>
      </c>
      <c r="Q93" s="30">
        <f t="shared" ca="1" si="64"/>
        <v>60568028.858236641</v>
      </c>
    </row>
    <row r="94" spans="1:17" x14ac:dyDescent="0.2">
      <c r="A94" s="9">
        <f>'Monthly Data'!A94</f>
        <v>44805</v>
      </c>
      <c r="B94">
        <f t="shared" si="53"/>
        <v>2022</v>
      </c>
      <c r="C94">
        <f t="shared" si="54"/>
        <v>9</v>
      </c>
      <c r="D94" s="30">
        <f>'Monthly Data'!F94</f>
        <v>48263159.884668671</v>
      </c>
      <c r="E94" s="33">
        <f t="shared" ref="E94:F94" ca="1" si="88">E82</f>
        <v>2.2699999999999996</v>
      </c>
      <c r="F94" s="33">
        <f t="shared" ca="1" si="88"/>
        <v>146.80000000000001</v>
      </c>
      <c r="G94" s="18">
        <f>'Monthly Data'!Z94</f>
        <v>819564</v>
      </c>
      <c r="H94">
        <f>'Monthly Data'!BR94</f>
        <v>1</v>
      </c>
      <c r="I94" s="33">
        <f>'Monthly Data'!BT94</f>
        <v>30</v>
      </c>
      <c r="K94" s="18">
        <f>'Res Predicted Monthly'!$V$9</f>
        <v>-23284736.647811599</v>
      </c>
      <c r="L94" s="18">
        <f ca="1">E94*'Res Predicted Monthly'!$V$10</f>
        <v>31066.989800662901</v>
      </c>
      <c r="M94" s="18">
        <f ca="1">F94*'Res Predicted Monthly'!$V$11</f>
        <v>11770987.181547463</v>
      </c>
      <c r="N94" s="18">
        <f>G94*'Res Predicted Monthly'!$V$12</f>
        <v>15677486.794675807</v>
      </c>
      <c r="O94" s="18">
        <f>H94*'Res Predicted Monthly'!$V$13</f>
        <v>-2837598.3252266399</v>
      </c>
      <c r="P94" s="18">
        <f>I94*'Res Predicted Monthly'!$V$14</f>
        <v>46862706.824338198</v>
      </c>
      <c r="Q94" s="30">
        <f t="shared" ca="1" si="64"/>
        <v>48219912.817323893</v>
      </c>
    </row>
    <row r="95" spans="1:17" x14ac:dyDescent="0.2">
      <c r="A95" s="9">
        <f>'Monthly Data'!A95</f>
        <v>44835</v>
      </c>
      <c r="B95">
        <f t="shared" si="53"/>
        <v>2022</v>
      </c>
      <c r="C95">
        <f t="shared" si="54"/>
        <v>10</v>
      </c>
      <c r="D95" s="30">
        <f>'Monthly Data'!F95</f>
        <v>39368582.413651988</v>
      </c>
      <c r="E95" s="33">
        <f t="shared" ref="E95:F95" ca="1" si="89">E83</f>
        <v>83.800000000000011</v>
      </c>
      <c r="F95" s="33">
        <f t="shared" ca="1" si="89"/>
        <v>36.859999999999992</v>
      </c>
      <c r="G95" s="18">
        <f>'Monthly Data'!Z95</f>
        <v>838397</v>
      </c>
      <c r="H95">
        <f>'Monthly Data'!BR95</f>
        <v>1</v>
      </c>
      <c r="I95" s="33">
        <f>'Monthly Data'!BT95</f>
        <v>31</v>
      </c>
      <c r="K95" s="18">
        <f>'Res Predicted Monthly'!$V$9</f>
        <v>-23284736.647811599</v>
      </c>
      <c r="L95" s="18">
        <f ca="1">E95*'Res Predicted Monthly'!$V$10</f>
        <v>1146878.3018923136</v>
      </c>
      <c r="M95" s="18">
        <f ca="1">F95*'Res Predicted Monthly'!$V$11</f>
        <v>2955576.2092087152</v>
      </c>
      <c r="N95" s="18">
        <f>G95*'Res Predicted Monthly'!$V$12</f>
        <v>16037744.332591247</v>
      </c>
      <c r="O95" s="18">
        <f>H95*'Res Predicted Monthly'!$V$13</f>
        <v>-2837598.3252266399</v>
      </c>
      <c r="P95" s="18">
        <f>I95*'Res Predicted Monthly'!$V$14</f>
        <v>48424797.051816143</v>
      </c>
      <c r="Q95" s="30">
        <f t="shared" ca="1" si="64"/>
        <v>42442660.922470182</v>
      </c>
    </row>
    <row r="96" spans="1:17" x14ac:dyDescent="0.2">
      <c r="A96" s="9">
        <f>'Monthly Data'!A96</f>
        <v>44866</v>
      </c>
      <c r="B96">
        <f t="shared" si="53"/>
        <v>2022</v>
      </c>
      <c r="C96">
        <f t="shared" si="54"/>
        <v>11</v>
      </c>
      <c r="D96" s="30">
        <f>'Monthly Data'!F96</f>
        <v>40432823.942635313</v>
      </c>
      <c r="E96" s="33">
        <f t="shared" ref="E96:F96" ca="1" si="90">E84</f>
        <v>240.7</v>
      </c>
      <c r="F96" s="33">
        <f t="shared" ca="1" si="90"/>
        <v>3.410000000000001</v>
      </c>
      <c r="G96" s="18">
        <f>'Monthly Data'!Z96</f>
        <v>838397</v>
      </c>
      <c r="H96">
        <f>'Monthly Data'!BR96</f>
        <v>1</v>
      </c>
      <c r="I96" s="33">
        <f>'Monthly Data'!BT96</f>
        <v>30</v>
      </c>
      <c r="K96" s="18">
        <f>'Res Predicted Monthly'!$V$9</f>
        <v>-23284736.647811599</v>
      </c>
      <c r="L96" s="18">
        <f ca="1">E96*'Res Predicted Monthly'!$V$10</f>
        <v>3294195.7907575159</v>
      </c>
      <c r="M96" s="18">
        <f ca="1">F96*'Res Predicted Monthly'!$V$11</f>
        <v>273426.88207818026</v>
      </c>
      <c r="N96" s="18">
        <f>G96*'Res Predicted Monthly'!$V$12</f>
        <v>16037744.332591247</v>
      </c>
      <c r="O96" s="18">
        <f>H96*'Res Predicted Monthly'!$V$13</f>
        <v>-2837598.3252266399</v>
      </c>
      <c r="P96" s="18">
        <f>I96*'Res Predicted Monthly'!$V$14</f>
        <v>46862706.824338198</v>
      </c>
      <c r="Q96" s="30">
        <f t="shared" ca="1" si="64"/>
        <v>40345738.8567269</v>
      </c>
    </row>
    <row r="97" spans="1:17" x14ac:dyDescent="0.2">
      <c r="A97" s="9">
        <f>'Monthly Data'!A97</f>
        <v>44896</v>
      </c>
      <c r="B97">
        <f t="shared" si="53"/>
        <v>2022</v>
      </c>
      <c r="C97">
        <f t="shared" si="54"/>
        <v>12</v>
      </c>
      <c r="D97" s="30">
        <f>'Monthly Data'!F97</f>
        <v>46713356.471618637</v>
      </c>
      <c r="E97" s="33">
        <f t="shared" ref="E97:F97" ca="1" si="91">E85</f>
        <v>386.61999999999995</v>
      </c>
      <c r="F97" s="33">
        <f t="shared" ca="1" si="91"/>
        <v>0</v>
      </c>
      <c r="G97" s="18">
        <f>'Monthly Data'!Z97</f>
        <v>838397</v>
      </c>
      <c r="H97">
        <f>'Monthly Data'!BR97</f>
        <v>0</v>
      </c>
      <c r="I97" s="33">
        <f>'Monthly Data'!BT97</f>
        <v>31</v>
      </c>
      <c r="K97" s="18">
        <f>'Res Predicted Monthly'!$V$9</f>
        <v>-23284736.647811599</v>
      </c>
      <c r="L97" s="18">
        <f ca="1">E97*'Res Predicted Monthly'!$V$10</f>
        <v>5291242.1130979257</v>
      </c>
      <c r="M97" s="18">
        <f ca="1">F97*'Res Predicted Monthly'!$V$11</f>
        <v>0</v>
      </c>
      <c r="N97" s="18">
        <f>G97*'Res Predicted Monthly'!$V$12</f>
        <v>16037744.332591247</v>
      </c>
      <c r="O97" s="18">
        <f>H97*'Res Predicted Monthly'!$V$13</f>
        <v>0</v>
      </c>
      <c r="P97" s="18">
        <f>I97*'Res Predicted Monthly'!$V$14</f>
        <v>48424797.051816143</v>
      </c>
      <c r="Q97" s="30">
        <f t="shared" ca="1" si="64"/>
        <v>46469046.849693716</v>
      </c>
    </row>
    <row r="98" spans="1:17" x14ac:dyDescent="0.2">
      <c r="A98" s="9">
        <f>'Monthly Data'!A98</f>
        <v>44927</v>
      </c>
      <c r="B98">
        <f t="shared" si="53"/>
        <v>2023</v>
      </c>
      <c r="C98">
        <f t="shared" si="54"/>
        <v>1</v>
      </c>
      <c r="D98" s="30">
        <f>'Monthly Data'!F98</f>
        <v>46583116.519168116</v>
      </c>
      <c r="E98" s="33">
        <f t="shared" ref="E98:F98" ca="1" si="92">E86</f>
        <v>508.54000000000008</v>
      </c>
      <c r="F98" s="33">
        <f t="shared" ca="1" si="92"/>
        <v>0</v>
      </c>
      <c r="G98" s="18">
        <f>'Monthly Data'!Z98</f>
        <v>845218</v>
      </c>
      <c r="H98">
        <f>'Monthly Data'!BR98</f>
        <v>0</v>
      </c>
      <c r="I98" s="33">
        <f>'Monthly Data'!BT98</f>
        <v>31</v>
      </c>
      <c r="K98" s="18">
        <f>'Res Predicted Monthly'!$V$9</f>
        <v>-23284736.647811599</v>
      </c>
      <c r="L98" s="18">
        <f ca="1">E98*'Res Predicted Monthly'!$V$10</f>
        <v>6959826.8692639284</v>
      </c>
      <c r="M98" s="18">
        <f ca="1">F98*'Res Predicted Monthly'!$V$11</f>
        <v>0</v>
      </c>
      <c r="N98" s="18">
        <f>G98*'Res Predicted Monthly'!$V$12</f>
        <v>16168223.633080877</v>
      </c>
      <c r="O98" s="18">
        <f>H98*'Res Predicted Monthly'!$V$13</f>
        <v>0</v>
      </c>
      <c r="P98" s="18">
        <f>I98*'Res Predicted Monthly'!$V$14</f>
        <v>48424797.051816143</v>
      </c>
      <c r="Q98" s="30">
        <f t="shared" ca="1" si="64"/>
        <v>48268110.906349346</v>
      </c>
    </row>
    <row r="99" spans="1:17" x14ac:dyDescent="0.2">
      <c r="A99" s="9">
        <f>'Monthly Data'!A99</f>
        <v>44958</v>
      </c>
      <c r="B99">
        <f t="shared" si="53"/>
        <v>2023</v>
      </c>
      <c r="C99">
        <f t="shared" si="54"/>
        <v>2</v>
      </c>
      <c r="D99" s="30">
        <f>'Monthly Data'!F99</f>
        <v>40876786.046762481</v>
      </c>
      <c r="E99" s="33">
        <f t="shared" ref="E99:F99" ca="1" si="93">E87</f>
        <v>451.10999999999996</v>
      </c>
      <c r="F99" s="33">
        <f t="shared" ca="1" si="93"/>
        <v>0</v>
      </c>
      <c r="G99" s="18">
        <f>'Monthly Data'!Z99</f>
        <v>845218</v>
      </c>
      <c r="H99">
        <f>'Monthly Data'!BR99</f>
        <v>0</v>
      </c>
      <c r="I99" s="33">
        <f>'Monthly Data'!BT99</f>
        <v>28</v>
      </c>
      <c r="K99" s="18">
        <f>'Res Predicted Monthly'!$V$9</f>
        <v>-23284736.647811599</v>
      </c>
      <c r="L99" s="18">
        <f ca="1">E99*'Res Predicted Monthly'!$V$10</f>
        <v>6173845.7132057454</v>
      </c>
      <c r="M99" s="18">
        <f ca="1">F99*'Res Predicted Monthly'!$V$11</f>
        <v>0</v>
      </c>
      <c r="N99" s="18">
        <f>G99*'Res Predicted Monthly'!$V$12</f>
        <v>16168223.633080877</v>
      </c>
      <c r="O99" s="18">
        <f>H99*'Res Predicted Monthly'!$V$13</f>
        <v>0</v>
      </c>
      <c r="P99" s="18">
        <f>I99*'Res Predicted Monthly'!$V$14</f>
        <v>43738526.369382322</v>
      </c>
      <c r="Q99" s="30">
        <f t="shared" ca="1" si="64"/>
        <v>42795859.067857347</v>
      </c>
    </row>
    <row r="100" spans="1:17" x14ac:dyDescent="0.2">
      <c r="A100" s="9">
        <f>'Monthly Data'!A100</f>
        <v>44986</v>
      </c>
      <c r="B100">
        <f t="shared" si="53"/>
        <v>2023</v>
      </c>
      <c r="C100">
        <f t="shared" si="54"/>
        <v>3</v>
      </c>
      <c r="D100" s="30">
        <f>'Monthly Data'!F100</f>
        <v>42680536.574356854</v>
      </c>
      <c r="E100" s="33">
        <f t="shared" ref="E100:F100" ca="1" si="94">E88</f>
        <v>374.74</v>
      </c>
      <c r="F100" s="33">
        <f t="shared" ca="1" si="94"/>
        <v>0</v>
      </c>
      <c r="G100" s="18">
        <f>'Monthly Data'!Z100</f>
        <v>845218</v>
      </c>
      <c r="H100">
        <f>'Monthly Data'!BR100</f>
        <v>1</v>
      </c>
      <c r="I100" s="33">
        <f>'Monthly Data'!BT100</f>
        <v>31</v>
      </c>
      <c r="K100" s="18">
        <f>'Res Predicted Monthly'!$V$9</f>
        <v>-23284736.647811599</v>
      </c>
      <c r="L100" s="18">
        <f ca="1">E100*'Res Predicted Monthly'!$V$10</f>
        <v>5128653.6378415944</v>
      </c>
      <c r="M100" s="18">
        <f ca="1">F100*'Res Predicted Monthly'!$V$11</f>
        <v>0</v>
      </c>
      <c r="N100" s="18">
        <f>G100*'Res Predicted Monthly'!$V$12</f>
        <v>16168223.633080877</v>
      </c>
      <c r="O100" s="18">
        <f>H100*'Res Predicted Monthly'!$V$13</f>
        <v>-2837598.3252266399</v>
      </c>
      <c r="P100" s="18">
        <f>I100*'Res Predicted Monthly'!$V$14</f>
        <v>48424797.051816143</v>
      </c>
      <c r="Q100" s="30">
        <f t="shared" ca="1" si="64"/>
        <v>43599339.349700376</v>
      </c>
    </row>
    <row r="101" spans="1:17" x14ac:dyDescent="0.2">
      <c r="A101" s="9">
        <f>'Monthly Data'!A101</f>
        <v>45017</v>
      </c>
      <c r="B101">
        <f t="shared" si="53"/>
        <v>2023</v>
      </c>
      <c r="C101">
        <f t="shared" si="54"/>
        <v>4</v>
      </c>
      <c r="D101" s="30">
        <f>'Monthly Data'!F101</f>
        <v>38703114.101951219</v>
      </c>
      <c r="E101" s="33">
        <f t="shared" ref="E101:F101" ca="1" si="95">E89</f>
        <v>221.12999999999997</v>
      </c>
      <c r="F101" s="33">
        <f t="shared" ca="1" si="95"/>
        <v>2.6300000000000003</v>
      </c>
      <c r="G101" s="18">
        <f>'Monthly Data'!Z101</f>
        <v>851621</v>
      </c>
      <c r="H101">
        <f>'Monthly Data'!BR101</f>
        <v>1</v>
      </c>
      <c r="I101" s="33">
        <f>'Monthly Data'!BT101</f>
        <v>30</v>
      </c>
      <c r="K101" s="18">
        <f>'Res Predicted Monthly'!$V$9</f>
        <v>-23284736.647811599</v>
      </c>
      <c r="L101" s="18">
        <f ca="1">E101*'Res Predicted Monthly'!$V$10</f>
        <v>3026362.755339466</v>
      </c>
      <c r="M101" s="18">
        <f ca="1">F101*'Res Predicted Monthly'!$V$11</f>
        <v>210883.48969666098</v>
      </c>
      <c r="N101" s="18">
        <f>G101*'Res Predicted Monthly'!$V$12</f>
        <v>16290706.987579498</v>
      </c>
      <c r="O101" s="18">
        <f>H101*'Res Predicted Monthly'!$V$13</f>
        <v>-2837598.3252266399</v>
      </c>
      <c r="P101" s="18">
        <f>I101*'Res Predicted Monthly'!$V$14</f>
        <v>46862706.824338198</v>
      </c>
      <c r="Q101" s="30">
        <f t="shared" ca="1" si="64"/>
        <v>40268325.083915584</v>
      </c>
    </row>
    <row r="102" spans="1:17" x14ac:dyDescent="0.2">
      <c r="A102" s="9">
        <f>'Monthly Data'!A102</f>
        <v>45047</v>
      </c>
      <c r="B102">
        <f t="shared" si="53"/>
        <v>2023</v>
      </c>
      <c r="C102">
        <f t="shared" si="54"/>
        <v>5</v>
      </c>
      <c r="D102" s="30">
        <f>'Monthly Data'!F102</f>
        <v>41884572.629545584</v>
      </c>
      <c r="E102" s="33">
        <f t="shared" ref="E102:F102" ca="1" si="96">E90</f>
        <v>74.8</v>
      </c>
      <c r="F102" s="33">
        <f t="shared" ca="1" si="96"/>
        <v>50.489999999999995</v>
      </c>
      <c r="G102" s="18">
        <f>'Monthly Data'!Z102</f>
        <v>851621</v>
      </c>
      <c r="H102">
        <f>'Monthly Data'!BR102</f>
        <v>1</v>
      </c>
      <c r="I102" s="33">
        <f>'Monthly Data'!BT102</f>
        <v>31</v>
      </c>
      <c r="K102" s="18">
        <f>'Res Predicted Monthly'!$V$9</f>
        <v>-23284736.647811599</v>
      </c>
      <c r="L102" s="18">
        <f ca="1">E102*'Res Predicted Monthly'!$V$10</f>
        <v>1023705.2145769099</v>
      </c>
      <c r="M102" s="18">
        <f ca="1">F102*'Res Predicted Monthly'!$V$11</f>
        <v>4048481.8991575702</v>
      </c>
      <c r="N102" s="18">
        <f>G102*'Res Predicted Monthly'!$V$12</f>
        <v>16290706.987579498</v>
      </c>
      <c r="O102" s="18">
        <f>H102*'Res Predicted Monthly'!$V$13</f>
        <v>-2837598.3252266399</v>
      </c>
      <c r="P102" s="18">
        <f>I102*'Res Predicted Monthly'!$V$14</f>
        <v>48424797.051816143</v>
      </c>
      <c r="Q102" s="30">
        <f t="shared" ca="1" si="64"/>
        <v>43665356.18009188</v>
      </c>
    </row>
    <row r="103" spans="1:17" x14ac:dyDescent="0.2">
      <c r="A103" s="9">
        <f>'Monthly Data'!A103</f>
        <v>45078</v>
      </c>
      <c r="B103">
        <f t="shared" si="53"/>
        <v>2023</v>
      </c>
      <c r="C103">
        <f t="shared" si="54"/>
        <v>6</v>
      </c>
      <c r="D103" s="30">
        <f>'Monthly Data'!F103</f>
        <v>49966785.15713995</v>
      </c>
      <c r="E103" s="33">
        <f t="shared" ref="E103:F103" ca="1" si="97">E91</f>
        <v>2.15</v>
      </c>
      <c r="F103" s="33">
        <f t="shared" ca="1" si="97"/>
        <v>154.05000000000001</v>
      </c>
      <c r="G103" s="18">
        <f>'Monthly Data'!Z103</f>
        <v>851621</v>
      </c>
      <c r="H103">
        <f>'Monthly Data'!BR103</f>
        <v>0</v>
      </c>
      <c r="I103" s="33">
        <f>'Monthly Data'!BT103</f>
        <v>30</v>
      </c>
      <c r="K103" s="18">
        <f>'Res Predicted Monthly'!$V$9</f>
        <v>-23284736.647811599</v>
      </c>
      <c r="L103" s="18">
        <f ca="1">E103*'Res Predicted Monthly'!$V$10</f>
        <v>29424.681969790858</v>
      </c>
      <c r="M103" s="18">
        <f ca="1">F103*'Res Predicted Monthly'!$V$11</f>
        <v>12352319.995350046</v>
      </c>
      <c r="N103" s="18">
        <f>G103*'Res Predicted Monthly'!$V$12</f>
        <v>16290706.987579498</v>
      </c>
      <c r="O103" s="18">
        <f>H103*'Res Predicted Monthly'!$V$13</f>
        <v>0</v>
      </c>
      <c r="P103" s="18">
        <f>I103*'Res Predicted Monthly'!$V$14</f>
        <v>46862706.824338198</v>
      </c>
      <c r="Q103" s="30">
        <f t="shared" ca="1" si="64"/>
        <v>52250421.841425933</v>
      </c>
    </row>
    <row r="104" spans="1:17" x14ac:dyDescent="0.2">
      <c r="A104" s="9">
        <f>'Monthly Data'!A104</f>
        <v>45108</v>
      </c>
      <c r="B104">
        <f t="shared" si="53"/>
        <v>2023</v>
      </c>
      <c r="C104">
        <f t="shared" si="54"/>
        <v>7</v>
      </c>
      <c r="D104" s="30">
        <f>'Monthly Data'!F104</f>
        <v>60709456.684734322</v>
      </c>
      <c r="E104" s="33">
        <f t="shared" ref="E104:F104" ca="1" si="98">E92</f>
        <v>0</v>
      </c>
      <c r="F104" s="33">
        <f t="shared" ca="1" si="98"/>
        <v>267.66999999999996</v>
      </c>
      <c r="G104" s="18">
        <f>'Monthly Data'!Z104</f>
        <v>852979</v>
      </c>
      <c r="H104">
        <f>'Monthly Data'!BR104</f>
        <v>0</v>
      </c>
      <c r="I104" s="33">
        <f>'Monthly Data'!BT104</f>
        <v>31</v>
      </c>
      <c r="K104" s="18">
        <f>'Res Predicted Monthly'!$V$9</f>
        <v>-23284736.647811599</v>
      </c>
      <c r="L104" s="18">
        <f ca="1">E104*'Res Predicted Monthly'!$V$10</f>
        <v>0</v>
      </c>
      <c r="M104" s="18">
        <f ca="1">F104*'Res Predicted Monthly'!$V$11</f>
        <v>21462807.485591341</v>
      </c>
      <c r="N104" s="18">
        <f>G104*'Res Predicted Monthly'!$V$12</f>
        <v>16316684.247521577</v>
      </c>
      <c r="O104" s="18">
        <f>H104*'Res Predicted Monthly'!$V$13</f>
        <v>0</v>
      </c>
      <c r="P104" s="18">
        <f>I104*'Res Predicted Monthly'!$V$14</f>
        <v>48424797.051816143</v>
      </c>
      <c r="Q104" s="30">
        <f t="shared" ca="1" si="64"/>
        <v>62919552.13711746</v>
      </c>
    </row>
    <row r="105" spans="1:17" x14ac:dyDescent="0.2">
      <c r="A105" s="9">
        <f>'Monthly Data'!A105</f>
        <v>45139</v>
      </c>
      <c r="B105">
        <f t="shared" si="53"/>
        <v>2023</v>
      </c>
      <c r="C105">
        <f t="shared" si="54"/>
        <v>8</v>
      </c>
      <c r="D105" s="30">
        <f>'Monthly Data'!F105</f>
        <v>56519900.212328687</v>
      </c>
      <c r="E105" s="33">
        <f t="shared" ref="E105:F105" ca="1" si="99">E93</f>
        <v>0</v>
      </c>
      <c r="F105" s="33">
        <f t="shared" ca="1" si="99"/>
        <v>246.315</v>
      </c>
      <c r="G105" s="18">
        <f>'Monthly Data'!Z105</f>
        <v>852979</v>
      </c>
      <c r="H105">
        <f>'Monthly Data'!BR105</f>
        <v>0</v>
      </c>
      <c r="I105" s="33">
        <f>'Monthly Data'!BT105</f>
        <v>31</v>
      </c>
      <c r="K105" s="18">
        <f>'Res Predicted Monthly'!$V$9</f>
        <v>-23284736.647811599</v>
      </c>
      <c r="L105" s="18">
        <f ca="1">E105*'Res Predicted Monthly'!$V$10</f>
        <v>0</v>
      </c>
      <c r="M105" s="18">
        <f ca="1">F105*'Res Predicted Monthly'!$V$11</f>
        <v>19750481.659556288</v>
      </c>
      <c r="N105" s="18">
        <f>G105*'Res Predicted Monthly'!$V$12</f>
        <v>16316684.247521577</v>
      </c>
      <c r="O105" s="18">
        <f>H105*'Res Predicted Monthly'!$V$13</f>
        <v>0</v>
      </c>
      <c r="P105" s="18">
        <f>I105*'Res Predicted Monthly'!$V$14</f>
        <v>48424797.051816143</v>
      </c>
      <c r="Q105" s="30">
        <f t="shared" ca="1" si="64"/>
        <v>61207226.311082408</v>
      </c>
    </row>
    <row r="106" spans="1:17" x14ac:dyDescent="0.2">
      <c r="A106" s="9">
        <f>'Monthly Data'!A106</f>
        <v>45170</v>
      </c>
      <c r="B106">
        <f t="shared" si="53"/>
        <v>2023</v>
      </c>
      <c r="C106">
        <f t="shared" si="54"/>
        <v>9</v>
      </c>
      <c r="D106" s="30">
        <f>'Monthly Data'!F106</f>
        <v>46714488.739923052</v>
      </c>
      <c r="E106" s="33">
        <f t="shared" ref="E106:F106" ca="1" si="100">E94</f>
        <v>2.2699999999999996</v>
      </c>
      <c r="F106" s="33">
        <f t="shared" ca="1" si="100"/>
        <v>146.80000000000001</v>
      </c>
      <c r="G106" s="18">
        <f>'Monthly Data'!Z106</f>
        <v>852979</v>
      </c>
      <c r="H106">
        <f>'Monthly Data'!BR106</f>
        <v>1</v>
      </c>
      <c r="I106" s="33">
        <f>'Monthly Data'!BT106</f>
        <v>30</v>
      </c>
      <c r="K106" s="18">
        <f>'Res Predicted Monthly'!$V$9</f>
        <v>-23284736.647811599</v>
      </c>
      <c r="L106" s="18">
        <f ca="1">E106*'Res Predicted Monthly'!$V$10</f>
        <v>31066.989800662901</v>
      </c>
      <c r="M106" s="18">
        <f ca="1">F106*'Res Predicted Monthly'!$V$11</f>
        <v>11770987.181547463</v>
      </c>
      <c r="N106" s="18">
        <f>G106*'Res Predicted Monthly'!$V$12</f>
        <v>16316684.247521577</v>
      </c>
      <c r="O106" s="18">
        <f>H106*'Res Predicted Monthly'!$V$13</f>
        <v>-2837598.3252266399</v>
      </c>
      <c r="P106" s="18">
        <f>I106*'Res Predicted Monthly'!$V$14</f>
        <v>46862706.824338198</v>
      </c>
      <c r="Q106" s="30">
        <f t="shared" ca="1" si="64"/>
        <v>48859110.27016966</v>
      </c>
    </row>
    <row r="107" spans="1:17" x14ac:dyDescent="0.2">
      <c r="A107" s="9">
        <f>'Monthly Data'!A107</f>
        <v>45200</v>
      </c>
      <c r="B107">
        <f t="shared" si="53"/>
        <v>2023</v>
      </c>
      <c r="C107">
        <f t="shared" si="54"/>
        <v>10</v>
      </c>
      <c r="D107" s="30">
        <f>'Monthly Data'!F107</f>
        <v>40824035.267517418</v>
      </c>
      <c r="E107" s="33">
        <f t="shared" ref="E107:F107" ca="1" si="101">E95</f>
        <v>83.800000000000011</v>
      </c>
      <c r="F107" s="33">
        <f t="shared" ca="1" si="101"/>
        <v>36.859999999999992</v>
      </c>
      <c r="G107" s="18">
        <f>'Monthly Data'!Z107</f>
        <v>852029</v>
      </c>
      <c r="H107">
        <f>'Monthly Data'!BR107</f>
        <v>1</v>
      </c>
      <c r="I107" s="33">
        <f>'Monthly Data'!BT107</f>
        <v>31</v>
      </c>
      <c r="K107" s="18">
        <f>'Res Predicted Monthly'!$V$9</f>
        <v>-23284736.647811599</v>
      </c>
      <c r="L107" s="18">
        <f ca="1">E107*'Res Predicted Monthly'!$V$10</f>
        <v>1146878.3018923136</v>
      </c>
      <c r="M107" s="18">
        <f ca="1">F107*'Res Predicted Monthly'!$V$11</f>
        <v>2955576.2092087152</v>
      </c>
      <c r="N107" s="18">
        <f>G107*'Res Predicted Monthly'!$V$12</f>
        <v>16298511.642996559</v>
      </c>
      <c r="O107" s="18">
        <f>H107*'Res Predicted Monthly'!$V$13</f>
        <v>-2837598.3252266399</v>
      </c>
      <c r="P107" s="18">
        <f>I107*'Res Predicted Monthly'!$V$14</f>
        <v>48424797.051816143</v>
      </c>
      <c r="Q107" s="30">
        <f t="shared" ca="1" si="64"/>
        <v>42703428.232875496</v>
      </c>
    </row>
    <row r="108" spans="1:17" x14ac:dyDescent="0.2">
      <c r="A108" s="9">
        <f>'Monthly Data'!A108</f>
        <v>45231</v>
      </c>
      <c r="B108">
        <f t="shared" si="53"/>
        <v>2023</v>
      </c>
      <c r="C108">
        <f t="shared" si="54"/>
        <v>11</v>
      </c>
      <c r="D108" s="30">
        <f>'Monthly Data'!F108</f>
        <v>40771078.79511179</v>
      </c>
      <c r="E108" s="33">
        <f t="shared" ref="E108:F108" ca="1" si="102">E96</f>
        <v>240.7</v>
      </c>
      <c r="F108" s="33">
        <f t="shared" ca="1" si="102"/>
        <v>3.410000000000001</v>
      </c>
      <c r="G108" s="18">
        <f>'Monthly Data'!Z108</f>
        <v>852029</v>
      </c>
      <c r="H108">
        <f>'Monthly Data'!BR108</f>
        <v>1</v>
      </c>
      <c r="I108" s="33">
        <f>'Monthly Data'!BT108</f>
        <v>30</v>
      </c>
      <c r="K108" s="18">
        <f>'Res Predicted Monthly'!$V$9</f>
        <v>-23284736.647811599</v>
      </c>
      <c r="L108" s="18">
        <f ca="1">E108*'Res Predicted Monthly'!$V$10</f>
        <v>3294195.7907575159</v>
      </c>
      <c r="M108" s="18">
        <f ca="1">F108*'Res Predicted Monthly'!$V$11</f>
        <v>273426.88207818026</v>
      </c>
      <c r="N108" s="18">
        <f>G108*'Res Predicted Monthly'!$V$12</f>
        <v>16298511.642996559</v>
      </c>
      <c r="O108" s="18">
        <f>H108*'Res Predicted Monthly'!$V$13</f>
        <v>-2837598.3252266399</v>
      </c>
      <c r="P108" s="18">
        <f>I108*'Res Predicted Monthly'!$V$14</f>
        <v>46862706.824338198</v>
      </c>
      <c r="Q108" s="30">
        <f t="shared" ca="1" si="64"/>
        <v>40606506.167132214</v>
      </c>
    </row>
    <row r="109" spans="1:17" x14ac:dyDescent="0.2">
      <c r="A109" s="9">
        <f>'Monthly Data'!A109</f>
        <v>45261</v>
      </c>
      <c r="B109">
        <f t="shared" si="53"/>
        <v>2023</v>
      </c>
      <c r="C109">
        <f t="shared" si="54"/>
        <v>12</v>
      </c>
      <c r="D109" s="30">
        <f>'Monthly Data'!F109</f>
        <v>46228650.322706155</v>
      </c>
      <c r="E109" s="33">
        <f t="shared" ref="E109:F109" ca="1" si="103">E97</f>
        <v>386.61999999999995</v>
      </c>
      <c r="F109" s="33">
        <f t="shared" ca="1" si="103"/>
        <v>0</v>
      </c>
      <c r="G109" s="18">
        <f>'Monthly Data'!Z109</f>
        <v>852029</v>
      </c>
      <c r="H109">
        <f>'Monthly Data'!BR109</f>
        <v>0</v>
      </c>
      <c r="I109" s="33">
        <f>'Monthly Data'!BT109</f>
        <v>31</v>
      </c>
      <c r="K109" s="18">
        <f>'Res Predicted Monthly'!$V$9</f>
        <v>-23284736.647811599</v>
      </c>
      <c r="L109" s="18">
        <f ca="1">E109*'Res Predicted Monthly'!$V$10</f>
        <v>5291242.1130979257</v>
      </c>
      <c r="M109" s="18">
        <f ca="1">F109*'Res Predicted Monthly'!$V$11</f>
        <v>0</v>
      </c>
      <c r="N109" s="18">
        <f>G109*'Res Predicted Monthly'!$V$12</f>
        <v>16298511.642996559</v>
      </c>
      <c r="O109" s="18">
        <f>H109*'Res Predicted Monthly'!$V$13</f>
        <v>0</v>
      </c>
      <c r="P109" s="18">
        <f>I109*'Res Predicted Monthly'!$V$14</f>
        <v>48424797.051816143</v>
      </c>
      <c r="Q109" s="30">
        <f t="shared" ca="1" si="64"/>
        <v>46729814.16009903</v>
      </c>
    </row>
    <row r="110" spans="1:17" x14ac:dyDescent="0.2">
      <c r="A110" s="9">
        <f>'Monthly Data'!A110</f>
        <v>45292</v>
      </c>
      <c r="B110">
        <f t="shared" ref="B110:B115" si="104">YEAR(A110)</f>
        <v>2024</v>
      </c>
      <c r="C110">
        <f t="shared" ref="C110:C115" si="105">MONTH(A110)</f>
        <v>1</v>
      </c>
      <c r="D110" s="30">
        <f>'Monthly Data'!F110</f>
        <v>47520942.166132875</v>
      </c>
      <c r="E110" s="33">
        <f t="shared" ref="E110:F110" ca="1" si="106">E98</f>
        <v>508.54000000000008</v>
      </c>
      <c r="F110" s="33">
        <f t="shared" ca="1" si="106"/>
        <v>0</v>
      </c>
      <c r="G110" s="18">
        <f>'Monthly Data'!Z110</f>
        <v>860658</v>
      </c>
      <c r="H110">
        <f>'Monthly Data'!BR110</f>
        <v>0</v>
      </c>
      <c r="I110" s="33">
        <f>'Monthly Data'!BT110</f>
        <v>31</v>
      </c>
      <c r="K110" s="18">
        <f>'Res Predicted Monthly'!$V$9</f>
        <v>-23284736.647811599</v>
      </c>
      <c r="L110" s="18">
        <f ca="1">E110*'Res Predicted Monthly'!$V$10</f>
        <v>6959826.8692639284</v>
      </c>
      <c r="M110" s="18">
        <f ca="1">F110*'Res Predicted Monthly'!$V$11</f>
        <v>0</v>
      </c>
      <c r="N110" s="18">
        <f>G110*'Res Predicted Monthly'!$V$12</f>
        <v>16463576.27925591</v>
      </c>
      <c r="O110" s="18">
        <f>H110*'Res Predicted Monthly'!$V$13</f>
        <v>0</v>
      </c>
      <c r="P110" s="18">
        <f>I110*'Res Predicted Monthly'!$V$14</f>
        <v>48424797.051816143</v>
      </c>
      <c r="Q110" s="30">
        <f t="shared" ca="1" si="64"/>
        <v>48563463.55252438</v>
      </c>
    </row>
    <row r="111" spans="1:17" x14ac:dyDescent="0.2">
      <c r="A111" s="9">
        <f>'Monthly Data'!A111</f>
        <v>45323</v>
      </c>
      <c r="B111">
        <f t="shared" si="104"/>
        <v>2024</v>
      </c>
      <c r="C111">
        <f t="shared" si="105"/>
        <v>2</v>
      </c>
      <c r="D111" s="30">
        <f>'Monthly Data'!F111</f>
        <v>42009232.734825648</v>
      </c>
      <c r="E111" s="33">
        <f t="shared" ref="E111:F111" ca="1" si="107">E99</f>
        <v>451.10999999999996</v>
      </c>
      <c r="F111" s="33">
        <f t="shared" ca="1" si="107"/>
        <v>0</v>
      </c>
      <c r="G111" s="18">
        <f>'Monthly Data'!Z111</f>
        <v>860658</v>
      </c>
      <c r="H111">
        <f>'Monthly Data'!BR111</f>
        <v>0</v>
      </c>
      <c r="I111" s="33">
        <f>'Monthly Data'!BT111</f>
        <v>29</v>
      </c>
      <c r="K111" s="18">
        <f>'Res Predicted Monthly'!$V$9</f>
        <v>-23284736.647811599</v>
      </c>
      <c r="L111" s="18">
        <f ca="1">E111*'Res Predicted Monthly'!$V$10</f>
        <v>6173845.7132057454</v>
      </c>
      <c r="M111" s="18">
        <f ca="1">F111*'Res Predicted Monthly'!$V$11</f>
        <v>0</v>
      </c>
      <c r="N111" s="18">
        <f>G111*'Res Predicted Monthly'!$V$12</f>
        <v>16463576.27925591</v>
      </c>
      <c r="O111" s="18">
        <f>H111*'Res Predicted Monthly'!$V$13</f>
        <v>0</v>
      </c>
      <c r="P111" s="18">
        <f>I111*'Res Predicted Monthly'!$V$14</f>
        <v>45300616.59686026</v>
      </c>
      <c r="Q111" s="30">
        <f t="shared" ca="1" si="64"/>
        <v>44653301.94151032</v>
      </c>
    </row>
    <row r="112" spans="1:17" x14ac:dyDescent="0.2">
      <c r="A112" s="9">
        <f>'Monthly Data'!A112</f>
        <v>45352</v>
      </c>
      <c r="B112">
        <f t="shared" si="104"/>
        <v>2024</v>
      </c>
      <c r="C112">
        <f t="shared" si="105"/>
        <v>3</v>
      </c>
      <c r="D112" s="30">
        <f>'Monthly Data'!F112</f>
        <v>42133800.273518406</v>
      </c>
      <c r="E112" s="33">
        <f t="shared" ref="E112:F112" ca="1" si="108">E100</f>
        <v>374.74</v>
      </c>
      <c r="F112" s="33">
        <f t="shared" ca="1" si="108"/>
        <v>0</v>
      </c>
      <c r="G112" s="18">
        <f>'Monthly Data'!Z112</f>
        <v>860658</v>
      </c>
      <c r="H112">
        <f>'Monthly Data'!BR112</f>
        <v>1</v>
      </c>
      <c r="I112" s="33">
        <f>'Monthly Data'!BT112</f>
        <v>31</v>
      </c>
      <c r="K112" s="18">
        <f>'Res Predicted Monthly'!$V$9</f>
        <v>-23284736.647811599</v>
      </c>
      <c r="L112" s="18">
        <f ca="1">E112*'Res Predicted Monthly'!$V$10</f>
        <v>5128653.6378415944</v>
      </c>
      <c r="M112" s="18">
        <f ca="1">F112*'Res Predicted Monthly'!$V$11</f>
        <v>0</v>
      </c>
      <c r="N112" s="18">
        <f>G112*'Res Predicted Monthly'!$V$12</f>
        <v>16463576.27925591</v>
      </c>
      <c r="O112" s="18">
        <f>H112*'Res Predicted Monthly'!$V$13</f>
        <v>-2837598.3252266399</v>
      </c>
      <c r="P112" s="18">
        <f>I112*'Res Predicted Monthly'!$V$14</f>
        <v>48424797.051816143</v>
      </c>
      <c r="Q112" s="30">
        <f t="shared" ca="1" si="64"/>
        <v>43894691.995875403</v>
      </c>
    </row>
    <row r="113" spans="1:17" x14ac:dyDescent="0.2">
      <c r="A113" s="9">
        <f>'Monthly Data'!A113</f>
        <v>45383</v>
      </c>
      <c r="B113">
        <f t="shared" si="104"/>
        <v>2024</v>
      </c>
      <c r="C113">
        <f t="shared" si="105"/>
        <v>4</v>
      </c>
      <c r="D113" s="30">
        <f>'Monthly Data'!F113</f>
        <v>38836355.502211168</v>
      </c>
      <c r="E113" s="33">
        <f t="shared" ref="E113:F113" ca="1" si="109">E101</f>
        <v>221.12999999999997</v>
      </c>
      <c r="F113" s="33">
        <f t="shared" ca="1" si="109"/>
        <v>2.6300000000000003</v>
      </c>
      <c r="G113" s="18">
        <f>'Monthly Data'!Z113</f>
        <v>865503</v>
      </c>
      <c r="H113">
        <f>'Monthly Data'!BR113</f>
        <v>1</v>
      </c>
      <c r="I113" s="33">
        <f>'Monthly Data'!BT113</f>
        <v>30</v>
      </c>
      <c r="K113" s="18">
        <f>'Res Predicted Monthly'!$V$9</f>
        <v>-23284736.647811599</v>
      </c>
      <c r="L113" s="18">
        <f ca="1">E113*'Res Predicted Monthly'!$V$10</f>
        <v>3026362.755339466</v>
      </c>
      <c r="M113" s="18">
        <f ca="1">F113*'Res Predicted Monthly'!$V$11</f>
        <v>210883.48969666098</v>
      </c>
      <c r="N113" s="18">
        <f>G113*'Res Predicted Monthly'!$V$12</f>
        <v>16556256.562333502</v>
      </c>
      <c r="O113" s="18">
        <f>H113*'Res Predicted Monthly'!$V$13</f>
        <v>-2837598.3252266399</v>
      </c>
      <c r="P113" s="18">
        <f>I113*'Res Predicted Monthly'!$V$14</f>
        <v>46862706.824338198</v>
      </c>
      <c r="Q113" s="30">
        <f t="shared" ca="1" si="64"/>
        <v>40533874.658669583</v>
      </c>
    </row>
    <row r="114" spans="1:17" x14ac:dyDescent="0.2">
      <c r="A114" s="9">
        <f>'Monthly Data'!A114</f>
        <v>45413</v>
      </c>
      <c r="B114">
        <f t="shared" si="104"/>
        <v>2024</v>
      </c>
      <c r="C114">
        <f t="shared" si="105"/>
        <v>5</v>
      </c>
      <c r="D114" s="30">
        <f>'Monthly Data'!F114</f>
        <v>43725998.02090393</v>
      </c>
      <c r="E114" s="33">
        <f t="shared" ref="E114:F114" ca="1" si="110">E102</f>
        <v>74.8</v>
      </c>
      <c r="F114" s="33">
        <f t="shared" ca="1" si="110"/>
        <v>50.489999999999995</v>
      </c>
      <c r="G114" s="18">
        <f>'Monthly Data'!Z114</f>
        <v>865503</v>
      </c>
      <c r="H114">
        <f>'Monthly Data'!BR114</f>
        <v>1</v>
      </c>
      <c r="I114" s="33">
        <f>'Monthly Data'!BT114</f>
        <v>31</v>
      </c>
      <c r="K114" s="18">
        <f>'Res Predicted Monthly'!$V$9</f>
        <v>-23284736.647811599</v>
      </c>
      <c r="L114" s="18">
        <f ca="1">E114*'Res Predicted Monthly'!$V$10</f>
        <v>1023705.2145769099</v>
      </c>
      <c r="M114" s="18">
        <f ca="1">F114*'Res Predicted Monthly'!$V$11</f>
        <v>4048481.8991575702</v>
      </c>
      <c r="N114" s="18">
        <f>G114*'Res Predicted Monthly'!$V$12</f>
        <v>16556256.562333502</v>
      </c>
      <c r="O114" s="18">
        <f>H114*'Res Predicted Monthly'!$V$13</f>
        <v>-2837598.3252266399</v>
      </c>
      <c r="P114" s="18">
        <f>I114*'Res Predicted Monthly'!$V$14</f>
        <v>48424797.051816143</v>
      </c>
      <c r="Q114" s="30">
        <f t="shared" ca="1" si="64"/>
        <v>43930905.754845887</v>
      </c>
    </row>
    <row r="115" spans="1:17" x14ac:dyDescent="0.2">
      <c r="A115" s="9">
        <f>'Monthly Data'!A115</f>
        <v>45444</v>
      </c>
      <c r="B115">
        <f t="shared" si="104"/>
        <v>2024</v>
      </c>
      <c r="C115">
        <f t="shared" si="105"/>
        <v>6</v>
      </c>
      <c r="D115" s="30">
        <f>'Monthly Data'!F115</f>
        <v>54316624.359596707</v>
      </c>
      <c r="E115" s="33">
        <f t="shared" ref="E115:F115" ca="1" si="111">E103</f>
        <v>2.15</v>
      </c>
      <c r="F115" s="33">
        <f t="shared" ca="1" si="111"/>
        <v>154.05000000000001</v>
      </c>
      <c r="G115" s="18">
        <f>'Monthly Data'!Z115</f>
        <v>865503</v>
      </c>
      <c r="H115">
        <f>'Monthly Data'!BR115</f>
        <v>0</v>
      </c>
      <c r="I115" s="33">
        <f>'Monthly Data'!BT115</f>
        <v>30</v>
      </c>
      <c r="K115" s="18">
        <f>'Res Predicted Monthly'!$V$9</f>
        <v>-23284736.647811599</v>
      </c>
      <c r="L115" s="18">
        <f ca="1">E115*'Res Predicted Monthly'!$V$10</f>
        <v>29424.681969790858</v>
      </c>
      <c r="M115" s="18">
        <f ca="1">F115*'Res Predicted Monthly'!$V$11</f>
        <v>12352319.995350046</v>
      </c>
      <c r="N115" s="18">
        <f>G115*'Res Predicted Monthly'!$V$12</f>
        <v>16556256.562333502</v>
      </c>
      <c r="O115" s="18">
        <f>H115*'Res Predicted Monthly'!$V$13</f>
        <v>0</v>
      </c>
      <c r="P115" s="18">
        <f>I115*'Res Predicted Monthly'!$V$14</f>
        <v>46862706.824338198</v>
      </c>
      <c r="Q115" s="30">
        <f t="shared" ca="1" si="64"/>
        <v>52515971.41617994</v>
      </c>
    </row>
    <row r="116" spans="1:17" x14ac:dyDescent="0.2">
      <c r="A116" s="9">
        <f>EOMONTH(A115,0)+1</f>
        <v>45474</v>
      </c>
      <c r="B116">
        <f t="shared" ref="B116:B119" si="112">YEAR(A116)</f>
        <v>2024</v>
      </c>
      <c r="C116">
        <f t="shared" ref="C116:C119" si="113">MONTH(A116)</f>
        <v>7</v>
      </c>
      <c r="D116" s="30">
        <f>'Monthly Data'!F116</f>
        <v>64592396.868289471</v>
      </c>
      <c r="E116" s="33">
        <f t="shared" ref="E116:F116" ca="1" si="114">E104</f>
        <v>0</v>
      </c>
      <c r="F116" s="33">
        <f t="shared" ca="1" si="114"/>
        <v>267.66999999999996</v>
      </c>
      <c r="G116" s="18">
        <f>'Monthly Data'!Z116</f>
        <v>867701</v>
      </c>
      <c r="H116">
        <f>'Monthly Data'!BR116</f>
        <v>0</v>
      </c>
      <c r="I116" s="33">
        <f>'Monthly Data'!BT116</f>
        <v>31</v>
      </c>
      <c r="K116" s="18">
        <f>'Res Predicted Monthly'!$V$9</f>
        <v>-23284736.647811599</v>
      </c>
      <c r="L116" s="18">
        <f ca="1">E116*'Res Predicted Monthly'!$V$10</f>
        <v>0</v>
      </c>
      <c r="M116" s="18">
        <f ca="1">F116*'Res Predicted Monthly'!$V$11</f>
        <v>21462807.485591341</v>
      </c>
      <c r="N116" s="18">
        <f>G116*'Res Predicted Monthly'!$V$12</f>
        <v>16598302.230487175</v>
      </c>
      <c r="O116" s="18">
        <f>H116*'Res Predicted Monthly'!$V$13</f>
        <v>0</v>
      </c>
      <c r="P116" s="18">
        <f>I116*'Res Predicted Monthly'!$V$14</f>
        <v>48424797.051816143</v>
      </c>
      <c r="Q116" s="30">
        <f t="shared" ref="Q116:Q121" ca="1" si="115">SUM(K116:P116)</f>
        <v>63201170.120083064</v>
      </c>
    </row>
    <row r="117" spans="1:17" x14ac:dyDescent="0.2">
      <c r="A117" s="9">
        <f t="shared" ref="A117:A145" si="116">EOMONTH(A116,0)+1</f>
        <v>45505</v>
      </c>
      <c r="B117">
        <f t="shared" si="112"/>
        <v>2024</v>
      </c>
      <c r="C117">
        <f t="shared" si="113"/>
        <v>8</v>
      </c>
      <c r="D117" s="30">
        <f>'Monthly Data'!F117</f>
        <v>60459871.106982246</v>
      </c>
      <c r="E117" s="33">
        <f t="shared" ref="E117:F117" ca="1" si="117">E105</f>
        <v>0</v>
      </c>
      <c r="F117" s="33">
        <f t="shared" ca="1" si="117"/>
        <v>246.315</v>
      </c>
      <c r="G117" s="18">
        <f>'Monthly Data'!Z117</f>
        <v>867701</v>
      </c>
      <c r="H117">
        <f>'Monthly Data'!BR117</f>
        <v>0</v>
      </c>
      <c r="I117" s="33">
        <f>'Monthly Data'!BT117</f>
        <v>31</v>
      </c>
      <c r="K117" s="18">
        <f>'Res Predicted Monthly'!$V$9</f>
        <v>-23284736.647811599</v>
      </c>
      <c r="L117" s="18">
        <f ca="1">E117*'Res Predicted Monthly'!$V$10</f>
        <v>0</v>
      </c>
      <c r="M117" s="18">
        <f ca="1">F117*'Res Predicted Monthly'!$V$11</f>
        <v>19750481.659556288</v>
      </c>
      <c r="N117" s="18">
        <f>G117*'Res Predicted Monthly'!$V$12</f>
        <v>16598302.230487175</v>
      </c>
      <c r="O117" s="18">
        <f>H117*'Res Predicted Monthly'!$V$13</f>
        <v>0</v>
      </c>
      <c r="P117" s="18">
        <f>I117*'Res Predicted Monthly'!$V$14</f>
        <v>48424797.051816143</v>
      </c>
      <c r="Q117" s="30">
        <f t="shared" ca="1" si="115"/>
        <v>61488844.294048011</v>
      </c>
    </row>
    <row r="118" spans="1:17" x14ac:dyDescent="0.2">
      <c r="A118" s="9">
        <f t="shared" si="116"/>
        <v>45536</v>
      </c>
      <c r="B118">
        <f t="shared" si="112"/>
        <v>2024</v>
      </c>
      <c r="C118">
        <f t="shared" si="113"/>
        <v>9</v>
      </c>
      <c r="D118" s="30">
        <f>'Monthly Data'!F118</f>
        <v>48481511.215674996</v>
      </c>
      <c r="E118" s="33">
        <f t="shared" ref="E118:F118" ca="1" si="118">E106</f>
        <v>2.2699999999999996</v>
      </c>
      <c r="F118" s="33">
        <f t="shared" ca="1" si="118"/>
        <v>146.80000000000001</v>
      </c>
      <c r="G118" s="18">
        <f>'Monthly Data'!Z118</f>
        <v>867701</v>
      </c>
      <c r="H118">
        <f>'Monthly Data'!BR118</f>
        <v>1</v>
      </c>
      <c r="I118" s="33">
        <f>'Monthly Data'!BT118</f>
        <v>30</v>
      </c>
      <c r="K118" s="18">
        <f>'Res Predicted Monthly'!$V$9</f>
        <v>-23284736.647811599</v>
      </c>
      <c r="L118" s="18">
        <f ca="1">E118*'Res Predicted Monthly'!$V$10</f>
        <v>31066.989800662901</v>
      </c>
      <c r="M118" s="18">
        <f ca="1">F118*'Res Predicted Monthly'!$V$11</f>
        <v>11770987.181547463</v>
      </c>
      <c r="N118" s="18">
        <f>G118*'Res Predicted Monthly'!$V$12</f>
        <v>16598302.230487175</v>
      </c>
      <c r="O118" s="18">
        <f>H118*'Res Predicted Monthly'!$V$13</f>
        <v>-2837598.3252266399</v>
      </c>
      <c r="P118" s="18">
        <f>I118*'Res Predicted Monthly'!$V$14</f>
        <v>46862706.824338198</v>
      </c>
      <c r="Q118" s="30">
        <f t="shared" ca="1" si="115"/>
        <v>49140728.253135256</v>
      </c>
    </row>
    <row r="119" spans="1:17" x14ac:dyDescent="0.2">
      <c r="A119" s="9">
        <f t="shared" si="116"/>
        <v>45566</v>
      </c>
      <c r="B119">
        <f t="shared" si="112"/>
        <v>2024</v>
      </c>
      <c r="C119">
        <f t="shared" si="113"/>
        <v>10</v>
      </c>
      <c r="D119" s="30">
        <f>'Monthly Data'!F119</f>
        <v>41352177.60436777</v>
      </c>
      <c r="E119" s="33">
        <f t="shared" ref="E119:F119" ca="1" si="119">E107</f>
        <v>83.800000000000011</v>
      </c>
      <c r="F119" s="33">
        <f t="shared" ca="1" si="119"/>
        <v>36.859999999999992</v>
      </c>
      <c r="G119" s="18">
        <f>'Monthly Data'!Z119</f>
        <v>869576</v>
      </c>
      <c r="H119">
        <f>'Monthly Data'!BR119</f>
        <v>1</v>
      </c>
      <c r="I119" s="33">
        <f>'Monthly Data'!BT119</f>
        <v>31</v>
      </c>
      <c r="K119" s="18">
        <f>'Res Predicted Monthly'!$V$9</f>
        <v>-23284736.647811599</v>
      </c>
      <c r="L119" s="18">
        <f ca="1">E119*'Res Predicted Monthly'!$V$10</f>
        <v>1146878.3018923136</v>
      </c>
      <c r="M119" s="18">
        <f ca="1">F119*'Res Predicted Monthly'!$V$11</f>
        <v>2955576.2092087152</v>
      </c>
      <c r="N119" s="18">
        <f>G119*'Res Predicted Monthly'!$V$12</f>
        <v>16634169.213102343</v>
      </c>
      <c r="O119" s="18">
        <f>H119*'Res Predicted Monthly'!$V$13</f>
        <v>-2837598.3252266399</v>
      </c>
      <c r="P119" s="18">
        <f>I119*'Res Predicted Monthly'!$V$14</f>
        <v>48424797.051816143</v>
      </c>
      <c r="Q119" s="30">
        <f t="shared" ca="1" si="115"/>
        <v>43039085.802981272</v>
      </c>
    </row>
    <row r="120" spans="1:17" x14ac:dyDescent="0.2">
      <c r="A120" s="9">
        <f t="shared" si="116"/>
        <v>45597</v>
      </c>
      <c r="B120">
        <f t="shared" ref="B120:B145" si="120">YEAR(A120)</f>
        <v>2024</v>
      </c>
      <c r="C120">
        <f t="shared" ref="C120:C145" si="121">MONTH(A120)</f>
        <v>11</v>
      </c>
      <c r="D120" s="30">
        <f>'Monthly Data'!F120</f>
        <v>40782399.333060533</v>
      </c>
      <c r="E120" s="33">
        <f t="shared" ref="E120:F120" ca="1" si="122">E108</f>
        <v>240.7</v>
      </c>
      <c r="F120" s="33">
        <f t="shared" ca="1" si="122"/>
        <v>3.410000000000001</v>
      </c>
      <c r="G120" s="18">
        <f>'Monthly Data'!Z120</f>
        <v>869576</v>
      </c>
      <c r="H120">
        <f>'Monthly Data'!BR120</f>
        <v>1</v>
      </c>
      <c r="I120" s="33">
        <f>'Monthly Data'!BT120</f>
        <v>30</v>
      </c>
      <c r="K120" s="18">
        <f>'Res Predicted Monthly'!$V$9</f>
        <v>-23284736.647811599</v>
      </c>
      <c r="L120" s="18">
        <f ca="1">E120*'Res Predicted Monthly'!$V$10</f>
        <v>3294195.7907575159</v>
      </c>
      <c r="M120" s="18">
        <f ca="1">F120*'Res Predicted Monthly'!$V$11</f>
        <v>273426.88207818026</v>
      </c>
      <c r="N120" s="18">
        <f>G120*'Res Predicted Monthly'!$V$12</f>
        <v>16634169.213102343</v>
      </c>
      <c r="O120" s="18">
        <f>H120*'Res Predicted Monthly'!$V$13</f>
        <v>-2837598.3252266399</v>
      </c>
      <c r="P120" s="18">
        <f>I120*'Res Predicted Monthly'!$V$14</f>
        <v>46862706.824338198</v>
      </c>
      <c r="Q120" s="30">
        <f t="shared" ca="1" si="115"/>
        <v>40942163.737237997</v>
      </c>
    </row>
    <row r="121" spans="1:17" x14ac:dyDescent="0.2">
      <c r="A121" s="9">
        <f t="shared" si="116"/>
        <v>45627</v>
      </c>
      <c r="B121">
        <f t="shared" si="120"/>
        <v>2024</v>
      </c>
      <c r="C121">
        <f t="shared" si="121"/>
        <v>12</v>
      </c>
      <c r="D121" s="30">
        <f>'Monthly Data'!F121</f>
        <v>48660834.701753296</v>
      </c>
      <c r="E121" s="33">
        <f t="shared" ref="E121:F121" ca="1" si="123">E109</f>
        <v>386.61999999999995</v>
      </c>
      <c r="F121" s="33">
        <f t="shared" ca="1" si="123"/>
        <v>0</v>
      </c>
      <c r="G121" s="18">
        <f>'Monthly Data'!Z121</f>
        <v>869576</v>
      </c>
      <c r="H121">
        <f>'Monthly Data'!BR121</f>
        <v>0</v>
      </c>
      <c r="I121" s="33">
        <f>'Monthly Data'!BT121</f>
        <v>31</v>
      </c>
      <c r="K121" s="18">
        <f>'Res Predicted Monthly'!$V$9</f>
        <v>-23284736.647811599</v>
      </c>
      <c r="L121" s="18">
        <f ca="1">E121*'Res Predicted Monthly'!$V$10</f>
        <v>5291242.1130979257</v>
      </c>
      <c r="M121" s="18">
        <f ca="1">F121*'Res Predicted Monthly'!$V$11</f>
        <v>0</v>
      </c>
      <c r="N121" s="18">
        <f>G121*'Res Predicted Monthly'!$V$12</f>
        <v>16634169.213102343</v>
      </c>
      <c r="O121" s="18">
        <f>H121*'Res Predicted Monthly'!$V$13</f>
        <v>0</v>
      </c>
      <c r="P121" s="18">
        <f>I121*'Res Predicted Monthly'!$V$14</f>
        <v>48424797.051816143</v>
      </c>
      <c r="Q121" s="30">
        <f t="shared" ca="1" si="115"/>
        <v>47065471.730204813</v>
      </c>
    </row>
    <row r="122" spans="1:17" x14ac:dyDescent="0.2">
      <c r="A122" s="9">
        <f t="shared" si="116"/>
        <v>45658</v>
      </c>
      <c r="B122">
        <f t="shared" si="120"/>
        <v>2025</v>
      </c>
      <c r="C122">
        <f t="shared" si="121"/>
        <v>1</v>
      </c>
      <c r="E122" s="358">
        <f t="shared" ref="E122:F122" ca="1" si="124">E110</f>
        <v>508.54000000000008</v>
      </c>
      <c r="F122" s="358">
        <f t="shared" ca="1" si="124"/>
        <v>0</v>
      </c>
      <c r="G122" s="359">
        <f>Economic!M196</f>
        <v>881397.21600000001</v>
      </c>
      <c r="H122" s="358">
        <f t="shared" ref="H122:H145" si="125">H110</f>
        <v>0</v>
      </c>
      <c r="I122" s="83">
        <f t="shared" ref="I122:I145" si="126">I74</f>
        <v>31</v>
      </c>
      <c r="K122" s="18">
        <f>'Res Predicted Monthly'!$V$9</f>
        <v>-23284736.647811599</v>
      </c>
      <c r="L122" s="18">
        <f ca="1">E122*'Res Predicted Monthly'!$V$10</f>
        <v>6959826.8692639284</v>
      </c>
      <c r="M122" s="18">
        <f ca="1">F122*'Res Predicted Monthly'!$V$11</f>
        <v>0</v>
      </c>
      <c r="N122" s="18">
        <f>G122*'Res Predicted Monthly'!$V$12</f>
        <v>16860297.932442151</v>
      </c>
      <c r="O122" s="18">
        <f>H122*'Res Predicted Monthly'!$V$13</f>
        <v>0</v>
      </c>
      <c r="P122" s="18">
        <f>I122*'Res Predicted Monthly'!$V$14</f>
        <v>48424797.051816143</v>
      </c>
      <c r="Q122" s="30">
        <f t="shared" ca="1" si="64"/>
        <v>48960185.20571062</v>
      </c>
    </row>
    <row r="123" spans="1:17" x14ac:dyDescent="0.2">
      <c r="A123" s="9">
        <f t="shared" si="116"/>
        <v>45689</v>
      </c>
      <c r="B123">
        <f t="shared" si="120"/>
        <v>2025</v>
      </c>
      <c r="C123">
        <f t="shared" si="121"/>
        <v>2</v>
      </c>
      <c r="E123" s="358">
        <f t="shared" ref="E123:F123" ca="1" si="127">E111</f>
        <v>451.10999999999996</v>
      </c>
      <c r="F123" s="358">
        <f t="shared" ca="1" si="127"/>
        <v>0</v>
      </c>
      <c r="G123" s="359">
        <f>Economic!M197</f>
        <v>881397.21600000001</v>
      </c>
      <c r="H123" s="358">
        <f t="shared" si="125"/>
        <v>0</v>
      </c>
      <c r="I123" s="83">
        <f t="shared" si="126"/>
        <v>28</v>
      </c>
      <c r="K123" s="18">
        <f>'Res Predicted Monthly'!$V$9</f>
        <v>-23284736.647811599</v>
      </c>
      <c r="L123" s="18">
        <f ca="1">E123*'Res Predicted Monthly'!$V$10</f>
        <v>6173845.7132057454</v>
      </c>
      <c r="M123" s="18">
        <f ca="1">F123*'Res Predicted Monthly'!$V$11</f>
        <v>0</v>
      </c>
      <c r="N123" s="18">
        <f>G123*'Res Predicted Monthly'!$V$12</f>
        <v>16860297.932442151</v>
      </c>
      <c r="O123" s="18">
        <f>H123*'Res Predicted Monthly'!$V$13</f>
        <v>0</v>
      </c>
      <c r="P123" s="18">
        <f>I123*'Res Predicted Monthly'!$V$14</f>
        <v>43738526.369382322</v>
      </c>
      <c r="Q123" s="30">
        <f t="shared" ca="1" si="64"/>
        <v>43487933.367218621</v>
      </c>
    </row>
    <row r="124" spans="1:17" x14ac:dyDescent="0.2">
      <c r="A124" s="9">
        <f t="shared" si="116"/>
        <v>45717</v>
      </c>
      <c r="B124">
        <f t="shared" si="120"/>
        <v>2025</v>
      </c>
      <c r="C124">
        <f t="shared" si="121"/>
        <v>3</v>
      </c>
      <c r="E124" s="358">
        <f t="shared" ref="E124:F124" ca="1" si="128">E112</f>
        <v>374.74</v>
      </c>
      <c r="F124" s="358">
        <f t="shared" ca="1" si="128"/>
        <v>0</v>
      </c>
      <c r="G124" s="359">
        <f>Economic!M198</f>
        <v>881397.21600000001</v>
      </c>
      <c r="H124" s="358">
        <f t="shared" si="125"/>
        <v>1</v>
      </c>
      <c r="I124" s="83">
        <f t="shared" si="126"/>
        <v>31</v>
      </c>
      <c r="K124" s="18">
        <f>'Res Predicted Monthly'!$V$9</f>
        <v>-23284736.647811599</v>
      </c>
      <c r="L124" s="18">
        <f ca="1">E124*'Res Predicted Monthly'!$V$10</f>
        <v>5128653.6378415944</v>
      </c>
      <c r="M124" s="18">
        <f ca="1">F124*'Res Predicted Monthly'!$V$11</f>
        <v>0</v>
      </c>
      <c r="N124" s="18">
        <f>G124*'Res Predicted Monthly'!$V$12</f>
        <v>16860297.932442151</v>
      </c>
      <c r="O124" s="18">
        <f>H124*'Res Predicted Monthly'!$V$13</f>
        <v>-2837598.3252266399</v>
      </c>
      <c r="P124" s="18">
        <f>I124*'Res Predicted Monthly'!$V$14</f>
        <v>48424797.051816143</v>
      </c>
      <c r="Q124" s="30">
        <f t="shared" ca="1" si="64"/>
        <v>44291413.64906165</v>
      </c>
    </row>
    <row r="125" spans="1:17" x14ac:dyDescent="0.2">
      <c r="A125" s="9">
        <f t="shared" si="116"/>
        <v>45748</v>
      </c>
      <c r="B125">
        <f t="shared" si="120"/>
        <v>2025</v>
      </c>
      <c r="C125">
        <f t="shared" si="121"/>
        <v>4</v>
      </c>
      <c r="E125" s="358">
        <f t="shared" ref="E125:F125" ca="1" si="129">E113</f>
        <v>221.12999999999997</v>
      </c>
      <c r="F125" s="358">
        <f t="shared" ca="1" si="129"/>
        <v>2.6300000000000003</v>
      </c>
      <c r="G125" s="359">
        <f>Economic!M199</f>
        <v>884152.08</v>
      </c>
      <c r="H125" s="358">
        <f t="shared" si="125"/>
        <v>1</v>
      </c>
      <c r="I125" s="83">
        <f t="shared" si="126"/>
        <v>30</v>
      </c>
      <c r="K125" s="18">
        <f>'Res Predicted Monthly'!$V$9</f>
        <v>-23284736.647811599</v>
      </c>
      <c r="L125" s="18">
        <f ca="1">E125*'Res Predicted Monthly'!$V$10</f>
        <v>3026362.755339466</v>
      </c>
      <c r="M125" s="18">
        <f ca="1">F125*'Res Predicted Monthly'!$V$11</f>
        <v>210883.48969666098</v>
      </c>
      <c r="N125" s="18">
        <f>G125*'Res Predicted Monthly'!$V$12</f>
        <v>16912995.884012897</v>
      </c>
      <c r="O125" s="18">
        <f>H125*'Res Predicted Monthly'!$V$13</f>
        <v>-2837598.3252266399</v>
      </c>
      <c r="P125" s="18">
        <f>I125*'Res Predicted Monthly'!$V$14</f>
        <v>46862706.824338198</v>
      </c>
      <c r="Q125" s="30">
        <f t="shared" ca="1" si="64"/>
        <v>40890613.980348982</v>
      </c>
    </row>
    <row r="126" spans="1:17" x14ac:dyDescent="0.2">
      <c r="A126" s="9">
        <f t="shared" si="116"/>
        <v>45778</v>
      </c>
      <c r="B126">
        <f t="shared" si="120"/>
        <v>2025</v>
      </c>
      <c r="C126">
        <f t="shared" si="121"/>
        <v>5</v>
      </c>
      <c r="E126" s="358">
        <f t="shared" ref="E126:F126" ca="1" si="130">E114</f>
        <v>74.8</v>
      </c>
      <c r="F126" s="358">
        <f t="shared" ca="1" si="130"/>
        <v>50.489999999999995</v>
      </c>
      <c r="G126" s="359">
        <f>Economic!M200</f>
        <v>884152.08</v>
      </c>
      <c r="H126" s="358">
        <f t="shared" si="125"/>
        <v>1</v>
      </c>
      <c r="I126" s="83">
        <f t="shared" si="126"/>
        <v>31</v>
      </c>
      <c r="K126" s="18">
        <f>'Res Predicted Monthly'!$V$9</f>
        <v>-23284736.647811599</v>
      </c>
      <c r="L126" s="18">
        <f ca="1">E126*'Res Predicted Monthly'!$V$10</f>
        <v>1023705.2145769099</v>
      </c>
      <c r="M126" s="18">
        <f ca="1">F126*'Res Predicted Monthly'!$V$11</f>
        <v>4048481.8991575702</v>
      </c>
      <c r="N126" s="18">
        <f>G126*'Res Predicted Monthly'!$V$12</f>
        <v>16912995.884012897</v>
      </c>
      <c r="O126" s="18">
        <f>H126*'Res Predicted Monthly'!$V$13</f>
        <v>-2837598.3252266399</v>
      </c>
      <c r="P126" s="18">
        <f>I126*'Res Predicted Monthly'!$V$14</f>
        <v>48424797.051816143</v>
      </c>
      <c r="Q126" s="30">
        <f t="shared" ca="1" si="64"/>
        <v>44287645.076525278</v>
      </c>
    </row>
    <row r="127" spans="1:17" x14ac:dyDescent="0.2">
      <c r="A127" s="9">
        <f t="shared" si="116"/>
        <v>45809</v>
      </c>
      <c r="B127">
        <f t="shared" si="120"/>
        <v>2025</v>
      </c>
      <c r="C127">
        <f t="shared" si="121"/>
        <v>6</v>
      </c>
      <c r="E127" s="358">
        <f t="shared" ref="E127:F127" ca="1" si="131">E115</f>
        <v>2.15</v>
      </c>
      <c r="F127" s="358">
        <f t="shared" ca="1" si="131"/>
        <v>154.05000000000001</v>
      </c>
      <c r="G127" s="359">
        <f>Economic!M201</f>
        <v>884152.08</v>
      </c>
      <c r="H127" s="358">
        <f t="shared" si="125"/>
        <v>0</v>
      </c>
      <c r="I127" s="83">
        <f t="shared" si="126"/>
        <v>30</v>
      </c>
      <c r="K127" s="18">
        <f>'Res Predicted Monthly'!$V$9</f>
        <v>-23284736.647811599</v>
      </c>
      <c r="L127" s="18">
        <f ca="1">E127*'Res Predicted Monthly'!$V$10</f>
        <v>29424.681969790858</v>
      </c>
      <c r="M127" s="18">
        <f ca="1">F127*'Res Predicted Monthly'!$V$11</f>
        <v>12352319.995350046</v>
      </c>
      <c r="N127" s="18">
        <f>G127*'Res Predicted Monthly'!$V$12</f>
        <v>16912995.884012897</v>
      </c>
      <c r="O127" s="18">
        <f>H127*'Res Predicted Monthly'!$V$13</f>
        <v>0</v>
      </c>
      <c r="P127" s="18">
        <f>I127*'Res Predicted Monthly'!$V$14</f>
        <v>46862706.824338198</v>
      </c>
      <c r="Q127" s="30">
        <f t="shared" ca="1" si="64"/>
        <v>52872710.737859331</v>
      </c>
    </row>
    <row r="128" spans="1:17" x14ac:dyDescent="0.2">
      <c r="A128" s="9">
        <f t="shared" si="116"/>
        <v>45839</v>
      </c>
      <c r="B128">
        <f t="shared" si="120"/>
        <v>2025</v>
      </c>
      <c r="C128">
        <f t="shared" si="121"/>
        <v>7</v>
      </c>
      <c r="E128" s="358">
        <f t="shared" ref="E128:F128" ca="1" si="132">E116</f>
        <v>0</v>
      </c>
      <c r="F128" s="358">
        <f t="shared" ca="1" si="132"/>
        <v>267.66999999999996</v>
      </c>
      <c r="G128" s="359">
        <f>Economic!M202</f>
        <v>884887.92</v>
      </c>
      <c r="H128" s="358">
        <f t="shared" si="125"/>
        <v>0</v>
      </c>
      <c r="I128" s="83">
        <f t="shared" si="126"/>
        <v>31</v>
      </c>
      <c r="K128" s="18">
        <f>'Res Predicted Monthly'!$V$9</f>
        <v>-23284736.647811599</v>
      </c>
      <c r="L128" s="18">
        <f ca="1">E128*'Res Predicted Monthly'!$V$10</f>
        <v>0</v>
      </c>
      <c r="M128" s="18">
        <f ca="1">F128*'Res Predicted Monthly'!$V$11</f>
        <v>21462807.485591341</v>
      </c>
      <c r="N128" s="18">
        <f>G128*'Res Predicted Monthly'!$V$12</f>
        <v>16927071.809606258</v>
      </c>
      <c r="O128" s="18">
        <f>H128*'Res Predicted Monthly'!$V$13</f>
        <v>0</v>
      </c>
      <c r="P128" s="18">
        <f>I128*'Res Predicted Monthly'!$V$14</f>
        <v>48424797.051816143</v>
      </c>
      <c r="Q128" s="30">
        <f t="shared" ca="1" si="64"/>
        <v>63529939.699202143</v>
      </c>
    </row>
    <row r="129" spans="1:17" x14ac:dyDescent="0.2">
      <c r="A129" s="9">
        <f t="shared" si="116"/>
        <v>45870</v>
      </c>
      <c r="B129">
        <f t="shared" si="120"/>
        <v>2025</v>
      </c>
      <c r="C129">
        <f t="shared" si="121"/>
        <v>8</v>
      </c>
      <c r="E129" s="358">
        <f t="shared" ref="E129:F129" ca="1" si="133">E117</f>
        <v>0</v>
      </c>
      <c r="F129" s="358">
        <f t="shared" ca="1" si="133"/>
        <v>246.315</v>
      </c>
      <c r="G129" s="359">
        <f>Economic!M203</f>
        <v>884887.92</v>
      </c>
      <c r="H129" s="358">
        <f t="shared" si="125"/>
        <v>0</v>
      </c>
      <c r="I129" s="83">
        <f t="shared" si="126"/>
        <v>31</v>
      </c>
      <c r="K129" s="18">
        <f>'Res Predicted Monthly'!$V$9</f>
        <v>-23284736.647811599</v>
      </c>
      <c r="L129" s="18">
        <f ca="1">E129*'Res Predicted Monthly'!$V$10</f>
        <v>0</v>
      </c>
      <c r="M129" s="18">
        <f ca="1">F129*'Res Predicted Monthly'!$V$11</f>
        <v>19750481.659556288</v>
      </c>
      <c r="N129" s="18">
        <f>G129*'Res Predicted Monthly'!$V$12</f>
        <v>16927071.809606258</v>
      </c>
      <c r="O129" s="18">
        <f>H129*'Res Predicted Monthly'!$V$13</f>
        <v>0</v>
      </c>
      <c r="P129" s="18">
        <f>I129*'Res Predicted Monthly'!$V$14</f>
        <v>48424797.051816143</v>
      </c>
      <c r="Q129" s="30">
        <f t="shared" ca="1" si="64"/>
        <v>61817613.87316709</v>
      </c>
    </row>
    <row r="130" spans="1:17" x14ac:dyDescent="0.2">
      <c r="A130" s="9">
        <f t="shared" si="116"/>
        <v>45901</v>
      </c>
      <c r="B130">
        <f t="shared" si="120"/>
        <v>2025</v>
      </c>
      <c r="C130">
        <f t="shared" si="121"/>
        <v>9</v>
      </c>
      <c r="E130" s="358">
        <f t="shared" ref="E130:F130" ca="1" si="134">E118</f>
        <v>2.2699999999999996</v>
      </c>
      <c r="F130" s="358">
        <f t="shared" ca="1" si="134"/>
        <v>146.80000000000001</v>
      </c>
      <c r="G130" s="359">
        <f>Economic!M204</f>
        <v>884887.92</v>
      </c>
      <c r="H130" s="358">
        <f t="shared" si="125"/>
        <v>1</v>
      </c>
      <c r="I130" s="83">
        <f t="shared" si="126"/>
        <v>30</v>
      </c>
      <c r="K130" s="18">
        <f>'Res Predicted Monthly'!$V$9</f>
        <v>-23284736.647811599</v>
      </c>
      <c r="L130" s="18">
        <f ca="1">E130*'Res Predicted Monthly'!$V$10</f>
        <v>31066.989800662901</v>
      </c>
      <c r="M130" s="18">
        <f ca="1">F130*'Res Predicted Monthly'!$V$11</f>
        <v>11770987.181547463</v>
      </c>
      <c r="N130" s="18">
        <f>G130*'Res Predicted Monthly'!$V$12</f>
        <v>16927071.809606258</v>
      </c>
      <c r="O130" s="18">
        <f>H130*'Res Predicted Monthly'!$V$13</f>
        <v>-2837598.3252266399</v>
      </c>
      <c r="P130" s="18">
        <f>I130*'Res Predicted Monthly'!$V$14</f>
        <v>46862706.824338198</v>
      </c>
      <c r="Q130" s="30">
        <f t="shared" ca="1" si="64"/>
        <v>49469497.832254343</v>
      </c>
    </row>
    <row r="131" spans="1:17" x14ac:dyDescent="0.2">
      <c r="A131" s="9">
        <f t="shared" si="116"/>
        <v>45931</v>
      </c>
      <c r="B131">
        <f t="shared" si="120"/>
        <v>2025</v>
      </c>
      <c r="C131">
        <f t="shared" si="121"/>
        <v>10</v>
      </c>
      <c r="E131" s="358">
        <f t="shared" ref="E131:F131" ca="1" si="135">E119</f>
        <v>83.800000000000011</v>
      </c>
      <c r="F131" s="358">
        <f t="shared" ca="1" si="135"/>
        <v>36.859999999999992</v>
      </c>
      <c r="G131" s="359">
        <f>Economic!M205</f>
        <v>889096.24204799999</v>
      </c>
      <c r="H131" s="358">
        <f t="shared" si="125"/>
        <v>1</v>
      </c>
      <c r="I131" s="83">
        <f t="shared" si="126"/>
        <v>31</v>
      </c>
      <c r="K131" s="18">
        <f>'Res Predicted Monthly'!$V$9</f>
        <v>-23284736.647811599</v>
      </c>
      <c r="L131" s="18">
        <f ca="1">E131*'Res Predicted Monthly'!$V$10</f>
        <v>1146878.3018923136</v>
      </c>
      <c r="M131" s="18">
        <f ca="1">F131*'Res Predicted Monthly'!$V$11</f>
        <v>2955576.2092087152</v>
      </c>
      <c r="N131" s="18">
        <f>G131*'Res Predicted Monthly'!$V$12</f>
        <v>17007573.043598063</v>
      </c>
      <c r="O131" s="18">
        <f>H131*'Res Predicted Monthly'!$V$13</f>
        <v>-2837598.3252266399</v>
      </c>
      <c r="P131" s="18">
        <f>I131*'Res Predicted Monthly'!$V$14</f>
        <v>48424797.051816143</v>
      </c>
      <c r="Q131" s="30">
        <f t="shared" ca="1" si="64"/>
        <v>43412489.633476995</v>
      </c>
    </row>
    <row r="132" spans="1:17" x14ac:dyDescent="0.2">
      <c r="A132" s="9">
        <f t="shared" si="116"/>
        <v>45962</v>
      </c>
      <c r="B132">
        <f t="shared" si="120"/>
        <v>2025</v>
      </c>
      <c r="C132">
        <f t="shared" si="121"/>
        <v>11</v>
      </c>
      <c r="E132" s="358">
        <f t="shared" ref="E132:F132" ca="1" si="136">E120</f>
        <v>240.7</v>
      </c>
      <c r="F132" s="358">
        <f t="shared" ca="1" si="136"/>
        <v>3.410000000000001</v>
      </c>
      <c r="G132" s="359">
        <f>Economic!M206</f>
        <v>889096.24204799999</v>
      </c>
      <c r="H132" s="358">
        <f t="shared" si="125"/>
        <v>1</v>
      </c>
      <c r="I132" s="83">
        <f t="shared" si="126"/>
        <v>30</v>
      </c>
      <c r="K132" s="18">
        <f>'Res Predicted Monthly'!$V$9</f>
        <v>-23284736.647811599</v>
      </c>
      <c r="L132" s="18">
        <f ca="1">E132*'Res Predicted Monthly'!$V$10</f>
        <v>3294195.7907575159</v>
      </c>
      <c r="M132" s="18">
        <f ca="1">F132*'Res Predicted Monthly'!$V$11</f>
        <v>273426.88207818026</v>
      </c>
      <c r="N132" s="18">
        <f>G132*'Res Predicted Monthly'!$V$12</f>
        <v>17007573.043598063</v>
      </c>
      <c r="O132" s="18">
        <f>H132*'Res Predicted Monthly'!$V$13</f>
        <v>-2837598.3252266399</v>
      </c>
      <c r="P132" s="18">
        <f>I132*'Res Predicted Monthly'!$V$14</f>
        <v>46862706.824338198</v>
      </c>
      <c r="Q132" s="30">
        <f t="shared" ca="1" si="64"/>
        <v>41315567.56773372</v>
      </c>
    </row>
    <row r="133" spans="1:17" x14ac:dyDescent="0.2">
      <c r="A133" s="9">
        <f t="shared" si="116"/>
        <v>45992</v>
      </c>
      <c r="B133">
        <f t="shared" si="120"/>
        <v>2025</v>
      </c>
      <c r="C133">
        <f t="shared" si="121"/>
        <v>12</v>
      </c>
      <c r="E133" s="358">
        <f t="shared" ref="E133:F133" ca="1" si="137">E121</f>
        <v>386.61999999999995</v>
      </c>
      <c r="F133" s="358">
        <f t="shared" ca="1" si="137"/>
        <v>0</v>
      </c>
      <c r="G133" s="359">
        <f>Economic!M207</f>
        <v>889096.24204799999</v>
      </c>
      <c r="H133" s="358">
        <f t="shared" si="125"/>
        <v>0</v>
      </c>
      <c r="I133" s="83">
        <f t="shared" si="126"/>
        <v>31</v>
      </c>
      <c r="K133" s="18">
        <f>'Res Predicted Monthly'!$V$9</f>
        <v>-23284736.647811599</v>
      </c>
      <c r="L133" s="18">
        <f ca="1">E133*'Res Predicted Monthly'!$V$10</f>
        <v>5291242.1130979257</v>
      </c>
      <c r="M133" s="18">
        <f ca="1">F133*'Res Predicted Monthly'!$V$11</f>
        <v>0</v>
      </c>
      <c r="N133" s="18">
        <f>G133*'Res Predicted Monthly'!$V$12</f>
        <v>17007573.043598063</v>
      </c>
      <c r="O133" s="18">
        <f>H133*'Res Predicted Monthly'!$V$13</f>
        <v>0</v>
      </c>
      <c r="P133" s="18">
        <f>I133*'Res Predicted Monthly'!$V$14</f>
        <v>48424797.051816143</v>
      </c>
      <c r="Q133" s="30">
        <f t="shared" ca="1" si="64"/>
        <v>47438875.560700536</v>
      </c>
    </row>
    <row r="134" spans="1:17" x14ac:dyDescent="0.2">
      <c r="A134" s="9">
        <f t="shared" si="116"/>
        <v>46023</v>
      </c>
      <c r="B134">
        <f t="shared" si="120"/>
        <v>2026</v>
      </c>
      <c r="C134">
        <f t="shared" si="121"/>
        <v>1</v>
      </c>
      <c r="E134" s="358">
        <f t="shared" ref="E134:F134" ca="1" si="138">E122</f>
        <v>508.54000000000008</v>
      </c>
      <c r="F134" s="358">
        <f t="shared" ca="1" si="138"/>
        <v>0</v>
      </c>
      <c r="G134" s="359">
        <f>Economic!M208</f>
        <v>888448.393728</v>
      </c>
      <c r="H134" s="358">
        <f t="shared" si="125"/>
        <v>0</v>
      </c>
      <c r="I134" s="83">
        <f t="shared" si="126"/>
        <v>31</v>
      </c>
      <c r="K134" s="18">
        <f>'Res Predicted Monthly'!$V$9</f>
        <v>-23284736.647811599</v>
      </c>
      <c r="L134" s="18">
        <f ca="1">E134*'Res Predicted Monthly'!$V$10</f>
        <v>6959826.8692639284</v>
      </c>
      <c r="M134" s="18">
        <f ca="1">F134*'Res Predicted Monthly'!$V$11</f>
        <v>0</v>
      </c>
      <c r="N134" s="18">
        <f>G134*'Res Predicted Monthly'!$V$12</f>
        <v>16995180.315901689</v>
      </c>
      <c r="O134" s="18">
        <f>H134*'Res Predicted Monthly'!$V$13</f>
        <v>0</v>
      </c>
      <c r="P134" s="18">
        <f>I134*'Res Predicted Monthly'!$V$14</f>
        <v>48424797.051816143</v>
      </c>
      <c r="Q134" s="30">
        <f t="shared" ref="Q134:Q145" ca="1" si="139">SUM(K134:P134)</f>
        <v>49095067.589170158</v>
      </c>
    </row>
    <row r="135" spans="1:17" x14ac:dyDescent="0.2">
      <c r="A135" s="9">
        <f t="shared" si="116"/>
        <v>46054</v>
      </c>
      <c r="B135">
        <f t="shared" si="120"/>
        <v>2026</v>
      </c>
      <c r="C135">
        <f t="shared" si="121"/>
        <v>2</v>
      </c>
      <c r="E135" s="358">
        <f t="shared" ref="E135:F135" ca="1" si="140">E123</f>
        <v>451.10999999999996</v>
      </c>
      <c r="F135" s="358">
        <f t="shared" ca="1" si="140"/>
        <v>0</v>
      </c>
      <c r="G135" s="359">
        <f>Economic!M209</f>
        <v>888448.393728</v>
      </c>
      <c r="H135" s="358">
        <f t="shared" si="125"/>
        <v>0</v>
      </c>
      <c r="I135" s="83">
        <f t="shared" si="126"/>
        <v>28</v>
      </c>
      <c r="K135" s="18">
        <f>'Res Predicted Monthly'!$V$9</f>
        <v>-23284736.647811599</v>
      </c>
      <c r="L135" s="18">
        <f ca="1">E135*'Res Predicted Monthly'!$V$10</f>
        <v>6173845.7132057454</v>
      </c>
      <c r="M135" s="18">
        <f ca="1">F135*'Res Predicted Monthly'!$V$11</f>
        <v>0</v>
      </c>
      <c r="N135" s="18">
        <f>G135*'Res Predicted Monthly'!$V$12</f>
        <v>16995180.315901689</v>
      </c>
      <c r="O135" s="18">
        <f>H135*'Res Predicted Monthly'!$V$13</f>
        <v>0</v>
      </c>
      <c r="P135" s="18">
        <f>I135*'Res Predicted Monthly'!$V$14</f>
        <v>43738526.369382322</v>
      </c>
      <c r="Q135" s="30">
        <f t="shared" ca="1" si="139"/>
        <v>43622815.750678159</v>
      </c>
    </row>
    <row r="136" spans="1:17" x14ac:dyDescent="0.2">
      <c r="A136" s="9">
        <f t="shared" si="116"/>
        <v>46082</v>
      </c>
      <c r="B136">
        <f t="shared" si="120"/>
        <v>2026</v>
      </c>
      <c r="C136">
        <f t="shared" si="121"/>
        <v>3</v>
      </c>
      <c r="E136" s="358">
        <f t="shared" ref="E136:F136" ca="1" si="141">E124</f>
        <v>374.74</v>
      </c>
      <c r="F136" s="358">
        <f t="shared" ca="1" si="141"/>
        <v>0</v>
      </c>
      <c r="G136" s="359">
        <f>Economic!M210</f>
        <v>888448.393728</v>
      </c>
      <c r="H136" s="358">
        <f t="shared" si="125"/>
        <v>1</v>
      </c>
      <c r="I136" s="83">
        <f t="shared" si="126"/>
        <v>31</v>
      </c>
      <c r="K136" s="18">
        <f>'Res Predicted Monthly'!$V$9</f>
        <v>-23284736.647811599</v>
      </c>
      <c r="L136" s="18">
        <f ca="1">E136*'Res Predicted Monthly'!$V$10</f>
        <v>5128653.6378415944</v>
      </c>
      <c r="M136" s="18">
        <f ca="1">F136*'Res Predicted Monthly'!$V$11</f>
        <v>0</v>
      </c>
      <c r="N136" s="18">
        <f>G136*'Res Predicted Monthly'!$V$12</f>
        <v>16995180.315901689</v>
      </c>
      <c r="O136" s="18">
        <f>H136*'Res Predicted Monthly'!$V$13</f>
        <v>-2837598.3252266399</v>
      </c>
      <c r="P136" s="18">
        <f>I136*'Res Predicted Monthly'!$V$14</f>
        <v>48424797.051816143</v>
      </c>
      <c r="Q136" s="30">
        <f t="shared" ca="1" si="139"/>
        <v>44426296.032521188</v>
      </c>
    </row>
    <row r="137" spans="1:17" x14ac:dyDescent="0.2">
      <c r="A137" s="9">
        <f t="shared" si="116"/>
        <v>46113</v>
      </c>
      <c r="B137">
        <f t="shared" si="120"/>
        <v>2026</v>
      </c>
      <c r="C137">
        <f t="shared" si="121"/>
        <v>4</v>
      </c>
      <c r="E137" s="358">
        <f t="shared" ref="E137:F137" ca="1" si="142">E125</f>
        <v>221.12999999999997</v>
      </c>
      <c r="F137" s="358">
        <f t="shared" ca="1" si="142"/>
        <v>2.6300000000000003</v>
      </c>
      <c r="G137" s="359">
        <f>Economic!M211</f>
        <v>891225.29663999996</v>
      </c>
      <c r="H137" s="358">
        <f t="shared" si="125"/>
        <v>1</v>
      </c>
      <c r="I137" s="83">
        <f t="shared" si="126"/>
        <v>30</v>
      </c>
      <c r="K137" s="18">
        <f>'Res Predicted Monthly'!$V$9</f>
        <v>-23284736.647811599</v>
      </c>
      <c r="L137" s="18">
        <f ca="1">E137*'Res Predicted Monthly'!$V$10</f>
        <v>3026362.755339466</v>
      </c>
      <c r="M137" s="18">
        <f ca="1">F137*'Res Predicted Monthly'!$V$11</f>
        <v>210883.48969666098</v>
      </c>
      <c r="N137" s="18">
        <f>G137*'Res Predicted Monthly'!$V$12</f>
        <v>17048299.851085</v>
      </c>
      <c r="O137" s="18">
        <f>H137*'Res Predicted Monthly'!$V$13</f>
        <v>-2837598.3252266399</v>
      </c>
      <c r="P137" s="18">
        <f>I137*'Res Predicted Monthly'!$V$14</f>
        <v>46862706.824338198</v>
      </c>
      <c r="Q137" s="30">
        <f t="shared" ca="1" si="139"/>
        <v>41025917.947421081</v>
      </c>
    </row>
    <row r="138" spans="1:17" x14ac:dyDescent="0.2">
      <c r="A138" s="9">
        <f t="shared" si="116"/>
        <v>46143</v>
      </c>
      <c r="B138">
        <f t="shared" si="120"/>
        <v>2026</v>
      </c>
      <c r="C138">
        <f t="shared" si="121"/>
        <v>5</v>
      </c>
      <c r="E138" s="358">
        <f t="shared" ref="E138:F138" ca="1" si="143">E126</f>
        <v>74.8</v>
      </c>
      <c r="F138" s="358">
        <f t="shared" ca="1" si="143"/>
        <v>50.489999999999995</v>
      </c>
      <c r="G138" s="359">
        <f>Economic!M212</f>
        <v>891225.29663999996</v>
      </c>
      <c r="H138" s="358">
        <f t="shared" si="125"/>
        <v>1</v>
      </c>
      <c r="I138" s="83">
        <f t="shared" si="126"/>
        <v>31</v>
      </c>
      <c r="K138" s="18">
        <f>'Res Predicted Monthly'!$V$9</f>
        <v>-23284736.647811599</v>
      </c>
      <c r="L138" s="18">
        <f ca="1">E138*'Res Predicted Monthly'!$V$10</f>
        <v>1023705.2145769099</v>
      </c>
      <c r="M138" s="18">
        <f ca="1">F138*'Res Predicted Monthly'!$V$11</f>
        <v>4048481.8991575702</v>
      </c>
      <c r="N138" s="18">
        <f>G138*'Res Predicted Monthly'!$V$12</f>
        <v>17048299.851085</v>
      </c>
      <c r="O138" s="18">
        <f>H138*'Res Predicted Monthly'!$V$13</f>
        <v>-2837598.3252266399</v>
      </c>
      <c r="P138" s="18">
        <f>I138*'Res Predicted Monthly'!$V$14</f>
        <v>48424797.051816143</v>
      </c>
      <c r="Q138" s="30">
        <f t="shared" ca="1" si="139"/>
        <v>44422949.043597385</v>
      </c>
    </row>
    <row r="139" spans="1:17" x14ac:dyDescent="0.2">
      <c r="A139" s="9">
        <f t="shared" si="116"/>
        <v>46174</v>
      </c>
      <c r="B139">
        <f t="shared" si="120"/>
        <v>2026</v>
      </c>
      <c r="C139">
        <f t="shared" si="121"/>
        <v>6</v>
      </c>
      <c r="E139" s="358">
        <f t="shared" ref="E139:F139" ca="1" si="144">E127</f>
        <v>2.15</v>
      </c>
      <c r="F139" s="358">
        <f t="shared" ca="1" si="144"/>
        <v>154.05000000000001</v>
      </c>
      <c r="G139" s="359">
        <f>Economic!M213</f>
        <v>891225.29663999996</v>
      </c>
      <c r="H139" s="358">
        <f t="shared" si="125"/>
        <v>0</v>
      </c>
      <c r="I139" s="83">
        <f t="shared" si="126"/>
        <v>30</v>
      </c>
      <c r="K139" s="18">
        <f>'Res Predicted Monthly'!$V$9</f>
        <v>-23284736.647811599</v>
      </c>
      <c r="L139" s="18">
        <f ca="1">E139*'Res Predicted Monthly'!$V$10</f>
        <v>29424.681969790858</v>
      </c>
      <c r="M139" s="18">
        <f ca="1">F139*'Res Predicted Monthly'!$V$11</f>
        <v>12352319.995350046</v>
      </c>
      <c r="N139" s="18">
        <f>G139*'Res Predicted Monthly'!$V$12</f>
        <v>17048299.851085</v>
      </c>
      <c r="O139" s="18">
        <f>H139*'Res Predicted Monthly'!$V$13</f>
        <v>0</v>
      </c>
      <c r="P139" s="18">
        <f>I139*'Res Predicted Monthly'!$V$14</f>
        <v>46862706.824338198</v>
      </c>
      <c r="Q139" s="30">
        <f t="shared" ca="1" si="139"/>
        <v>53008014.704931438</v>
      </c>
    </row>
    <row r="140" spans="1:17" x14ac:dyDescent="0.2">
      <c r="A140" s="9">
        <f t="shared" si="116"/>
        <v>46204</v>
      </c>
      <c r="B140">
        <f t="shared" si="120"/>
        <v>2026</v>
      </c>
      <c r="C140">
        <f t="shared" si="121"/>
        <v>7</v>
      </c>
      <c r="E140" s="358">
        <f t="shared" ref="E140:F140" ca="1" si="145">E128</f>
        <v>0</v>
      </c>
      <c r="F140" s="358">
        <f t="shared" ca="1" si="145"/>
        <v>267.66999999999996</v>
      </c>
      <c r="G140" s="359">
        <f>Economic!M214</f>
        <v>891967.02335999999</v>
      </c>
      <c r="H140" s="358">
        <f t="shared" si="125"/>
        <v>0</v>
      </c>
      <c r="I140" s="83">
        <f t="shared" si="126"/>
        <v>31</v>
      </c>
      <c r="K140" s="18">
        <f>'Res Predicted Monthly'!$V$9</f>
        <v>-23284736.647811599</v>
      </c>
      <c r="L140" s="18">
        <f ca="1">E140*'Res Predicted Monthly'!$V$10</f>
        <v>0</v>
      </c>
      <c r="M140" s="18">
        <f ca="1">F140*'Res Predicted Monthly'!$V$11</f>
        <v>21462807.485591341</v>
      </c>
      <c r="N140" s="18">
        <f>G140*'Res Predicted Monthly'!$V$12</f>
        <v>17062488.384083107</v>
      </c>
      <c r="O140" s="18">
        <f>H140*'Res Predicted Monthly'!$V$13</f>
        <v>0</v>
      </c>
      <c r="P140" s="18">
        <f>I140*'Res Predicted Monthly'!$V$14</f>
        <v>48424797.051816143</v>
      </c>
      <c r="Q140" s="30">
        <f t="shared" ca="1" si="139"/>
        <v>63665356.273678988</v>
      </c>
    </row>
    <row r="141" spans="1:17" x14ac:dyDescent="0.2">
      <c r="A141" s="9">
        <f t="shared" si="116"/>
        <v>46235</v>
      </c>
      <c r="B141">
        <f t="shared" si="120"/>
        <v>2026</v>
      </c>
      <c r="C141">
        <f t="shared" si="121"/>
        <v>8</v>
      </c>
      <c r="E141" s="358">
        <f t="shared" ref="E141:F141" ca="1" si="146">E129</f>
        <v>0</v>
      </c>
      <c r="F141" s="358">
        <f t="shared" ca="1" si="146"/>
        <v>246.315</v>
      </c>
      <c r="G141" s="359">
        <f>Economic!M215</f>
        <v>891967.02335999999</v>
      </c>
      <c r="H141" s="358">
        <f t="shared" si="125"/>
        <v>0</v>
      </c>
      <c r="I141" s="83">
        <f t="shared" si="126"/>
        <v>31</v>
      </c>
      <c r="K141" s="18">
        <f>'Res Predicted Monthly'!$V$9</f>
        <v>-23284736.647811599</v>
      </c>
      <c r="L141" s="18">
        <f ca="1">E141*'Res Predicted Monthly'!$V$10</f>
        <v>0</v>
      </c>
      <c r="M141" s="18">
        <f ca="1">F141*'Res Predicted Monthly'!$V$11</f>
        <v>19750481.659556288</v>
      </c>
      <c r="N141" s="18">
        <f>G141*'Res Predicted Monthly'!$V$12</f>
        <v>17062488.384083107</v>
      </c>
      <c r="O141" s="18">
        <f>H141*'Res Predicted Monthly'!$V$13</f>
        <v>0</v>
      </c>
      <c r="P141" s="18">
        <f>I141*'Res Predicted Monthly'!$V$14</f>
        <v>48424797.051816143</v>
      </c>
      <c r="Q141" s="30">
        <f t="shared" ca="1" si="139"/>
        <v>61953030.447643936</v>
      </c>
    </row>
    <row r="142" spans="1:17" x14ac:dyDescent="0.2">
      <c r="A142" s="9">
        <f t="shared" si="116"/>
        <v>46266</v>
      </c>
      <c r="B142">
        <f t="shared" si="120"/>
        <v>2026</v>
      </c>
      <c r="C142">
        <f t="shared" si="121"/>
        <v>9</v>
      </c>
      <c r="E142" s="358">
        <f t="shared" ref="E142:F142" ca="1" si="147">E130</f>
        <v>2.2699999999999996</v>
      </c>
      <c r="F142" s="358">
        <f t="shared" ca="1" si="147"/>
        <v>146.80000000000001</v>
      </c>
      <c r="G142" s="359">
        <f>Economic!M216</f>
        <v>891967.02335999999</v>
      </c>
      <c r="H142" s="358">
        <f t="shared" si="125"/>
        <v>1</v>
      </c>
      <c r="I142" s="83">
        <f t="shared" si="126"/>
        <v>30</v>
      </c>
      <c r="K142" s="18">
        <f>'Res Predicted Monthly'!$V$9</f>
        <v>-23284736.647811599</v>
      </c>
      <c r="L142" s="18">
        <f ca="1">E142*'Res Predicted Monthly'!$V$10</f>
        <v>31066.989800662901</v>
      </c>
      <c r="M142" s="18">
        <f ca="1">F142*'Res Predicted Monthly'!$V$11</f>
        <v>11770987.181547463</v>
      </c>
      <c r="N142" s="18">
        <f>G142*'Res Predicted Monthly'!$V$12</f>
        <v>17062488.384083107</v>
      </c>
      <c r="O142" s="18">
        <f>H142*'Res Predicted Monthly'!$V$13</f>
        <v>-2837598.3252266399</v>
      </c>
      <c r="P142" s="18">
        <f>I142*'Res Predicted Monthly'!$V$14</f>
        <v>46862706.824338198</v>
      </c>
      <c r="Q142" s="30">
        <f t="shared" ca="1" si="139"/>
        <v>49604914.406731188</v>
      </c>
    </row>
    <row r="143" spans="1:17" x14ac:dyDescent="0.2">
      <c r="A143" s="9">
        <f t="shared" si="116"/>
        <v>46296</v>
      </c>
      <c r="B143">
        <f t="shared" si="120"/>
        <v>2026</v>
      </c>
      <c r="C143">
        <f t="shared" si="121"/>
        <v>10</v>
      </c>
      <c r="E143" s="358">
        <f t="shared" ref="E143:F143" ca="1" si="148">E131</f>
        <v>83.800000000000011</v>
      </c>
      <c r="F143" s="358">
        <f t="shared" ca="1" si="148"/>
        <v>36.859999999999992</v>
      </c>
      <c r="G143" s="359">
        <f>Economic!M217</f>
        <v>896209.01198438404</v>
      </c>
      <c r="H143" s="358">
        <f t="shared" si="125"/>
        <v>1</v>
      </c>
      <c r="I143" s="83">
        <f t="shared" si="126"/>
        <v>31</v>
      </c>
      <c r="K143" s="18">
        <f>'Res Predicted Monthly'!$V$9</f>
        <v>-23284736.647811599</v>
      </c>
      <c r="L143" s="18">
        <f ca="1">E143*'Res Predicted Monthly'!$V$10</f>
        <v>1146878.3018923136</v>
      </c>
      <c r="M143" s="18">
        <f ca="1">F143*'Res Predicted Monthly'!$V$11</f>
        <v>2955576.2092087152</v>
      </c>
      <c r="N143" s="18">
        <f>G143*'Res Predicted Monthly'!$V$12</f>
        <v>17143633.62794685</v>
      </c>
      <c r="O143" s="18">
        <f>H143*'Res Predicted Monthly'!$V$13</f>
        <v>-2837598.3252266399</v>
      </c>
      <c r="P143" s="18">
        <f>I143*'Res Predicted Monthly'!$V$14</f>
        <v>48424797.051816143</v>
      </c>
      <c r="Q143" s="30">
        <f t="shared" ca="1" si="139"/>
        <v>43548550.217825785</v>
      </c>
    </row>
    <row r="144" spans="1:17" x14ac:dyDescent="0.2">
      <c r="A144" s="9">
        <f t="shared" si="116"/>
        <v>46327</v>
      </c>
      <c r="B144">
        <f t="shared" si="120"/>
        <v>2026</v>
      </c>
      <c r="C144">
        <f t="shared" si="121"/>
        <v>11</v>
      </c>
      <c r="E144" s="358">
        <f t="shared" ref="E144:F144" ca="1" si="149">E132</f>
        <v>240.7</v>
      </c>
      <c r="F144" s="358">
        <f t="shared" ca="1" si="149"/>
        <v>3.410000000000001</v>
      </c>
      <c r="G144" s="359">
        <f>Economic!M218</f>
        <v>896209.01198438404</v>
      </c>
      <c r="H144" s="358">
        <f t="shared" si="125"/>
        <v>1</v>
      </c>
      <c r="I144" s="83">
        <f t="shared" si="126"/>
        <v>30</v>
      </c>
      <c r="K144" s="18">
        <f>'Res Predicted Monthly'!$V$9</f>
        <v>-23284736.647811599</v>
      </c>
      <c r="L144" s="18">
        <f ca="1">E144*'Res Predicted Monthly'!$V$10</f>
        <v>3294195.7907575159</v>
      </c>
      <c r="M144" s="18">
        <f ca="1">F144*'Res Predicted Monthly'!$V$11</f>
        <v>273426.88207818026</v>
      </c>
      <c r="N144" s="18">
        <f>G144*'Res Predicted Monthly'!$V$12</f>
        <v>17143633.62794685</v>
      </c>
      <c r="O144" s="18">
        <f>H144*'Res Predicted Monthly'!$V$13</f>
        <v>-2837598.3252266399</v>
      </c>
      <c r="P144" s="18">
        <f>I144*'Res Predicted Monthly'!$V$14</f>
        <v>46862706.824338198</v>
      </c>
      <c r="Q144" s="30">
        <f t="shared" ca="1" si="139"/>
        <v>41451628.152082503</v>
      </c>
    </row>
    <row r="145" spans="1:17" x14ac:dyDescent="0.2">
      <c r="A145" s="9">
        <f t="shared" si="116"/>
        <v>46357</v>
      </c>
      <c r="B145">
        <f t="shared" si="120"/>
        <v>2026</v>
      </c>
      <c r="C145">
        <f t="shared" si="121"/>
        <v>12</v>
      </c>
      <c r="E145" s="358">
        <f t="shared" ref="E145:F145" ca="1" si="150">E133</f>
        <v>386.61999999999995</v>
      </c>
      <c r="F145" s="358">
        <f t="shared" ca="1" si="150"/>
        <v>0</v>
      </c>
      <c r="G145" s="359">
        <f>Economic!M219</f>
        <v>896209.01198438404</v>
      </c>
      <c r="H145" s="358">
        <f t="shared" si="125"/>
        <v>0</v>
      </c>
      <c r="I145" s="83">
        <f t="shared" si="126"/>
        <v>31</v>
      </c>
      <c r="K145" s="18">
        <f>'Res Predicted Monthly'!$V$9</f>
        <v>-23284736.647811599</v>
      </c>
      <c r="L145" s="18">
        <f ca="1">E145*'Res Predicted Monthly'!$V$10</f>
        <v>5291242.1130979257</v>
      </c>
      <c r="M145" s="18">
        <f ca="1">F145*'Res Predicted Monthly'!$V$11</f>
        <v>0</v>
      </c>
      <c r="N145" s="18">
        <f>G145*'Res Predicted Monthly'!$V$12</f>
        <v>17143633.62794685</v>
      </c>
      <c r="O145" s="18">
        <f>H145*'Res Predicted Monthly'!$V$13</f>
        <v>0</v>
      </c>
      <c r="P145" s="18">
        <f>I145*'Res Predicted Monthly'!$V$14</f>
        <v>48424797.051816143</v>
      </c>
      <c r="Q145" s="30">
        <f t="shared" ca="1" si="139"/>
        <v>47574936.145049319</v>
      </c>
    </row>
    <row r="194" spans="1:17" x14ac:dyDescent="0.2">
      <c r="A194" s="9"/>
      <c r="E194" s="33"/>
      <c r="F194" s="33"/>
      <c r="G194" s="18"/>
      <c r="I194" s="33"/>
      <c r="N194" s="32"/>
      <c r="P194" s="32"/>
      <c r="Q194" s="30"/>
    </row>
    <row r="196" spans="1:17" x14ac:dyDescent="0.2">
      <c r="G196" s="18"/>
      <c r="L196" s="18"/>
      <c r="M196" s="18"/>
      <c r="N196" s="18"/>
      <c r="O196" s="18"/>
      <c r="P196" s="18"/>
      <c r="Q196" s="18"/>
    </row>
    <row r="197" spans="1:17" x14ac:dyDescent="0.2">
      <c r="G197" s="18"/>
      <c r="L197" s="18"/>
      <c r="M197" s="18"/>
      <c r="N197" s="18"/>
      <c r="O197" s="18"/>
      <c r="P197" s="18"/>
      <c r="Q197" s="18"/>
    </row>
    <row r="198" spans="1:17" x14ac:dyDescent="0.2">
      <c r="G198" s="18"/>
      <c r="L198" s="18"/>
      <c r="M198" s="18"/>
      <c r="N198" s="18"/>
      <c r="O198" s="18"/>
      <c r="P198" s="18"/>
      <c r="Q198" s="18"/>
    </row>
    <row r="199" spans="1:17" x14ac:dyDescent="0.2">
      <c r="G199" s="18"/>
      <c r="L199" s="18"/>
      <c r="M199" s="18"/>
      <c r="N199" s="18"/>
      <c r="O199" s="18"/>
      <c r="P199" s="18"/>
      <c r="Q199" s="18"/>
    </row>
    <row r="200" spans="1:17" x14ac:dyDescent="0.2">
      <c r="G200" s="18"/>
      <c r="L200" s="18"/>
      <c r="M200" s="18"/>
      <c r="N200" s="18"/>
      <c r="O200" s="18"/>
      <c r="P200" s="18"/>
      <c r="Q200" s="18"/>
    </row>
    <row r="201" spans="1:17" x14ac:dyDescent="0.2">
      <c r="G201" s="18"/>
      <c r="L201" s="18"/>
      <c r="M201" s="18"/>
      <c r="N201" s="18"/>
      <c r="O201" s="18"/>
      <c r="P201" s="18"/>
      <c r="Q201" s="18"/>
    </row>
    <row r="202" spans="1:17" x14ac:dyDescent="0.2">
      <c r="G202" s="18"/>
      <c r="L202" s="18"/>
      <c r="M202" s="18"/>
      <c r="N202" s="18"/>
      <c r="O202" s="18"/>
      <c r="P202" s="18"/>
      <c r="Q202" s="18"/>
    </row>
    <row r="203" spans="1:17" x14ac:dyDescent="0.2">
      <c r="G203" s="18"/>
      <c r="L203" s="18"/>
      <c r="M203" s="18"/>
      <c r="N203" s="18"/>
      <c r="O203" s="18"/>
      <c r="P203" s="18"/>
      <c r="Q203" s="18"/>
    </row>
    <row r="205" spans="1:17" x14ac:dyDescent="0.2">
      <c r="K205" s="31"/>
      <c r="L205" s="31"/>
      <c r="M205" s="31"/>
      <c r="N205" s="31"/>
      <c r="O205" s="31"/>
      <c r="P205" s="31"/>
      <c r="Q205" s="31"/>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W204"/>
  <sheetViews>
    <sheetView topLeftCell="C1" workbookViewId="0">
      <pane ySplit="1" topLeftCell="A44" activePane="bottomLeft" state="frozen"/>
      <selection activeCell="AF24" sqref="AF24"/>
      <selection pane="bottomLeft" activeCell="H23" sqref="H23"/>
    </sheetView>
  </sheetViews>
  <sheetFormatPr defaultColWidth="9.33203125" defaultRowHeight="12.75" x14ac:dyDescent="0.2"/>
  <cols>
    <col min="4" max="4" width="17.5" customWidth="1"/>
    <col min="7" max="7" width="10" style="18" bestFit="1" customWidth="1"/>
    <col min="8" max="8" width="10.6640625" customWidth="1"/>
    <col min="10" max="10" width="12.5" customWidth="1"/>
    <col min="12" max="12" width="14.6640625" bestFit="1" customWidth="1"/>
    <col min="13" max="14" width="12.83203125" bestFit="1" customWidth="1"/>
    <col min="15" max="15" width="13.6640625" bestFit="1" customWidth="1"/>
    <col min="16" max="16" width="12.83203125" bestFit="1" customWidth="1"/>
    <col min="17" max="17" width="12.5" customWidth="1"/>
    <col min="18" max="18" width="15.5" customWidth="1"/>
    <col min="19" max="19" width="14.1640625" bestFit="1" customWidth="1"/>
    <col min="21" max="21" width="13.83203125" bestFit="1" customWidth="1"/>
    <col min="22" max="22" width="14.83203125" bestFit="1" customWidth="1"/>
  </cols>
  <sheetData>
    <row r="1" spans="1:19" x14ac:dyDescent="0.2">
      <c r="A1" s="373" t="str">
        <f>'Monthly Data'!A1</f>
        <v>Date</v>
      </c>
      <c r="B1" s="351" t="s">
        <v>0</v>
      </c>
      <c r="C1" s="351" t="s">
        <v>28</v>
      </c>
      <c r="D1" s="374" t="str">
        <f>'Monthly Data'!J1</f>
        <v>GS_lt_50_NoCDM</v>
      </c>
      <c r="E1" s="375" t="str">
        <f>'Monthly Data'!AV1</f>
        <v>HDD14</v>
      </c>
      <c r="F1" s="375" t="str">
        <f>'Monthly Data'!AW1</f>
        <v>CDD14</v>
      </c>
      <c r="G1" s="376" t="str">
        <f>'Monthly Data'!AN1</f>
        <v>OEA_GDPChange</v>
      </c>
      <c r="H1" s="375" t="str">
        <f>'Monthly Data'!K1</f>
        <v>GS_lt_50_Customers</v>
      </c>
      <c r="I1" s="374" t="str">
        <f>'Monthly Data'!BR1</f>
        <v>Shoulder</v>
      </c>
      <c r="J1" s="375" t="str">
        <f>'Monthly Data'!BT1</f>
        <v>Month Days</v>
      </c>
      <c r="L1" s="375" t="s">
        <v>72</v>
      </c>
      <c r="M1" s="375" t="str">
        <f t="shared" ref="M1:R1" si="0">E1</f>
        <v>HDD14</v>
      </c>
      <c r="N1" s="375" t="str">
        <f t="shared" si="0"/>
        <v>CDD14</v>
      </c>
      <c r="O1" s="375" t="str">
        <f t="shared" si="0"/>
        <v>OEA_GDPChange</v>
      </c>
      <c r="P1" s="375" t="str">
        <f t="shared" si="0"/>
        <v>GS_lt_50_Customers</v>
      </c>
      <c r="Q1" s="375" t="str">
        <f t="shared" si="0"/>
        <v>Shoulder</v>
      </c>
      <c r="R1" s="375" t="str">
        <f t="shared" si="0"/>
        <v>Month Days</v>
      </c>
      <c r="S1" s="351" t="s">
        <v>483</v>
      </c>
    </row>
    <row r="2" spans="1:19" x14ac:dyDescent="0.2">
      <c r="A2" s="9">
        <f>'Monthly Data'!A2</f>
        <v>42005</v>
      </c>
      <c r="B2">
        <f>YEAR(A2)</f>
        <v>2015</v>
      </c>
      <c r="C2">
        <f>MONTH(A2)</f>
        <v>1</v>
      </c>
      <c r="D2" s="30">
        <f>'Monthly Data'!J2</f>
        <v>15817525.215486044</v>
      </c>
      <c r="E2" s="33">
        <f ca="1">Weather!BR56</f>
        <v>508.54000000000008</v>
      </c>
      <c r="F2" s="33">
        <f ca="1">Weather!BS56</f>
        <v>0</v>
      </c>
      <c r="G2" s="18">
        <f>'Monthly Data'!AN2</f>
        <v>1611</v>
      </c>
      <c r="H2" s="8">
        <f>'Monthly Data'!K2</f>
        <v>5230</v>
      </c>
      <c r="I2" s="30">
        <f>'Monthly Data'!BR2</f>
        <v>0</v>
      </c>
      <c r="J2" s="30">
        <f>'Monthly Data'!BT2</f>
        <v>31</v>
      </c>
      <c r="L2" s="18">
        <f>'GS&lt;50 Predicted Monthly'!$X$8</f>
        <v>-8314018.5106493998</v>
      </c>
      <c r="M2" s="18">
        <f ca="1">E2*'GS&lt;50 Predicted Monthly'!$X$9</f>
        <v>2396169.1573667848</v>
      </c>
      <c r="N2" s="18">
        <f ca="1">F2*'GS&lt;50 Predicted Monthly'!$X$10</f>
        <v>0</v>
      </c>
      <c r="O2" s="18">
        <f>G2*'GS&lt;50 Predicted Monthly'!$X$11</f>
        <v>11068.0225827374</v>
      </c>
      <c r="P2" s="18">
        <f>H2*'GS&lt;50 Predicted Monthly'!$X$12</f>
        <v>9708212.016523147</v>
      </c>
      <c r="Q2" s="18">
        <f>I2*'GS&lt;50 Predicted Monthly'!$X$13</f>
        <v>0</v>
      </c>
      <c r="R2" s="18">
        <f>J2*'GS&lt;50 Predicted Monthly'!$X$14</f>
        <v>11369665.795809086</v>
      </c>
      <c r="S2" s="20">
        <f t="shared" ref="S2:S5" ca="1" si="1">SUM(L2:R2)</f>
        <v>15171096.481632356</v>
      </c>
    </row>
    <row r="3" spans="1:19" x14ac:dyDescent="0.2">
      <c r="A3" s="9">
        <f>'Monthly Data'!A3</f>
        <v>42036</v>
      </c>
      <c r="B3">
        <f>YEAR(A3)</f>
        <v>2015</v>
      </c>
      <c r="C3">
        <f>MONTH(A3)</f>
        <v>2</v>
      </c>
      <c r="D3" s="30">
        <f>'Monthly Data'!J3</f>
        <v>14777649.244217517</v>
      </c>
      <c r="E3" s="33">
        <f ca="1">Weather!BR57</f>
        <v>451.10999999999996</v>
      </c>
      <c r="F3" s="33">
        <f ca="1">Weather!BS57</f>
        <v>0</v>
      </c>
      <c r="G3" s="18">
        <f>'Monthly Data'!AN3</f>
        <v>1611</v>
      </c>
      <c r="H3" s="8">
        <f>'Monthly Data'!K3</f>
        <v>5234</v>
      </c>
      <c r="I3" s="30">
        <f>'Monthly Data'!BR3</f>
        <v>0</v>
      </c>
      <c r="J3" s="30">
        <f>'Monthly Data'!BT3</f>
        <v>28</v>
      </c>
      <c r="L3" s="18">
        <f>'GS&lt;50 Predicted Monthly'!$X$8</f>
        <v>-8314018.5106493998</v>
      </c>
      <c r="M3" s="18">
        <f ca="1">E3*'GS&lt;50 Predicted Monthly'!$X$9</f>
        <v>2125567.0519127897</v>
      </c>
      <c r="N3" s="18">
        <f ca="1">F3*'GS&lt;50 Predicted Monthly'!$X$10</f>
        <v>0</v>
      </c>
      <c r="O3" s="18">
        <f>G3*'GS&lt;50 Predicted Monthly'!$X$11</f>
        <v>11068.0225827374</v>
      </c>
      <c r="P3" s="18">
        <f>H3*'GS&lt;50 Predicted Monthly'!$X$12</f>
        <v>9715637.0352738351</v>
      </c>
      <c r="Q3" s="18">
        <f>I3*'GS&lt;50 Predicted Monthly'!$X$13</f>
        <v>0</v>
      </c>
      <c r="R3" s="18">
        <f>J3*'GS&lt;50 Predicted Monthly'!$X$14</f>
        <v>10269375.55750498</v>
      </c>
      <c r="S3" s="20">
        <f t="shared" ca="1" si="1"/>
        <v>13807629.156624943</v>
      </c>
    </row>
    <row r="4" spans="1:19" x14ac:dyDescent="0.2">
      <c r="A4" s="9">
        <f>'Monthly Data'!A4</f>
        <v>42064</v>
      </c>
      <c r="B4">
        <f>YEAR(A4)</f>
        <v>2015</v>
      </c>
      <c r="C4">
        <f>MONTH(A4)</f>
        <v>3</v>
      </c>
      <c r="D4" s="30">
        <f>'Monthly Data'!J4</f>
        <v>15200272.27294899</v>
      </c>
      <c r="E4" s="33">
        <f ca="1">Weather!BR58</f>
        <v>374.74</v>
      </c>
      <c r="F4" s="33">
        <f ca="1">Weather!BS58</f>
        <v>0</v>
      </c>
      <c r="G4" s="18">
        <f>'Monthly Data'!AN4</f>
        <v>1611</v>
      </c>
      <c r="H4" s="8">
        <f>'Monthly Data'!K4</f>
        <v>5236</v>
      </c>
      <c r="I4" s="30">
        <f>'Monthly Data'!BR4</f>
        <v>1</v>
      </c>
      <c r="J4" s="30">
        <f>'Monthly Data'!BT4</f>
        <v>31</v>
      </c>
      <c r="L4" s="18">
        <f>'GS&lt;50 Predicted Monthly'!$X$8</f>
        <v>-8314018.5106493998</v>
      </c>
      <c r="M4" s="18">
        <f ca="1">E4*'GS&lt;50 Predicted Monthly'!$X$9</f>
        <v>1765722.3227900043</v>
      </c>
      <c r="N4" s="18">
        <f ca="1">F4*'GS&lt;50 Predicted Monthly'!$X$10</f>
        <v>0</v>
      </c>
      <c r="O4" s="18">
        <f>G4*'GS&lt;50 Predicted Monthly'!$X$11</f>
        <v>11068.0225827374</v>
      </c>
      <c r="P4" s="18">
        <f>H4*'GS&lt;50 Predicted Monthly'!$X$12</f>
        <v>9719349.5446491782</v>
      </c>
      <c r="Q4" s="18">
        <f>I4*'GS&lt;50 Predicted Monthly'!$X$13</f>
        <v>-202362.33175645399</v>
      </c>
      <c r="R4" s="18">
        <f>J4*'GS&lt;50 Predicted Monthly'!$X$14</f>
        <v>11369665.795809086</v>
      </c>
      <c r="S4" s="20">
        <f t="shared" ca="1" si="1"/>
        <v>14349424.843425153</v>
      </c>
    </row>
    <row r="5" spans="1:19" x14ac:dyDescent="0.2">
      <c r="A5" s="9">
        <f>'Monthly Data'!A5</f>
        <v>42095</v>
      </c>
      <c r="B5">
        <f>YEAR(A5)</f>
        <v>2015</v>
      </c>
      <c r="C5">
        <f>MONTH(A5)</f>
        <v>4</v>
      </c>
      <c r="D5" s="30">
        <f>'Monthly Data'!J5</f>
        <v>13384863.301680462</v>
      </c>
      <c r="E5" s="33">
        <f ca="1">Weather!BR59</f>
        <v>221.12999999999997</v>
      </c>
      <c r="F5" s="33">
        <f ca="1">Weather!BS59</f>
        <v>2.6300000000000003</v>
      </c>
      <c r="G5" s="18">
        <f>'Monthly Data'!AN5</f>
        <v>5139</v>
      </c>
      <c r="H5" s="8">
        <f>'Monthly Data'!K5</f>
        <v>5236</v>
      </c>
      <c r="I5" s="30">
        <f>'Monthly Data'!BR5</f>
        <v>1</v>
      </c>
      <c r="J5" s="30">
        <f>'Monthly Data'!BT5</f>
        <v>30</v>
      </c>
      <c r="L5" s="18">
        <f>'GS&lt;50 Predicted Monthly'!$X$8</f>
        <v>-8314018.5106493998</v>
      </c>
      <c r="M5" s="18">
        <f ca="1">E5*'GS&lt;50 Predicted Monthly'!$X$9</f>
        <v>1041933.5465617591</v>
      </c>
      <c r="N5" s="18">
        <f ca="1">F5*'GS&lt;50 Predicted Monthly'!$X$10</f>
        <v>30387.829518589355</v>
      </c>
      <c r="O5" s="18">
        <f>G5*'GS&lt;50 Predicted Monthly'!$X$11</f>
        <v>35306.373713648354</v>
      </c>
      <c r="P5" s="18">
        <f>H5*'GS&lt;50 Predicted Monthly'!$X$12</f>
        <v>9719349.5446491782</v>
      </c>
      <c r="Q5" s="18">
        <f>I5*'GS&lt;50 Predicted Monthly'!$X$13</f>
        <v>-202362.33175645399</v>
      </c>
      <c r="R5" s="18">
        <f>J5*'GS&lt;50 Predicted Monthly'!$X$14</f>
        <v>11002902.38304105</v>
      </c>
      <c r="S5" s="20">
        <f t="shared" ca="1" si="1"/>
        <v>13313498.83507837</v>
      </c>
    </row>
    <row r="6" spans="1:19" x14ac:dyDescent="0.2">
      <c r="A6" s="9">
        <f>'Monthly Data'!A6</f>
        <v>42125</v>
      </c>
      <c r="B6">
        <f t="shared" ref="B6:B69" si="2">YEAR(A6)</f>
        <v>2015</v>
      </c>
      <c r="C6">
        <f t="shared" ref="C6:C69" si="3">MONTH(A6)</f>
        <v>5</v>
      </c>
      <c r="D6" s="30">
        <f>'Monthly Data'!J6</f>
        <v>13530179.330411935</v>
      </c>
      <c r="E6" s="33">
        <f ca="1">Weather!BR60</f>
        <v>74.8</v>
      </c>
      <c r="F6" s="33">
        <f ca="1">Weather!BS60</f>
        <v>50.489999999999995</v>
      </c>
      <c r="G6" s="18">
        <f>'Monthly Data'!AN6</f>
        <v>5139</v>
      </c>
      <c r="H6" s="8">
        <f>'Monthly Data'!K6</f>
        <v>5250</v>
      </c>
      <c r="I6" s="30">
        <f>'Monthly Data'!BR6</f>
        <v>1</v>
      </c>
      <c r="J6" s="30">
        <f>'Monthly Data'!BT6</f>
        <v>31</v>
      </c>
      <c r="L6" s="18">
        <f>'GS&lt;50 Predicted Monthly'!$X$8</f>
        <v>-8314018.5106493998</v>
      </c>
      <c r="M6" s="18">
        <f ca="1">E6*'GS&lt;50 Predicted Monthly'!$X$9</f>
        <v>352447.10931497125</v>
      </c>
      <c r="N6" s="18">
        <f ca="1">F6*'GS&lt;50 Predicted Monthly'!$X$10</f>
        <v>583377.00091010507</v>
      </c>
      <c r="O6" s="18">
        <f>G6*'GS&lt;50 Predicted Monthly'!$X$11</f>
        <v>35306.373713648354</v>
      </c>
      <c r="P6" s="18">
        <f>H6*'GS&lt;50 Predicted Monthly'!$X$12</f>
        <v>9745337.1102765817</v>
      </c>
      <c r="Q6" s="18">
        <f>I6*'GS&lt;50 Predicted Monthly'!$X$13</f>
        <v>-202362.33175645399</v>
      </c>
      <c r="R6" s="18">
        <f>J6*'GS&lt;50 Predicted Monthly'!$X$14</f>
        <v>11369665.795809086</v>
      </c>
      <c r="S6" s="20">
        <f t="shared" ref="S6:S69" ca="1" si="4">SUM(L6:R6)</f>
        <v>13569752.547618538</v>
      </c>
    </row>
    <row r="7" spans="1:19" x14ac:dyDescent="0.2">
      <c r="A7" s="9">
        <f>'Monthly Data'!A7</f>
        <v>42156</v>
      </c>
      <c r="B7">
        <f t="shared" si="2"/>
        <v>2015</v>
      </c>
      <c r="C7">
        <f t="shared" si="3"/>
        <v>6</v>
      </c>
      <c r="D7" s="30">
        <f>'Monthly Data'!J7</f>
        <v>13858885.359143406</v>
      </c>
      <c r="E7" s="33">
        <f ca="1">Weather!BR61</f>
        <v>2.15</v>
      </c>
      <c r="F7" s="33">
        <f ca="1">Weather!BS61</f>
        <v>154.05000000000001</v>
      </c>
      <c r="G7" s="18">
        <f>'Monthly Data'!AN7</f>
        <v>5139</v>
      </c>
      <c r="H7" s="8">
        <f>'Monthly Data'!K7</f>
        <v>5241</v>
      </c>
      <c r="I7" s="30">
        <f>'Monthly Data'!BR7</f>
        <v>0</v>
      </c>
      <c r="J7" s="30">
        <f>'Monthly Data'!BT7</f>
        <v>30</v>
      </c>
      <c r="L7" s="18">
        <f>'GS&lt;50 Predicted Monthly'!$X$8</f>
        <v>-8314018.5106493998</v>
      </c>
      <c r="M7" s="18">
        <f ca="1">E7*'GS&lt;50 Predicted Monthly'!$X$9</f>
        <v>10130.498462930324</v>
      </c>
      <c r="N7" s="18">
        <f ca="1">F7*'GS&lt;50 Predicted Monthly'!$X$10</f>
        <v>1779941.1168588174</v>
      </c>
      <c r="O7" s="18">
        <f>G7*'GS&lt;50 Predicted Monthly'!$X$11</f>
        <v>35306.373713648354</v>
      </c>
      <c r="P7" s="18">
        <f>H7*'GS&lt;50 Predicted Monthly'!$X$12</f>
        <v>9728630.8180875368</v>
      </c>
      <c r="Q7" s="18">
        <f>I7*'GS&lt;50 Predicted Monthly'!$X$13</f>
        <v>0</v>
      </c>
      <c r="R7" s="18">
        <f>J7*'GS&lt;50 Predicted Monthly'!$X$14</f>
        <v>11002902.38304105</v>
      </c>
      <c r="S7" s="20">
        <f t="shared" ca="1" si="4"/>
        <v>14242892.679514583</v>
      </c>
    </row>
    <row r="8" spans="1:19" x14ac:dyDescent="0.2">
      <c r="A8" s="9">
        <f>'Monthly Data'!A8</f>
        <v>42186</v>
      </c>
      <c r="B8">
        <f t="shared" si="2"/>
        <v>2015</v>
      </c>
      <c r="C8">
        <f t="shared" si="3"/>
        <v>7</v>
      </c>
      <c r="D8" s="30">
        <f>'Monthly Data'!J8</f>
        <v>15331961.387874879</v>
      </c>
      <c r="E8" s="33">
        <f ca="1">Weather!BR62</f>
        <v>0</v>
      </c>
      <c r="F8" s="33">
        <f ca="1">Weather!BS62</f>
        <v>267.66999999999996</v>
      </c>
      <c r="G8" s="18">
        <f>'Monthly Data'!AN8</f>
        <v>6615</v>
      </c>
      <c r="H8" s="8">
        <f>'Monthly Data'!K8</f>
        <v>5240</v>
      </c>
      <c r="I8" s="30">
        <f>'Monthly Data'!BR8</f>
        <v>0</v>
      </c>
      <c r="J8" s="30">
        <f>'Monthly Data'!BT8</f>
        <v>31</v>
      </c>
      <c r="L8" s="18">
        <f>'GS&lt;50 Predicted Monthly'!$X$8</f>
        <v>-8314018.5106493998</v>
      </c>
      <c r="M8" s="18">
        <f ca="1">E8*'GS&lt;50 Predicted Monthly'!$X$9</f>
        <v>0</v>
      </c>
      <c r="N8" s="18">
        <f ca="1">F8*'GS&lt;50 Predicted Monthly'!$X$10</f>
        <v>3092741.5692930841</v>
      </c>
      <c r="O8" s="18">
        <f>G8*'GS&lt;50 Predicted Monthly'!$X$11</f>
        <v>45446.908370458041</v>
      </c>
      <c r="P8" s="18">
        <f>H8*'GS&lt;50 Predicted Monthly'!$X$12</f>
        <v>9726774.5633998644</v>
      </c>
      <c r="Q8" s="18">
        <f>I8*'GS&lt;50 Predicted Monthly'!$X$13</f>
        <v>0</v>
      </c>
      <c r="R8" s="18">
        <f>J8*'GS&lt;50 Predicted Monthly'!$X$14</f>
        <v>11369665.795809086</v>
      </c>
      <c r="S8" s="20">
        <f t="shared" ca="1" si="4"/>
        <v>15920610.326223092</v>
      </c>
    </row>
    <row r="9" spans="1:19" x14ac:dyDescent="0.2">
      <c r="A9" s="9">
        <f>'Monthly Data'!A9</f>
        <v>42217</v>
      </c>
      <c r="B9">
        <f t="shared" si="2"/>
        <v>2015</v>
      </c>
      <c r="C9">
        <f t="shared" si="3"/>
        <v>8</v>
      </c>
      <c r="D9" s="30">
        <f>'Monthly Data'!J9</f>
        <v>15575294.416606352</v>
      </c>
      <c r="E9" s="33">
        <f ca="1">Weather!BR63</f>
        <v>0</v>
      </c>
      <c r="F9" s="33">
        <f ca="1">Weather!BS63</f>
        <v>246.315</v>
      </c>
      <c r="G9" s="18">
        <f>'Monthly Data'!AN9</f>
        <v>6615</v>
      </c>
      <c r="H9" s="8">
        <f>'Monthly Data'!K9</f>
        <v>5244</v>
      </c>
      <c r="I9" s="30">
        <f>'Monthly Data'!BR9</f>
        <v>0</v>
      </c>
      <c r="J9" s="30">
        <f>'Monthly Data'!BT9</f>
        <v>31</v>
      </c>
      <c r="L9" s="18">
        <f>'GS&lt;50 Predicted Monthly'!$X$8</f>
        <v>-8314018.5106493998</v>
      </c>
      <c r="M9" s="18">
        <f ca="1">E9*'GS&lt;50 Predicted Monthly'!$X$9</f>
        <v>0</v>
      </c>
      <c r="N9" s="18">
        <f ca="1">F9*'GS&lt;50 Predicted Monthly'!$X$10</f>
        <v>2845999.3261868199</v>
      </c>
      <c r="O9" s="18">
        <f>G9*'GS&lt;50 Predicted Monthly'!$X$11</f>
        <v>45446.908370458041</v>
      </c>
      <c r="P9" s="18">
        <f>H9*'GS&lt;50 Predicted Monthly'!$X$12</f>
        <v>9734199.5821505524</v>
      </c>
      <c r="Q9" s="18">
        <f>I9*'GS&lt;50 Predicted Monthly'!$X$13</f>
        <v>0</v>
      </c>
      <c r="R9" s="18">
        <f>J9*'GS&lt;50 Predicted Monthly'!$X$14</f>
        <v>11369665.795809086</v>
      </c>
      <c r="S9" s="20">
        <f t="shared" ca="1" si="4"/>
        <v>15681293.101867516</v>
      </c>
    </row>
    <row r="10" spans="1:19" x14ac:dyDescent="0.2">
      <c r="A10" s="9">
        <f>'Monthly Data'!A10</f>
        <v>42248</v>
      </c>
      <c r="B10">
        <f t="shared" si="2"/>
        <v>2015</v>
      </c>
      <c r="C10">
        <f t="shared" si="3"/>
        <v>9</v>
      </c>
      <c r="D10" s="30">
        <f>'Monthly Data'!J10</f>
        <v>14205506.445337825</v>
      </c>
      <c r="E10" s="33">
        <f ca="1">Weather!BR64</f>
        <v>2.2699999999999996</v>
      </c>
      <c r="F10" s="33">
        <f ca="1">Weather!BS64</f>
        <v>146.80000000000001</v>
      </c>
      <c r="G10" s="18">
        <f>'Monthly Data'!AN10</f>
        <v>6615</v>
      </c>
      <c r="H10" s="8">
        <f>'Monthly Data'!K10</f>
        <v>5237</v>
      </c>
      <c r="I10" s="30">
        <f>'Monthly Data'!BR10</f>
        <v>1</v>
      </c>
      <c r="J10" s="30">
        <f>'Monthly Data'!BT10</f>
        <v>30</v>
      </c>
      <c r="L10" s="18">
        <f>'GS&lt;50 Predicted Monthly'!$X$8</f>
        <v>-8314018.5106493998</v>
      </c>
      <c r="M10" s="18">
        <f ca="1">E10*'GS&lt;50 Predicted Monthly'!$X$9</f>
        <v>10695.92163295434</v>
      </c>
      <c r="N10" s="18">
        <f ca="1">F10*'GS&lt;50 Predicted Monthly'!$X$10</f>
        <v>1696172.3852961662</v>
      </c>
      <c r="O10" s="18">
        <f>G10*'GS&lt;50 Predicted Monthly'!$X$11</f>
        <v>45446.908370458041</v>
      </c>
      <c r="P10" s="18">
        <f>H10*'GS&lt;50 Predicted Monthly'!$X$12</f>
        <v>9721205.7993368488</v>
      </c>
      <c r="Q10" s="18">
        <f>I10*'GS&lt;50 Predicted Monthly'!$X$13</f>
        <v>-202362.33175645399</v>
      </c>
      <c r="R10" s="18">
        <f>J10*'GS&lt;50 Predicted Monthly'!$X$14</f>
        <v>11002902.38304105</v>
      </c>
      <c r="S10" s="20">
        <f t="shared" ca="1" si="4"/>
        <v>13960042.555271622</v>
      </c>
    </row>
    <row r="11" spans="1:19" x14ac:dyDescent="0.2">
      <c r="A11" s="9">
        <f>'Monthly Data'!A11</f>
        <v>42278</v>
      </c>
      <c r="B11">
        <f t="shared" si="2"/>
        <v>2015</v>
      </c>
      <c r="C11">
        <f t="shared" si="3"/>
        <v>10</v>
      </c>
      <c r="D11" s="30">
        <f>'Monthly Data'!J11</f>
        <v>13170519.474069297</v>
      </c>
      <c r="E11" s="33">
        <f ca="1">Weather!BR65</f>
        <v>83.800000000000011</v>
      </c>
      <c r="F11" s="33">
        <f ca="1">Weather!BS65</f>
        <v>36.859999999999992</v>
      </c>
      <c r="G11" s="18">
        <f>'Monthly Data'!AN11</f>
        <v>7443</v>
      </c>
      <c r="H11" s="8">
        <f>'Monthly Data'!K11</f>
        <v>5242</v>
      </c>
      <c r="I11" s="30">
        <f>'Monthly Data'!BR11</f>
        <v>1</v>
      </c>
      <c r="J11" s="30">
        <f>'Monthly Data'!BT11</f>
        <v>31</v>
      </c>
      <c r="L11" s="18">
        <f>'GS&lt;50 Predicted Monthly'!$X$8</f>
        <v>-8314018.5106493998</v>
      </c>
      <c r="M11" s="18">
        <f ca="1">E11*'GS&lt;50 Predicted Monthly'!$X$9</f>
        <v>394853.84706677264</v>
      </c>
      <c r="N11" s="18">
        <f ca="1">F11*'GS&lt;50 Predicted Monthly'!$X$10</f>
        <v>425891.78557232063</v>
      </c>
      <c r="O11" s="18">
        <f>G11*'GS&lt;50 Predicted Monthly'!$X$11</f>
        <v>51135.500982814694</v>
      </c>
      <c r="P11" s="18">
        <f>H11*'GS&lt;50 Predicted Monthly'!$X$12</f>
        <v>9730487.0727752075</v>
      </c>
      <c r="Q11" s="18">
        <f>I11*'GS&lt;50 Predicted Monthly'!$X$13</f>
        <v>-202362.33175645399</v>
      </c>
      <c r="R11" s="18">
        <f>J11*'GS&lt;50 Predicted Monthly'!$X$14</f>
        <v>11369665.795809086</v>
      </c>
      <c r="S11" s="20">
        <f t="shared" ca="1" si="4"/>
        <v>13455653.159800347</v>
      </c>
    </row>
    <row r="12" spans="1:19" x14ac:dyDescent="0.2">
      <c r="A12" s="9">
        <f>'Monthly Data'!A12</f>
        <v>42309</v>
      </c>
      <c r="B12">
        <f t="shared" si="2"/>
        <v>2015</v>
      </c>
      <c r="C12">
        <f t="shared" si="3"/>
        <v>11</v>
      </c>
      <c r="D12" s="30">
        <f>'Monthly Data'!J12</f>
        <v>13225827.50280077</v>
      </c>
      <c r="E12" s="33">
        <f ca="1">Weather!BR66</f>
        <v>240.7</v>
      </c>
      <c r="F12" s="33">
        <f ca="1">Weather!BS66</f>
        <v>3.410000000000001</v>
      </c>
      <c r="G12" s="18">
        <f>'Monthly Data'!AN12</f>
        <v>7443</v>
      </c>
      <c r="H12" s="8">
        <f>'Monthly Data'!K12</f>
        <v>5234</v>
      </c>
      <c r="I12" s="30">
        <f>'Monthly Data'!BR12</f>
        <v>1</v>
      </c>
      <c r="J12" s="30">
        <f>'Monthly Data'!BT12</f>
        <v>30</v>
      </c>
      <c r="L12" s="18">
        <f>'GS&lt;50 Predicted Monthly'!$X$8</f>
        <v>-8314018.5106493998</v>
      </c>
      <c r="M12" s="18">
        <f ca="1">E12*'GS&lt;50 Predicted Monthly'!$X$9</f>
        <v>1134144.6418731762</v>
      </c>
      <c r="N12" s="18">
        <f ca="1">F12*'GS&lt;50 Predicted Monthly'!$X$10</f>
        <v>39400.189603950465</v>
      </c>
      <c r="O12" s="18">
        <f>G12*'GS&lt;50 Predicted Monthly'!$X$11</f>
        <v>51135.500982814694</v>
      </c>
      <c r="P12" s="18">
        <f>H12*'GS&lt;50 Predicted Monthly'!$X$12</f>
        <v>9715637.0352738351</v>
      </c>
      <c r="Q12" s="18">
        <f>I12*'GS&lt;50 Predicted Monthly'!$X$13</f>
        <v>-202362.33175645399</v>
      </c>
      <c r="R12" s="18">
        <f>J12*'GS&lt;50 Predicted Monthly'!$X$14</f>
        <v>11002902.38304105</v>
      </c>
      <c r="S12" s="20">
        <f t="shared" ca="1" si="4"/>
        <v>13426838.908368973</v>
      </c>
    </row>
    <row r="13" spans="1:19" x14ac:dyDescent="0.2">
      <c r="A13" s="9">
        <f>'Monthly Data'!A13</f>
        <v>42339</v>
      </c>
      <c r="B13">
        <f t="shared" si="2"/>
        <v>2015</v>
      </c>
      <c r="C13">
        <f t="shared" si="3"/>
        <v>12</v>
      </c>
      <c r="D13" s="30">
        <f>'Monthly Data'!J13</f>
        <v>14139805.531532243</v>
      </c>
      <c r="E13" s="33">
        <f ca="1">Weather!BR67</f>
        <v>386.61999999999995</v>
      </c>
      <c r="F13" s="33">
        <f ca="1">Weather!BS67</f>
        <v>0</v>
      </c>
      <c r="G13" s="18">
        <f>'Monthly Data'!AN13</f>
        <v>7443</v>
      </c>
      <c r="H13" s="8">
        <f>'Monthly Data'!K13</f>
        <v>5238</v>
      </c>
      <c r="I13" s="30">
        <f>'Monthly Data'!BR13</f>
        <v>0</v>
      </c>
      <c r="J13" s="30">
        <f>'Monthly Data'!BT13</f>
        <v>31</v>
      </c>
      <c r="L13" s="18">
        <f>'GS&lt;50 Predicted Monthly'!$X$8</f>
        <v>-8314018.5106493998</v>
      </c>
      <c r="M13" s="18">
        <f ca="1">E13*'GS&lt;50 Predicted Monthly'!$X$9</f>
        <v>1821699.2166223819</v>
      </c>
      <c r="N13" s="18">
        <f ca="1">F13*'GS&lt;50 Predicted Monthly'!$X$10</f>
        <v>0</v>
      </c>
      <c r="O13" s="18">
        <f>G13*'GS&lt;50 Predicted Monthly'!$X$11</f>
        <v>51135.500982814694</v>
      </c>
      <c r="P13" s="18">
        <f>H13*'GS&lt;50 Predicted Monthly'!$X$12</f>
        <v>9723062.0540245213</v>
      </c>
      <c r="Q13" s="18">
        <f>I13*'GS&lt;50 Predicted Monthly'!$X$13</f>
        <v>0</v>
      </c>
      <c r="R13" s="18">
        <f>J13*'GS&lt;50 Predicted Monthly'!$X$14</f>
        <v>11369665.795809086</v>
      </c>
      <c r="S13" s="20">
        <f t="shared" ca="1" si="4"/>
        <v>14651544.056789406</v>
      </c>
    </row>
    <row r="14" spans="1:19" x14ac:dyDescent="0.2">
      <c r="A14" s="9">
        <f>'Monthly Data'!A14</f>
        <v>42370</v>
      </c>
      <c r="B14">
        <f t="shared" si="2"/>
        <v>2016</v>
      </c>
      <c r="C14">
        <f t="shared" si="3"/>
        <v>1</v>
      </c>
      <c r="D14" s="30">
        <f>'Monthly Data'!J14</f>
        <v>15123271.889639981</v>
      </c>
      <c r="E14" s="33">
        <f ca="1">E2</f>
        <v>508.54000000000008</v>
      </c>
      <c r="F14" s="33">
        <f ca="1">F2</f>
        <v>0</v>
      </c>
      <c r="G14" s="18">
        <f>'Monthly Data'!AN14</f>
        <v>5503</v>
      </c>
      <c r="H14" s="8">
        <f>'Monthly Data'!K14</f>
        <v>5246</v>
      </c>
      <c r="I14" s="30">
        <f>'Monthly Data'!BR14</f>
        <v>0</v>
      </c>
      <c r="J14" s="30">
        <f>'Monthly Data'!BT14</f>
        <v>31</v>
      </c>
      <c r="L14" s="18">
        <f>'GS&lt;50 Predicted Monthly'!$X$8</f>
        <v>-8314018.5106493998</v>
      </c>
      <c r="M14" s="18">
        <f ca="1">E14*'GS&lt;50 Predicted Monthly'!$X$9</f>
        <v>2396169.1573667848</v>
      </c>
      <c r="N14" s="18">
        <f ca="1">F14*'GS&lt;50 Predicted Monthly'!$X$10</f>
        <v>0</v>
      </c>
      <c r="O14" s="18">
        <f>G14*'GS&lt;50 Predicted Monthly'!$X$11</f>
        <v>37807.155973186789</v>
      </c>
      <c r="P14" s="18">
        <f>H14*'GS&lt;50 Predicted Monthly'!$X$12</f>
        <v>9737912.0915258955</v>
      </c>
      <c r="Q14" s="18">
        <f>I14*'GS&lt;50 Predicted Monthly'!$X$13</f>
        <v>0</v>
      </c>
      <c r="R14" s="18">
        <f>J14*'GS&lt;50 Predicted Monthly'!$X$14</f>
        <v>11369665.795809086</v>
      </c>
      <c r="S14" s="20">
        <f t="shared" ca="1" si="4"/>
        <v>15227535.690025553</v>
      </c>
    </row>
    <row r="15" spans="1:19" x14ac:dyDescent="0.2">
      <c r="A15" s="9">
        <f>'Monthly Data'!A15</f>
        <v>42401</v>
      </c>
      <c r="B15">
        <f t="shared" si="2"/>
        <v>2016</v>
      </c>
      <c r="C15">
        <f t="shared" si="3"/>
        <v>2</v>
      </c>
      <c r="D15" s="30">
        <f>'Monthly Data'!J15</f>
        <v>14350816.425124092</v>
      </c>
      <c r="E15" s="33">
        <f t="shared" ref="E15:F15" ca="1" si="5">E3</f>
        <v>451.10999999999996</v>
      </c>
      <c r="F15" s="33">
        <f t="shared" ca="1" si="5"/>
        <v>0</v>
      </c>
      <c r="G15" s="18">
        <f>'Monthly Data'!AN15</f>
        <v>5503</v>
      </c>
      <c r="H15" s="8">
        <f>'Monthly Data'!K15</f>
        <v>5267</v>
      </c>
      <c r="I15" s="30">
        <f>'Monthly Data'!BR15</f>
        <v>0</v>
      </c>
      <c r="J15" s="30">
        <f>'Monthly Data'!BT15</f>
        <v>29</v>
      </c>
      <c r="L15" s="18">
        <f>'GS&lt;50 Predicted Monthly'!$X$8</f>
        <v>-8314018.5106493998</v>
      </c>
      <c r="M15" s="18">
        <f ca="1">E15*'GS&lt;50 Predicted Monthly'!$X$9</f>
        <v>2125567.0519127897</v>
      </c>
      <c r="N15" s="18">
        <f ca="1">F15*'GS&lt;50 Predicted Monthly'!$X$10</f>
        <v>0</v>
      </c>
      <c r="O15" s="18">
        <f>G15*'GS&lt;50 Predicted Monthly'!$X$11</f>
        <v>37807.155973186789</v>
      </c>
      <c r="P15" s="18">
        <f>H15*'GS&lt;50 Predicted Monthly'!$X$12</f>
        <v>9776893.4399670009</v>
      </c>
      <c r="Q15" s="18">
        <f>I15*'GS&lt;50 Predicted Monthly'!$X$13</f>
        <v>0</v>
      </c>
      <c r="R15" s="18">
        <f>J15*'GS&lt;50 Predicted Monthly'!$X$14</f>
        <v>10636138.970273016</v>
      </c>
      <c r="S15" s="20">
        <f t="shared" ca="1" si="4"/>
        <v>14262388.107476594</v>
      </c>
    </row>
    <row r="16" spans="1:19" x14ac:dyDescent="0.2">
      <c r="A16" s="9">
        <f>'Monthly Data'!A16</f>
        <v>42430</v>
      </c>
      <c r="B16">
        <f t="shared" si="2"/>
        <v>2016</v>
      </c>
      <c r="C16">
        <f t="shared" si="3"/>
        <v>3</v>
      </c>
      <c r="D16" s="30">
        <f>'Monthly Data'!J16</f>
        <v>14493124.960608203</v>
      </c>
      <c r="E16" s="33">
        <f t="shared" ref="E16:F16" ca="1" si="6">E4</f>
        <v>374.74</v>
      </c>
      <c r="F16" s="33">
        <f t="shared" ca="1" si="6"/>
        <v>0</v>
      </c>
      <c r="G16" s="18">
        <f>'Monthly Data'!AN16</f>
        <v>5503</v>
      </c>
      <c r="H16" s="8">
        <f>'Monthly Data'!K16</f>
        <v>5268</v>
      </c>
      <c r="I16" s="30">
        <f>'Monthly Data'!BR16</f>
        <v>1</v>
      </c>
      <c r="J16" s="30">
        <f>'Monthly Data'!BT16</f>
        <v>31</v>
      </c>
      <c r="L16" s="18">
        <f>'GS&lt;50 Predicted Monthly'!$X$8</f>
        <v>-8314018.5106493998</v>
      </c>
      <c r="M16" s="18">
        <f ca="1">E16*'GS&lt;50 Predicted Monthly'!$X$9</f>
        <v>1765722.3227900043</v>
      </c>
      <c r="N16" s="18">
        <f ca="1">F16*'GS&lt;50 Predicted Monthly'!$X$10</f>
        <v>0</v>
      </c>
      <c r="O16" s="18">
        <f>G16*'GS&lt;50 Predicted Monthly'!$X$11</f>
        <v>37807.155973186789</v>
      </c>
      <c r="P16" s="18">
        <f>H16*'GS&lt;50 Predicted Monthly'!$X$12</f>
        <v>9778749.6946546733</v>
      </c>
      <c r="Q16" s="18">
        <f>I16*'GS&lt;50 Predicted Monthly'!$X$13</f>
        <v>-202362.33175645399</v>
      </c>
      <c r="R16" s="18">
        <f>J16*'GS&lt;50 Predicted Monthly'!$X$14</f>
        <v>11369665.795809086</v>
      </c>
      <c r="S16" s="20">
        <f t="shared" ca="1" si="4"/>
        <v>14435564.126821097</v>
      </c>
    </row>
    <row r="17" spans="1:19" x14ac:dyDescent="0.2">
      <c r="A17" s="9">
        <f>'Monthly Data'!A17</f>
        <v>42461</v>
      </c>
      <c r="B17">
        <f t="shared" si="2"/>
        <v>2016</v>
      </c>
      <c r="C17">
        <f t="shared" si="3"/>
        <v>4</v>
      </c>
      <c r="D17" s="30">
        <f>'Monthly Data'!J17</f>
        <v>13407795.496092316</v>
      </c>
      <c r="E17" s="33">
        <f t="shared" ref="E17:F17" ca="1" si="7">E5</f>
        <v>221.12999999999997</v>
      </c>
      <c r="F17" s="33">
        <f t="shared" ca="1" si="7"/>
        <v>2.6300000000000003</v>
      </c>
      <c r="G17" s="18">
        <f>'Monthly Data'!AN17</f>
        <v>-2655</v>
      </c>
      <c r="H17" s="8">
        <f>'Monthly Data'!K17</f>
        <v>5267</v>
      </c>
      <c r="I17" s="30">
        <f>'Monthly Data'!BR17</f>
        <v>1</v>
      </c>
      <c r="J17" s="30">
        <f>'Monthly Data'!BT17</f>
        <v>30</v>
      </c>
      <c r="L17" s="18">
        <f>'GS&lt;50 Predicted Monthly'!$X$8</f>
        <v>-8314018.5106493998</v>
      </c>
      <c r="M17" s="18">
        <f ca="1">E17*'GS&lt;50 Predicted Monthly'!$X$9</f>
        <v>1041933.5465617591</v>
      </c>
      <c r="N17" s="18">
        <f ca="1">F17*'GS&lt;50 Predicted Monthly'!$X$10</f>
        <v>30387.829518589355</v>
      </c>
      <c r="O17" s="18">
        <f>G17*'GS&lt;50 Predicted Monthly'!$X$11</f>
        <v>-18240.595876578398</v>
      </c>
      <c r="P17" s="18">
        <f>H17*'GS&lt;50 Predicted Monthly'!$X$12</f>
        <v>9776893.4399670009</v>
      </c>
      <c r="Q17" s="18">
        <f>I17*'GS&lt;50 Predicted Monthly'!$X$13</f>
        <v>-202362.33175645399</v>
      </c>
      <c r="R17" s="18">
        <f>J17*'GS&lt;50 Predicted Monthly'!$X$14</f>
        <v>11002902.38304105</v>
      </c>
      <c r="S17" s="20">
        <f t="shared" ca="1" si="4"/>
        <v>13317495.760805968</v>
      </c>
    </row>
    <row r="18" spans="1:19" x14ac:dyDescent="0.2">
      <c r="A18" s="9">
        <f>'Monthly Data'!A18</f>
        <v>42491</v>
      </c>
      <c r="B18">
        <f t="shared" si="2"/>
        <v>2016</v>
      </c>
      <c r="C18">
        <f t="shared" si="3"/>
        <v>5</v>
      </c>
      <c r="D18" s="30">
        <f>'Monthly Data'!J18</f>
        <v>13731027.031576427</v>
      </c>
      <c r="E18" s="33">
        <f t="shared" ref="E18:F18" ca="1" si="8">E6</f>
        <v>74.8</v>
      </c>
      <c r="F18" s="33">
        <f t="shared" ca="1" si="8"/>
        <v>50.489999999999995</v>
      </c>
      <c r="G18" s="18">
        <f>'Monthly Data'!AN18</f>
        <v>-2655</v>
      </c>
      <c r="H18" s="8">
        <f>'Monthly Data'!K18</f>
        <v>5294</v>
      </c>
      <c r="I18" s="30">
        <f>'Monthly Data'!BR18</f>
        <v>1</v>
      </c>
      <c r="J18" s="30">
        <f>'Monthly Data'!BT18</f>
        <v>31</v>
      </c>
      <c r="L18" s="18">
        <f>'GS&lt;50 Predicted Monthly'!$X$8</f>
        <v>-8314018.5106493998</v>
      </c>
      <c r="M18" s="18">
        <f ca="1">E18*'GS&lt;50 Predicted Monthly'!$X$9</f>
        <v>352447.10931497125</v>
      </c>
      <c r="N18" s="18">
        <f ca="1">F18*'GS&lt;50 Predicted Monthly'!$X$10</f>
        <v>583377.00091010507</v>
      </c>
      <c r="O18" s="18">
        <f>G18*'GS&lt;50 Predicted Monthly'!$X$11</f>
        <v>-18240.595876578398</v>
      </c>
      <c r="P18" s="18">
        <f>H18*'GS&lt;50 Predicted Monthly'!$X$12</f>
        <v>9827012.3165341374</v>
      </c>
      <c r="Q18" s="18">
        <f>I18*'GS&lt;50 Predicted Monthly'!$X$13</f>
        <v>-202362.33175645399</v>
      </c>
      <c r="R18" s="18">
        <f>J18*'GS&lt;50 Predicted Monthly'!$X$14</f>
        <v>11369665.795809086</v>
      </c>
      <c r="S18" s="20">
        <f t="shared" ca="1" si="4"/>
        <v>13597880.784285869</v>
      </c>
    </row>
    <row r="19" spans="1:19" x14ac:dyDescent="0.2">
      <c r="A19" s="9">
        <f>'Monthly Data'!A19</f>
        <v>42522</v>
      </c>
      <c r="B19">
        <f t="shared" si="2"/>
        <v>2016</v>
      </c>
      <c r="C19">
        <f t="shared" si="3"/>
        <v>6</v>
      </c>
      <c r="D19" s="30">
        <f>'Monthly Data'!J19</f>
        <v>14550745.567060538</v>
      </c>
      <c r="E19" s="33">
        <f t="shared" ref="E19:F19" ca="1" si="9">E7</f>
        <v>2.15</v>
      </c>
      <c r="F19" s="33">
        <f t="shared" ca="1" si="9"/>
        <v>154.05000000000001</v>
      </c>
      <c r="G19" s="18">
        <f>'Monthly Data'!AN19</f>
        <v>-2655</v>
      </c>
      <c r="H19" s="8">
        <f>'Monthly Data'!K19</f>
        <v>5264</v>
      </c>
      <c r="I19" s="30">
        <f>'Monthly Data'!BR19</f>
        <v>0</v>
      </c>
      <c r="J19" s="30">
        <f>'Monthly Data'!BT19</f>
        <v>30</v>
      </c>
      <c r="L19" s="18">
        <f>'GS&lt;50 Predicted Monthly'!$X$8</f>
        <v>-8314018.5106493998</v>
      </c>
      <c r="M19" s="18">
        <f ca="1">E19*'GS&lt;50 Predicted Monthly'!$X$9</f>
        <v>10130.498462930324</v>
      </c>
      <c r="N19" s="18">
        <f ca="1">F19*'GS&lt;50 Predicted Monthly'!$X$10</f>
        <v>1779941.1168588174</v>
      </c>
      <c r="O19" s="18">
        <f>G19*'GS&lt;50 Predicted Monthly'!$X$11</f>
        <v>-18240.595876578398</v>
      </c>
      <c r="P19" s="18">
        <f>H19*'GS&lt;50 Predicted Monthly'!$X$12</f>
        <v>9771324.6759039871</v>
      </c>
      <c r="Q19" s="18">
        <f>I19*'GS&lt;50 Predicted Monthly'!$X$13</f>
        <v>0</v>
      </c>
      <c r="R19" s="18">
        <f>J19*'GS&lt;50 Predicted Monthly'!$X$14</f>
        <v>11002902.38304105</v>
      </c>
      <c r="S19" s="20">
        <f t="shared" ca="1" si="4"/>
        <v>14232039.567740807</v>
      </c>
    </row>
    <row r="20" spans="1:19" x14ac:dyDescent="0.2">
      <c r="A20" s="9">
        <f>'Monthly Data'!A20</f>
        <v>42552</v>
      </c>
      <c r="B20">
        <f t="shared" si="2"/>
        <v>2016</v>
      </c>
      <c r="C20">
        <f t="shared" si="3"/>
        <v>7</v>
      </c>
      <c r="D20" s="30">
        <f>'Monthly Data'!J20</f>
        <v>16348284.10254465</v>
      </c>
      <c r="E20" s="33">
        <f t="shared" ref="E20:F20" ca="1" si="10">E8</f>
        <v>0</v>
      </c>
      <c r="F20" s="33">
        <f t="shared" ca="1" si="10"/>
        <v>267.66999999999996</v>
      </c>
      <c r="G20" s="18">
        <f>'Monthly Data'!AN20</f>
        <v>5974</v>
      </c>
      <c r="H20" s="8">
        <f>'Monthly Data'!K20</f>
        <v>5262</v>
      </c>
      <c r="I20" s="30">
        <f>'Monthly Data'!BR20</f>
        <v>0</v>
      </c>
      <c r="J20" s="30">
        <f>'Monthly Data'!BT20</f>
        <v>31</v>
      </c>
      <c r="L20" s="18">
        <f>'GS&lt;50 Predicted Monthly'!$X$8</f>
        <v>-8314018.5106493998</v>
      </c>
      <c r="M20" s="18">
        <f ca="1">E20*'GS&lt;50 Predicted Monthly'!$X$9</f>
        <v>0</v>
      </c>
      <c r="N20" s="18">
        <f ca="1">F20*'GS&lt;50 Predicted Monthly'!$X$10</f>
        <v>3092741.5692930841</v>
      </c>
      <c r="O20" s="18">
        <f>G20*'GS&lt;50 Predicted Monthly'!$X$11</f>
        <v>41043.058292534595</v>
      </c>
      <c r="P20" s="18">
        <f>H20*'GS&lt;50 Predicted Monthly'!$X$12</f>
        <v>9767612.1665286422</v>
      </c>
      <c r="Q20" s="18">
        <f>I20*'GS&lt;50 Predicted Monthly'!$X$13</f>
        <v>0</v>
      </c>
      <c r="R20" s="18">
        <f>J20*'GS&lt;50 Predicted Monthly'!$X$14</f>
        <v>11369665.795809086</v>
      </c>
      <c r="S20" s="20">
        <f t="shared" ca="1" si="4"/>
        <v>15957044.079273947</v>
      </c>
    </row>
    <row r="21" spans="1:19" x14ac:dyDescent="0.2">
      <c r="A21" s="9">
        <f>'Monthly Data'!A21</f>
        <v>42583</v>
      </c>
      <c r="B21">
        <f t="shared" si="2"/>
        <v>2016</v>
      </c>
      <c r="C21">
        <f t="shared" si="3"/>
        <v>8</v>
      </c>
      <c r="D21" s="30">
        <f>'Monthly Data'!J21</f>
        <v>16739654.638028761</v>
      </c>
      <c r="E21" s="33">
        <f t="shared" ref="E21:F21" ca="1" si="11">E9</f>
        <v>0</v>
      </c>
      <c r="F21" s="33">
        <f t="shared" ca="1" si="11"/>
        <v>246.315</v>
      </c>
      <c r="G21" s="18">
        <f>'Monthly Data'!AN21</f>
        <v>5974</v>
      </c>
      <c r="H21" s="8">
        <f>'Monthly Data'!K21</f>
        <v>5260</v>
      </c>
      <c r="I21" s="30">
        <f>'Monthly Data'!BR21</f>
        <v>0</v>
      </c>
      <c r="J21" s="30">
        <f>'Monthly Data'!BT21</f>
        <v>31</v>
      </c>
      <c r="L21" s="18">
        <f>'GS&lt;50 Predicted Monthly'!$X$8</f>
        <v>-8314018.5106493998</v>
      </c>
      <c r="M21" s="18">
        <f ca="1">E21*'GS&lt;50 Predicted Monthly'!$X$9</f>
        <v>0</v>
      </c>
      <c r="N21" s="18">
        <f ca="1">F21*'GS&lt;50 Predicted Monthly'!$X$10</f>
        <v>2845999.3261868199</v>
      </c>
      <c r="O21" s="18">
        <f>G21*'GS&lt;50 Predicted Monthly'!$X$11</f>
        <v>41043.058292534595</v>
      </c>
      <c r="P21" s="18">
        <f>H21*'GS&lt;50 Predicted Monthly'!$X$12</f>
        <v>9763899.6571532991</v>
      </c>
      <c r="Q21" s="18">
        <f>I21*'GS&lt;50 Predicted Monthly'!$X$13</f>
        <v>0</v>
      </c>
      <c r="R21" s="18">
        <f>J21*'GS&lt;50 Predicted Monthly'!$X$14</f>
        <v>11369665.795809086</v>
      </c>
      <c r="S21" s="20">
        <f t="shared" ca="1" si="4"/>
        <v>15706589.326792341</v>
      </c>
    </row>
    <row r="22" spans="1:19" x14ac:dyDescent="0.2">
      <c r="A22" s="9">
        <f>'Monthly Data'!A22</f>
        <v>42614</v>
      </c>
      <c r="B22">
        <f t="shared" si="2"/>
        <v>2016</v>
      </c>
      <c r="C22">
        <f t="shared" si="3"/>
        <v>9</v>
      </c>
      <c r="D22" s="30">
        <f>'Monthly Data'!J22</f>
        <v>14440145.173512874</v>
      </c>
      <c r="E22" s="33">
        <f t="shared" ref="E22:F22" ca="1" si="12">E10</f>
        <v>2.2699999999999996</v>
      </c>
      <c r="F22" s="33">
        <f t="shared" ca="1" si="12"/>
        <v>146.80000000000001</v>
      </c>
      <c r="G22" s="18">
        <f>'Monthly Data'!AN22</f>
        <v>5974</v>
      </c>
      <c r="H22" s="8">
        <f>'Monthly Data'!K22</f>
        <v>5273</v>
      </c>
      <c r="I22" s="30">
        <f>'Monthly Data'!BR22</f>
        <v>1</v>
      </c>
      <c r="J22" s="30">
        <f>'Monthly Data'!BT22</f>
        <v>30</v>
      </c>
      <c r="L22" s="18">
        <f>'GS&lt;50 Predicted Monthly'!$X$8</f>
        <v>-8314018.5106493998</v>
      </c>
      <c r="M22" s="18">
        <f ca="1">E22*'GS&lt;50 Predicted Monthly'!$X$9</f>
        <v>10695.92163295434</v>
      </c>
      <c r="N22" s="18">
        <f ca="1">F22*'GS&lt;50 Predicted Monthly'!$X$10</f>
        <v>1696172.3852961662</v>
      </c>
      <c r="O22" s="18">
        <f>G22*'GS&lt;50 Predicted Monthly'!$X$11</f>
        <v>41043.058292534595</v>
      </c>
      <c r="P22" s="18">
        <f>H22*'GS&lt;50 Predicted Monthly'!$X$12</f>
        <v>9788030.968093032</v>
      </c>
      <c r="Q22" s="18">
        <f>I22*'GS&lt;50 Predicted Monthly'!$X$13</f>
        <v>-202362.33175645399</v>
      </c>
      <c r="R22" s="18">
        <f>J22*'GS&lt;50 Predicted Monthly'!$X$14</f>
        <v>11002902.38304105</v>
      </c>
      <c r="S22" s="20">
        <f t="shared" ca="1" si="4"/>
        <v>14022463.873949882</v>
      </c>
    </row>
    <row r="23" spans="1:19" x14ac:dyDescent="0.2">
      <c r="A23" s="9">
        <f>'Monthly Data'!A23</f>
        <v>42644</v>
      </c>
      <c r="B23">
        <f t="shared" si="2"/>
        <v>2016</v>
      </c>
      <c r="C23">
        <f t="shared" si="3"/>
        <v>10</v>
      </c>
      <c r="D23" s="30">
        <f>'Monthly Data'!J23</f>
        <v>13350527.708996985</v>
      </c>
      <c r="E23" s="33">
        <f t="shared" ref="E23:F23" ca="1" si="13">E11</f>
        <v>83.800000000000011</v>
      </c>
      <c r="F23" s="33">
        <f t="shared" ca="1" si="13"/>
        <v>36.859999999999992</v>
      </c>
      <c r="G23" s="18">
        <f>'Monthly Data'!AN23</f>
        <v>-1226</v>
      </c>
      <c r="H23" s="8">
        <f>'Monthly Data'!K23</f>
        <v>5278</v>
      </c>
      <c r="I23" s="30">
        <f>'Monthly Data'!BR23</f>
        <v>1</v>
      </c>
      <c r="J23" s="30">
        <f>'Monthly Data'!BT23</f>
        <v>31</v>
      </c>
      <c r="L23" s="18">
        <f>'GS&lt;50 Predicted Monthly'!$X$8</f>
        <v>-8314018.5106493998</v>
      </c>
      <c r="M23" s="18">
        <f ca="1">E23*'GS&lt;50 Predicted Monthly'!$X$9</f>
        <v>394853.84706677264</v>
      </c>
      <c r="N23" s="18">
        <f ca="1">F23*'GS&lt;50 Predicted Monthly'!$X$10</f>
        <v>425891.78557232063</v>
      </c>
      <c r="O23" s="18">
        <f>G23*'GS&lt;50 Predicted Monthly'!$X$11</f>
        <v>-8422.9644236102122</v>
      </c>
      <c r="P23" s="18">
        <f>H23*'GS&lt;50 Predicted Monthly'!$X$12</f>
        <v>9797312.2415313907</v>
      </c>
      <c r="Q23" s="18">
        <f>I23*'GS&lt;50 Predicted Monthly'!$X$13</f>
        <v>-202362.33175645399</v>
      </c>
      <c r="R23" s="18">
        <f>J23*'GS&lt;50 Predicted Monthly'!$X$14</f>
        <v>11369665.795809086</v>
      </c>
      <c r="S23" s="20">
        <f t="shared" ca="1" si="4"/>
        <v>13462919.863150107</v>
      </c>
    </row>
    <row r="24" spans="1:19" x14ac:dyDescent="0.2">
      <c r="A24" s="9">
        <f>'Monthly Data'!A24</f>
        <v>42675</v>
      </c>
      <c r="B24">
        <f t="shared" si="2"/>
        <v>2016</v>
      </c>
      <c r="C24">
        <f t="shared" si="3"/>
        <v>11</v>
      </c>
      <c r="D24" s="30">
        <f>'Monthly Data'!J24</f>
        <v>13437723.244481096</v>
      </c>
      <c r="E24" s="33">
        <f t="shared" ref="E24:F24" ca="1" si="14">E12</f>
        <v>240.7</v>
      </c>
      <c r="F24" s="33">
        <f t="shared" ca="1" si="14"/>
        <v>3.410000000000001</v>
      </c>
      <c r="G24" s="18">
        <f>'Monthly Data'!AN24</f>
        <v>-1226</v>
      </c>
      <c r="H24" s="8">
        <f>'Monthly Data'!K24</f>
        <v>5298</v>
      </c>
      <c r="I24" s="30">
        <f>'Monthly Data'!BR24</f>
        <v>1</v>
      </c>
      <c r="J24" s="30">
        <f>'Monthly Data'!BT24</f>
        <v>30</v>
      </c>
      <c r="L24" s="18">
        <f>'GS&lt;50 Predicted Monthly'!$X$8</f>
        <v>-8314018.5106493998</v>
      </c>
      <c r="M24" s="18">
        <f ca="1">E24*'GS&lt;50 Predicted Monthly'!$X$9</f>
        <v>1134144.6418731762</v>
      </c>
      <c r="N24" s="18">
        <f ca="1">F24*'GS&lt;50 Predicted Monthly'!$X$10</f>
        <v>39400.189603950465</v>
      </c>
      <c r="O24" s="18">
        <f>G24*'GS&lt;50 Predicted Monthly'!$X$11</f>
        <v>-8422.9644236102122</v>
      </c>
      <c r="P24" s="18">
        <f>H24*'GS&lt;50 Predicted Monthly'!$X$12</f>
        <v>9834437.3352848254</v>
      </c>
      <c r="Q24" s="18">
        <f>I24*'GS&lt;50 Predicted Monthly'!$X$13</f>
        <v>-202362.33175645399</v>
      </c>
      <c r="R24" s="18">
        <f>J24*'GS&lt;50 Predicted Monthly'!$X$14</f>
        <v>11002902.38304105</v>
      </c>
      <c r="S24" s="20">
        <f t="shared" ca="1" si="4"/>
        <v>13486080.74297354</v>
      </c>
    </row>
    <row r="25" spans="1:19" x14ac:dyDescent="0.2">
      <c r="A25" s="9">
        <f>'Monthly Data'!A25</f>
        <v>42705</v>
      </c>
      <c r="B25">
        <f t="shared" si="2"/>
        <v>2016</v>
      </c>
      <c r="C25">
        <f t="shared" si="3"/>
        <v>12</v>
      </c>
      <c r="D25" s="30">
        <f>'Monthly Data'!J25</f>
        <v>14912204.779965209</v>
      </c>
      <c r="E25" s="33">
        <f t="shared" ref="E25:F25" ca="1" si="15">E13</f>
        <v>386.61999999999995</v>
      </c>
      <c r="F25" s="33">
        <f t="shared" ca="1" si="15"/>
        <v>0</v>
      </c>
      <c r="G25" s="18">
        <f>'Monthly Data'!AN25</f>
        <v>-1226</v>
      </c>
      <c r="H25" s="8">
        <f>'Monthly Data'!K25</f>
        <v>5297</v>
      </c>
      <c r="I25" s="30">
        <f>'Monthly Data'!BR25</f>
        <v>0</v>
      </c>
      <c r="J25" s="30">
        <f>'Monthly Data'!BT25</f>
        <v>31</v>
      </c>
      <c r="L25" s="18">
        <f>'GS&lt;50 Predicted Monthly'!$X$8</f>
        <v>-8314018.5106493998</v>
      </c>
      <c r="M25" s="18">
        <f ca="1">E25*'GS&lt;50 Predicted Monthly'!$X$9</f>
        <v>1821699.2166223819</v>
      </c>
      <c r="N25" s="18">
        <f ca="1">F25*'GS&lt;50 Predicted Monthly'!$X$10</f>
        <v>0</v>
      </c>
      <c r="O25" s="18">
        <f>G25*'GS&lt;50 Predicted Monthly'!$X$11</f>
        <v>-8422.9644236102122</v>
      </c>
      <c r="P25" s="18">
        <f>H25*'GS&lt;50 Predicted Monthly'!$X$12</f>
        <v>9832581.0805971529</v>
      </c>
      <c r="Q25" s="18">
        <f>I25*'GS&lt;50 Predicted Monthly'!$X$13</f>
        <v>0</v>
      </c>
      <c r="R25" s="18">
        <f>J25*'GS&lt;50 Predicted Monthly'!$X$14</f>
        <v>11369665.795809086</v>
      </c>
      <c r="S25" s="20">
        <f t="shared" ca="1" si="4"/>
        <v>14701504.617955612</v>
      </c>
    </row>
    <row r="26" spans="1:19" x14ac:dyDescent="0.2">
      <c r="A26" s="9">
        <f>'Monthly Data'!A26</f>
        <v>42736</v>
      </c>
      <c r="B26">
        <f t="shared" si="2"/>
        <v>2017</v>
      </c>
      <c r="C26">
        <f t="shared" si="3"/>
        <v>1</v>
      </c>
      <c r="D26" s="30">
        <f>'Monthly Data'!J26</f>
        <v>15552205.778870873</v>
      </c>
      <c r="E26" s="33">
        <f t="shared" ref="E26:F26" ca="1" si="16">E14</f>
        <v>508.54000000000008</v>
      </c>
      <c r="F26" s="33">
        <f t="shared" ca="1" si="16"/>
        <v>0</v>
      </c>
      <c r="G26" s="18">
        <f>'Monthly Data'!AN26</f>
        <v>11322</v>
      </c>
      <c r="H26" s="8">
        <f>'Monthly Data'!K26</f>
        <v>5303</v>
      </c>
      <c r="I26" s="30">
        <f>'Monthly Data'!BR26</f>
        <v>0</v>
      </c>
      <c r="J26" s="30">
        <f>'Monthly Data'!BT26</f>
        <v>31</v>
      </c>
      <c r="L26" s="18">
        <f>'GS&lt;50 Predicted Monthly'!$X$8</f>
        <v>-8314018.5106493998</v>
      </c>
      <c r="M26" s="18">
        <f ca="1">E26*'GS&lt;50 Predicted Monthly'!$X$9</f>
        <v>2396169.1573667848</v>
      </c>
      <c r="N26" s="18">
        <f ca="1">F26*'GS&lt;50 Predicted Monthly'!$X$10</f>
        <v>0</v>
      </c>
      <c r="O26" s="18">
        <f>G26*'GS&lt;50 Predicted Monthly'!$X$11</f>
        <v>77785.320721137701</v>
      </c>
      <c r="P26" s="18">
        <f>H26*'GS&lt;50 Predicted Monthly'!$X$12</f>
        <v>9843718.6087231841</v>
      </c>
      <c r="Q26" s="18">
        <f>I26*'GS&lt;50 Predicted Monthly'!$X$13</f>
        <v>0</v>
      </c>
      <c r="R26" s="18">
        <f>J26*'GS&lt;50 Predicted Monthly'!$X$14</f>
        <v>11369665.795809086</v>
      </c>
      <c r="S26" s="20">
        <f t="shared" ca="1" si="4"/>
        <v>15373320.371970791</v>
      </c>
    </row>
    <row r="27" spans="1:19" x14ac:dyDescent="0.2">
      <c r="A27" s="9">
        <f>'Monthly Data'!A27</f>
        <v>42767</v>
      </c>
      <c r="B27">
        <f t="shared" si="2"/>
        <v>2017</v>
      </c>
      <c r="C27">
        <f t="shared" si="3"/>
        <v>2</v>
      </c>
      <c r="D27" s="30">
        <f>'Monthly Data'!J27</f>
        <v>13871440.371413311</v>
      </c>
      <c r="E27" s="33">
        <f t="shared" ref="E27:F27" ca="1" si="17">E15</f>
        <v>451.10999999999996</v>
      </c>
      <c r="F27" s="33">
        <f t="shared" ca="1" si="17"/>
        <v>0</v>
      </c>
      <c r="G27" s="18">
        <f>'Monthly Data'!AN27</f>
        <v>11322</v>
      </c>
      <c r="H27" s="8">
        <f>'Monthly Data'!K27</f>
        <v>5341</v>
      </c>
      <c r="I27" s="30">
        <f>'Monthly Data'!BR27</f>
        <v>0</v>
      </c>
      <c r="J27" s="30">
        <f>'Monthly Data'!BT27</f>
        <v>28</v>
      </c>
      <c r="L27" s="18">
        <f>'GS&lt;50 Predicted Monthly'!$X$8</f>
        <v>-8314018.5106493998</v>
      </c>
      <c r="M27" s="18">
        <f ca="1">E27*'GS&lt;50 Predicted Monthly'!$X$9</f>
        <v>2125567.0519127897</v>
      </c>
      <c r="N27" s="18">
        <f ca="1">F27*'GS&lt;50 Predicted Monthly'!$X$10</f>
        <v>0</v>
      </c>
      <c r="O27" s="18">
        <f>G27*'GS&lt;50 Predicted Monthly'!$X$11</f>
        <v>77785.320721137701</v>
      </c>
      <c r="P27" s="18">
        <f>H27*'GS&lt;50 Predicted Monthly'!$X$12</f>
        <v>9914256.2868547104</v>
      </c>
      <c r="Q27" s="18">
        <f>I27*'GS&lt;50 Predicted Monthly'!$X$13</f>
        <v>0</v>
      </c>
      <c r="R27" s="18">
        <f>J27*'GS&lt;50 Predicted Monthly'!$X$14</f>
        <v>10269375.55750498</v>
      </c>
      <c r="S27" s="20">
        <f t="shared" ca="1" si="4"/>
        <v>14072965.706344217</v>
      </c>
    </row>
    <row r="28" spans="1:19" x14ac:dyDescent="0.2">
      <c r="A28" s="9">
        <f>'Monthly Data'!A28</f>
        <v>42795</v>
      </c>
      <c r="B28">
        <f t="shared" si="2"/>
        <v>2017</v>
      </c>
      <c r="C28">
        <f t="shared" si="3"/>
        <v>3</v>
      </c>
      <c r="D28" s="30">
        <f>'Monthly Data'!J28</f>
        <v>14837407.963955749</v>
      </c>
      <c r="E28" s="33">
        <f t="shared" ref="E28:F28" ca="1" si="18">E16</f>
        <v>374.74</v>
      </c>
      <c r="F28" s="33">
        <f t="shared" ca="1" si="18"/>
        <v>0</v>
      </c>
      <c r="G28" s="18">
        <f>'Monthly Data'!AN28</f>
        <v>11322</v>
      </c>
      <c r="H28" s="8">
        <f>'Monthly Data'!K28</f>
        <v>5342</v>
      </c>
      <c r="I28" s="30">
        <f>'Monthly Data'!BR28</f>
        <v>1</v>
      </c>
      <c r="J28" s="30">
        <f>'Monthly Data'!BT28</f>
        <v>31</v>
      </c>
      <c r="L28" s="18">
        <f>'GS&lt;50 Predicted Monthly'!$X$8</f>
        <v>-8314018.5106493998</v>
      </c>
      <c r="M28" s="18">
        <f ca="1">E28*'GS&lt;50 Predicted Monthly'!$X$9</f>
        <v>1765722.3227900043</v>
      </c>
      <c r="N28" s="18">
        <f ca="1">F28*'GS&lt;50 Predicted Monthly'!$X$10</f>
        <v>0</v>
      </c>
      <c r="O28" s="18">
        <f>G28*'GS&lt;50 Predicted Monthly'!$X$11</f>
        <v>77785.320721137701</v>
      </c>
      <c r="P28" s="18">
        <f>H28*'GS&lt;50 Predicted Monthly'!$X$12</f>
        <v>9916112.541542381</v>
      </c>
      <c r="Q28" s="18">
        <f>I28*'GS&lt;50 Predicted Monthly'!$X$13</f>
        <v>-202362.33175645399</v>
      </c>
      <c r="R28" s="18">
        <f>J28*'GS&lt;50 Predicted Monthly'!$X$14</f>
        <v>11369665.795809086</v>
      </c>
      <c r="S28" s="20">
        <f t="shared" ca="1" si="4"/>
        <v>14612905.138456754</v>
      </c>
    </row>
    <row r="29" spans="1:19" x14ac:dyDescent="0.2">
      <c r="A29" s="9">
        <f>'Monthly Data'!A29</f>
        <v>42826</v>
      </c>
      <c r="B29">
        <f t="shared" si="2"/>
        <v>2017</v>
      </c>
      <c r="C29">
        <f t="shared" si="3"/>
        <v>4</v>
      </c>
      <c r="D29" s="30">
        <f>'Monthly Data'!J29</f>
        <v>13390657.556498185</v>
      </c>
      <c r="E29" s="33">
        <f t="shared" ref="E29:F29" ca="1" si="19">E17</f>
        <v>221.12999999999997</v>
      </c>
      <c r="F29" s="33">
        <f t="shared" ca="1" si="19"/>
        <v>2.6300000000000003</v>
      </c>
      <c r="G29" s="18">
        <f>'Monthly Data'!AN29</f>
        <v>7942</v>
      </c>
      <c r="H29" s="8">
        <f>'Monthly Data'!K29</f>
        <v>5344</v>
      </c>
      <c r="I29" s="30">
        <f>'Monthly Data'!BR29</f>
        <v>1</v>
      </c>
      <c r="J29" s="30">
        <f>'Monthly Data'!BT29</f>
        <v>30</v>
      </c>
      <c r="L29" s="18">
        <f>'GS&lt;50 Predicted Monthly'!$X$8</f>
        <v>-8314018.5106493998</v>
      </c>
      <c r="M29" s="18">
        <f ca="1">E29*'GS&lt;50 Predicted Monthly'!$X$9</f>
        <v>1041933.5465617591</v>
      </c>
      <c r="N29" s="18">
        <f ca="1">F29*'GS&lt;50 Predicted Monthly'!$X$10</f>
        <v>30387.829518589355</v>
      </c>
      <c r="O29" s="18">
        <f>G29*'GS&lt;50 Predicted Monthly'!$X$11</f>
        <v>54563.771168280844</v>
      </c>
      <c r="P29" s="18">
        <f>H29*'GS&lt;50 Predicted Monthly'!$X$12</f>
        <v>9919825.0509177241</v>
      </c>
      <c r="Q29" s="18">
        <f>I29*'GS&lt;50 Predicted Monthly'!$X$13</f>
        <v>-202362.33175645399</v>
      </c>
      <c r="R29" s="18">
        <f>J29*'GS&lt;50 Predicted Monthly'!$X$14</f>
        <v>11002902.38304105</v>
      </c>
      <c r="S29" s="20">
        <f t="shared" ca="1" si="4"/>
        <v>13533231.73880155</v>
      </c>
    </row>
    <row r="30" spans="1:19" x14ac:dyDescent="0.2">
      <c r="A30" s="9">
        <f>'Monthly Data'!A30</f>
        <v>42856</v>
      </c>
      <c r="B30">
        <f t="shared" si="2"/>
        <v>2017</v>
      </c>
      <c r="C30">
        <f t="shared" si="3"/>
        <v>5</v>
      </c>
      <c r="D30" s="30">
        <f>'Monthly Data'!J30</f>
        <v>13605380.149040623</v>
      </c>
      <c r="E30" s="33">
        <f t="shared" ref="E30:F30" ca="1" si="20">E18</f>
        <v>74.8</v>
      </c>
      <c r="F30" s="33">
        <f t="shared" ca="1" si="20"/>
        <v>50.489999999999995</v>
      </c>
      <c r="G30" s="18">
        <f>'Monthly Data'!AN30</f>
        <v>7942</v>
      </c>
      <c r="H30" s="8">
        <f>'Monthly Data'!K30</f>
        <v>5341</v>
      </c>
      <c r="I30" s="30">
        <f>'Monthly Data'!BR30</f>
        <v>1</v>
      </c>
      <c r="J30" s="30">
        <f>'Monthly Data'!BT30</f>
        <v>31</v>
      </c>
      <c r="L30" s="18">
        <f>'GS&lt;50 Predicted Monthly'!$X$8</f>
        <v>-8314018.5106493998</v>
      </c>
      <c r="M30" s="18">
        <f ca="1">E30*'GS&lt;50 Predicted Monthly'!$X$9</f>
        <v>352447.10931497125</v>
      </c>
      <c r="N30" s="18">
        <f ca="1">F30*'GS&lt;50 Predicted Monthly'!$X$10</f>
        <v>583377.00091010507</v>
      </c>
      <c r="O30" s="18">
        <f>G30*'GS&lt;50 Predicted Monthly'!$X$11</f>
        <v>54563.771168280844</v>
      </c>
      <c r="P30" s="18">
        <f>H30*'GS&lt;50 Predicted Monthly'!$X$12</f>
        <v>9914256.2868547104</v>
      </c>
      <c r="Q30" s="18">
        <f>I30*'GS&lt;50 Predicted Monthly'!$X$13</f>
        <v>-202362.33175645399</v>
      </c>
      <c r="R30" s="18">
        <f>J30*'GS&lt;50 Predicted Monthly'!$X$14</f>
        <v>11369665.795809086</v>
      </c>
      <c r="S30" s="20">
        <f t="shared" ca="1" si="4"/>
        <v>13757929.121651299</v>
      </c>
    </row>
    <row r="31" spans="1:19" x14ac:dyDescent="0.2">
      <c r="A31" s="9">
        <f>'Monthly Data'!A31</f>
        <v>42887</v>
      </c>
      <c r="B31">
        <f t="shared" si="2"/>
        <v>2017</v>
      </c>
      <c r="C31">
        <f t="shared" si="3"/>
        <v>6</v>
      </c>
      <c r="D31" s="30">
        <f>'Monthly Data'!J31</f>
        <v>14207511.74158306</v>
      </c>
      <c r="E31" s="33">
        <f t="shared" ref="E31:F31" ca="1" si="21">E19</f>
        <v>2.15</v>
      </c>
      <c r="F31" s="33">
        <f t="shared" ca="1" si="21"/>
        <v>154.05000000000001</v>
      </c>
      <c r="G31" s="18">
        <f>'Monthly Data'!AN31</f>
        <v>7942</v>
      </c>
      <c r="H31" s="8">
        <f>'Monthly Data'!K31</f>
        <v>5339</v>
      </c>
      <c r="I31" s="30">
        <f>'Monthly Data'!BR31</f>
        <v>0</v>
      </c>
      <c r="J31" s="30">
        <f>'Monthly Data'!BT31</f>
        <v>30</v>
      </c>
      <c r="L31" s="18">
        <f>'GS&lt;50 Predicted Monthly'!$X$8</f>
        <v>-8314018.5106493998</v>
      </c>
      <c r="M31" s="18">
        <f ca="1">E31*'GS&lt;50 Predicted Monthly'!$X$9</f>
        <v>10130.498462930324</v>
      </c>
      <c r="N31" s="18">
        <f ca="1">F31*'GS&lt;50 Predicted Monthly'!$X$10</f>
        <v>1779941.1168588174</v>
      </c>
      <c r="O31" s="18">
        <f>G31*'GS&lt;50 Predicted Monthly'!$X$11</f>
        <v>54563.771168280844</v>
      </c>
      <c r="P31" s="18">
        <f>H31*'GS&lt;50 Predicted Monthly'!$X$12</f>
        <v>9910543.7774793655</v>
      </c>
      <c r="Q31" s="18">
        <f>I31*'GS&lt;50 Predicted Monthly'!$X$13</f>
        <v>0</v>
      </c>
      <c r="R31" s="18">
        <f>J31*'GS&lt;50 Predicted Monthly'!$X$14</f>
        <v>11002902.38304105</v>
      </c>
      <c r="S31" s="20">
        <f t="shared" ca="1" si="4"/>
        <v>14444063.036361044</v>
      </c>
    </row>
    <row r="32" spans="1:19" x14ac:dyDescent="0.2">
      <c r="A32" s="9">
        <f>'Monthly Data'!A32</f>
        <v>42917</v>
      </c>
      <c r="B32">
        <f t="shared" si="2"/>
        <v>2017</v>
      </c>
      <c r="C32">
        <f t="shared" si="3"/>
        <v>7</v>
      </c>
      <c r="D32" s="30">
        <f>'Monthly Data'!J32</f>
        <v>15533752.334125496</v>
      </c>
      <c r="E32" s="33">
        <f t="shared" ref="E32:F32" ca="1" si="22">E20</f>
        <v>0</v>
      </c>
      <c r="F32" s="33">
        <f t="shared" ca="1" si="22"/>
        <v>267.66999999999996</v>
      </c>
      <c r="G32" s="18">
        <f>'Monthly Data'!AN32</f>
        <v>416</v>
      </c>
      <c r="H32" s="8">
        <f>'Monthly Data'!K32</f>
        <v>5337</v>
      </c>
      <c r="I32" s="30">
        <f>'Monthly Data'!BR32</f>
        <v>0</v>
      </c>
      <c r="J32" s="30">
        <f>'Monthly Data'!BT32</f>
        <v>31</v>
      </c>
      <c r="L32" s="18">
        <f>'GS&lt;50 Predicted Monthly'!$X$8</f>
        <v>-8314018.5106493998</v>
      </c>
      <c r="M32" s="18">
        <f ca="1">E32*'GS&lt;50 Predicted Monthly'!$X$9</f>
        <v>0</v>
      </c>
      <c r="N32" s="18">
        <f ca="1">F32*'GS&lt;50 Predicted Monthly'!$X$10</f>
        <v>3092741.5692930841</v>
      </c>
      <c r="O32" s="18">
        <f>G32*'GS&lt;50 Predicted Monthly'!$X$11</f>
        <v>2858.0368680439224</v>
      </c>
      <c r="P32" s="18">
        <f>H32*'GS&lt;50 Predicted Monthly'!$X$12</f>
        <v>9906831.2681040224</v>
      </c>
      <c r="Q32" s="18">
        <f>I32*'GS&lt;50 Predicted Monthly'!$X$13</f>
        <v>0</v>
      </c>
      <c r="R32" s="18">
        <f>J32*'GS&lt;50 Predicted Monthly'!$X$14</f>
        <v>11369665.795809086</v>
      </c>
      <c r="S32" s="20">
        <f t="shared" ca="1" si="4"/>
        <v>16058078.159424838</v>
      </c>
    </row>
    <row r="33" spans="1:19" x14ac:dyDescent="0.2">
      <c r="A33" s="9">
        <f>'Monthly Data'!A33</f>
        <v>42948</v>
      </c>
      <c r="B33">
        <f t="shared" si="2"/>
        <v>2017</v>
      </c>
      <c r="C33">
        <f t="shared" si="3"/>
        <v>8</v>
      </c>
      <c r="D33" s="30">
        <f>'Monthly Data'!J33</f>
        <v>15160539.926667934</v>
      </c>
      <c r="E33" s="33">
        <f t="shared" ref="E33:F33" ca="1" si="23">E21</f>
        <v>0</v>
      </c>
      <c r="F33" s="33">
        <f t="shared" ca="1" si="23"/>
        <v>246.315</v>
      </c>
      <c r="G33" s="18">
        <f>'Monthly Data'!AN33</f>
        <v>416</v>
      </c>
      <c r="H33" s="8">
        <f>'Monthly Data'!K33</f>
        <v>5344</v>
      </c>
      <c r="I33" s="30">
        <f>'Monthly Data'!BR33</f>
        <v>0</v>
      </c>
      <c r="J33" s="30">
        <f>'Monthly Data'!BT33</f>
        <v>31</v>
      </c>
      <c r="L33" s="18">
        <f>'GS&lt;50 Predicted Monthly'!$X$8</f>
        <v>-8314018.5106493998</v>
      </c>
      <c r="M33" s="18">
        <f ca="1">E33*'GS&lt;50 Predicted Monthly'!$X$9</f>
        <v>0</v>
      </c>
      <c r="N33" s="18">
        <f ca="1">F33*'GS&lt;50 Predicted Monthly'!$X$10</f>
        <v>2845999.3261868199</v>
      </c>
      <c r="O33" s="18">
        <f>G33*'GS&lt;50 Predicted Monthly'!$X$11</f>
        <v>2858.0368680439224</v>
      </c>
      <c r="P33" s="18">
        <f>H33*'GS&lt;50 Predicted Monthly'!$X$12</f>
        <v>9919825.0509177241</v>
      </c>
      <c r="Q33" s="18">
        <f>I33*'GS&lt;50 Predicted Monthly'!$X$13</f>
        <v>0</v>
      </c>
      <c r="R33" s="18">
        <f>J33*'GS&lt;50 Predicted Monthly'!$X$14</f>
        <v>11369665.795809086</v>
      </c>
      <c r="S33" s="20">
        <f t="shared" ca="1" si="4"/>
        <v>15824329.699132275</v>
      </c>
    </row>
    <row r="34" spans="1:19" x14ac:dyDescent="0.2">
      <c r="A34" s="9">
        <f>'Monthly Data'!A34</f>
        <v>42979</v>
      </c>
      <c r="B34">
        <f t="shared" si="2"/>
        <v>2017</v>
      </c>
      <c r="C34">
        <f t="shared" si="3"/>
        <v>9</v>
      </c>
      <c r="D34" s="30">
        <f>'Monthly Data'!J34</f>
        <v>14204164.519210372</v>
      </c>
      <c r="E34" s="33">
        <f t="shared" ref="E34:F34" ca="1" si="24">E22</f>
        <v>2.2699999999999996</v>
      </c>
      <c r="F34" s="33">
        <f t="shared" ca="1" si="24"/>
        <v>146.80000000000001</v>
      </c>
      <c r="G34" s="18">
        <f>'Monthly Data'!AN34</f>
        <v>416</v>
      </c>
      <c r="H34" s="8">
        <f>'Monthly Data'!K34</f>
        <v>5350</v>
      </c>
      <c r="I34" s="30">
        <f>'Monthly Data'!BR34</f>
        <v>1</v>
      </c>
      <c r="J34" s="30">
        <f>'Monthly Data'!BT34</f>
        <v>30</v>
      </c>
      <c r="L34" s="18">
        <f>'GS&lt;50 Predicted Monthly'!$X$8</f>
        <v>-8314018.5106493998</v>
      </c>
      <c r="M34" s="18">
        <f ca="1">E34*'GS&lt;50 Predicted Monthly'!$X$9</f>
        <v>10695.92163295434</v>
      </c>
      <c r="N34" s="18">
        <f ca="1">F34*'GS&lt;50 Predicted Monthly'!$X$10</f>
        <v>1696172.3852961662</v>
      </c>
      <c r="O34" s="18">
        <f>G34*'GS&lt;50 Predicted Monthly'!$X$11</f>
        <v>2858.0368680439224</v>
      </c>
      <c r="P34" s="18">
        <f>H34*'GS&lt;50 Predicted Monthly'!$X$12</f>
        <v>9930962.5790437553</v>
      </c>
      <c r="Q34" s="18">
        <f>I34*'GS&lt;50 Predicted Monthly'!$X$13</f>
        <v>-202362.33175645399</v>
      </c>
      <c r="R34" s="18">
        <f>J34*'GS&lt;50 Predicted Monthly'!$X$14</f>
        <v>11002902.38304105</v>
      </c>
      <c r="S34" s="20">
        <f t="shared" ca="1" si="4"/>
        <v>14127210.463476116</v>
      </c>
    </row>
    <row r="35" spans="1:19" x14ac:dyDescent="0.2">
      <c r="A35" s="9">
        <f>'Monthly Data'!A35</f>
        <v>43009</v>
      </c>
      <c r="B35">
        <f t="shared" si="2"/>
        <v>2017</v>
      </c>
      <c r="C35">
        <f t="shared" si="3"/>
        <v>10</v>
      </c>
      <c r="D35" s="30">
        <f>'Monthly Data'!J35</f>
        <v>13926867.111752808</v>
      </c>
      <c r="E35" s="33">
        <f t="shared" ref="E35:F35" ca="1" si="25">E23</f>
        <v>83.800000000000011</v>
      </c>
      <c r="F35" s="33">
        <f t="shared" ca="1" si="25"/>
        <v>36.859999999999992</v>
      </c>
      <c r="G35" s="18">
        <f>'Monthly Data'!AN35</f>
        <v>6393</v>
      </c>
      <c r="H35" s="8">
        <f>'Monthly Data'!K35</f>
        <v>5350</v>
      </c>
      <c r="I35" s="30">
        <f>'Monthly Data'!BR35</f>
        <v>1</v>
      </c>
      <c r="J35" s="30">
        <f>'Monthly Data'!BT35</f>
        <v>31</v>
      </c>
      <c r="L35" s="18">
        <f>'GS&lt;50 Predicted Monthly'!$X$8</f>
        <v>-8314018.5106493998</v>
      </c>
      <c r="M35" s="18">
        <f ca="1">E35*'GS&lt;50 Predicted Monthly'!$X$9</f>
        <v>394853.84706677264</v>
      </c>
      <c r="N35" s="18">
        <f ca="1">F35*'GS&lt;50 Predicted Monthly'!$X$10</f>
        <v>425891.78557232063</v>
      </c>
      <c r="O35" s="18">
        <f>G35*'GS&lt;50 Predicted Monthly'!$X$11</f>
        <v>43921.706003376908</v>
      </c>
      <c r="P35" s="18">
        <f>H35*'GS&lt;50 Predicted Monthly'!$X$12</f>
        <v>9930962.5790437553</v>
      </c>
      <c r="Q35" s="18">
        <f>I35*'GS&lt;50 Predicted Monthly'!$X$13</f>
        <v>-202362.33175645399</v>
      </c>
      <c r="R35" s="18">
        <f>J35*'GS&lt;50 Predicted Monthly'!$X$14</f>
        <v>11369665.795809086</v>
      </c>
      <c r="S35" s="20">
        <f t="shared" ca="1" si="4"/>
        <v>13648914.871089458</v>
      </c>
    </row>
    <row r="36" spans="1:19" x14ac:dyDescent="0.2">
      <c r="A36" s="9">
        <f>'Monthly Data'!A36</f>
        <v>43040</v>
      </c>
      <c r="B36">
        <f t="shared" si="2"/>
        <v>2017</v>
      </c>
      <c r="C36">
        <f t="shared" si="3"/>
        <v>11</v>
      </c>
      <c r="D36" s="30">
        <f>'Monthly Data'!J36</f>
        <v>13988763.704295246</v>
      </c>
      <c r="E36" s="33">
        <f t="shared" ref="E36:F36" ca="1" si="26">E24</f>
        <v>240.7</v>
      </c>
      <c r="F36" s="33">
        <f t="shared" ca="1" si="26"/>
        <v>3.410000000000001</v>
      </c>
      <c r="G36" s="18">
        <f>'Monthly Data'!AN36</f>
        <v>6393</v>
      </c>
      <c r="H36" s="8">
        <f>'Monthly Data'!K36</f>
        <v>5353</v>
      </c>
      <c r="I36" s="30">
        <f>'Monthly Data'!BR36</f>
        <v>1</v>
      </c>
      <c r="J36" s="30">
        <f>'Monthly Data'!BT36</f>
        <v>30</v>
      </c>
      <c r="L36" s="18">
        <f>'GS&lt;50 Predicted Monthly'!$X$8</f>
        <v>-8314018.5106493998</v>
      </c>
      <c r="M36" s="18">
        <f ca="1">E36*'GS&lt;50 Predicted Monthly'!$X$9</f>
        <v>1134144.6418731762</v>
      </c>
      <c r="N36" s="18">
        <f ca="1">F36*'GS&lt;50 Predicted Monthly'!$X$10</f>
        <v>39400.189603950465</v>
      </c>
      <c r="O36" s="18">
        <f>G36*'GS&lt;50 Predicted Monthly'!$X$11</f>
        <v>43921.706003376908</v>
      </c>
      <c r="P36" s="18">
        <f>H36*'GS&lt;50 Predicted Monthly'!$X$12</f>
        <v>9936531.3431067709</v>
      </c>
      <c r="Q36" s="18">
        <f>I36*'GS&lt;50 Predicted Monthly'!$X$13</f>
        <v>-202362.33175645399</v>
      </c>
      <c r="R36" s="18">
        <f>J36*'GS&lt;50 Predicted Monthly'!$X$14</f>
        <v>11002902.38304105</v>
      </c>
      <c r="S36" s="20">
        <f t="shared" ca="1" si="4"/>
        <v>13640519.421222471</v>
      </c>
    </row>
    <row r="37" spans="1:19" x14ac:dyDescent="0.2">
      <c r="A37" s="9">
        <f>'Monthly Data'!A37</f>
        <v>43070</v>
      </c>
      <c r="B37">
        <f t="shared" si="2"/>
        <v>2017</v>
      </c>
      <c r="C37">
        <f t="shared" si="3"/>
        <v>12</v>
      </c>
      <c r="D37" s="30">
        <f>'Monthly Data'!J37</f>
        <v>15562822.296837684</v>
      </c>
      <c r="E37" s="33">
        <f t="shared" ref="E37:F37" ca="1" si="27">E25</f>
        <v>386.61999999999995</v>
      </c>
      <c r="F37" s="33">
        <f t="shared" ca="1" si="27"/>
        <v>0</v>
      </c>
      <c r="G37" s="18">
        <f>'Monthly Data'!AN37</f>
        <v>6393</v>
      </c>
      <c r="H37" s="8">
        <f>'Monthly Data'!K37</f>
        <v>5356</v>
      </c>
      <c r="I37" s="30">
        <f>'Monthly Data'!BR37</f>
        <v>0</v>
      </c>
      <c r="J37" s="30">
        <f>'Monthly Data'!BT37</f>
        <v>31</v>
      </c>
      <c r="L37" s="18">
        <f>'GS&lt;50 Predicted Monthly'!$X$8</f>
        <v>-8314018.5106493998</v>
      </c>
      <c r="M37" s="18">
        <f ca="1">E37*'GS&lt;50 Predicted Monthly'!$X$9</f>
        <v>1821699.2166223819</v>
      </c>
      <c r="N37" s="18">
        <f ca="1">F37*'GS&lt;50 Predicted Monthly'!$X$10</f>
        <v>0</v>
      </c>
      <c r="O37" s="18">
        <f>G37*'GS&lt;50 Predicted Monthly'!$X$11</f>
        <v>43921.706003376908</v>
      </c>
      <c r="P37" s="18">
        <f>H37*'GS&lt;50 Predicted Monthly'!$X$12</f>
        <v>9942100.1071697846</v>
      </c>
      <c r="Q37" s="18">
        <f>I37*'GS&lt;50 Predicted Monthly'!$X$13</f>
        <v>0</v>
      </c>
      <c r="R37" s="18">
        <f>J37*'GS&lt;50 Predicted Monthly'!$X$14</f>
        <v>11369665.795809086</v>
      </c>
      <c r="S37" s="20">
        <f t="shared" ca="1" si="4"/>
        <v>14863368.314955231</v>
      </c>
    </row>
    <row r="38" spans="1:19" x14ac:dyDescent="0.2">
      <c r="A38" s="9">
        <f>'Monthly Data'!A38</f>
        <v>43101</v>
      </c>
      <c r="B38">
        <f t="shared" si="2"/>
        <v>2018</v>
      </c>
      <c r="C38">
        <f t="shared" si="3"/>
        <v>1</v>
      </c>
      <c r="D38" s="30">
        <f>'Monthly Data'!J38</f>
        <v>16341548.767871764</v>
      </c>
      <c r="E38" s="33">
        <f t="shared" ref="E38:F38" ca="1" si="28">E26</f>
        <v>508.54000000000008</v>
      </c>
      <c r="F38" s="33">
        <f t="shared" ca="1" si="28"/>
        <v>0</v>
      </c>
      <c r="G38" s="18">
        <f>'Monthly Data'!AN38</f>
        <v>8006</v>
      </c>
      <c r="H38" s="8">
        <f>'Monthly Data'!K38</f>
        <v>5365</v>
      </c>
      <c r="I38" s="30">
        <f>'Monthly Data'!BR38</f>
        <v>0</v>
      </c>
      <c r="J38" s="30">
        <f>'Monthly Data'!BT38</f>
        <v>31</v>
      </c>
      <c r="L38" s="18">
        <f>'GS&lt;50 Predicted Monthly'!$X$8</f>
        <v>-8314018.5106493998</v>
      </c>
      <c r="M38" s="18">
        <f ca="1">E38*'GS&lt;50 Predicted Monthly'!$X$9</f>
        <v>2396169.1573667848</v>
      </c>
      <c r="N38" s="18">
        <f ca="1">F38*'GS&lt;50 Predicted Monthly'!$X$10</f>
        <v>0</v>
      </c>
      <c r="O38" s="18">
        <f>G38*'GS&lt;50 Predicted Monthly'!$X$11</f>
        <v>55003.469147979908</v>
      </c>
      <c r="P38" s="18">
        <f>H38*'GS&lt;50 Predicted Monthly'!$X$12</f>
        <v>9958806.3993588313</v>
      </c>
      <c r="Q38" s="18">
        <f>I38*'GS&lt;50 Predicted Monthly'!$X$13</f>
        <v>0</v>
      </c>
      <c r="R38" s="18">
        <f>J38*'GS&lt;50 Predicted Monthly'!$X$14</f>
        <v>11369665.795809086</v>
      </c>
      <c r="S38" s="20">
        <f t="shared" ca="1" si="4"/>
        <v>15465626.311033282</v>
      </c>
    </row>
    <row r="39" spans="1:19" x14ac:dyDescent="0.2">
      <c r="A39" s="9">
        <f>'Monthly Data'!A39</f>
        <v>43132</v>
      </c>
      <c r="B39">
        <f t="shared" si="2"/>
        <v>2018</v>
      </c>
      <c r="C39">
        <f t="shared" si="3"/>
        <v>2</v>
      </c>
      <c r="D39" s="30">
        <f>'Monthly Data'!J39</f>
        <v>14352800.598540761</v>
      </c>
      <c r="E39" s="33">
        <f t="shared" ref="E39:F39" ca="1" si="29">E27</f>
        <v>451.10999999999996</v>
      </c>
      <c r="F39" s="33">
        <f t="shared" ca="1" si="29"/>
        <v>0</v>
      </c>
      <c r="G39" s="18">
        <f>'Monthly Data'!AN39</f>
        <v>8006</v>
      </c>
      <c r="H39" s="8">
        <f>'Monthly Data'!K39</f>
        <v>5367</v>
      </c>
      <c r="I39" s="30">
        <f>'Monthly Data'!BR39</f>
        <v>0</v>
      </c>
      <c r="J39" s="30">
        <f>'Monthly Data'!BT39</f>
        <v>28</v>
      </c>
      <c r="L39" s="18">
        <f>'GS&lt;50 Predicted Monthly'!$X$8</f>
        <v>-8314018.5106493998</v>
      </c>
      <c r="M39" s="18">
        <f ca="1">E39*'GS&lt;50 Predicted Monthly'!$X$9</f>
        <v>2125567.0519127897</v>
      </c>
      <c r="N39" s="18">
        <f ca="1">F39*'GS&lt;50 Predicted Monthly'!$X$10</f>
        <v>0</v>
      </c>
      <c r="O39" s="18">
        <f>G39*'GS&lt;50 Predicted Monthly'!$X$11</f>
        <v>55003.469147979908</v>
      </c>
      <c r="P39" s="18">
        <f>H39*'GS&lt;50 Predicted Monthly'!$X$12</f>
        <v>9962518.9087341744</v>
      </c>
      <c r="Q39" s="18">
        <f>I39*'GS&lt;50 Predicted Monthly'!$X$13</f>
        <v>0</v>
      </c>
      <c r="R39" s="18">
        <f>J39*'GS&lt;50 Predicted Monthly'!$X$14</f>
        <v>10269375.55750498</v>
      </c>
      <c r="S39" s="20">
        <f t="shared" ca="1" si="4"/>
        <v>14098446.476650525</v>
      </c>
    </row>
    <row r="40" spans="1:19" x14ac:dyDescent="0.2">
      <c r="A40" s="9">
        <f>'Monthly Data'!A40</f>
        <v>43160</v>
      </c>
      <c r="B40">
        <f t="shared" si="2"/>
        <v>2018</v>
      </c>
      <c r="C40">
        <f t="shared" si="3"/>
        <v>3</v>
      </c>
      <c r="D40" s="30">
        <f>'Monthly Data'!J40</f>
        <v>15228033.429209759</v>
      </c>
      <c r="E40" s="33">
        <f t="shared" ref="E40:F40" ca="1" si="30">E28</f>
        <v>374.74</v>
      </c>
      <c r="F40" s="33">
        <f t="shared" ca="1" si="30"/>
        <v>0</v>
      </c>
      <c r="G40" s="18">
        <f>'Monthly Data'!AN40</f>
        <v>8006</v>
      </c>
      <c r="H40" s="8">
        <f>'Monthly Data'!K40</f>
        <v>5382</v>
      </c>
      <c r="I40" s="30">
        <f>'Monthly Data'!BR40</f>
        <v>1</v>
      </c>
      <c r="J40" s="30">
        <f>'Monthly Data'!BT40</f>
        <v>31</v>
      </c>
      <c r="L40" s="18">
        <f>'GS&lt;50 Predicted Monthly'!$X$8</f>
        <v>-8314018.5106493998</v>
      </c>
      <c r="M40" s="18">
        <f ca="1">E40*'GS&lt;50 Predicted Monthly'!$X$9</f>
        <v>1765722.3227900043</v>
      </c>
      <c r="N40" s="18">
        <f ca="1">F40*'GS&lt;50 Predicted Monthly'!$X$10</f>
        <v>0</v>
      </c>
      <c r="O40" s="18">
        <f>G40*'GS&lt;50 Predicted Monthly'!$X$11</f>
        <v>55003.469147979908</v>
      </c>
      <c r="P40" s="18">
        <f>H40*'GS&lt;50 Predicted Monthly'!$X$12</f>
        <v>9990362.7290492505</v>
      </c>
      <c r="Q40" s="18">
        <f>I40*'GS&lt;50 Predicted Monthly'!$X$13</f>
        <v>-202362.33175645399</v>
      </c>
      <c r="R40" s="18">
        <f>J40*'GS&lt;50 Predicted Monthly'!$X$14</f>
        <v>11369665.795809086</v>
      </c>
      <c r="S40" s="20">
        <f t="shared" ca="1" si="4"/>
        <v>14664373.474390468</v>
      </c>
    </row>
    <row r="41" spans="1:19" x14ac:dyDescent="0.2">
      <c r="A41" s="9">
        <f>'Monthly Data'!A41</f>
        <v>43191</v>
      </c>
      <c r="B41">
        <f t="shared" si="2"/>
        <v>2018</v>
      </c>
      <c r="C41">
        <f t="shared" si="3"/>
        <v>4</v>
      </c>
      <c r="D41" s="30">
        <f>'Monthly Data'!J41</f>
        <v>14186658.259878756</v>
      </c>
      <c r="E41" s="33">
        <f t="shared" ref="E41:F41" ca="1" si="31">E29</f>
        <v>221.12999999999997</v>
      </c>
      <c r="F41" s="33">
        <f t="shared" ca="1" si="31"/>
        <v>2.6300000000000003</v>
      </c>
      <c r="G41" s="18">
        <f>'Monthly Data'!AN41</f>
        <v>5437</v>
      </c>
      <c r="H41" s="8">
        <f>'Monthly Data'!K41</f>
        <v>5377</v>
      </c>
      <c r="I41" s="30">
        <f>'Monthly Data'!BR41</f>
        <v>1</v>
      </c>
      <c r="J41" s="30">
        <f>'Monthly Data'!BT41</f>
        <v>30</v>
      </c>
      <c r="L41" s="18">
        <f>'GS&lt;50 Predicted Monthly'!$X$8</f>
        <v>-8314018.5106493998</v>
      </c>
      <c r="M41" s="18">
        <f ca="1">E41*'GS&lt;50 Predicted Monthly'!$X$9</f>
        <v>1041933.5465617591</v>
      </c>
      <c r="N41" s="18">
        <f ca="1">F41*'GS&lt;50 Predicted Monthly'!$X$10</f>
        <v>30387.829518589355</v>
      </c>
      <c r="O41" s="18">
        <f>G41*'GS&lt;50 Predicted Monthly'!$X$11</f>
        <v>37353.717431622128</v>
      </c>
      <c r="P41" s="18">
        <f>H41*'GS&lt;50 Predicted Monthly'!$X$12</f>
        <v>9981081.4556108918</v>
      </c>
      <c r="Q41" s="18">
        <f>I41*'GS&lt;50 Predicted Monthly'!$X$13</f>
        <v>-202362.33175645399</v>
      </c>
      <c r="R41" s="18">
        <f>J41*'GS&lt;50 Predicted Monthly'!$X$14</f>
        <v>11002902.38304105</v>
      </c>
      <c r="S41" s="20">
        <f t="shared" ca="1" si="4"/>
        <v>13577278.089758059</v>
      </c>
    </row>
    <row r="42" spans="1:19" x14ac:dyDescent="0.2">
      <c r="A42" s="9">
        <f>'Monthly Data'!A42</f>
        <v>43221</v>
      </c>
      <c r="B42">
        <f t="shared" si="2"/>
        <v>2018</v>
      </c>
      <c r="C42">
        <f t="shared" si="3"/>
        <v>5</v>
      </c>
      <c r="D42" s="30">
        <f>'Monthly Data'!J42</f>
        <v>14557839.090547755</v>
      </c>
      <c r="E42" s="33">
        <f t="shared" ref="E42:F42" ca="1" si="32">E30</f>
        <v>74.8</v>
      </c>
      <c r="F42" s="33">
        <f t="shared" ca="1" si="32"/>
        <v>50.489999999999995</v>
      </c>
      <c r="G42" s="18">
        <f>'Monthly Data'!AN42</f>
        <v>5437</v>
      </c>
      <c r="H42" s="8">
        <f>'Monthly Data'!K42</f>
        <v>5371</v>
      </c>
      <c r="I42" s="30">
        <f>'Monthly Data'!BR42</f>
        <v>1</v>
      </c>
      <c r="J42" s="30">
        <f>'Monthly Data'!BT42</f>
        <v>31</v>
      </c>
      <c r="L42" s="18">
        <f>'GS&lt;50 Predicted Monthly'!$X$8</f>
        <v>-8314018.5106493998</v>
      </c>
      <c r="M42" s="18">
        <f ca="1">E42*'GS&lt;50 Predicted Monthly'!$X$9</f>
        <v>352447.10931497125</v>
      </c>
      <c r="N42" s="18">
        <f ca="1">F42*'GS&lt;50 Predicted Monthly'!$X$10</f>
        <v>583377.00091010507</v>
      </c>
      <c r="O42" s="18">
        <f>G42*'GS&lt;50 Predicted Monthly'!$X$11</f>
        <v>37353.717431622128</v>
      </c>
      <c r="P42" s="18">
        <f>H42*'GS&lt;50 Predicted Monthly'!$X$12</f>
        <v>9969943.9274848606</v>
      </c>
      <c r="Q42" s="18">
        <f>I42*'GS&lt;50 Predicted Monthly'!$X$13</f>
        <v>-202362.33175645399</v>
      </c>
      <c r="R42" s="18">
        <f>J42*'GS&lt;50 Predicted Monthly'!$X$14</f>
        <v>11369665.795809086</v>
      </c>
      <c r="S42" s="20">
        <f t="shared" ca="1" si="4"/>
        <v>13796406.708544793</v>
      </c>
    </row>
    <row r="43" spans="1:19" x14ac:dyDescent="0.2">
      <c r="A43" s="9">
        <f>'Monthly Data'!A43</f>
        <v>43252</v>
      </c>
      <c r="B43">
        <f t="shared" si="2"/>
        <v>2018</v>
      </c>
      <c r="C43">
        <f t="shared" si="3"/>
        <v>6</v>
      </c>
      <c r="D43" s="30">
        <f>'Monthly Data'!J43</f>
        <v>15372235.921216752</v>
      </c>
      <c r="E43" s="33">
        <f t="shared" ref="E43:F43" ca="1" si="33">E31</f>
        <v>2.15</v>
      </c>
      <c r="F43" s="33">
        <f t="shared" ca="1" si="33"/>
        <v>154.05000000000001</v>
      </c>
      <c r="G43" s="18">
        <f>'Monthly Data'!AN43</f>
        <v>5437</v>
      </c>
      <c r="H43" s="8">
        <f>'Monthly Data'!K43</f>
        <v>5437</v>
      </c>
      <c r="I43" s="30">
        <f>'Monthly Data'!BR43</f>
        <v>0</v>
      </c>
      <c r="J43" s="30">
        <f>'Monthly Data'!BT43</f>
        <v>30</v>
      </c>
      <c r="L43" s="18">
        <f>'GS&lt;50 Predicted Monthly'!$X$8</f>
        <v>-8314018.5106493998</v>
      </c>
      <c r="M43" s="18">
        <f ca="1">E43*'GS&lt;50 Predicted Monthly'!$X$9</f>
        <v>10130.498462930324</v>
      </c>
      <c r="N43" s="18">
        <f ca="1">F43*'GS&lt;50 Predicted Monthly'!$X$10</f>
        <v>1779941.1168588174</v>
      </c>
      <c r="O43" s="18">
        <f>G43*'GS&lt;50 Predicted Monthly'!$X$11</f>
        <v>37353.717431622128</v>
      </c>
      <c r="P43" s="18">
        <f>H43*'GS&lt;50 Predicted Monthly'!$X$12</f>
        <v>10092456.736871196</v>
      </c>
      <c r="Q43" s="18">
        <f>I43*'GS&lt;50 Predicted Monthly'!$X$13</f>
        <v>0</v>
      </c>
      <c r="R43" s="18">
        <f>J43*'GS&lt;50 Predicted Monthly'!$X$14</f>
        <v>11002902.38304105</v>
      </c>
      <c r="S43" s="20">
        <f t="shared" ca="1" si="4"/>
        <v>14608765.942016218</v>
      </c>
    </row>
    <row r="44" spans="1:19" x14ac:dyDescent="0.2">
      <c r="A44" s="9">
        <f>'Monthly Data'!A44</f>
        <v>43282</v>
      </c>
      <c r="B44">
        <f t="shared" si="2"/>
        <v>2018</v>
      </c>
      <c r="C44">
        <f t="shared" si="3"/>
        <v>7</v>
      </c>
      <c r="D44" s="30">
        <f>'Monthly Data'!J44</f>
        <v>17119387.751885749</v>
      </c>
      <c r="E44" s="33">
        <f t="shared" ref="E44:F44" ca="1" si="34">E32</f>
        <v>0</v>
      </c>
      <c r="F44" s="33">
        <f t="shared" ca="1" si="34"/>
        <v>267.66999999999996</v>
      </c>
      <c r="G44" s="18">
        <f>'Monthly Data'!AN44</f>
        <v>9244</v>
      </c>
      <c r="H44" s="8">
        <f>'Monthly Data'!K44</f>
        <v>5443</v>
      </c>
      <c r="I44" s="30">
        <f>'Monthly Data'!BR44</f>
        <v>0</v>
      </c>
      <c r="J44" s="30">
        <f>'Monthly Data'!BT44</f>
        <v>31</v>
      </c>
      <c r="L44" s="18">
        <f>'GS&lt;50 Predicted Monthly'!$X$8</f>
        <v>-8314018.5106493998</v>
      </c>
      <c r="M44" s="18">
        <f ca="1">E44*'GS&lt;50 Predicted Monthly'!$X$9</f>
        <v>0</v>
      </c>
      <c r="N44" s="18">
        <f ca="1">F44*'GS&lt;50 Predicted Monthly'!$X$10</f>
        <v>3092741.5692930841</v>
      </c>
      <c r="O44" s="18">
        <f>G44*'GS&lt;50 Predicted Monthly'!$X$11</f>
        <v>63508.876942783696</v>
      </c>
      <c r="P44" s="18">
        <f>H44*'GS&lt;50 Predicted Monthly'!$X$12</f>
        <v>10103594.264997225</v>
      </c>
      <c r="Q44" s="18">
        <f>I44*'GS&lt;50 Predicted Monthly'!$X$13</f>
        <v>0</v>
      </c>
      <c r="R44" s="18">
        <f>J44*'GS&lt;50 Predicted Monthly'!$X$14</f>
        <v>11369665.795809086</v>
      </c>
      <c r="S44" s="20">
        <f t="shared" ca="1" si="4"/>
        <v>16315491.996392779</v>
      </c>
    </row>
    <row r="45" spans="1:19" x14ac:dyDescent="0.2">
      <c r="A45" s="9">
        <f>'Monthly Data'!A45</f>
        <v>43313</v>
      </c>
      <c r="B45">
        <f t="shared" si="2"/>
        <v>2018</v>
      </c>
      <c r="C45">
        <f t="shared" si="3"/>
        <v>8</v>
      </c>
      <c r="D45" s="30">
        <f>'Monthly Data'!J45</f>
        <v>16940976.582554746</v>
      </c>
      <c r="E45" s="33">
        <f t="shared" ref="E45:F45" ca="1" si="35">E33</f>
        <v>0</v>
      </c>
      <c r="F45" s="33">
        <f t="shared" ca="1" si="35"/>
        <v>246.315</v>
      </c>
      <c r="G45" s="18">
        <f>'Monthly Data'!AN45</f>
        <v>9244</v>
      </c>
      <c r="H45" s="8">
        <f>'Monthly Data'!K45</f>
        <v>5466</v>
      </c>
      <c r="I45" s="30">
        <f>'Monthly Data'!BR45</f>
        <v>0</v>
      </c>
      <c r="J45" s="30">
        <f>'Monthly Data'!BT45</f>
        <v>31</v>
      </c>
      <c r="L45" s="18">
        <f>'GS&lt;50 Predicted Monthly'!$X$8</f>
        <v>-8314018.5106493998</v>
      </c>
      <c r="M45" s="18">
        <f ca="1">E45*'GS&lt;50 Predicted Monthly'!$X$9</f>
        <v>0</v>
      </c>
      <c r="N45" s="18">
        <f ca="1">F45*'GS&lt;50 Predicted Monthly'!$X$10</f>
        <v>2845999.3261868199</v>
      </c>
      <c r="O45" s="18">
        <f>G45*'GS&lt;50 Predicted Monthly'!$X$11</f>
        <v>63508.876942783696</v>
      </c>
      <c r="P45" s="18">
        <f>H45*'GS&lt;50 Predicted Monthly'!$X$12</f>
        <v>10146288.122813676</v>
      </c>
      <c r="Q45" s="18">
        <f>I45*'GS&lt;50 Predicted Monthly'!$X$13</f>
        <v>0</v>
      </c>
      <c r="R45" s="18">
        <f>J45*'GS&lt;50 Predicted Monthly'!$X$14</f>
        <v>11369665.795809086</v>
      </c>
      <c r="S45" s="20">
        <f t="shared" ca="1" si="4"/>
        <v>16111443.611102965</v>
      </c>
    </row>
    <row r="46" spans="1:19" x14ac:dyDescent="0.2">
      <c r="A46" s="9">
        <f>'Monthly Data'!A46</f>
        <v>43344</v>
      </c>
      <c r="B46">
        <f t="shared" si="2"/>
        <v>2018</v>
      </c>
      <c r="C46">
        <f t="shared" si="3"/>
        <v>9</v>
      </c>
      <c r="D46" s="30">
        <f>'Monthly Data'!J46</f>
        <v>15120534.413223745</v>
      </c>
      <c r="E46" s="33">
        <f t="shared" ref="E46:F46" ca="1" si="36">E34</f>
        <v>2.2699999999999996</v>
      </c>
      <c r="F46" s="33">
        <f t="shared" ca="1" si="36"/>
        <v>146.80000000000001</v>
      </c>
      <c r="G46" s="18">
        <f>'Monthly Data'!AN46</f>
        <v>9244</v>
      </c>
      <c r="H46" s="8">
        <f>'Monthly Data'!K46</f>
        <v>5466</v>
      </c>
      <c r="I46" s="30">
        <f>'Monthly Data'!BR46</f>
        <v>1</v>
      </c>
      <c r="J46" s="30">
        <f>'Monthly Data'!BT46</f>
        <v>30</v>
      </c>
      <c r="L46" s="18">
        <f>'GS&lt;50 Predicted Monthly'!$X$8</f>
        <v>-8314018.5106493998</v>
      </c>
      <c r="M46" s="18">
        <f ca="1">E46*'GS&lt;50 Predicted Monthly'!$X$9</f>
        <v>10695.92163295434</v>
      </c>
      <c r="N46" s="18">
        <f ca="1">F46*'GS&lt;50 Predicted Monthly'!$X$10</f>
        <v>1696172.3852961662</v>
      </c>
      <c r="O46" s="18">
        <f>G46*'GS&lt;50 Predicted Monthly'!$X$11</f>
        <v>63508.876942783696</v>
      </c>
      <c r="P46" s="18">
        <f>H46*'GS&lt;50 Predicted Monthly'!$X$12</f>
        <v>10146288.122813676</v>
      </c>
      <c r="Q46" s="18">
        <f>I46*'GS&lt;50 Predicted Monthly'!$X$13</f>
        <v>-202362.33175645399</v>
      </c>
      <c r="R46" s="18">
        <f>J46*'GS&lt;50 Predicted Monthly'!$X$14</f>
        <v>11002902.38304105</v>
      </c>
      <c r="S46" s="20">
        <f t="shared" ca="1" si="4"/>
        <v>14403186.847320776</v>
      </c>
    </row>
    <row r="47" spans="1:19" x14ac:dyDescent="0.2">
      <c r="A47" s="9">
        <f>'Monthly Data'!A47</f>
        <v>43374</v>
      </c>
      <c r="B47">
        <f t="shared" si="2"/>
        <v>2018</v>
      </c>
      <c r="C47">
        <f t="shared" si="3"/>
        <v>10</v>
      </c>
      <c r="D47" s="30">
        <f>'Monthly Data'!J47</f>
        <v>14207629.243892744</v>
      </c>
      <c r="E47" s="33">
        <f t="shared" ref="E47:F47" ca="1" si="37">E35</f>
        <v>83.800000000000011</v>
      </c>
      <c r="F47" s="33">
        <f t="shared" ca="1" si="37"/>
        <v>36.859999999999992</v>
      </c>
      <c r="G47" s="18">
        <f>'Monthly Data'!AN47</f>
        <v>5492</v>
      </c>
      <c r="H47" s="8">
        <f>'Monthly Data'!K47</f>
        <v>5469</v>
      </c>
      <c r="I47" s="30">
        <f>'Monthly Data'!BR47</f>
        <v>1</v>
      </c>
      <c r="J47" s="30">
        <f>'Monthly Data'!BT47</f>
        <v>31</v>
      </c>
      <c r="L47" s="18">
        <f>'GS&lt;50 Predicted Monthly'!$X$8</f>
        <v>-8314018.5106493998</v>
      </c>
      <c r="M47" s="18">
        <f ca="1">E47*'GS&lt;50 Predicted Monthly'!$X$9</f>
        <v>394853.84706677264</v>
      </c>
      <c r="N47" s="18">
        <f ca="1">F47*'GS&lt;50 Predicted Monthly'!$X$10</f>
        <v>425891.78557232063</v>
      </c>
      <c r="O47" s="18">
        <f>G47*'GS&lt;50 Predicted Monthly'!$X$11</f>
        <v>37731.582882926014</v>
      </c>
      <c r="P47" s="18">
        <f>H47*'GS&lt;50 Predicted Monthly'!$X$12</f>
        <v>10151856.886876691</v>
      </c>
      <c r="Q47" s="18">
        <f>I47*'GS&lt;50 Predicted Monthly'!$X$13</f>
        <v>-202362.33175645399</v>
      </c>
      <c r="R47" s="18">
        <f>J47*'GS&lt;50 Predicted Monthly'!$X$14</f>
        <v>11369665.795809086</v>
      </c>
      <c r="S47" s="20">
        <f t="shared" ca="1" si="4"/>
        <v>13863619.055801943</v>
      </c>
    </row>
    <row r="48" spans="1:19" x14ac:dyDescent="0.2">
      <c r="A48" s="9">
        <f>'Monthly Data'!A48</f>
        <v>43405</v>
      </c>
      <c r="B48">
        <f t="shared" si="2"/>
        <v>2018</v>
      </c>
      <c r="C48">
        <f t="shared" si="3"/>
        <v>11</v>
      </c>
      <c r="D48" s="30">
        <f>'Monthly Data'!J48</f>
        <v>14691641.074561741</v>
      </c>
      <c r="E48" s="33">
        <f t="shared" ref="E48:F48" ca="1" si="38">E36</f>
        <v>240.7</v>
      </c>
      <c r="F48" s="33">
        <f t="shared" ca="1" si="38"/>
        <v>3.410000000000001</v>
      </c>
      <c r="G48" s="18">
        <f>'Monthly Data'!AN48</f>
        <v>5492</v>
      </c>
      <c r="H48" s="8">
        <f>'Monthly Data'!K48</f>
        <v>5496</v>
      </c>
      <c r="I48" s="30">
        <f>'Monthly Data'!BR48</f>
        <v>1</v>
      </c>
      <c r="J48" s="30">
        <f>'Monthly Data'!BT48</f>
        <v>30</v>
      </c>
      <c r="L48" s="18">
        <f>'GS&lt;50 Predicted Monthly'!$X$8</f>
        <v>-8314018.5106493998</v>
      </c>
      <c r="M48" s="18">
        <f ca="1">E48*'GS&lt;50 Predicted Monthly'!$X$9</f>
        <v>1134144.6418731762</v>
      </c>
      <c r="N48" s="18">
        <f ca="1">F48*'GS&lt;50 Predicted Monthly'!$X$10</f>
        <v>39400.189603950465</v>
      </c>
      <c r="O48" s="18">
        <f>G48*'GS&lt;50 Predicted Monthly'!$X$11</f>
        <v>37731.582882926014</v>
      </c>
      <c r="P48" s="18">
        <f>H48*'GS&lt;50 Predicted Monthly'!$X$12</f>
        <v>10201975.763443828</v>
      </c>
      <c r="Q48" s="18">
        <f>I48*'GS&lt;50 Predicted Monthly'!$X$13</f>
        <v>-202362.33175645399</v>
      </c>
      <c r="R48" s="18">
        <f>J48*'GS&lt;50 Predicted Monthly'!$X$14</f>
        <v>11002902.38304105</v>
      </c>
      <c r="S48" s="20">
        <f t="shared" ca="1" si="4"/>
        <v>13899773.718439076</v>
      </c>
    </row>
    <row r="49" spans="1:19" x14ac:dyDescent="0.2">
      <c r="A49" s="9">
        <f>'Monthly Data'!A49</f>
        <v>43435</v>
      </c>
      <c r="B49">
        <f t="shared" si="2"/>
        <v>2018</v>
      </c>
      <c r="C49">
        <f t="shared" si="3"/>
        <v>12</v>
      </c>
      <c r="D49" s="30">
        <f>'Monthly Data'!J49</f>
        <v>15557414.90523074</v>
      </c>
      <c r="E49" s="33">
        <f t="shared" ref="E49:F49" ca="1" si="39">E37</f>
        <v>386.61999999999995</v>
      </c>
      <c r="F49" s="33">
        <f t="shared" ca="1" si="39"/>
        <v>0</v>
      </c>
      <c r="G49" s="18">
        <f>'Monthly Data'!AN49</f>
        <v>5492</v>
      </c>
      <c r="H49" s="8">
        <f>'Monthly Data'!K49</f>
        <v>5494</v>
      </c>
      <c r="I49" s="30">
        <f>'Monthly Data'!BR49</f>
        <v>0</v>
      </c>
      <c r="J49" s="30">
        <f>'Monthly Data'!BT49</f>
        <v>31</v>
      </c>
      <c r="L49" s="18">
        <f>'GS&lt;50 Predicted Monthly'!$X$8</f>
        <v>-8314018.5106493998</v>
      </c>
      <c r="M49" s="18">
        <f ca="1">E49*'GS&lt;50 Predicted Monthly'!$X$9</f>
        <v>1821699.2166223819</v>
      </c>
      <c r="N49" s="18">
        <f ca="1">F49*'GS&lt;50 Predicted Monthly'!$X$10</f>
        <v>0</v>
      </c>
      <c r="O49" s="18">
        <f>G49*'GS&lt;50 Predicted Monthly'!$X$11</f>
        <v>37731.582882926014</v>
      </c>
      <c r="P49" s="18">
        <f>H49*'GS&lt;50 Predicted Monthly'!$X$12</f>
        <v>10198263.254068485</v>
      </c>
      <c r="Q49" s="18">
        <f>I49*'GS&lt;50 Predicted Monthly'!$X$13</f>
        <v>0</v>
      </c>
      <c r="R49" s="18">
        <f>J49*'GS&lt;50 Predicted Monthly'!$X$14</f>
        <v>11369665.795809086</v>
      </c>
      <c r="S49" s="20">
        <f t="shared" ca="1" si="4"/>
        <v>15113341.338733479</v>
      </c>
    </row>
    <row r="50" spans="1:19" x14ac:dyDescent="0.2">
      <c r="A50" s="9">
        <f>'Monthly Data'!A50</f>
        <v>43466</v>
      </c>
      <c r="B50">
        <f t="shared" si="2"/>
        <v>2019</v>
      </c>
      <c r="C50">
        <f t="shared" si="3"/>
        <v>1</v>
      </c>
      <c r="D50" s="30">
        <f>'Monthly Data'!J50</f>
        <v>16535161.594954573</v>
      </c>
      <c r="E50" s="33">
        <f t="shared" ref="E50:F50" ca="1" si="40">E38</f>
        <v>508.54000000000008</v>
      </c>
      <c r="F50" s="33">
        <f t="shared" ca="1" si="40"/>
        <v>0</v>
      </c>
      <c r="G50" s="18">
        <f>'Monthly Data'!AN50</f>
        <v>1092</v>
      </c>
      <c r="H50" s="8">
        <f>'Monthly Data'!K50</f>
        <v>5499</v>
      </c>
      <c r="I50" s="30">
        <f>'Monthly Data'!BR50</f>
        <v>0</v>
      </c>
      <c r="J50" s="30">
        <f>'Monthly Data'!BT50</f>
        <v>31</v>
      </c>
      <c r="L50" s="18">
        <f>'GS&lt;50 Predicted Monthly'!$X$8</f>
        <v>-8314018.5106493998</v>
      </c>
      <c r="M50" s="18">
        <f ca="1">E50*'GS&lt;50 Predicted Monthly'!$X$9</f>
        <v>2396169.1573667848</v>
      </c>
      <c r="N50" s="18">
        <f ca="1">F50*'GS&lt;50 Predicted Monthly'!$X$10</f>
        <v>0</v>
      </c>
      <c r="O50" s="18">
        <f>G50*'GS&lt;50 Predicted Monthly'!$X$11</f>
        <v>7502.346778615296</v>
      </c>
      <c r="P50" s="18">
        <f>H50*'GS&lt;50 Predicted Monthly'!$X$12</f>
        <v>10207544.527506843</v>
      </c>
      <c r="Q50" s="18">
        <f>I50*'GS&lt;50 Predicted Monthly'!$X$13</f>
        <v>0</v>
      </c>
      <c r="R50" s="18">
        <f>J50*'GS&lt;50 Predicted Monthly'!$X$14</f>
        <v>11369665.795809086</v>
      </c>
      <c r="S50" s="20">
        <f t="shared" ca="1" si="4"/>
        <v>15666863.31681193</v>
      </c>
    </row>
    <row r="51" spans="1:19" x14ac:dyDescent="0.2">
      <c r="A51" s="9">
        <f>'Monthly Data'!A51</f>
        <v>43497</v>
      </c>
      <c r="B51">
        <f t="shared" si="2"/>
        <v>2019</v>
      </c>
      <c r="C51">
        <f t="shared" si="3"/>
        <v>2</v>
      </c>
      <c r="D51" s="30">
        <f>'Monthly Data'!J51</f>
        <v>15287128.896075014</v>
      </c>
      <c r="E51" s="33">
        <f t="shared" ref="E51:F51" ca="1" si="41">E39</f>
        <v>451.10999999999996</v>
      </c>
      <c r="F51" s="33">
        <f t="shared" ca="1" si="41"/>
        <v>0</v>
      </c>
      <c r="G51" s="18">
        <f>'Monthly Data'!AN51</f>
        <v>1092</v>
      </c>
      <c r="H51" s="8">
        <f>'Monthly Data'!K51</f>
        <v>5507</v>
      </c>
      <c r="I51" s="30">
        <f>'Monthly Data'!BR51</f>
        <v>0</v>
      </c>
      <c r="J51" s="30">
        <f>'Monthly Data'!BT51</f>
        <v>28</v>
      </c>
      <c r="L51" s="18">
        <f>'GS&lt;50 Predicted Monthly'!$X$8</f>
        <v>-8314018.5106493998</v>
      </c>
      <c r="M51" s="18">
        <f ca="1">E51*'GS&lt;50 Predicted Monthly'!$X$9</f>
        <v>2125567.0519127897</v>
      </c>
      <c r="N51" s="18">
        <f ca="1">F51*'GS&lt;50 Predicted Monthly'!$X$10</f>
        <v>0</v>
      </c>
      <c r="O51" s="18">
        <f>G51*'GS&lt;50 Predicted Monthly'!$X$11</f>
        <v>7502.346778615296</v>
      </c>
      <c r="P51" s="18">
        <f>H51*'GS&lt;50 Predicted Monthly'!$X$12</f>
        <v>10222394.565008217</v>
      </c>
      <c r="Q51" s="18">
        <f>I51*'GS&lt;50 Predicted Monthly'!$X$13</f>
        <v>0</v>
      </c>
      <c r="R51" s="18">
        <f>J51*'GS&lt;50 Predicted Monthly'!$X$14</f>
        <v>10269375.55750498</v>
      </c>
      <c r="S51" s="20">
        <f t="shared" ca="1" si="4"/>
        <v>14310821.010555204</v>
      </c>
    </row>
    <row r="52" spans="1:19" x14ac:dyDescent="0.2">
      <c r="A52" s="9">
        <f>'Monthly Data'!A52</f>
        <v>43525</v>
      </c>
      <c r="B52">
        <f t="shared" si="2"/>
        <v>2019</v>
      </c>
      <c r="C52">
        <f t="shared" si="3"/>
        <v>3</v>
      </c>
      <c r="D52" s="30">
        <f>'Monthly Data'!J52</f>
        <v>16050310.197195457</v>
      </c>
      <c r="E52" s="33">
        <f t="shared" ref="E52:F52" ca="1" si="42">E40</f>
        <v>374.74</v>
      </c>
      <c r="F52" s="33">
        <f t="shared" ca="1" si="42"/>
        <v>0</v>
      </c>
      <c r="G52" s="18">
        <f>'Monthly Data'!AN52</f>
        <v>1092</v>
      </c>
      <c r="H52" s="8">
        <f>'Monthly Data'!K52</f>
        <v>5500</v>
      </c>
      <c r="I52" s="30">
        <f>'Monthly Data'!BR52</f>
        <v>1</v>
      </c>
      <c r="J52" s="30">
        <f>'Monthly Data'!BT52</f>
        <v>31</v>
      </c>
      <c r="L52" s="18">
        <f>'GS&lt;50 Predicted Monthly'!$X$8</f>
        <v>-8314018.5106493998</v>
      </c>
      <c r="M52" s="18">
        <f ca="1">E52*'GS&lt;50 Predicted Monthly'!$X$9</f>
        <v>1765722.3227900043</v>
      </c>
      <c r="N52" s="18">
        <f ca="1">F52*'GS&lt;50 Predicted Monthly'!$X$10</f>
        <v>0</v>
      </c>
      <c r="O52" s="18">
        <f>G52*'GS&lt;50 Predicted Monthly'!$X$11</f>
        <v>7502.346778615296</v>
      </c>
      <c r="P52" s="18">
        <f>H52*'GS&lt;50 Predicted Monthly'!$X$12</f>
        <v>10209400.782194514</v>
      </c>
      <c r="Q52" s="18">
        <f>I52*'GS&lt;50 Predicted Monthly'!$X$13</f>
        <v>-202362.33175645399</v>
      </c>
      <c r="R52" s="18">
        <f>J52*'GS&lt;50 Predicted Monthly'!$X$14</f>
        <v>11369665.795809086</v>
      </c>
      <c r="S52" s="20">
        <f t="shared" ca="1" si="4"/>
        <v>14835910.405166365</v>
      </c>
    </row>
    <row r="53" spans="1:19" x14ac:dyDescent="0.2">
      <c r="A53" s="9">
        <f>'Monthly Data'!A53</f>
        <v>43556</v>
      </c>
      <c r="B53">
        <f t="shared" si="2"/>
        <v>2019</v>
      </c>
      <c r="C53">
        <f t="shared" si="3"/>
        <v>4</v>
      </c>
      <c r="D53" s="30">
        <f>'Monthly Data'!J53</f>
        <v>14274222.498315901</v>
      </c>
      <c r="E53" s="33">
        <f t="shared" ref="E53:F53" ca="1" si="43">E41</f>
        <v>221.12999999999997</v>
      </c>
      <c r="F53" s="33">
        <f t="shared" ca="1" si="43"/>
        <v>2.6300000000000003</v>
      </c>
      <c r="G53" s="18">
        <f>'Monthly Data'!AN53</f>
        <v>5906</v>
      </c>
      <c r="H53" s="8">
        <f>'Monthly Data'!K53</f>
        <v>5496</v>
      </c>
      <c r="I53" s="30">
        <f>'Monthly Data'!BR53</f>
        <v>1</v>
      </c>
      <c r="J53" s="30">
        <f>'Monthly Data'!BT53</f>
        <v>30</v>
      </c>
      <c r="L53" s="18">
        <f>'GS&lt;50 Predicted Monthly'!$X$8</f>
        <v>-8314018.5106493998</v>
      </c>
      <c r="M53" s="18">
        <f ca="1">E53*'GS&lt;50 Predicted Monthly'!$X$9</f>
        <v>1041933.5465617591</v>
      </c>
      <c r="N53" s="18">
        <f ca="1">F53*'GS&lt;50 Predicted Monthly'!$X$10</f>
        <v>30387.829518589355</v>
      </c>
      <c r="O53" s="18">
        <f>G53*'GS&lt;50 Predicted Monthly'!$X$11</f>
        <v>40575.879189104337</v>
      </c>
      <c r="P53" s="18">
        <f>H53*'GS&lt;50 Predicted Monthly'!$X$12</f>
        <v>10201975.763443828</v>
      </c>
      <c r="Q53" s="18">
        <f>I53*'GS&lt;50 Predicted Monthly'!$X$13</f>
        <v>-202362.33175645399</v>
      </c>
      <c r="R53" s="18">
        <f>J53*'GS&lt;50 Predicted Monthly'!$X$14</f>
        <v>11002902.38304105</v>
      </c>
      <c r="S53" s="20">
        <f t="shared" ca="1" si="4"/>
        <v>13801394.559348477</v>
      </c>
    </row>
    <row r="54" spans="1:19" x14ac:dyDescent="0.2">
      <c r="A54" s="9">
        <f>'Monthly Data'!A54</f>
        <v>43586</v>
      </c>
      <c r="B54">
        <f t="shared" si="2"/>
        <v>2019</v>
      </c>
      <c r="C54">
        <f t="shared" si="3"/>
        <v>5</v>
      </c>
      <c r="D54" s="30">
        <f>'Monthly Data'!J54</f>
        <v>14029473.799436344</v>
      </c>
      <c r="E54" s="33">
        <f t="shared" ref="E54:F54" ca="1" si="44">E42</f>
        <v>74.8</v>
      </c>
      <c r="F54" s="33">
        <f t="shared" ca="1" si="44"/>
        <v>50.489999999999995</v>
      </c>
      <c r="G54" s="18">
        <f>'Monthly Data'!AN54</f>
        <v>5906</v>
      </c>
      <c r="H54" s="8">
        <f>'Monthly Data'!K54</f>
        <v>5489</v>
      </c>
      <c r="I54" s="30">
        <f>'Monthly Data'!BR54</f>
        <v>1</v>
      </c>
      <c r="J54" s="30">
        <f>'Monthly Data'!BT54</f>
        <v>31</v>
      </c>
      <c r="L54" s="18">
        <f>'GS&lt;50 Predicted Monthly'!$X$8</f>
        <v>-8314018.5106493998</v>
      </c>
      <c r="M54" s="18">
        <f ca="1">E54*'GS&lt;50 Predicted Monthly'!$X$9</f>
        <v>352447.10931497125</v>
      </c>
      <c r="N54" s="18">
        <f ca="1">F54*'GS&lt;50 Predicted Monthly'!$X$10</f>
        <v>583377.00091010507</v>
      </c>
      <c r="O54" s="18">
        <f>G54*'GS&lt;50 Predicted Monthly'!$X$11</f>
        <v>40575.879189104337</v>
      </c>
      <c r="P54" s="18">
        <f>H54*'GS&lt;50 Predicted Monthly'!$X$12</f>
        <v>10188981.980630126</v>
      </c>
      <c r="Q54" s="18">
        <f>I54*'GS&lt;50 Predicted Monthly'!$X$13</f>
        <v>-202362.33175645399</v>
      </c>
      <c r="R54" s="18">
        <f>J54*'GS&lt;50 Predicted Monthly'!$X$14</f>
        <v>11369665.795809086</v>
      </c>
      <c r="S54" s="20">
        <f t="shared" ca="1" si="4"/>
        <v>14018666.92344754</v>
      </c>
    </row>
    <row r="55" spans="1:19" x14ac:dyDescent="0.2">
      <c r="A55" s="9">
        <f>'Monthly Data'!A55</f>
        <v>43617</v>
      </c>
      <c r="B55">
        <f t="shared" si="2"/>
        <v>2019</v>
      </c>
      <c r="C55">
        <f t="shared" si="3"/>
        <v>6</v>
      </c>
      <c r="D55" s="30">
        <f>'Monthly Data'!J55</f>
        <v>14575779.100556785</v>
      </c>
      <c r="E55" s="33">
        <f t="shared" ref="E55:F55" ca="1" si="45">E43</f>
        <v>2.15</v>
      </c>
      <c r="F55" s="33">
        <f t="shared" ca="1" si="45"/>
        <v>154.05000000000001</v>
      </c>
      <c r="G55" s="18">
        <f>'Monthly Data'!AN55</f>
        <v>5906</v>
      </c>
      <c r="H55" s="8">
        <f>'Monthly Data'!K55</f>
        <v>5489</v>
      </c>
      <c r="I55" s="30">
        <f>'Monthly Data'!BR55</f>
        <v>0</v>
      </c>
      <c r="J55" s="30">
        <f>'Monthly Data'!BT55</f>
        <v>30</v>
      </c>
      <c r="L55" s="18">
        <f>'GS&lt;50 Predicted Monthly'!$X$8</f>
        <v>-8314018.5106493998</v>
      </c>
      <c r="M55" s="18">
        <f ca="1">E55*'GS&lt;50 Predicted Monthly'!$X$9</f>
        <v>10130.498462930324</v>
      </c>
      <c r="N55" s="18">
        <f ca="1">F55*'GS&lt;50 Predicted Monthly'!$X$10</f>
        <v>1779941.1168588174</v>
      </c>
      <c r="O55" s="18">
        <f>G55*'GS&lt;50 Predicted Monthly'!$X$11</f>
        <v>40575.879189104337</v>
      </c>
      <c r="P55" s="18">
        <f>H55*'GS&lt;50 Predicted Monthly'!$X$12</f>
        <v>10188981.980630126</v>
      </c>
      <c r="Q55" s="18">
        <f>I55*'GS&lt;50 Predicted Monthly'!$X$13</f>
        <v>0</v>
      </c>
      <c r="R55" s="18">
        <f>J55*'GS&lt;50 Predicted Monthly'!$X$14</f>
        <v>11002902.38304105</v>
      </c>
      <c r="S55" s="20">
        <f t="shared" ca="1" si="4"/>
        <v>14708513.34753263</v>
      </c>
    </row>
    <row r="56" spans="1:19" x14ac:dyDescent="0.2">
      <c r="A56" s="9">
        <f>'Monthly Data'!A56</f>
        <v>43647</v>
      </c>
      <c r="B56">
        <f t="shared" si="2"/>
        <v>2019</v>
      </c>
      <c r="C56">
        <f t="shared" si="3"/>
        <v>7</v>
      </c>
      <c r="D56" s="30">
        <f>'Monthly Data'!J56</f>
        <v>17103909.401677229</v>
      </c>
      <c r="E56" s="33">
        <f t="shared" ref="E56:F56" ca="1" si="46">E44</f>
        <v>0</v>
      </c>
      <c r="F56" s="33">
        <f t="shared" ca="1" si="46"/>
        <v>267.66999999999996</v>
      </c>
      <c r="G56" s="18">
        <f>'Monthly Data'!AN56</f>
        <v>3717</v>
      </c>
      <c r="H56" s="8">
        <f>'Monthly Data'!K56</f>
        <v>5495</v>
      </c>
      <c r="I56" s="30">
        <f>'Monthly Data'!BR56</f>
        <v>0</v>
      </c>
      <c r="J56" s="30">
        <f>'Monthly Data'!BT56</f>
        <v>31</v>
      </c>
      <c r="L56" s="18">
        <f>'GS&lt;50 Predicted Monthly'!$X$8</f>
        <v>-8314018.5106493998</v>
      </c>
      <c r="M56" s="18">
        <f ca="1">E56*'GS&lt;50 Predicted Monthly'!$X$9</f>
        <v>0</v>
      </c>
      <c r="N56" s="18">
        <f ca="1">F56*'GS&lt;50 Predicted Monthly'!$X$10</f>
        <v>3092741.5692930841</v>
      </c>
      <c r="O56" s="18">
        <f>G56*'GS&lt;50 Predicted Monthly'!$X$11</f>
        <v>25536.834227209758</v>
      </c>
      <c r="P56" s="18">
        <f>H56*'GS&lt;50 Predicted Monthly'!$X$12</f>
        <v>10200119.508756155</v>
      </c>
      <c r="Q56" s="18">
        <f>I56*'GS&lt;50 Predicted Monthly'!$X$13</f>
        <v>0</v>
      </c>
      <c r="R56" s="18">
        <f>J56*'GS&lt;50 Predicted Monthly'!$X$14</f>
        <v>11369665.795809086</v>
      </c>
      <c r="S56" s="20">
        <f t="shared" ca="1" si="4"/>
        <v>16374045.197436135</v>
      </c>
    </row>
    <row r="57" spans="1:19" x14ac:dyDescent="0.2">
      <c r="A57" s="9">
        <f>'Monthly Data'!A57</f>
        <v>43678</v>
      </c>
      <c r="B57">
        <f t="shared" si="2"/>
        <v>2019</v>
      </c>
      <c r="C57">
        <f t="shared" si="3"/>
        <v>8</v>
      </c>
      <c r="D57" s="30">
        <f>'Monthly Data'!J57</f>
        <v>16383214.702797672</v>
      </c>
      <c r="E57" s="33">
        <f t="shared" ref="E57:F57" ca="1" si="47">E45</f>
        <v>0</v>
      </c>
      <c r="F57" s="33">
        <f t="shared" ca="1" si="47"/>
        <v>246.315</v>
      </c>
      <c r="G57" s="18">
        <f>'Monthly Data'!AN57</f>
        <v>3717</v>
      </c>
      <c r="H57" s="8">
        <f>'Monthly Data'!K57</f>
        <v>5492</v>
      </c>
      <c r="I57" s="30">
        <f>'Monthly Data'!BR57</f>
        <v>0</v>
      </c>
      <c r="J57" s="30">
        <f>'Monthly Data'!BT57</f>
        <v>31</v>
      </c>
      <c r="L57" s="18">
        <f>'GS&lt;50 Predicted Monthly'!$X$8</f>
        <v>-8314018.5106493998</v>
      </c>
      <c r="M57" s="18">
        <f ca="1">E57*'GS&lt;50 Predicted Monthly'!$X$9</f>
        <v>0</v>
      </c>
      <c r="N57" s="18">
        <f ca="1">F57*'GS&lt;50 Predicted Monthly'!$X$10</f>
        <v>2845999.3261868199</v>
      </c>
      <c r="O57" s="18">
        <f>G57*'GS&lt;50 Predicted Monthly'!$X$11</f>
        <v>25536.834227209758</v>
      </c>
      <c r="P57" s="18">
        <f>H57*'GS&lt;50 Predicted Monthly'!$X$12</f>
        <v>10194550.744693141</v>
      </c>
      <c r="Q57" s="18">
        <f>I57*'GS&lt;50 Predicted Monthly'!$X$13</f>
        <v>0</v>
      </c>
      <c r="R57" s="18">
        <f>J57*'GS&lt;50 Predicted Monthly'!$X$14</f>
        <v>11369665.795809086</v>
      </c>
      <c r="S57" s="20">
        <f t="shared" ca="1" si="4"/>
        <v>16121734.190266859</v>
      </c>
    </row>
    <row r="58" spans="1:19" x14ac:dyDescent="0.2">
      <c r="A58" s="9">
        <f>'Monthly Data'!A58</f>
        <v>43709</v>
      </c>
      <c r="B58">
        <f t="shared" si="2"/>
        <v>2019</v>
      </c>
      <c r="C58">
        <f t="shared" si="3"/>
        <v>9</v>
      </c>
      <c r="D58" s="30">
        <f>'Monthly Data'!J58</f>
        <v>14536936.003918113</v>
      </c>
      <c r="E58" s="33">
        <f t="shared" ref="E58:F58" ca="1" si="48">E46</f>
        <v>2.2699999999999996</v>
      </c>
      <c r="F58" s="33">
        <f t="shared" ca="1" si="48"/>
        <v>146.80000000000001</v>
      </c>
      <c r="G58" s="18">
        <f>'Monthly Data'!AN58</f>
        <v>3717</v>
      </c>
      <c r="H58" s="8">
        <f>'Monthly Data'!K58</f>
        <v>5496</v>
      </c>
      <c r="I58" s="30">
        <f>'Monthly Data'!BR58</f>
        <v>1</v>
      </c>
      <c r="J58" s="30">
        <f>'Monthly Data'!BT58</f>
        <v>30</v>
      </c>
      <c r="L58" s="18">
        <f>'GS&lt;50 Predicted Monthly'!$X$8</f>
        <v>-8314018.5106493998</v>
      </c>
      <c r="M58" s="18">
        <f ca="1">E58*'GS&lt;50 Predicted Monthly'!$X$9</f>
        <v>10695.92163295434</v>
      </c>
      <c r="N58" s="18">
        <f ca="1">F58*'GS&lt;50 Predicted Monthly'!$X$10</f>
        <v>1696172.3852961662</v>
      </c>
      <c r="O58" s="18">
        <f>G58*'GS&lt;50 Predicted Monthly'!$X$11</f>
        <v>25536.834227209758</v>
      </c>
      <c r="P58" s="18">
        <f>H58*'GS&lt;50 Predicted Monthly'!$X$12</f>
        <v>10201975.763443828</v>
      </c>
      <c r="Q58" s="18">
        <f>I58*'GS&lt;50 Predicted Monthly'!$X$13</f>
        <v>-202362.33175645399</v>
      </c>
      <c r="R58" s="18">
        <f>J58*'GS&lt;50 Predicted Monthly'!$X$14</f>
        <v>11002902.38304105</v>
      </c>
      <c r="S58" s="20">
        <f t="shared" ca="1" si="4"/>
        <v>14420902.445235353</v>
      </c>
    </row>
    <row r="59" spans="1:19" x14ac:dyDescent="0.2">
      <c r="A59" s="9">
        <f>'Monthly Data'!A59</f>
        <v>43739</v>
      </c>
      <c r="B59">
        <f t="shared" si="2"/>
        <v>2019</v>
      </c>
      <c r="C59">
        <f t="shared" si="3"/>
        <v>10</v>
      </c>
      <c r="D59" s="30">
        <f>'Monthly Data'!J59</f>
        <v>13867496.305038556</v>
      </c>
      <c r="E59" s="33">
        <f t="shared" ref="E59:F59" ca="1" si="49">E47</f>
        <v>83.800000000000011</v>
      </c>
      <c r="F59" s="33">
        <f t="shared" ca="1" si="49"/>
        <v>36.859999999999992</v>
      </c>
      <c r="G59" s="18">
        <f>'Monthly Data'!AN59</f>
        <v>1050</v>
      </c>
      <c r="H59" s="8">
        <f>'Monthly Data'!K59</f>
        <v>5495</v>
      </c>
      <c r="I59" s="30">
        <f>'Monthly Data'!BR59</f>
        <v>1</v>
      </c>
      <c r="J59" s="30">
        <f>'Monthly Data'!BT59</f>
        <v>31</v>
      </c>
      <c r="L59" s="18">
        <f>'GS&lt;50 Predicted Monthly'!$X$8</f>
        <v>-8314018.5106493998</v>
      </c>
      <c r="M59" s="18">
        <f ca="1">E59*'GS&lt;50 Predicted Monthly'!$X$9</f>
        <v>394853.84706677264</v>
      </c>
      <c r="N59" s="18">
        <f ca="1">F59*'GS&lt;50 Predicted Monthly'!$X$10</f>
        <v>425891.78557232063</v>
      </c>
      <c r="O59" s="18">
        <f>G59*'GS&lt;50 Predicted Monthly'!$X$11</f>
        <v>7213.7949794377846</v>
      </c>
      <c r="P59" s="18">
        <f>H59*'GS&lt;50 Predicted Monthly'!$X$12</f>
        <v>10200119.508756155</v>
      </c>
      <c r="Q59" s="18">
        <f>I59*'GS&lt;50 Predicted Monthly'!$X$13</f>
        <v>-202362.33175645399</v>
      </c>
      <c r="R59" s="18">
        <f>J59*'GS&lt;50 Predicted Monthly'!$X$14</f>
        <v>11369665.795809086</v>
      </c>
      <c r="S59" s="20">
        <f t="shared" ca="1" si="4"/>
        <v>13881363.889777919</v>
      </c>
    </row>
    <row r="60" spans="1:19" x14ac:dyDescent="0.2">
      <c r="A60" s="9">
        <f>'Monthly Data'!A60</f>
        <v>43770</v>
      </c>
      <c r="B60">
        <f t="shared" si="2"/>
        <v>2019</v>
      </c>
      <c r="C60">
        <f t="shared" si="3"/>
        <v>11</v>
      </c>
      <c r="D60" s="30">
        <f>'Monthly Data'!J60</f>
        <v>14353293.606159</v>
      </c>
      <c r="E60" s="33">
        <f t="shared" ref="E60:F60" ca="1" si="50">E48</f>
        <v>240.7</v>
      </c>
      <c r="F60" s="33">
        <f t="shared" ca="1" si="50"/>
        <v>3.410000000000001</v>
      </c>
      <c r="G60" s="18">
        <f>'Monthly Data'!AN60</f>
        <v>1050</v>
      </c>
      <c r="H60" s="8">
        <f>'Monthly Data'!K60</f>
        <v>5456</v>
      </c>
      <c r="I60" s="30">
        <f>'Monthly Data'!BR60</f>
        <v>1</v>
      </c>
      <c r="J60" s="30">
        <f>'Monthly Data'!BT60</f>
        <v>30</v>
      </c>
      <c r="L60" s="18">
        <f>'GS&lt;50 Predicted Monthly'!$X$8</f>
        <v>-8314018.5106493998</v>
      </c>
      <c r="M60" s="18">
        <f ca="1">E60*'GS&lt;50 Predicted Monthly'!$X$9</f>
        <v>1134144.6418731762</v>
      </c>
      <c r="N60" s="18">
        <f ca="1">F60*'GS&lt;50 Predicted Monthly'!$X$10</f>
        <v>39400.189603950465</v>
      </c>
      <c r="O60" s="18">
        <f>G60*'GS&lt;50 Predicted Monthly'!$X$11</f>
        <v>7213.7949794377846</v>
      </c>
      <c r="P60" s="18">
        <f>H60*'GS&lt;50 Predicted Monthly'!$X$12</f>
        <v>10127725.575936958</v>
      </c>
      <c r="Q60" s="18">
        <f>I60*'GS&lt;50 Predicted Monthly'!$X$13</f>
        <v>-202362.33175645399</v>
      </c>
      <c r="R60" s="18">
        <f>J60*'GS&lt;50 Predicted Monthly'!$X$14</f>
        <v>11002902.38304105</v>
      </c>
      <c r="S60" s="20">
        <f t="shared" ca="1" si="4"/>
        <v>13795005.743028719</v>
      </c>
    </row>
    <row r="61" spans="1:19" x14ac:dyDescent="0.2">
      <c r="A61" s="9">
        <f>'Monthly Data'!A61</f>
        <v>43800</v>
      </c>
      <c r="B61">
        <f t="shared" si="2"/>
        <v>2019</v>
      </c>
      <c r="C61">
        <f t="shared" si="3"/>
        <v>12</v>
      </c>
      <c r="D61" s="30">
        <f>'Monthly Data'!J61</f>
        <v>15207078.907279443</v>
      </c>
      <c r="E61" s="33">
        <f t="shared" ref="E61:F61" ca="1" si="51">E49</f>
        <v>386.61999999999995</v>
      </c>
      <c r="F61" s="33">
        <f t="shared" ca="1" si="51"/>
        <v>0</v>
      </c>
      <c r="G61" s="18">
        <f>'Monthly Data'!AN61</f>
        <v>1050</v>
      </c>
      <c r="H61" s="8">
        <f>'Monthly Data'!K61</f>
        <v>5460</v>
      </c>
      <c r="I61" s="30">
        <f>'Monthly Data'!BR61</f>
        <v>0</v>
      </c>
      <c r="J61" s="30">
        <f>'Monthly Data'!BT61</f>
        <v>31</v>
      </c>
      <c r="L61" s="18">
        <f>'GS&lt;50 Predicted Monthly'!$X$8</f>
        <v>-8314018.5106493998</v>
      </c>
      <c r="M61" s="18">
        <f ca="1">E61*'GS&lt;50 Predicted Monthly'!$X$9</f>
        <v>1821699.2166223819</v>
      </c>
      <c r="N61" s="18">
        <f ca="1">F61*'GS&lt;50 Predicted Monthly'!$X$10</f>
        <v>0</v>
      </c>
      <c r="O61" s="18">
        <f>G61*'GS&lt;50 Predicted Monthly'!$X$11</f>
        <v>7213.7949794377846</v>
      </c>
      <c r="P61" s="18">
        <f>H61*'GS&lt;50 Predicted Monthly'!$X$12</f>
        <v>10135150.594687646</v>
      </c>
      <c r="Q61" s="18">
        <f>I61*'GS&lt;50 Predicted Monthly'!$X$13</f>
        <v>0</v>
      </c>
      <c r="R61" s="18">
        <f>J61*'GS&lt;50 Predicted Monthly'!$X$14</f>
        <v>11369665.795809086</v>
      </c>
      <c r="S61" s="20">
        <f t="shared" ca="1" si="4"/>
        <v>15019710.891449153</v>
      </c>
    </row>
    <row r="62" spans="1:19" x14ac:dyDescent="0.2">
      <c r="A62" s="9">
        <f>'Monthly Data'!A62</f>
        <v>43831</v>
      </c>
      <c r="B62">
        <f t="shared" si="2"/>
        <v>2020</v>
      </c>
      <c r="C62">
        <f t="shared" si="3"/>
        <v>1</v>
      </c>
      <c r="D62" s="30">
        <f>'Monthly Data'!J62</f>
        <v>15460614.932394793</v>
      </c>
      <c r="E62" s="33">
        <f t="shared" ref="E62:F62" ca="1" si="52">E50</f>
        <v>508.54000000000008</v>
      </c>
      <c r="F62" s="33">
        <f t="shared" ca="1" si="52"/>
        <v>0</v>
      </c>
      <c r="G62" s="18">
        <f>'Monthly Data'!AN62</f>
        <v>-11271</v>
      </c>
      <c r="H62" s="8">
        <f>'Monthly Data'!K62</f>
        <v>5491</v>
      </c>
      <c r="I62" s="30">
        <f>'Monthly Data'!BR62</f>
        <v>0</v>
      </c>
      <c r="J62" s="30">
        <f>'Monthly Data'!BT62</f>
        <v>31</v>
      </c>
      <c r="L62" s="18">
        <f>'GS&lt;50 Predicted Monthly'!$X$8</f>
        <v>-8314018.5106493998</v>
      </c>
      <c r="M62" s="18">
        <f ca="1">E62*'GS&lt;50 Predicted Monthly'!$X$9</f>
        <v>2396169.1573667848</v>
      </c>
      <c r="N62" s="18">
        <f ca="1">F62*'GS&lt;50 Predicted Monthly'!$X$10</f>
        <v>0</v>
      </c>
      <c r="O62" s="18">
        <f>G62*'GS&lt;50 Predicted Monthly'!$X$11</f>
        <v>-77434.936393565018</v>
      </c>
      <c r="P62" s="18">
        <f>H62*'GS&lt;50 Predicted Monthly'!$X$12</f>
        <v>10192694.490005469</v>
      </c>
      <c r="Q62" s="18">
        <f>I62*'GS&lt;50 Predicted Monthly'!$X$13</f>
        <v>0</v>
      </c>
      <c r="R62" s="18">
        <f>J62*'GS&lt;50 Predicted Monthly'!$X$14</f>
        <v>11369665.795809086</v>
      </c>
      <c r="S62" s="20">
        <f t="shared" ca="1" si="4"/>
        <v>15567075.996138375</v>
      </c>
    </row>
    <row r="63" spans="1:19" x14ac:dyDescent="0.2">
      <c r="A63" s="9">
        <f>'Monthly Data'!A63</f>
        <v>43862</v>
      </c>
      <c r="B63">
        <f t="shared" si="2"/>
        <v>2020</v>
      </c>
      <c r="C63">
        <f t="shared" si="3"/>
        <v>2</v>
      </c>
      <c r="D63" s="30">
        <f>'Monthly Data'!J63</f>
        <v>14562080.289898498</v>
      </c>
      <c r="E63" s="33">
        <f t="shared" ref="E63:F63" ca="1" si="53">E51</f>
        <v>451.10999999999996</v>
      </c>
      <c r="F63" s="33">
        <f t="shared" ca="1" si="53"/>
        <v>0</v>
      </c>
      <c r="G63" s="18">
        <f>'Monthly Data'!AN63</f>
        <v>-11271</v>
      </c>
      <c r="H63" s="8">
        <f>'Monthly Data'!K63</f>
        <v>5489</v>
      </c>
      <c r="I63" s="30">
        <f>'Monthly Data'!BR63</f>
        <v>0</v>
      </c>
      <c r="J63" s="30">
        <f>'Monthly Data'!BT63</f>
        <v>29</v>
      </c>
      <c r="L63" s="18">
        <f>'GS&lt;50 Predicted Monthly'!$X$8</f>
        <v>-8314018.5106493998</v>
      </c>
      <c r="M63" s="18">
        <f ca="1">E63*'GS&lt;50 Predicted Monthly'!$X$9</f>
        <v>2125567.0519127897</v>
      </c>
      <c r="N63" s="18">
        <f ca="1">F63*'GS&lt;50 Predicted Monthly'!$X$10</f>
        <v>0</v>
      </c>
      <c r="O63" s="18">
        <f>G63*'GS&lt;50 Predicted Monthly'!$X$11</f>
        <v>-77434.936393565018</v>
      </c>
      <c r="P63" s="18">
        <f>H63*'GS&lt;50 Predicted Monthly'!$X$12</f>
        <v>10188981.980630126</v>
      </c>
      <c r="Q63" s="18">
        <f>I63*'GS&lt;50 Predicted Monthly'!$X$13</f>
        <v>0</v>
      </c>
      <c r="R63" s="18">
        <f>J63*'GS&lt;50 Predicted Monthly'!$X$14</f>
        <v>10636138.970273016</v>
      </c>
      <c r="S63" s="20">
        <f t="shared" ca="1" si="4"/>
        <v>14559234.555772968</v>
      </c>
    </row>
    <row r="64" spans="1:19" x14ac:dyDescent="0.2">
      <c r="A64" s="9">
        <f>'Monthly Data'!A64</f>
        <v>43891</v>
      </c>
      <c r="B64">
        <f t="shared" si="2"/>
        <v>2020</v>
      </c>
      <c r="C64">
        <f t="shared" si="3"/>
        <v>3</v>
      </c>
      <c r="D64" s="30">
        <f>'Monthly Data'!J64</f>
        <v>13828647.647402203</v>
      </c>
      <c r="E64" s="33">
        <f t="shared" ref="E64:F64" ca="1" si="54">E52</f>
        <v>374.74</v>
      </c>
      <c r="F64" s="33">
        <f t="shared" ca="1" si="54"/>
        <v>0</v>
      </c>
      <c r="G64" s="18">
        <f>'Monthly Data'!AN64</f>
        <v>-11271</v>
      </c>
      <c r="H64" s="8">
        <f>'Monthly Data'!K64</f>
        <v>5500</v>
      </c>
      <c r="I64" s="30">
        <f>'Monthly Data'!BR64</f>
        <v>1</v>
      </c>
      <c r="J64" s="30">
        <f>'Monthly Data'!BT64</f>
        <v>31</v>
      </c>
      <c r="L64" s="18">
        <f>'GS&lt;50 Predicted Monthly'!$X$8</f>
        <v>-8314018.5106493998</v>
      </c>
      <c r="M64" s="18">
        <f ca="1">E64*'GS&lt;50 Predicted Monthly'!$X$9</f>
        <v>1765722.3227900043</v>
      </c>
      <c r="N64" s="18">
        <f ca="1">F64*'GS&lt;50 Predicted Monthly'!$X$10</f>
        <v>0</v>
      </c>
      <c r="O64" s="18">
        <f>G64*'GS&lt;50 Predicted Monthly'!$X$11</f>
        <v>-77434.936393565018</v>
      </c>
      <c r="P64" s="18">
        <f>H64*'GS&lt;50 Predicted Monthly'!$X$12</f>
        <v>10209400.782194514</v>
      </c>
      <c r="Q64" s="18">
        <f>I64*'GS&lt;50 Predicted Monthly'!$X$13</f>
        <v>-202362.33175645399</v>
      </c>
      <c r="R64" s="18">
        <f>J64*'GS&lt;50 Predicted Monthly'!$X$14</f>
        <v>11369665.795809086</v>
      </c>
      <c r="S64" s="20">
        <f t="shared" ca="1" si="4"/>
        <v>14750973.121994186</v>
      </c>
    </row>
    <row r="65" spans="1:19" x14ac:dyDescent="0.2">
      <c r="A65" s="9">
        <f>'Monthly Data'!A65</f>
        <v>43922</v>
      </c>
      <c r="B65">
        <f t="shared" si="2"/>
        <v>2020</v>
      </c>
      <c r="C65">
        <f t="shared" si="3"/>
        <v>4</v>
      </c>
      <c r="D65" s="30">
        <f>'Monthly Data'!J65</f>
        <v>11361907.004905907</v>
      </c>
      <c r="E65" s="33">
        <f t="shared" ref="E65:F65" ca="1" si="55">E53</f>
        <v>221.12999999999997</v>
      </c>
      <c r="F65" s="33">
        <f t="shared" ca="1" si="55"/>
        <v>2.6300000000000003</v>
      </c>
      <c r="G65" s="18">
        <f>'Monthly Data'!AN65</f>
        <v>-93587</v>
      </c>
      <c r="H65" s="8">
        <f>'Monthly Data'!K65</f>
        <v>5502</v>
      </c>
      <c r="I65" s="30">
        <f>'Monthly Data'!BR65</f>
        <v>1</v>
      </c>
      <c r="J65" s="30">
        <f>'Monthly Data'!BT65</f>
        <v>30</v>
      </c>
      <c r="L65" s="18">
        <f>'GS&lt;50 Predicted Monthly'!$X$8</f>
        <v>-8314018.5106493998</v>
      </c>
      <c r="M65" s="18">
        <f ca="1">E65*'GS&lt;50 Predicted Monthly'!$X$9</f>
        <v>1041933.5465617591</v>
      </c>
      <c r="N65" s="18">
        <f ca="1">F65*'GS&lt;50 Predicted Monthly'!$X$10</f>
        <v>30387.829518589355</v>
      </c>
      <c r="O65" s="18">
        <f>G65*'GS&lt;50 Predicted Monthly'!$X$11</f>
        <v>-642968.98165775614</v>
      </c>
      <c r="P65" s="18">
        <f>H65*'GS&lt;50 Predicted Monthly'!$X$12</f>
        <v>10213113.291569859</v>
      </c>
      <c r="Q65" s="18">
        <f>I65*'GS&lt;50 Predicted Monthly'!$X$13</f>
        <v>-202362.33175645399</v>
      </c>
      <c r="R65" s="18">
        <f>J65*'GS&lt;50 Predicted Monthly'!$X$14</f>
        <v>11002902.38304105</v>
      </c>
      <c r="S65" s="20">
        <f t="shared" ca="1" si="4"/>
        <v>13128987.226627648</v>
      </c>
    </row>
    <row r="66" spans="1:19" x14ac:dyDescent="0.2">
      <c r="A66" s="9">
        <f>'Monthly Data'!A66</f>
        <v>43952</v>
      </c>
      <c r="B66">
        <f t="shared" si="2"/>
        <v>2020</v>
      </c>
      <c r="C66">
        <f t="shared" si="3"/>
        <v>5</v>
      </c>
      <c r="D66" s="30">
        <f>'Monthly Data'!J66</f>
        <v>11649396.362409612</v>
      </c>
      <c r="E66" s="33">
        <f t="shared" ref="E66:F66" ca="1" si="56">E54</f>
        <v>74.8</v>
      </c>
      <c r="F66" s="33">
        <f t="shared" ca="1" si="56"/>
        <v>50.489999999999995</v>
      </c>
      <c r="G66" s="18">
        <f>'Monthly Data'!AN66</f>
        <v>-93587</v>
      </c>
      <c r="H66" s="8">
        <f>'Monthly Data'!K66</f>
        <v>5501</v>
      </c>
      <c r="I66" s="30">
        <f>'Monthly Data'!BR66</f>
        <v>1</v>
      </c>
      <c r="J66" s="30">
        <f>'Monthly Data'!BT66</f>
        <v>31</v>
      </c>
      <c r="L66" s="18">
        <f>'GS&lt;50 Predicted Monthly'!$X$8</f>
        <v>-8314018.5106493998</v>
      </c>
      <c r="M66" s="18">
        <f ca="1">E66*'GS&lt;50 Predicted Monthly'!$X$9</f>
        <v>352447.10931497125</v>
      </c>
      <c r="N66" s="18">
        <f ca="1">F66*'GS&lt;50 Predicted Monthly'!$X$10</f>
        <v>583377.00091010507</v>
      </c>
      <c r="O66" s="18">
        <f>G66*'GS&lt;50 Predicted Monthly'!$X$11</f>
        <v>-642968.98165775614</v>
      </c>
      <c r="P66" s="18">
        <f>H66*'GS&lt;50 Predicted Monthly'!$X$12</f>
        <v>10211257.036882186</v>
      </c>
      <c r="Q66" s="18">
        <f>I66*'GS&lt;50 Predicted Monthly'!$X$13</f>
        <v>-202362.33175645399</v>
      </c>
      <c r="R66" s="18">
        <f>J66*'GS&lt;50 Predicted Monthly'!$X$14</f>
        <v>11369665.795809086</v>
      </c>
      <c r="S66" s="20">
        <f t="shared" ca="1" si="4"/>
        <v>13357397.118852738</v>
      </c>
    </row>
    <row r="67" spans="1:19" x14ac:dyDescent="0.2">
      <c r="A67" s="9">
        <f>'Monthly Data'!A67</f>
        <v>43983</v>
      </c>
      <c r="B67">
        <f t="shared" si="2"/>
        <v>2020</v>
      </c>
      <c r="C67">
        <f t="shared" si="3"/>
        <v>6</v>
      </c>
      <c r="D67" s="30">
        <f>'Monthly Data'!J67</f>
        <v>13516522.719913317</v>
      </c>
      <c r="E67" s="33">
        <f t="shared" ref="E67:F67" ca="1" si="57">E55</f>
        <v>2.15</v>
      </c>
      <c r="F67" s="33">
        <f t="shared" ca="1" si="57"/>
        <v>154.05000000000001</v>
      </c>
      <c r="G67" s="18">
        <f>'Monthly Data'!AN67</f>
        <v>-93587</v>
      </c>
      <c r="H67" s="8">
        <f>'Monthly Data'!K67</f>
        <v>5504</v>
      </c>
      <c r="I67" s="30">
        <f>'Monthly Data'!BR67</f>
        <v>0</v>
      </c>
      <c r="J67" s="30">
        <f>'Monthly Data'!BT67</f>
        <v>30</v>
      </c>
      <c r="L67" s="18">
        <f>'GS&lt;50 Predicted Monthly'!$X$8</f>
        <v>-8314018.5106493998</v>
      </c>
      <c r="M67" s="18">
        <f ca="1">E67*'GS&lt;50 Predicted Monthly'!$X$9</f>
        <v>10130.498462930324</v>
      </c>
      <c r="N67" s="18">
        <f ca="1">F67*'GS&lt;50 Predicted Monthly'!$X$10</f>
        <v>1779941.1168588174</v>
      </c>
      <c r="O67" s="18">
        <f>G67*'GS&lt;50 Predicted Monthly'!$X$11</f>
        <v>-642968.98165775614</v>
      </c>
      <c r="P67" s="18">
        <f>H67*'GS&lt;50 Predicted Monthly'!$X$12</f>
        <v>10216825.800945202</v>
      </c>
      <c r="Q67" s="18">
        <f>I67*'GS&lt;50 Predicted Monthly'!$X$13</f>
        <v>0</v>
      </c>
      <c r="R67" s="18">
        <f>J67*'GS&lt;50 Predicted Monthly'!$X$14</f>
        <v>11002902.38304105</v>
      </c>
      <c r="S67" s="20">
        <f t="shared" ca="1" si="4"/>
        <v>14052812.307000844</v>
      </c>
    </row>
    <row r="68" spans="1:19" x14ac:dyDescent="0.2">
      <c r="A68" s="9">
        <f>'Monthly Data'!A68</f>
        <v>44013</v>
      </c>
      <c r="B68">
        <f t="shared" si="2"/>
        <v>2020</v>
      </c>
      <c r="C68">
        <f t="shared" si="3"/>
        <v>7</v>
      </c>
      <c r="D68" s="30">
        <f>'Monthly Data'!J68</f>
        <v>15828746.077417022</v>
      </c>
      <c r="E68" s="33">
        <f t="shared" ref="E68:F68" ca="1" si="58">E56</f>
        <v>0</v>
      </c>
      <c r="F68" s="33">
        <f t="shared" ca="1" si="58"/>
        <v>267.66999999999996</v>
      </c>
      <c r="G68" s="18">
        <f>'Monthly Data'!AN68</f>
        <v>70686</v>
      </c>
      <c r="H68" s="8">
        <f>'Monthly Data'!K68</f>
        <v>5501</v>
      </c>
      <c r="I68" s="30">
        <f>'Monthly Data'!BR68</f>
        <v>0</v>
      </c>
      <c r="J68" s="30">
        <f>'Monthly Data'!BT68</f>
        <v>31</v>
      </c>
      <c r="L68" s="18">
        <f>'GS&lt;50 Predicted Monthly'!$X$8</f>
        <v>-8314018.5106493998</v>
      </c>
      <c r="M68" s="18">
        <f ca="1">E68*'GS&lt;50 Predicted Monthly'!$X$9</f>
        <v>0</v>
      </c>
      <c r="N68" s="18">
        <f ca="1">F68*'GS&lt;50 Predicted Monthly'!$X$10</f>
        <v>3092741.5692930841</v>
      </c>
      <c r="O68" s="18">
        <f>G68*'GS&lt;50 Predicted Monthly'!$X$11</f>
        <v>485632.67801575165</v>
      </c>
      <c r="P68" s="18">
        <f>H68*'GS&lt;50 Predicted Monthly'!$X$12</f>
        <v>10211257.036882186</v>
      </c>
      <c r="Q68" s="18">
        <f>I68*'GS&lt;50 Predicted Monthly'!$X$13</f>
        <v>0</v>
      </c>
      <c r="R68" s="18">
        <f>J68*'GS&lt;50 Predicted Monthly'!$X$14</f>
        <v>11369665.795809086</v>
      </c>
      <c r="S68" s="20">
        <f t="shared" ca="1" si="4"/>
        <v>16845278.569350708</v>
      </c>
    </row>
    <row r="69" spans="1:19" x14ac:dyDescent="0.2">
      <c r="A69" s="9">
        <f>'Monthly Data'!A69</f>
        <v>44044</v>
      </c>
      <c r="B69">
        <f t="shared" si="2"/>
        <v>2020</v>
      </c>
      <c r="C69">
        <f t="shared" si="3"/>
        <v>8</v>
      </c>
      <c r="D69" s="30">
        <f>'Monthly Data'!J69</f>
        <v>15475786.434920726</v>
      </c>
      <c r="E69" s="33">
        <f t="shared" ref="E69:F69" ca="1" si="59">E57</f>
        <v>0</v>
      </c>
      <c r="F69" s="33">
        <f t="shared" ca="1" si="59"/>
        <v>246.315</v>
      </c>
      <c r="G69" s="18">
        <f>'Monthly Data'!AN69</f>
        <v>70686</v>
      </c>
      <c r="H69" s="8">
        <f>'Monthly Data'!K69</f>
        <v>5502</v>
      </c>
      <c r="I69" s="30">
        <f>'Monthly Data'!BR69</f>
        <v>0</v>
      </c>
      <c r="J69" s="30">
        <f>'Monthly Data'!BT69</f>
        <v>31</v>
      </c>
      <c r="L69" s="18">
        <f>'GS&lt;50 Predicted Monthly'!$X$8</f>
        <v>-8314018.5106493998</v>
      </c>
      <c r="M69" s="18">
        <f ca="1">E69*'GS&lt;50 Predicted Monthly'!$X$9</f>
        <v>0</v>
      </c>
      <c r="N69" s="18">
        <f ca="1">F69*'GS&lt;50 Predicted Monthly'!$X$10</f>
        <v>2845999.3261868199</v>
      </c>
      <c r="O69" s="18">
        <f>G69*'GS&lt;50 Predicted Monthly'!$X$11</f>
        <v>485632.67801575165</v>
      </c>
      <c r="P69" s="18">
        <f>H69*'GS&lt;50 Predicted Monthly'!$X$12</f>
        <v>10213113.291569859</v>
      </c>
      <c r="Q69" s="18">
        <f>I69*'GS&lt;50 Predicted Monthly'!$X$13</f>
        <v>0</v>
      </c>
      <c r="R69" s="18">
        <f>J69*'GS&lt;50 Predicted Monthly'!$X$14</f>
        <v>11369665.795809086</v>
      </c>
      <c r="S69" s="20">
        <f t="shared" ca="1" si="4"/>
        <v>16600392.580932118</v>
      </c>
    </row>
    <row r="70" spans="1:19" x14ac:dyDescent="0.2">
      <c r="A70" s="9">
        <f>'Monthly Data'!A70</f>
        <v>44075</v>
      </c>
      <c r="B70">
        <f t="shared" ref="B70:B85" si="60">YEAR(A70)</f>
        <v>2020</v>
      </c>
      <c r="C70">
        <f t="shared" ref="C70:C85" si="61">MONTH(A70)</f>
        <v>9</v>
      </c>
      <c r="D70" s="30">
        <f>'Monthly Data'!J70</f>
        <v>13348828.792424431</v>
      </c>
      <c r="E70" s="33">
        <f t="shared" ref="E70:F70" ca="1" si="62">E58</f>
        <v>2.2699999999999996</v>
      </c>
      <c r="F70" s="33">
        <f t="shared" ca="1" si="62"/>
        <v>146.80000000000001</v>
      </c>
      <c r="G70" s="18">
        <f>'Monthly Data'!AN70</f>
        <v>70686</v>
      </c>
      <c r="H70" s="8">
        <f>'Monthly Data'!K70</f>
        <v>5550</v>
      </c>
      <c r="I70" s="30">
        <f>'Monthly Data'!BR70</f>
        <v>1</v>
      </c>
      <c r="J70" s="30">
        <f>'Monthly Data'!BT70</f>
        <v>30</v>
      </c>
      <c r="L70" s="18">
        <f>'GS&lt;50 Predicted Monthly'!$X$8</f>
        <v>-8314018.5106493998</v>
      </c>
      <c r="M70" s="18">
        <f ca="1">E70*'GS&lt;50 Predicted Monthly'!$X$9</f>
        <v>10695.92163295434</v>
      </c>
      <c r="N70" s="18">
        <f ca="1">F70*'GS&lt;50 Predicted Monthly'!$X$10</f>
        <v>1696172.3852961662</v>
      </c>
      <c r="O70" s="18">
        <f>G70*'GS&lt;50 Predicted Monthly'!$X$11</f>
        <v>485632.67801575165</v>
      </c>
      <c r="P70" s="18">
        <f>H70*'GS&lt;50 Predicted Monthly'!$X$12</f>
        <v>10302213.516578101</v>
      </c>
      <c r="Q70" s="18">
        <f>I70*'GS&lt;50 Predicted Monthly'!$X$13</f>
        <v>-202362.33175645399</v>
      </c>
      <c r="R70" s="18">
        <f>J70*'GS&lt;50 Predicted Monthly'!$X$14</f>
        <v>11002902.38304105</v>
      </c>
      <c r="S70" s="20">
        <f t="shared" ref="S70:S133" ca="1" si="63">SUM(L70:R70)</f>
        <v>14981236.042158168</v>
      </c>
    </row>
    <row r="71" spans="1:19" x14ac:dyDescent="0.2">
      <c r="A71" s="9">
        <f>'Monthly Data'!A71</f>
        <v>44105</v>
      </c>
      <c r="B71">
        <f t="shared" si="60"/>
        <v>2020</v>
      </c>
      <c r="C71">
        <f t="shared" si="61"/>
        <v>10</v>
      </c>
      <c r="D71" s="30">
        <f>'Monthly Data'!J71</f>
        <v>12958296.149928138</v>
      </c>
      <c r="E71" s="33">
        <f t="shared" ref="E71:F71" ca="1" si="64">E59</f>
        <v>83.800000000000011</v>
      </c>
      <c r="F71" s="33">
        <f t="shared" ca="1" si="64"/>
        <v>36.859999999999992</v>
      </c>
      <c r="G71" s="18">
        <f>'Monthly Data'!AN71</f>
        <v>18654</v>
      </c>
      <c r="H71" s="8">
        <f>'Monthly Data'!K71</f>
        <v>5531</v>
      </c>
      <c r="I71" s="30">
        <f>'Monthly Data'!BR71</f>
        <v>1</v>
      </c>
      <c r="J71" s="30">
        <f>'Monthly Data'!BT71</f>
        <v>31</v>
      </c>
      <c r="L71" s="18">
        <f>'GS&lt;50 Predicted Monthly'!$X$8</f>
        <v>-8314018.5106493998</v>
      </c>
      <c r="M71" s="18">
        <f ca="1">E71*'GS&lt;50 Predicted Monthly'!$X$9</f>
        <v>394853.84706677264</v>
      </c>
      <c r="N71" s="18">
        <f ca="1">F71*'GS&lt;50 Predicted Monthly'!$X$10</f>
        <v>425891.78557232063</v>
      </c>
      <c r="O71" s="18">
        <f>G71*'GS&lt;50 Predicted Monthly'!$X$11</f>
        <v>128158.22052041184</v>
      </c>
      <c r="P71" s="18">
        <f>H71*'GS&lt;50 Predicted Monthly'!$X$12</f>
        <v>10266944.677512338</v>
      </c>
      <c r="Q71" s="18">
        <f>I71*'GS&lt;50 Predicted Monthly'!$X$13</f>
        <v>-202362.33175645399</v>
      </c>
      <c r="R71" s="18">
        <f>J71*'GS&lt;50 Predicted Monthly'!$X$14</f>
        <v>11369665.795809086</v>
      </c>
      <c r="S71" s="20">
        <f t="shared" ca="1" si="63"/>
        <v>14069133.484075077</v>
      </c>
    </row>
    <row r="72" spans="1:19" x14ac:dyDescent="0.2">
      <c r="A72" s="9">
        <f>'Monthly Data'!A72</f>
        <v>44136</v>
      </c>
      <c r="B72">
        <f t="shared" si="60"/>
        <v>2020</v>
      </c>
      <c r="C72">
        <f t="shared" si="61"/>
        <v>11</v>
      </c>
      <c r="D72" s="30">
        <f>'Monthly Data'!J72</f>
        <v>13270098.507431842</v>
      </c>
      <c r="E72" s="33">
        <f t="shared" ref="E72:F72" ca="1" si="65">E60</f>
        <v>240.7</v>
      </c>
      <c r="F72" s="33">
        <f t="shared" ca="1" si="65"/>
        <v>3.410000000000001</v>
      </c>
      <c r="G72" s="18">
        <f>'Monthly Data'!AN72</f>
        <v>18654</v>
      </c>
      <c r="H72" s="8">
        <f>'Monthly Data'!K72</f>
        <v>5535</v>
      </c>
      <c r="I72" s="30">
        <f>'Monthly Data'!BR72</f>
        <v>1</v>
      </c>
      <c r="J72" s="30">
        <f>'Monthly Data'!BT72</f>
        <v>30</v>
      </c>
      <c r="L72" s="18">
        <f>'GS&lt;50 Predicted Monthly'!$X$8</f>
        <v>-8314018.5106493998</v>
      </c>
      <c r="M72" s="18">
        <f ca="1">E72*'GS&lt;50 Predicted Monthly'!$X$9</f>
        <v>1134144.6418731762</v>
      </c>
      <c r="N72" s="18">
        <f ca="1">F72*'GS&lt;50 Predicted Monthly'!$X$10</f>
        <v>39400.189603950465</v>
      </c>
      <c r="O72" s="18">
        <f>G72*'GS&lt;50 Predicted Monthly'!$X$11</f>
        <v>128158.22052041184</v>
      </c>
      <c r="P72" s="18">
        <f>H72*'GS&lt;50 Predicted Monthly'!$X$12</f>
        <v>10274369.696263025</v>
      </c>
      <c r="Q72" s="18">
        <f>I72*'GS&lt;50 Predicted Monthly'!$X$13</f>
        <v>-202362.33175645399</v>
      </c>
      <c r="R72" s="18">
        <f>J72*'GS&lt;50 Predicted Monthly'!$X$14</f>
        <v>11002902.38304105</v>
      </c>
      <c r="S72" s="20">
        <f t="shared" ca="1" si="63"/>
        <v>14062594.28889576</v>
      </c>
    </row>
    <row r="73" spans="1:19" x14ac:dyDescent="0.2">
      <c r="A73" s="9">
        <f>'Monthly Data'!A73</f>
        <v>44166</v>
      </c>
      <c r="B73">
        <f t="shared" si="60"/>
        <v>2020</v>
      </c>
      <c r="C73">
        <f t="shared" si="61"/>
        <v>12</v>
      </c>
      <c r="D73" s="30">
        <f>'Monthly Data'!J73</f>
        <v>14143324.864935547</v>
      </c>
      <c r="E73" s="33">
        <f t="shared" ref="E73:F73" ca="1" si="66">E61</f>
        <v>386.61999999999995</v>
      </c>
      <c r="F73" s="33">
        <f t="shared" ca="1" si="66"/>
        <v>0</v>
      </c>
      <c r="G73" s="18">
        <f>'Monthly Data'!AN73</f>
        <v>18654</v>
      </c>
      <c r="H73" s="8">
        <f>'Monthly Data'!K73</f>
        <v>5560</v>
      </c>
      <c r="I73" s="30">
        <f>'Monthly Data'!BR73</f>
        <v>0</v>
      </c>
      <c r="J73" s="30">
        <f>'Monthly Data'!BT73</f>
        <v>31</v>
      </c>
      <c r="L73" s="18">
        <f>'GS&lt;50 Predicted Monthly'!$X$8</f>
        <v>-8314018.5106493998</v>
      </c>
      <c r="M73" s="18">
        <f ca="1">E73*'GS&lt;50 Predicted Monthly'!$X$9</f>
        <v>1821699.2166223819</v>
      </c>
      <c r="N73" s="18">
        <f ca="1">F73*'GS&lt;50 Predicted Monthly'!$X$10</f>
        <v>0</v>
      </c>
      <c r="O73" s="18">
        <f>G73*'GS&lt;50 Predicted Monthly'!$X$11</f>
        <v>128158.22052041184</v>
      </c>
      <c r="P73" s="18">
        <f>H73*'GS&lt;50 Predicted Monthly'!$X$12</f>
        <v>10320776.063454818</v>
      </c>
      <c r="Q73" s="18">
        <f>I73*'GS&lt;50 Predicted Monthly'!$X$13</f>
        <v>0</v>
      </c>
      <c r="R73" s="18">
        <f>J73*'GS&lt;50 Predicted Monthly'!$X$14</f>
        <v>11369665.795809086</v>
      </c>
      <c r="S73" s="20">
        <f t="shared" ca="1" si="63"/>
        <v>15326280.7857573</v>
      </c>
    </row>
    <row r="74" spans="1:19" x14ac:dyDescent="0.2">
      <c r="A74" s="9">
        <f>'Monthly Data'!A74</f>
        <v>44197</v>
      </c>
      <c r="B74">
        <f t="shared" si="60"/>
        <v>2021</v>
      </c>
      <c r="C74">
        <f t="shared" si="61"/>
        <v>1</v>
      </c>
      <c r="D74" s="30">
        <f>'Monthly Data'!J74</f>
        <v>14381534.39165709</v>
      </c>
      <c r="E74" s="33">
        <f t="shared" ref="E74:F74" ca="1" si="67">E62</f>
        <v>508.54000000000008</v>
      </c>
      <c r="F74" s="33">
        <f t="shared" ca="1" si="67"/>
        <v>0</v>
      </c>
      <c r="G74" s="18">
        <f>'Monthly Data'!AN74</f>
        <v>12705</v>
      </c>
      <c r="H74" s="8">
        <f>'Monthly Data'!K74</f>
        <v>5573</v>
      </c>
      <c r="I74" s="30">
        <f>'Monthly Data'!BR74</f>
        <v>0</v>
      </c>
      <c r="J74" s="30">
        <f>'Monthly Data'!BT74</f>
        <v>31</v>
      </c>
      <c r="L74" s="18">
        <f>'GS&lt;50 Predicted Monthly'!$X$8</f>
        <v>-8314018.5106493998</v>
      </c>
      <c r="M74" s="18">
        <f ca="1">E74*'GS&lt;50 Predicted Monthly'!$X$9</f>
        <v>2396169.1573667848</v>
      </c>
      <c r="N74" s="18">
        <f ca="1">F74*'GS&lt;50 Predicted Monthly'!$X$10</f>
        <v>0</v>
      </c>
      <c r="O74" s="18">
        <f>G74*'GS&lt;50 Predicted Monthly'!$X$11</f>
        <v>87286.919251197192</v>
      </c>
      <c r="P74" s="18">
        <f>H74*'GS&lt;50 Predicted Monthly'!$X$12</f>
        <v>10344907.374394551</v>
      </c>
      <c r="Q74" s="18">
        <f>I74*'GS&lt;50 Predicted Monthly'!$X$13</f>
        <v>0</v>
      </c>
      <c r="R74" s="18">
        <f>J74*'GS&lt;50 Predicted Monthly'!$X$14</f>
        <v>11369665.795809086</v>
      </c>
      <c r="S74" s="20">
        <f t="shared" ca="1" si="63"/>
        <v>15884010.736172218</v>
      </c>
    </row>
    <row r="75" spans="1:19" x14ac:dyDescent="0.2">
      <c r="A75" s="9">
        <f>'Monthly Data'!A75</f>
        <v>44228</v>
      </c>
      <c r="B75">
        <f t="shared" si="60"/>
        <v>2021</v>
      </c>
      <c r="C75">
        <f t="shared" si="61"/>
        <v>2</v>
      </c>
      <c r="D75" s="30">
        <f>'Monthly Data'!J75</f>
        <v>13667119.590722678</v>
      </c>
      <c r="E75" s="33">
        <f t="shared" ref="E75:F75" ca="1" si="68">E63</f>
        <v>451.10999999999996</v>
      </c>
      <c r="F75" s="33">
        <f t="shared" ca="1" si="68"/>
        <v>0</v>
      </c>
      <c r="G75" s="18">
        <f>'Monthly Data'!AN75</f>
        <v>12705</v>
      </c>
      <c r="H75" s="8">
        <f>'Monthly Data'!K75</f>
        <v>5585</v>
      </c>
      <c r="I75" s="30">
        <f>'Monthly Data'!BR75</f>
        <v>0</v>
      </c>
      <c r="J75" s="30">
        <f>'Monthly Data'!BT75</f>
        <v>28</v>
      </c>
      <c r="L75" s="18">
        <f>'GS&lt;50 Predicted Monthly'!$X$8</f>
        <v>-8314018.5106493998</v>
      </c>
      <c r="M75" s="18">
        <f ca="1">E75*'GS&lt;50 Predicted Monthly'!$X$9</f>
        <v>2125567.0519127897</v>
      </c>
      <c r="N75" s="18">
        <f ca="1">F75*'GS&lt;50 Predicted Monthly'!$X$10</f>
        <v>0</v>
      </c>
      <c r="O75" s="18">
        <f>G75*'GS&lt;50 Predicted Monthly'!$X$11</f>
        <v>87286.919251197192</v>
      </c>
      <c r="P75" s="18">
        <f>H75*'GS&lt;50 Predicted Monthly'!$X$12</f>
        <v>10367182.430646611</v>
      </c>
      <c r="Q75" s="18">
        <f>I75*'GS&lt;50 Predicted Monthly'!$X$13</f>
        <v>0</v>
      </c>
      <c r="R75" s="18">
        <f>J75*'GS&lt;50 Predicted Monthly'!$X$14</f>
        <v>10269375.55750498</v>
      </c>
      <c r="S75" s="20">
        <f t="shared" ca="1" si="63"/>
        <v>14535393.448666178</v>
      </c>
    </row>
    <row r="76" spans="1:19" x14ac:dyDescent="0.2">
      <c r="A76" s="9">
        <f>'Monthly Data'!A76</f>
        <v>44256</v>
      </c>
      <c r="B76">
        <f t="shared" si="60"/>
        <v>2021</v>
      </c>
      <c r="C76">
        <f t="shared" si="61"/>
        <v>3</v>
      </c>
      <c r="D76" s="30">
        <f>'Monthly Data'!J76</f>
        <v>14309991.789788269</v>
      </c>
      <c r="E76" s="33">
        <f t="shared" ref="E76:F76" ca="1" si="69">E64</f>
        <v>374.74</v>
      </c>
      <c r="F76" s="33">
        <f t="shared" ca="1" si="69"/>
        <v>0</v>
      </c>
      <c r="G76" s="18">
        <f>'Monthly Data'!AN76</f>
        <v>12705</v>
      </c>
      <c r="H76" s="8">
        <f>'Monthly Data'!K76</f>
        <v>5589</v>
      </c>
      <c r="I76" s="30">
        <f>'Monthly Data'!BR76</f>
        <v>1</v>
      </c>
      <c r="J76" s="30">
        <f>'Monthly Data'!BT76</f>
        <v>31</v>
      </c>
      <c r="L76" s="18">
        <f>'GS&lt;50 Predicted Monthly'!$X$8</f>
        <v>-8314018.5106493998</v>
      </c>
      <c r="M76" s="18">
        <f ca="1">E76*'GS&lt;50 Predicted Monthly'!$X$9</f>
        <v>1765722.3227900043</v>
      </c>
      <c r="N76" s="18">
        <f ca="1">F76*'GS&lt;50 Predicted Monthly'!$X$10</f>
        <v>0</v>
      </c>
      <c r="O76" s="18">
        <f>G76*'GS&lt;50 Predicted Monthly'!$X$11</f>
        <v>87286.919251197192</v>
      </c>
      <c r="P76" s="18">
        <f>H76*'GS&lt;50 Predicted Monthly'!$X$12</f>
        <v>10374607.449397299</v>
      </c>
      <c r="Q76" s="18">
        <f>I76*'GS&lt;50 Predicted Monthly'!$X$13</f>
        <v>-202362.33175645399</v>
      </c>
      <c r="R76" s="18">
        <f>J76*'GS&lt;50 Predicted Monthly'!$X$14</f>
        <v>11369665.795809086</v>
      </c>
      <c r="S76" s="20">
        <f t="shared" ca="1" si="63"/>
        <v>15080901.644841734</v>
      </c>
    </row>
    <row r="77" spans="1:19" x14ac:dyDescent="0.2">
      <c r="A77" s="9">
        <f>'Monthly Data'!A77</f>
        <v>44287</v>
      </c>
      <c r="B77">
        <f t="shared" si="60"/>
        <v>2021</v>
      </c>
      <c r="C77">
        <f t="shared" si="61"/>
        <v>4</v>
      </c>
      <c r="D77" s="30">
        <f>'Monthly Data'!J77</f>
        <v>12572792.988853857</v>
      </c>
      <c r="E77" s="33">
        <f t="shared" ref="E77:F77" ca="1" si="70">E65</f>
        <v>221.12999999999997</v>
      </c>
      <c r="F77" s="33">
        <f t="shared" ca="1" si="70"/>
        <v>2.6300000000000003</v>
      </c>
      <c r="G77" s="18">
        <f>'Monthly Data'!AN77</f>
        <v>-6066</v>
      </c>
      <c r="H77" s="8">
        <f>'Monthly Data'!K77</f>
        <v>5595</v>
      </c>
      <c r="I77" s="30">
        <f>'Monthly Data'!BR77</f>
        <v>1</v>
      </c>
      <c r="J77" s="30">
        <f>'Monthly Data'!BT77</f>
        <v>30</v>
      </c>
      <c r="L77" s="18">
        <f>'GS&lt;50 Predicted Monthly'!$X$8</f>
        <v>-8314018.5106493998</v>
      </c>
      <c r="M77" s="18">
        <f ca="1">E77*'GS&lt;50 Predicted Monthly'!$X$9</f>
        <v>1041933.5465617591</v>
      </c>
      <c r="N77" s="18">
        <f ca="1">F77*'GS&lt;50 Predicted Monthly'!$X$10</f>
        <v>30387.829518589355</v>
      </c>
      <c r="O77" s="18">
        <f>G77*'GS&lt;50 Predicted Monthly'!$X$11</f>
        <v>-41675.124138352003</v>
      </c>
      <c r="P77" s="18">
        <f>H77*'GS&lt;50 Predicted Monthly'!$X$12</f>
        <v>10385744.977523329</v>
      </c>
      <c r="Q77" s="18">
        <f>I77*'GS&lt;50 Predicted Monthly'!$X$13</f>
        <v>-202362.33175645399</v>
      </c>
      <c r="R77" s="18">
        <f>J77*'GS&lt;50 Predicted Monthly'!$X$14</f>
        <v>11002902.38304105</v>
      </c>
      <c r="S77" s="20">
        <f t="shared" ca="1" si="63"/>
        <v>13902912.770100521</v>
      </c>
    </row>
    <row r="78" spans="1:19" x14ac:dyDescent="0.2">
      <c r="A78" s="9">
        <f>'Monthly Data'!A78</f>
        <v>44317</v>
      </c>
      <c r="B78">
        <f t="shared" si="60"/>
        <v>2021</v>
      </c>
      <c r="C78">
        <f t="shared" si="61"/>
        <v>5</v>
      </c>
      <c r="D78" s="30">
        <f>'Monthly Data'!J78</f>
        <v>13147250.187919445</v>
      </c>
      <c r="E78" s="33">
        <f t="shared" ref="E78:F78" ca="1" si="71">E66</f>
        <v>74.8</v>
      </c>
      <c r="F78" s="33">
        <f t="shared" ca="1" si="71"/>
        <v>50.489999999999995</v>
      </c>
      <c r="G78" s="18">
        <f>'Monthly Data'!AN78</f>
        <v>-6066</v>
      </c>
      <c r="H78" s="8">
        <f>'Monthly Data'!K78</f>
        <v>5611</v>
      </c>
      <c r="I78" s="30">
        <f>'Monthly Data'!BR78</f>
        <v>1</v>
      </c>
      <c r="J78" s="30">
        <f>'Monthly Data'!BT78</f>
        <v>31</v>
      </c>
      <c r="L78" s="18">
        <f>'GS&lt;50 Predicted Monthly'!$X$8</f>
        <v>-8314018.5106493998</v>
      </c>
      <c r="M78" s="18">
        <f ca="1">E78*'GS&lt;50 Predicted Monthly'!$X$9</f>
        <v>352447.10931497125</v>
      </c>
      <c r="N78" s="18">
        <f ca="1">F78*'GS&lt;50 Predicted Monthly'!$X$10</f>
        <v>583377.00091010507</v>
      </c>
      <c r="O78" s="18">
        <f>G78*'GS&lt;50 Predicted Monthly'!$X$11</f>
        <v>-41675.124138352003</v>
      </c>
      <c r="P78" s="18">
        <f>H78*'GS&lt;50 Predicted Monthly'!$X$12</f>
        <v>10415445.052526077</v>
      </c>
      <c r="Q78" s="18">
        <f>I78*'GS&lt;50 Predicted Monthly'!$X$13</f>
        <v>-202362.33175645399</v>
      </c>
      <c r="R78" s="18">
        <f>J78*'GS&lt;50 Predicted Monthly'!$X$14</f>
        <v>11369665.795809086</v>
      </c>
      <c r="S78" s="20">
        <f t="shared" ca="1" si="63"/>
        <v>14162878.992016034</v>
      </c>
    </row>
    <row r="79" spans="1:19" x14ac:dyDescent="0.2">
      <c r="A79" s="9">
        <f>'Monthly Data'!A79</f>
        <v>44348</v>
      </c>
      <c r="B79">
        <f t="shared" si="60"/>
        <v>2021</v>
      </c>
      <c r="C79">
        <f t="shared" si="61"/>
        <v>6</v>
      </c>
      <c r="D79" s="30">
        <f>'Monthly Data'!J79</f>
        <v>13511808.386985036</v>
      </c>
      <c r="E79" s="33">
        <f t="shared" ref="E79:F79" ca="1" si="72">E67</f>
        <v>2.15</v>
      </c>
      <c r="F79" s="33">
        <f t="shared" ca="1" si="72"/>
        <v>154.05000000000001</v>
      </c>
      <c r="G79" s="18">
        <f>'Monthly Data'!AN79</f>
        <v>-6066</v>
      </c>
      <c r="H79" s="8">
        <f>'Monthly Data'!K79</f>
        <v>5608</v>
      </c>
      <c r="I79" s="30">
        <f>'Monthly Data'!BR79</f>
        <v>0</v>
      </c>
      <c r="J79" s="30">
        <f>'Monthly Data'!BT79</f>
        <v>30</v>
      </c>
      <c r="L79" s="18">
        <f>'GS&lt;50 Predicted Monthly'!$X$8</f>
        <v>-8314018.5106493998</v>
      </c>
      <c r="M79" s="18">
        <f ca="1">E79*'GS&lt;50 Predicted Monthly'!$X$9</f>
        <v>10130.498462930324</v>
      </c>
      <c r="N79" s="18">
        <f ca="1">F79*'GS&lt;50 Predicted Monthly'!$X$10</f>
        <v>1779941.1168588174</v>
      </c>
      <c r="O79" s="18">
        <f>G79*'GS&lt;50 Predicted Monthly'!$X$11</f>
        <v>-41675.124138352003</v>
      </c>
      <c r="P79" s="18">
        <f>H79*'GS&lt;50 Predicted Monthly'!$X$12</f>
        <v>10409876.288463062</v>
      </c>
      <c r="Q79" s="18">
        <f>I79*'GS&lt;50 Predicted Monthly'!$X$13</f>
        <v>0</v>
      </c>
      <c r="R79" s="18">
        <f>J79*'GS&lt;50 Predicted Monthly'!$X$14</f>
        <v>11002902.38304105</v>
      </c>
      <c r="S79" s="20">
        <f t="shared" ca="1" si="63"/>
        <v>14847156.652038109</v>
      </c>
    </row>
    <row r="80" spans="1:19" x14ac:dyDescent="0.2">
      <c r="A80" s="9">
        <f>'Monthly Data'!A80</f>
        <v>44378</v>
      </c>
      <c r="B80">
        <f t="shared" si="60"/>
        <v>2021</v>
      </c>
      <c r="C80">
        <f t="shared" si="61"/>
        <v>7</v>
      </c>
      <c r="D80" s="30">
        <f>'Monthly Data'!J80</f>
        <v>15349955.586050624</v>
      </c>
      <c r="E80" s="33">
        <f t="shared" ref="E80:F80" ca="1" si="73">E68</f>
        <v>0</v>
      </c>
      <c r="F80" s="33">
        <f t="shared" ca="1" si="73"/>
        <v>267.66999999999996</v>
      </c>
      <c r="G80" s="18">
        <f>'Monthly Data'!AN80</f>
        <v>17046</v>
      </c>
      <c r="H80" s="8">
        <f>'Monthly Data'!K80</f>
        <v>5611</v>
      </c>
      <c r="I80" s="30">
        <f>'Monthly Data'!BR80</f>
        <v>0</v>
      </c>
      <c r="J80" s="30">
        <f>'Monthly Data'!BT80</f>
        <v>31</v>
      </c>
      <c r="L80" s="18">
        <f>'GS&lt;50 Predicted Monthly'!$X$8</f>
        <v>-8314018.5106493998</v>
      </c>
      <c r="M80" s="18">
        <f ca="1">E80*'GS&lt;50 Predicted Monthly'!$X$9</f>
        <v>0</v>
      </c>
      <c r="N80" s="18">
        <f ca="1">F80*'GS&lt;50 Predicted Monthly'!$X$10</f>
        <v>3092741.5692930841</v>
      </c>
      <c r="O80" s="18">
        <f>G80*'GS&lt;50 Predicted Monthly'!$X$11</f>
        <v>117110.80878047283</v>
      </c>
      <c r="P80" s="18">
        <f>H80*'GS&lt;50 Predicted Monthly'!$X$12</f>
        <v>10415445.052526077</v>
      </c>
      <c r="Q80" s="18">
        <f>I80*'GS&lt;50 Predicted Monthly'!$X$13</f>
        <v>0</v>
      </c>
      <c r="R80" s="18">
        <f>J80*'GS&lt;50 Predicted Monthly'!$X$14</f>
        <v>11369665.795809086</v>
      </c>
      <c r="S80" s="20">
        <f t="shared" ca="1" si="63"/>
        <v>16680944.71575932</v>
      </c>
    </row>
    <row r="81" spans="1:19" x14ac:dyDescent="0.2">
      <c r="A81" s="9">
        <f>'Monthly Data'!A81</f>
        <v>44409</v>
      </c>
      <c r="B81">
        <f t="shared" si="60"/>
        <v>2021</v>
      </c>
      <c r="C81">
        <f t="shared" si="61"/>
        <v>8</v>
      </c>
      <c r="D81" s="30">
        <f>'Monthly Data'!J81</f>
        <v>16375542.785116214</v>
      </c>
      <c r="E81" s="33">
        <f t="shared" ref="E81:F81" ca="1" si="74">E69</f>
        <v>0</v>
      </c>
      <c r="F81" s="33">
        <f t="shared" ca="1" si="74"/>
        <v>246.315</v>
      </c>
      <c r="G81" s="18">
        <f>'Monthly Data'!AN81</f>
        <v>17046</v>
      </c>
      <c r="H81" s="8">
        <f>'Monthly Data'!K81</f>
        <v>5615</v>
      </c>
      <c r="I81" s="30">
        <f>'Monthly Data'!BR81</f>
        <v>0</v>
      </c>
      <c r="J81" s="30">
        <f>'Monthly Data'!BT81</f>
        <v>31</v>
      </c>
      <c r="L81" s="18">
        <f>'GS&lt;50 Predicted Monthly'!$X$8</f>
        <v>-8314018.5106493998</v>
      </c>
      <c r="M81" s="18">
        <f ca="1">E81*'GS&lt;50 Predicted Monthly'!$X$9</f>
        <v>0</v>
      </c>
      <c r="N81" s="18">
        <f ca="1">F81*'GS&lt;50 Predicted Monthly'!$X$10</f>
        <v>2845999.3261868199</v>
      </c>
      <c r="O81" s="18">
        <f>G81*'GS&lt;50 Predicted Monthly'!$X$11</f>
        <v>117110.80878047283</v>
      </c>
      <c r="P81" s="18">
        <f>H81*'GS&lt;50 Predicted Monthly'!$X$12</f>
        <v>10422870.071276763</v>
      </c>
      <c r="Q81" s="18">
        <f>I81*'GS&lt;50 Predicted Monthly'!$X$13</f>
        <v>0</v>
      </c>
      <c r="R81" s="18">
        <f>J81*'GS&lt;50 Predicted Monthly'!$X$14</f>
        <v>11369665.795809086</v>
      </c>
      <c r="S81" s="20">
        <f t="shared" ca="1" si="63"/>
        <v>16441627.491403744</v>
      </c>
    </row>
    <row r="82" spans="1:19" x14ac:dyDescent="0.2">
      <c r="A82" s="9">
        <f>'Monthly Data'!A82</f>
        <v>44440</v>
      </c>
      <c r="B82">
        <f t="shared" si="60"/>
        <v>2021</v>
      </c>
      <c r="C82">
        <f t="shared" si="61"/>
        <v>9</v>
      </c>
      <c r="D82" s="30">
        <f>'Monthly Data'!J82</f>
        <v>14161395.984181803</v>
      </c>
      <c r="E82" s="33">
        <f t="shared" ref="E82:F82" ca="1" si="75">E70</f>
        <v>2.2699999999999996</v>
      </c>
      <c r="F82" s="33">
        <f t="shared" ca="1" si="75"/>
        <v>146.80000000000001</v>
      </c>
      <c r="G82" s="18">
        <f>'Monthly Data'!AN82</f>
        <v>17046</v>
      </c>
      <c r="H82" s="8">
        <f>'Monthly Data'!K82</f>
        <v>5618</v>
      </c>
      <c r="I82" s="30">
        <f>'Monthly Data'!BR82</f>
        <v>1</v>
      </c>
      <c r="J82" s="30">
        <f>'Monthly Data'!BT82</f>
        <v>30</v>
      </c>
      <c r="L82" s="18">
        <f>'GS&lt;50 Predicted Monthly'!$X$8</f>
        <v>-8314018.5106493998</v>
      </c>
      <c r="M82" s="18">
        <f ca="1">E82*'GS&lt;50 Predicted Monthly'!$X$9</f>
        <v>10695.92163295434</v>
      </c>
      <c r="N82" s="18">
        <f ca="1">F82*'GS&lt;50 Predicted Monthly'!$X$10</f>
        <v>1696172.3852961662</v>
      </c>
      <c r="O82" s="18">
        <f>G82*'GS&lt;50 Predicted Monthly'!$X$11</f>
        <v>117110.80878047283</v>
      </c>
      <c r="P82" s="18">
        <f>H82*'GS&lt;50 Predicted Monthly'!$X$12</f>
        <v>10428438.835339779</v>
      </c>
      <c r="Q82" s="18">
        <f>I82*'GS&lt;50 Predicted Monthly'!$X$13</f>
        <v>-202362.33175645399</v>
      </c>
      <c r="R82" s="18">
        <f>J82*'GS&lt;50 Predicted Monthly'!$X$14</f>
        <v>11002902.38304105</v>
      </c>
      <c r="S82" s="20">
        <f t="shared" ca="1" si="63"/>
        <v>14738939.491684567</v>
      </c>
    </row>
    <row r="83" spans="1:19" x14ac:dyDescent="0.2">
      <c r="A83" s="9">
        <f>'Monthly Data'!A83</f>
        <v>44470</v>
      </c>
      <c r="B83">
        <f t="shared" si="60"/>
        <v>2021</v>
      </c>
      <c r="C83">
        <f t="shared" si="61"/>
        <v>10</v>
      </c>
      <c r="D83" s="30">
        <f>'Monthly Data'!J83</f>
        <v>13417367.183247393</v>
      </c>
      <c r="E83" s="33">
        <f t="shared" ref="E83:F83" ca="1" si="76">E71</f>
        <v>83.800000000000011</v>
      </c>
      <c r="F83" s="33">
        <f t="shared" ca="1" si="76"/>
        <v>36.859999999999992</v>
      </c>
      <c r="G83" s="18">
        <f>'Monthly Data'!AN83</f>
        <v>18833</v>
      </c>
      <c r="H83" s="8">
        <f>'Monthly Data'!K83</f>
        <v>5614</v>
      </c>
      <c r="I83" s="30">
        <f>'Monthly Data'!BR83</f>
        <v>1</v>
      </c>
      <c r="J83" s="30">
        <f>'Monthly Data'!BT83</f>
        <v>31</v>
      </c>
      <c r="L83" s="18">
        <f>'GS&lt;50 Predicted Monthly'!$X$8</f>
        <v>-8314018.5106493998</v>
      </c>
      <c r="M83" s="18">
        <f ca="1">E83*'GS&lt;50 Predicted Monthly'!$X$9</f>
        <v>394853.84706677264</v>
      </c>
      <c r="N83" s="18">
        <f ca="1">F83*'GS&lt;50 Predicted Monthly'!$X$10</f>
        <v>425891.78557232063</v>
      </c>
      <c r="O83" s="18">
        <f>G83*'GS&lt;50 Predicted Monthly'!$X$11</f>
        <v>129388.00080738266</v>
      </c>
      <c r="P83" s="18">
        <f>H83*'GS&lt;50 Predicted Monthly'!$X$12</f>
        <v>10421013.816589091</v>
      </c>
      <c r="Q83" s="18">
        <f>I83*'GS&lt;50 Predicted Monthly'!$X$13</f>
        <v>-202362.33175645399</v>
      </c>
      <c r="R83" s="18">
        <f>J83*'GS&lt;50 Predicted Monthly'!$X$14</f>
        <v>11369665.795809086</v>
      </c>
      <c r="S83" s="20">
        <f t="shared" ca="1" si="63"/>
        <v>14224432.403438799</v>
      </c>
    </row>
    <row r="84" spans="1:19" x14ac:dyDescent="0.2">
      <c r="A84" s="9">
        <f>'Monthly Data'!A84</f>
        <v>44501</v>
      </c>
      <c r="B84">
        <f t="shared" si="60"/>
        <v>2021</v>
      </c>
      <c r="C84">
        <f t="shared" si="61"/>
        <v>11</v>
      </c>
      <c r="D84" s="30">
        <f>'Monthly Data'!J84</f>
        <v>13769731.382312981</v>
      </c>
      <c r="E84" s="33">
        <f t="shared" ref="E84:F84" ca="1" si="77">E72</f>
        <v>240.7</v>
      </c>
      <c r="F84" s="33">
        <f t="shared" ca="1" si="77"/>
        <v>3.410000000000001</v>
      </c>
      <c r="G84" s="18">
        <f>'Monthly Data'!AN84</f>
        <v>18833</v>
      </c>
      <c r="H84" s="8">
        <f>'Monthly Data'!K84</f>
        <v>5619</v>
      </c>
      <c r="I84" s="30">
        <f>'Monthly Data'!BR84</f>
        <v>1</v>
      </c>
      <c r="J84" s="30">
        <f>'Monthly Data'!BT84</f>
        <v>30</v>
      </c>
      <c r="L84" s="18">
        <f>'GS&lt;50 Predicted Monthly'!$X$8</f>
        <v>-8314018.5106493998</v>
      </c>
      <c r="M84" s="18">
        <f ca="1">E84*'GS&lt;50 Predicted Monthly'!$X$9</f>
        <v>1134144.6418731762</v>
      </c>
      <c r="N84" s="18">
        <f ca="1">F84*'GS&lt;50 Predicted Monthly'!$X$10</f>
        <v>39400.189603950465</v>
      </c>
      <c r="O84" s="18">
        <f>G84*'GS&lt;50 Predicted Monthly'!$X$11</f>
        <v>129388.00080738266</v>
      </c>
      <c r="P84" s="18">
        <f>H84*'GS&lt;50 Predicted Monthly'!$X$12</f>
        <v>10430295.09002745</v>
      </c>
      <c r="Q84" s="18">
        <f>I84*'GS&lt;50 Predicted Monthly'!$X$13</f>
        <v>-202362.33175645399</v>
      </c>
      <c r="R84" s="18">
        <f>J84*'GS&lt;50 Predicted Monthly'!$X$14</f>
        <v>11002902.38304105</v>
      </c>
      <c r="S84" s="20">
        <f t="shared" ca="1" si="63"/>
        <v>14219749.462947156</v>
      </c>
    </row>
    <row r="85" spans="1:19" x14ac:dyDescent="0.2">
      <c r="A85" s="9">
        <f>'Monthly Data'!A85</f>
        <v>44531</v>
      </c>
      <c r="B85">
        <f t="shared" si="60"/>
        <v>2021</v>
      </c>
      <c r="C85">
        <f t="shared" si="61"/>
        <v>12</v>
      </c>
      <c r="D85" s="30">
        <f>'Monthly Data'!J85</f>
        <v>14754878.581378572</v>
      </c>
      <c r="E85" s="33">
        <f t="shared" ref="E85:F85" ca="1" si="78">E73</f>
        <v>386.61999999999995</v>
      </c>
      <c r="F85" s="33">
        <f t="shared" ca="1" si="78"/>
        <v>0</v>
      </c>
      <c r="G85" s="18">
        <f>'Monthly Data'!AN85</f>
        <v>18833</v>
      </c>
      <c r="H85" s="8">
        <f>'Monthly Data'!K85</f>
        <v>5623</v>
      </c>
      <c r="I85" s="30">
        <f>'Monthly Data'!BR85</f>
        <v>0</v>
      </c>
      <c r="J85" s="30">
        <f>'Monthly Data'!BT85</f>
        <v>31</v>
      </c>
      <c r="L85" s="18">
        <f>'GS&lt;50 Predicted Monthly'!$X$8</f>
        <v>-8314018.5106493998</v>
      </c>
      <c r="M85" s="18">
        <f ca="1">E85*'GS&lt;50 Predicted Monthly'!$X$9</f>
        <v>1821699.2166223819</v>
      </c>
      <c r="N85" s="18">
        <f ca="1">F85*'GS&lt;50 Predicted Monthly'!$X$10</f>
        <v>0</v>
      </c>
      <c r="O85" s="18">
        <f>G85*'GS&lt;50 Predicted Monthly'!$X$11</f>
        <v>129388.00080738266</v>
      </c>
      <c r="P85" s="18">
        <f>H85*'GS&lt;50 Predicted Monthly'!$X$12</f>
        <v>10437720.108778138</v>
      </c>
      <c r="Q85" s="18">
        <f>I85*'GS&lt;50 Predicted Monthly'!$X$13</f>
        <v>0</v>
      </c>
      <c r="R85" s="18">
        <f>J85*'GS&lt;50 Predicted Monthly'!$X$14</f>
        <v>11369665.795809086</v>
      </c>
      <c r="S85" s="20">
        <f t="shared" ca="1" si="63"/>
        <v>15444454.611367591</v>
      </c>
    </row>
    <row r="86" spans="1:19" x14ac:dyDescent="0.2">
      <c r="A86" s="9">
        <f>'Monthly Data'!A86</f>
        <v>44562</v>
      </c>
      <c r="B86">
        <f t="shared" ref="B86:B145" si="79">YEAR(A86)</f>
        <v>2022</v>
      </c>
      <c r="C86">
        <f t="shared" ref="C86:C145" si="80">MONTH(A86)</f>
        <v>1</v>
      </c>
      <c r="D86" s="30">
        <f>'Monthly Data'!J86</f>
        <v>15788558.386490077</v>
      </c>
      <c r="E86" s="33">
        <f t="shared" ref="E86:F86" ca="1" si="81">E74</f>
        <v>508.54000000000008</v>
      </c>
      <c r="F86" s="33">
        <f t="shared" ca="1" si="81"/>
        <v>0</v>
      </c>
      <c r="G86" s="18">
        <f>'Monthly Data'!AN86</f>
        <v>6821</v>
      </c>
      <c r="H86" s="8">
        <f>'Monthly Data'!K86</f>
        <v>5641</v>
      </c>
      <c r="I86" s="30">
        <f>'Monthly Data'!BR86</f>
        <v>0</v>
      </c>
      <c r="J86" s="30">
        <f>'Monthly Data'!BT86</f>
        <v>31</v>
      </c>
      <c r="L86" s="18">
        <f>'GS&lt;50 Predicted Monthly'!$X$8</f>
        <v>-8314018.5106493998</v>
      </c>
      <c r="M86" s="18">
        <f ca="1">E86*'GS&lt;50 Predicted Monthly'!$X$9</f>
        <v>2396169.1573667848</v>
      </c>
      <c r="N86" s="18">
        <f ca="1">F86*'GS&lt;50 Predicted Monthly'!$X$10</f>
        <v>0</v>
      </c>
      <c r="O86" s="18">
        <f>G86*'GS&lt;50 Predicted Monthly'!$X$11</f>
        <v>46862.186242614407</v>
      </c>
      <c r="P86" s="18">
        <f>H86*'GS&lt;50 Predicted Monthly'!$X$12</f>
        <v>10471132.693156229</v>
      </c>
      <c r="Q86" s="18">
        <f>I86*'GS&lt;50 Predicted Monthly'!$X$13</f>
        <v>0</v>
      </c>
      <c r="R86" s="18">
        <f>J86*'GS&lt;50 Predicted Monthly'!$X$14</f>
        <v>11369665.795809086</v>
      </c>
      <c r="S86" s="20">
        <f t="shared" ca="1" si="63"/>
        <v>15969811.321925314</v>
      </c>
    </row>
    <row r="87" spans="1:19" x14ac:dyDescent="0.2">
      <c r="A87" s="9">
        <f>'Monthly Data'!A87</f>
        <v>44593</v>
      </c>
      <c r="B87">
        <f t="shared" si="79"/>
        <v>2022</v>
      </c>
      <c r="C87">
        <f t="shared" si="80"/>
        <v>2</v>
      </c>
      <c r="D87" s="30">
        <f>'Monthly Data'!J87</f>
        <v>14751049.03981971</v>
      </c>
      <c r="E87" s="33">
        <f t="shared" ref="E87:F87" ca="1" si="82">E75</f>
        <v>451.10999999999996</v>
      </c>
      <c r="F87" s="33">
        <f t="shared" ca="1" si="82"/>
        <v>0</v>
      </c>
      <c r="G87" s="18">
        <f>'Monthly Data'!AN87</f>
        <v>6821</v>
      </c>
      <c r="H87" s="8">
        <f>'Monthly Data'!K87</f>
        <v>5639</v>
      </c>
      <c r="I87" s="30">
        <f>'Monthly Data'!BR87</f>
        <v>0</v>
      </c>
      <c r="J87" s="30">
        <f>'Monthly Data'!BT87</f>
        <v>28</v>
      </c>
      <c r="L87" s="18">
        <f>'GS&lt;50 Predicted Monthly'!$X$8</f>
        <v>-8314018.5106493998</v>
      </c>
      <c r="M87" s="18">
        <f ca="1">E87*'GS&lt;50 Predicted Monthly'!$X$9</f>
        <v>2125567.0519127897</v>
      </c>
      <c r="N87" s="18">
        <f ca="1">F87*'GS&lt;50 Predicted Monthly'!$X$10</f>
        <v>0</v>
      </c>
      <c r="O87" s="18">
        <f>G87*'GS&lt;50 Predicted Monthly'!$X$11</f>
        <v>46862.186242614407</v>
      </c>
      <c r="P87" s="18">
        <f>H87*'GS&lt;50 Predicted Monthly'!$X$12</f>
        <v>10467420.183780884</v>
      </c>
      <c r="Q87" s="18">
        <f>I87*'GS&lt;50 Predicted Monthly'!$X$13</f>
        <v>0</v>
      </c>
      <c r="R87" s="18">
        <f>J87*'GS&lt;50 Predicted Monthly'!$X$14</f>
        <v>10269375.55750498</v>
      </c>
      <c r="S87" s="20">
        <f t="shared" ca="1" si="63"/>
        <v>14595206.468791869</v>
      </c>
    </row>
    <row r="88" spans="1:19" x14ac:dyDescent="0.2">
      <c r="A88" s="9">
        <f>'Monthly Data'!A88</f>
        <v>44621</v>
      </c>
      <c r="B88">
        <f t="shared" si="79"/>
        <v>2022</v>
      </c>
      <c r="C88">
        <f t="shared" si="80"/>
        <v>3</v>
      </c>
      <c r="D88" s="30">
        <f>'Monthly Data'!J88</f>
        <v>15389914.693149343</v>
      </c>
      <c r="E88" s="33">
        <f t="shared" ref="E88:F88" ca="1" si="83">E76</f>
        <v>374.74</v>
      </c>
      <c r="F88" s="33">
        <f t="shared" ca="1" si="83"/>
        <v>0</v>
      </c>
      <c r="G88" s="18">
        <f>'Monthly Data'!AN88</f>
        <v>6821</v>
      </c>
      <c r="H88" s="8">
        <f>'Monthly Data'!K88</f>
        <v>5650</v>
      </c>
      <c r="I88" s="30">
        <f>'Monthly Data'!BR88</f>
        <v>1</v>
      </c>
      <c r="J88" s="30">
        <f>'Monthly Data'!BT88</f>
        <v>31</v>
      </c>
      <c r="L88" s="18">
        <f>'GS&lt;50 Predicted Monthly'!$X$8</f>
        <v>-8314018.5106493998</v>
      </c>
      <c r="M88" s="18">
        <f ca="1">E88*'GS&lt;50 Predicted Monthly'!$X$9</f>
        <v>1765722.3227900043</v>
      </c>
      <c r="N88" s="18">
        <f ca="1">F88*'GS&lt;50 Predicted Monthly'!$X$10</f>
        <v>0</v>
      </c>
      <c r="O88" s="18">
        <f>G88*'GS&lt;50 Predicted Monthly'!$X$11</f>
        <v>46862.186242614407</v>
      </c>
      <c r="P88" s="18">
        <f>H88*'GS&lt;50 Predicted Monthly'!$X$12</f>
        <v>10487838.985345274</v>
      </c>
      <c r="Q88" s="18">
        <f>I88*'GS&lt;50 Predicted Monthly'!$X$13</f>
        <v>-202362.33175645399</v>
      </c>
      <c r="R88" s="18">
        <f>J88*'GS&lt;50 Predicted Monthly'!$X$14</f>
        <v>11369665.795809086</v>
      </c>
      <c r="S88" s="20">
        <f t="shared" ca="1" si="63"/>
        <v>15153708.447781125</v>
      </c>
    </row>
    <row r="89" spans="1:19" x14ac:dyDescent="0.2">
      <c r="A89" s="9">
        <f>'Monthly Data'!A89</f>
        <v>44652</v>
      </c>
      <c r="B89">
        <f t="shared" si="79"/>
        <v>2022</v>
      </c>
      <c r="C89">
        <f t="shared" si="80"/>
        <v>4</v>
      </c>
      <c r="D89" s="30">
        <f>'Monthly Data'!J89</f>
        <v>13876561.346478976</v>
      </c>
      <c r="E89" s="33">
        <f t="shared" ref="E89:F89" ca="1" si="84">E77</f>
        <v>221.12999999999997</v>
      </c>
      <c r="F89" s="33">
        <f t="shared" ca="1" si="84"/>
        <v>2.6300000000000003</v>
      </c>
      <c r="G89" s="18">
        <f>'Monthly Data'!AN89</f>
        <v>6403</v>
      </c>
      <c r="H89" s="8">
        <f>'Monthly Data'!K89</f>
        <v>5658</v>
      </c>
      <c r="I89" s="30">
        <f>'Monthly Data'!BR89</f>
        <v>1</v>
      </c>
      <c r="J89" s="30">
        <f>'Monthly Data'!BT89</f>
        <v>30</v>
      </c>
      <c r="L89" s="18">
        <f>'GS&lt;50 Predicted Monthly'!$X$8</f>
        <v>-8314018.5106493998</v>
      </c>
      <c r="M89" s="18">
        <f ca="1">E89*'GS&lt;50 Predicted Monthly'!$X$9</f>
        <v>1041933.5465617591</v>
      </c>
      <c r="N89" s="18">
        <f ca="1">F89*'GS&lt;50 Predicted Monthly'!$X$10</f>
        <v>30387.829518589355</v>
      </c>
      <c r="O89" s="18">
        <f>G89*'GS&lt;50 Predicted Monthly'!$X$11</f>
        <v>43990.408812704889</v>
      </c>
      <c r="P89" s="18">
        <f>H89*'GS&lt;50 Predicted Monthly'!$X$12</f>
        <v>10502689.022846648</v>
      </c>
      <c r="Q89" s="18">
        <f>I89*'GS&lt;50 Predicted Monthly'!$X$13</f>
        <v>-202362.33175645399</v>
      </c>
      <c r="R89" s="18">
        <f>J89*'GS&lt;50 Predicted Monthly'!$X$14</f>
        <v>11002902.38304105</v>
      </c>
      <c r="S89" s="20">
        <f t="shared" ca="1" si="63"/>
        <v>14105522.348374898</v>
      </c>
    </row>
    <row r="90" spans="1:19" x14ac:dyDescent="0.2">
      <c r="A90" s="9">
        <f>'Monthly Data'!A90</f>
        <v>44682</v>
      </c>
      <c r="B90">
        <f t="shared" si="79"/>
        <v>2022</v>
      </c>
      <c r="C90">
        <f t="shared" si="80"/>
        <v>5</v>
      </c>
      <c r="D90" s="30">
        <f>'Monthly Data'!J90</f>
        <v>14211702.999808609</v>
      </c>
      <c r="E90" s="33">
        <f t="shared" ref="E90:F90" ca="1" si="85">E78</f>
        <v>74.8</v>
      </c>
      <c r="F90" s="33">
        <f t="shared" ca="1" si="85"/>
        <v>50.489999999999995</v>
      </c>
      <c r="G90" s="18">
        <f>'Monthly Data'!AN90</f>
        <v>6403</v>
      </c>
      <c r="H90" s="8">
        <f>'Monthly Data'!K90</f>
        <v>5669</v>
      </c>
      <c r="I90" s="30">
        <f>'Monthly Data'!BR90</f>
        <v>1</v>
      </c>
      <c r="J90" s="30">
        <f>'Monthly Data'!BT90</f>
        <v>31</v>
      </c>
      <c r="L90" s="18">
        <f>'GS&lt;50 Predicted Monthly'!$X$8</f>
        <v>-8314018.5106493998</v>
      </c>
      <c r="M90" s="18">
        <f ca="1">E90*'GS&lt;50 Predicted Monthly'!$X$9</f>
        <v>352447.10931497125</v>
      </c>
      <c r="N90" s="18">
        <f ca="1">F90*'GS&lt;50 Predicted Monthly'!$X$10</f>
        <v>583377.00091010507</v>
      </c>
      <c r="O90" s="18">
        <f>G90*'GS&lt;50 Predicted Monthly'!$X$11</f>
        <v>43990.408812704889</v>
      </c>
      <c r="P90" s="18">
        <f>H90*'GS&lt;50 Predicted Monthly'!$X$12</f>
        <v>10523107.824411036</v>
      </c>
      <c r="Q90" s="18">
        <f>I90*'GS&lt;50 Predicted Monthly'!$X$13</f>
        <v>-202362.33175645399</v>
      </c>
      <c r="R90" s="18">
        <f>J90*'GS&lt;50 Predicted Monthly'!$X$14</f>
        <v>11369665.795809086</v>
      </c>
      <c r="S90" s="20">
        <f t="shared" ca="1" si="63"/>
        <v>14356207.29685205</v>
      </c>
    </row>
    <row r="91" spans="1:19" x14ac:dyDescent="0.2">
      <c r="A91" s="9">
        <f>'Monthly Data'!A91</f>
        <v>44713</v>
      </c>
      <c r="B91">
        <f t="shared" si="79"/>
        <v>2022</v>
      </c>
      <c r="C91">
        <f t="shared" si="80"/>
        <v>6</v>
      </c>
      <c r="D91" s="30">
        <f>'Monthly Data'!J91</f>
        <v>15055174.653138243</v>
      </c>
      <c r="E91" s="33">
        <f t="shared" ref="E91:F91" ca="1" si="86">E79</f>
        <v>2.15</v>
      </c>
      <c r="F91" s="33">
        <f t="shared" ca="1" si="86"/>
        <v>154.05000000000001</v>
      </c>
      <c r="G91" s="18">
        <f>'Monthly Data'!AN91</f>
        <v>6403</v>
      </c>
      <c r="H91" s="8">
        <f>'Monthly Data'!K91</f>
        <v>5662</v>
      </c>
      <c r="I91" s="30">
        <f>'Monthly Data'!BR91</f>
        <v>0</v>
      </c>
      <c r="J91" s="30">
        <f>'Monthly Data'!BT91</f>
        <v>30</v>
      </c>
      <c r="L91" s="18">
        <f>'GS&lt;50 Predicted Monthly'!$X$8</f>
        <v>-8314018.5106493998</v>
      </c>
      <c r="M91" s="18">
        <f ca="1">E91*'GS&lt;50 Predicted Monthly'!$X$9</f>
        <v>10130.498462930324</v>
      </c>
      <c r="N91" s="18">
        <f ca="1">F91*'GS&lt;50 Predicted Monthly'!$X$10</f>
        <v>1779941.1168588174</v>
      </c>
      <c r="O91" s="18">
        <f>G91*'GS&lt;50 Predicted Monthly'!$X$11</f>
        <v>43990.408812704889</v>
      </c>
      <c r="P91" s="18">
        <f>H91*'GS&lt;50 Predicted Monthly'!$X$12</f>
        <v>10510114.041597335</v>
      </c>
      <c r="Q91" s="18">
        <f>I91*'GS&lt;50 Predicted Monthly'!$X$13</f>
        <v>0</v>
      </c>
      <c r="R91" s="18">
        <f>J91*'GS&lt;50 Predicted Monthly'!$X$14</f>
        <v>11002902.38304105</v>
      </c>
      <c r="S91" s="20">
        <f t="shared" ca="1" si="63"/>
        <v>15033059.938123439</v>
      </c>
    </row>
    <row r="92" spans="1:19" x14ac:dyDescent="0.2">
      <c r="A92" s="9">
        <f>'Monthly Data'!A92</f>
        <v>44743</v>
      </c>
      <c r="B92">
        <f t="shared" si="79"/>
        <v>2022</v>
      </c>
      <c r="C92">
        <f t="shared" si="80"/>
        <v>7</v>
      </c>
      <c r="D92" s="30">
        <f>'Monthly Data'!J92</f>
        <v>16754433.306467874</v>
      </c>
      <c r="E92" s="33">
        <f t="shared" ref="E92:F92" ca="1" si="87">E80</f>
        <v>0</v>
      </c>
      <c r="F92" s="33">
        <f t="shared" ca="1" si="87"/>
        <v>267.66999999999996</v>
      </c>
      <c r="G92" s="18">
        <f>'Monthly Data'!AN92</f>
        <v>1358</v>
      </c>
      <c r="H92" s="8">
        <f>'Monthly Data'!K92</f>
        <v>5658</v>
      </c>
      <c r="I92" s="30">
        <f>'Monthly Data'!BR92</f>
        <v>0</v>
      </c>
      <c r="J92" s="30">
        <f>'Monthly Data'!BT92</f>
        <v>31</v>
      </c>
      <c r="L92" s="18">
        <f>'GS&lt;50 Predicted Monthly'!$X$8</f>
        <v>-8314018.5106493998</v>
      </c>
      <c r="M92" s="18">
        <f ca="1">E92*'GS&lt;50 Predicted Monthly'!$X$9</f>
        <v>0</v>
      </c>
      <c r="N92" s="18">
        <f ca="1">F92*'GS&lt;50 Predicted Monthly'!$X$10</f>
        <v>3092741.5692930841</v>
      </c>
      <c r="O92" s="18">
        <f>G92*'GS&lt;50 Predicted Monthly'!$X$11</f>
        <v>9329.8415067395345</v>
      </c>
      <c r="P92" s="18">
        <f>H92*'GS&lt;50 Predicted Monthly'!$X$12</f>
        <v>10502689.022846648</v>
      </c>
      <c r="Q92" s="18">
        <f>I92*'GS&lt;50 Predicted Monthly'!$X$13</f>
        <v>0</v>
      </c>
      <c r="R92" s="18">
        <f>J92*'GS&lt;50 Predicted Monthly'!$X$14</f>
        <v>11369665.795809086</v>
      </c>
      <c r="S92" s="20">
        <f t="shared" ca="1" si="63"/>
        <v>16660407.718806159</v>
      </c>
    </row>
    <row r="93" spans="1:19" x14ac:dyDescent="0.2">
      <c r="A93" s="9">
        <f>'Monthly Data'!A93</f>
        <v>44774</v>
      </c>
      <c r="B93">
        <f t="shared" si="79"/>
        <v>2022</v>
      </c>
      <c r="C93">
        <f t="shared" si="80"/>
        <v>8</v>
      </c>
      <c r="D93" s="30">
        <f>'Monthly Data'!J93</f>
        <v>16753992.959797507</v>
      </c>
      <c r="E93" s="33">
        <f t="shared" ref="E93:F93" ca="1" si="88">E81</f>
        <v>0</v>
      </c>
      <c r="F93" s="33">
        <f t="shared" ca="1" si="88"/>
        <v>246.315</v>
      </c>
      <c r="G93" s="18">
        <f>'Monthly Data'!AN93</f>
        <v>1358</v>
      </c>
      <c r="H93" s="8">
        <f>'Monthly Data'!K93</f>
        <v>5681</v>
      </c>
      <c r="I93" s="30">
        <f>'Monthly Data'!BR93</f>
        <v>0</v>
      </c>
      <c r="J93" s="30">
        <f>'Monthly Data'!BT93</f>
        <v>31</v>
      </c>
      <c r="L93" s="18">
        <f>'GS&lt;50 Predicted Monthly'!$X$8</f>
        <v>-8314018.5106493998</v>
      </c>
      <c r="M93" s="18">
        <f ca="1">E93*'GS&lt;50 Predicted Monthly'!$X$9</f>
        <v>0</v>
      </c>
      <c r="N93" s="18">
        <f ca="1">F93*'GS&lt;50 Predicted Monthly'!$X$10</f>
        <v>2845999.3261868199</v>
      </c>
      <c r="O93" s="18">
        <f>G93*'GS&lt;50 Predicted Monthly'!$X$11</f>
        <v>9329.8415067395345</v>
      </c>
      <c r="P93" s="18">
        <f>H93*'GS&lt;50 Predicted Monthly'!$X$12</f>
        <v>10545382.880663097</v>
      </c>
      <c r="Q93" s="18">
        <f>I93*'GS&lt;50 Predicted Monthly'!$X$13</f>
        <v>0</v>
      </c>
      <c r="R93" s="18">
        <f>J93*'GS&lt;50 Predicted Monthly'!$X$14</f>
        <v>11369665.795809086</v>
      </c>
      <c r="S93" s="20">
        <f t="shared" ca="1" si="63"/>
        <v>16456359.333516343</v>
      </c>
    </row>
    <row r="94" spans="1:19" x14ac:dyDescent="0.2">
      <c r="A94" s="9">
        <f>'Monthly Data'!A94</f>
        <v>44805</v>
      </c>
      <c r="B94">
        <f t="shared" si="79"/>
        <v>2022</v>
      </c>
      <c r="C94">
        <f t="shared" si="80"/>
        <v>9</v>
      </c>
      <c r="D94" s="30">
        <f>'Monthly Data'!J94</f>
        <v>14523776.61312714</v>
      </c>
      <c r="E94" s="33">
        <f t="shared" ref="E94:F94" ca="1" si="89">E82</f>
        <v>2.2699999999999996</v>
      </c>
      <c r="F94" s="33">
        <f t="shared" ca="1" si="89"/>
        <v>146.80000000000001</v>
      </c>
      <c r="G94" s="18">
        <f>'Monthly Data'!AN94</f>
        <v>1358</v>
      </c>
      <c r="H94" s="8">
        <f>'Monthly Data'!K94</f>
        <v>5679</v>
      </c>
      <c r="I94" s="30">
        <f>'Monthly Data'!BR94</f>
        <v>1</v>
      </c>
      <c r="J94" s="30">
        <f>'Monthly Data'!BT94</f>
        <v>30</v>
      </c>
      <c r="L94" s="18">
        <f>'GS&lt;50 Predicted Monthly'!$X$8</f>
        <v>-8314018.5106493998</v>
      </c>
      <c r="M94" s="18">
        <f ca="1">E94*'GS&lt;50 Predicted Monthly'!$X$9</f>
        <v>10695.92163295434</v>
      </c>
      <c r="N94" s="18">
        <f ca="1">F94*'GS&lt;50 Predicted Monthly'!$X$10</f>
        <v>1696172.3852961662</v>
      </c>
      <c r="O94" s="18">
        <f>G94*'GS&lt;50 Predicted Monthly'!$X$11</f>
        <v>9329.8415067395345</v>
      </c>
      <c r="P94" s="18">
        <f>H94*'GS&lt;50 Predicted Monthly'!$X$12</f>
        <v>10541670.371287754</v>
      </c>
      <c r="Q94" s="18">
        <f>I94*'GS&lt;50 Predicted Monthly'!$X$13</f>
        <v>-202362.33175645399</v>
      </c>
      <c r="R94" s="18">
        <f>J94*'GS&lt;50 Predicted Monthly'!$X$14</f>
        <v>11002902.38304105</v>
      </c>
      <c r="S94" s="20">
        <f t="shared" ca="1" si="63"/>
        <v>14744390.060358809</v>
      </c>
    </row>
    <row r="95" spans="1:19" x14ac:dyDescent="0.2">
      <c r="A95" s="9">
        <f>'Monthly Data'!A95</f>
        <v>44835</v>
      </c>
      <c r="B95">
        <f t="shared" si="79"/>
        <v>2022</v>
      </c>
      <c r="C95">
        <f t="shared" si="80"/>
        <v>10</v>
      </c>
      <c r="D95" s="30">
        <f>'Monthly Data'!J95</f>
        <v>13812237.266456774</v>
      </c>
      <c r="E95" s="33">
        <f t="shared" ref="E95:F95" ca="1" si="90">E83</f>
        <v>83.800000000000011</v>
      </c>
      <c r="F95" s="33">
        <f t="shared" ca="1" si="90"/>
        <v>36.859999999999992</v>
      </c>
      <c r="G95" s="18">
        <f>'Monthly Data'!AN95</f>
        <v>-950</v>
      </c>
      <c r="H95" s="8">
        <f>'Monthly Data'!K95</f>
        <v>5668</v>
      </c>
      <c r="I95" s="30">
        <f>'Monthly Data'!BR95</f>
        <v>1</v>
      </c>
      <c r="J95" s="30">
        <f>'Monthly Data'!BT95</f>
        <v>31</v>
      </c>
      <c r="L95" s="18">
        <f>'GS&lt;50 Predicted Monthly'!$X$8</f>
        <v>-8314018.5106493998</v>
      </c>
      <c r="M95" s="18">
        <f ca="1">E95*'GS&lt;50 Predicted Monthly'!$X$9</f>
        <v>394853.84706677264</v>
      </c>
      <c r="N95" s="18">
        <f ca="1">F95*'GS&lt;50 Predicted Monthly'!$X$10</f>
        <v>425891.78557232063</v>
      </c>
      <c r="O95" s="18">
        <f>G95*'GS&lt;50 Predicted Monthly'!$X$11</f>
        <v>-6526.766886157995</v>
      </c>
      <c r="P95" s="18">
        <f>H95*'GS&lt;50 Predicted Monthly'!$X$12</f>
        <v>10521251.569723366</v>
      </c>
      <c r="Q95" s="18">
        <f>I95*'GS&lt;50 Predicted Monthly'!$X$13</f>
        <v>-202362.33175645399</v>
      </c>
      <c r="R95" s="18">
        <f>J95*'GS&lt;50 Predicted Monthly'!$X$14</f>
        <v>11369665.795809086</v>
      </c>
      <c r="S95" s="20">
        <f t="shared" ca="1" si="63"/>
        <v>14188755.388879534</v>
      </c>
    </row>
    <row r="96" spans="1:19" x14ac:dyDescent="0.2">
      <c r="A96" s="9">
        <f>'Monthly Data'!A96</f>
        <v>44866</v>
      </c>
      <c r="B96">
        <f t="shared" si="79"/>
        <v>2022</v>
      </c>
      <c r="C96">
        <f t="shared" si="80"/>
        <v>11</v>
      </c>
      <c r="D96" s="30">
        <f>'Monthly Data'!J96</f>
        <v>14497454.919786407</v>
      </c>
      <c r="E96" s="33">
        <f t="shared" ref="E96:F96" ca="1" si="91">E84</f>
        <v>240.7</v>
      </c>
      <c r="F96" s="33">
        <f t="shared" ca="1" si="91"/>
        <v>3.410000000000001</v>
      </c>
      <c r="G96" s="18">
        <f>'Monthly Data'!AN96</f>
        <v>-950</v>
      </c>
      <c r="H96" s="8">
        <f>'Monthly Data'!K96</f>
        <v>5677</v>
      </c>
      <c r="I96" s="30">
        <f>'Monthly Data'!BR96</f>
        <v>1</v>
      </c>
      <c r="J96" s="30">
        <f>'Monthly Data'!BT96</f>
        <v>30</v>
      </c>
      <c r="L96" s="18">
        <f>'GS&lt;50 Predicted Monthly'!$X$8</f>
        <v>-8314018.5106493998</v>
      </c>
      <c r="M96" s="18">
        <f ca="1">E96*'GS&lt;50 Predicted Monthly'!$X$9</f>
        <v>1134144.6418731762</v>
      </c>
      <c r="N96" s="18">
        <f ca="1">F96*'GS&lt;50 Predicted Monthly'!$X$10</f>
        <v>39400.189603950465</v>
      </c>
      <c r="O96" s="18">
        <f>G96*'GS&lt;50 Predicted Monthly'!$X$11</f>
        <v>-6526.766886157995</v>
      </c>
      <c r="P96" s="18">
        <f>H96*'GS&lt;50 Predicted Monthly'!$X$12</f>
        <v>10537957.861912411</v>
      </c>
      <c r="Q96" s="18">
        <f>I96*'GS&lt;50 Predicted Monthly'!$X$13</f>
        <v>-202362.33175645399</v>
      </c>
      <c r="R96" s="18">
        <f>J96*'GS&lt;50 Predicted Monthly'!$X$14</f>
        <v>11002902.38304105</v>
      </c>
      <c r="S96" s="20">
        <f t="shared" ca="1" si="63"/>
        <v>14191497.467138577</v>
      </c>
    </row>
    <row r="97" spans="1:23" x14ac:dyDescent="0.2">
      <c r="A97" s="9">
        <f>'Monthly Data'!A97</f>
        <v>44896</v>
      </c>
      <c r="B97">
        <f t="shared" si="79"/>
        <v>2022</v>
      </c>
      <c r="C97">
        <f t="shared" si="80"/>
        <v>12</v>
      </c>
      <c r="D97" s="30">
        <f>'Monthly Data'!J97</f>
        <v>15707320.57311604</v>
      </c>
      <c r="E97" s="33">
        <f t="shared" ref="E97:F97" ca="1" si="92">E85</f>
        <v>386.61999999999995</v>
      </c>
      <c r="F97" s="33">
        <f t="shared" ca="1" si="92"/>
        <v>0</v>
      </c>
      <c r="G97" s="18">
        <f>'Monthly Data'!AN97</f>
        <v>-950</v>
      </c>
      <c r="H97" s="8">
        <f>'Monthly Data'!K97</f>
        <v>5690</v>
      </c>
      <c r="I97" s="30">
        <f>'Monthly Data'!BR97</f>
        <v>0</v>
      </c>
      <c r="J97" s="30">
        <f>'Monthly Data'!BT97</f>
        <v>31</v>
      </c>
      <c r="L97" s="18">
        <f>'GS&lt;50 Predicted Monthly'!$X$8</f>
        <v>-8314018.5106493998</v>
      </c>
      <c r="M97" s="18">
        <f ca="1">E97*'GS&lt;50 Predicted Monthly'!$X$9</f>
        <v>1821699.2166223819</v>
      </c>
      <c r="N97" s="18">
        <f ca="1">F97*'GS&lt;50 Predicted Monthly'!$X$10</f>
        <v>0</v>
      </c>
      <c r="O97" s="18">
        <f>G97*'GS&lt;50 Predicted Monthly'!$X$11</f>
        <v>-6526.766886157995</v>
      </c>
      <c r="P97" s="18">
        <f>H97*'GS&lt;50 Predicted Monthly'!$X$12</f>
        <v>10562089.172852144</v>
      </c>
      <c r="Q97" s="18">
        <f>I97*'GS&lt;50 Predicted Monthly'!$X$13</f>
        <v>0</v>
      </c>
      <c r="R97" s="18">
        <f>J97*'GS&lt;50 Predicted Monthly'!$X$14</f>
        <v>11369665.795809086</v>
      </c>
      <c r="S97" s="20">
        <f t="shared" ca="1" si="63"/>
        <v>15432908.907748055</v>
      </c>
    </row>
    <row r="98" spans="1:23" x14ac:dyDescent="0.2">
      <c r="A98" s="9">
        <f>'Monthly Data'!A98</f>
        <v>44927</v>
      </c>
      <c r="B98">
        <f t="shared" si="79"/>
        <v>2023</v>
      </c>
      <c r="C98">
        <f t="shared" si="80"/>
        <v>1</v>
      </c>
      <c r="D98" s="30">
        <f>'Monthly Data'!J98</f>
        <v>16124970.659739304</v>
      </c>
      <c r="E98" s="33">
        <f t="shared" ref="E98:F98" ca="1" si="93">E86</f>
        <v>508.54000000000008</v>
      </c>
      <c r="F98" s="33">
        <f t="shared" ca="1" si="93"/>
        <v>0</v>
      </c>
      <c r="G98" s="18">
        <f>'Monthly Data'!AN98</f>
        <v>8629</v>
      </c>
      <c r="H98" s="8">
        <f>'Monthly Data'!K98</f>
        <v>5697</v>
      </c>
      <c r="I98" s="30">
        <f>'Monthly Data'!BR98</f>
        <v>0</v>
      </c>
      <c r="J98" s="30">
        <f>'Monthly Data'!BT98</f>
        <v>31</v>
      </c>
      <c r="L98" s="18">
        <f>'GS&lt;50 Predicted Monthly'!$X$8</f>
        <v>-8314018.5106493998</v>
      </c>
      <c r="M98" s="18">
        <f ca="1">E98*'GS&lt;50 Predicted Monthly'!$X$9</f>
        <v>2396169.1573667848</v>
      </c>
      <c r="N98" s="18">
        <f ca="1">F98*'GS&lt;50 Predicted Monthly'!$X$10</f>
        <v>0</v>
      </c>
      <c r="O98" s="18">
        <f>G98*'GS&lt;50 Predicted Monthly'!$X$11</f>
        <v>59283.65416911299</v>
      </c>
      <c r="P98" s="18">
        <f>H98*'GS&lt;50 Predicted Monthly'!$X$12</f>
        <v>10575082.955665845</v>
      </c>
      <c r="Q98" s="18">
        <f>I98*'GS&lt;50 Predicted Monthly'!$X$13</f>
        <v>0</v>
      </c>
      <c r="R98" s="18">
        <f>J98*'GS&lt;50 Predicted Monthly'!$X$14</f>
        <v>11369665.795809086</v>
      </c>
      <c r="S98" s="20">
        <f t="shared" ca="1" si="63"/>
        <v>16086183.052361429</v>
      </c>
    </row>
    <row r="99" spans="1:23" x14ac:dyDescent="0.2">
      <c r="A99" s="9">
        <f>'Monthly Data'!A99</f>
        <v>44958</v>
      </c>
      <c r="B99">
        <f t="shared" si="79"/>
        <v>2023</v>
      </c>
      <c r="C99">
        <f t="shared" si="80"/>
        <v>2</v>
      </c>
      <c r="D99" s="30">
        <f>'Monthly Data'!J99</f>
        <v>14767925.683730803</v>
      </c>
      <c r="E99" s="33">
        <f t="shared" ref="E99:F99" ca="1" si="94">E87</f>
        <v>451.10999999999996</v>
      </c>
      <c r="F99" s="33">
        <f t="shared" ca="1" si="94"/>
        <v>0</v>
      </c>
      <c r="G99" s="18">
        <f>'Monthly Data'!AN99</f>
        <v>8629</v>
      </c>
      <c r="H99" s="8">
        <f>'Monthly Data'!K99</f>
        <v>5697</v>
      </c>
      <c r="I99" s="30">
        <f>'Monthly Data'!BR99</f>
        <v>0</v>
      </c>
      <c r="J99" s="30">
        <f>'Monthly Data'!BT99</f>
        <v>28</v>
      </c>
      <c r="L99" s="18">
        <f>'GS&lt;50 Predicted Monthly'!$X$8</f>
        <v>-8314018.5106493998</v>
      </c>
      <c r="M99" s="18">
        <f ca="1">E99*'GS&lt;50 Predicted Monthly'!$X$9</f>
        <v>2125567.0519127897</v>
      </c>
      <c r="N99" s="18">
        <f ca="1">F99*'GS&lt;50 Predicted Monthly'!$X$10</f>
        <v>0</v>
      </c>
      <c r="O99" s="18">
        <f>G99*'GS&lt;50 Predicted Monthly'!$X$11</f>
        <v>59283.65416911299</v>
      </c>
      <c r="P99" s="18">
        <f>H99*'GS&lt;50 Predicted Monthly'!$X$12</f>
        <v>10575082.955665845</v>
      </c>
      <c r="Q99" s="18">
        <f>I99*'GS&lt;50 Predicted Monthly'!$X$13</f>
        <v>0</v>
      </c>
      <c r="R99" s="18">
        <f>J99*'GS&lt;50 Predicted Monthly'!$X$14</f>
        <v>10269375.55750498</v>
      </c>
      <c r="S99" s="20">
        <f t="shared" ca="1" si="63"/>
        <v>14715290.70860333</v>
      </c>
    </row>
    <row r="100" spans="1:23" x14ac:dyDescent="0.2">
      <c r="A100" s="9">
        <f>'Monthly Data'!A100</f>
        <v>44986</v>
      </c>
      <c r="B100">
        <f t="shared" si="79"/>
        <v>2023</v>
      </c>
      <c r="C100">
        <f t="shared" si="80"/>
        <v>3</v>
      </c>
      <c r="D100" s="30">
        <f>'Monthly Data'!J100</f>
        <v>15713742.707722303</v>
      </c>
      <c r="E100" s="33">
        <f t="shared" ref="E100:F100" ca="1" si="95">E88</f>
        <v>374.74</v>
      </c>
      <c r="F100" s="33">
        <f t="shared" ca="1" si="95"/>
        <v>0</v>
      </c>
      <c r="G100" s="18">
        <f>'Monthly Data'!AN100</f>
        <v>8629</v>
      </c>
      <c r="H100" s="8">
        <f>'Monthly Data'!K100</f>
        <v>5697</v>
      </c>
      <c r="I100" s="30">
        <f>'Monthly Data'!BR100</f>
        <v>1</v>
      </c>
      <c r="J100" s="30">
        <f>'Monthly Data'!BT100</f>
        <v>31</v>
      </c>
      <c r="L100" s="18">
        <f>'GS&lt;50 Predicted Monthly'!$X$8</f>
        <v>-8314018.5106493998</v>
      </c>
      <c r="M100" s="18">
        <f ca="1">E100*'GS&lt;50 Predicted Monthly'!$X$9</f>
        <v>1765722.3227900043</v>
      </c>
      <c r="N100" s="18">
        <f ca="1">F100*'GS&lt;50 Predicted Monthly'!$X$10</f>
        <v>0</v>
      </c>
      <c r="O100" s="18">
        <f>G100*'GS&lt;50 Predicted Monthly'!$X$11</f>
        <v>59283.65416911299</v>
      </c>
      <c r="P100" s="18">
        <f>H100*'GS&lt;50 Predicted Monthly'!$X$12</f>
        <v>10575082.955665845</v>
      </c>
      <c r="Q100" s="18">
        <f>I100*'GS&lt;50 Predicted Monthly'!$X$13</f>
        <v>-202362.33175645399</v>
      </c>
      <c r="R100" s="18">
        <f>J100*'GS&lt;50 Predicted Monthly'!$X$14</f>
        <v>11369665.795809086</v>
      </c>
      <c r="S100" s="20">
        <f t="shared" ca="1" si="63"/>
        <v>15253373.886028197</v>
      </c>
      <c r="V100" s="18"/>
      <c r="W100" s="34"/>
    </row>
    <row r="101" spans="1:23" x14ac:dyDescent="0.2">
      <c r="A101" s="9">
        <f>'Monthly Data'!A101</f>
        <v>45017</v>
      </c>
      <c r="B101">
        <f t="shared" si="79"/>
        <v>2023</v>
      </c>
      <c r="C101">
        <f t="shared" si="80"/>
        <v>4</v>
      </c>
      <c r="D101" s="30">
        <f>'Monthly Data'!J101</f>
        <v>14335711.731713802</v>
      </c>
      <c r="E101" s="33">
        <f t="shared" ref="E101:F101" ca="1" si="96">E89</f>
        <v>221.12999999999997</v>
      </c>
      <c r="F101" s="33">
        <f t="shared" ca="1" si="96"/>
        <v>2.6300000000000003</v>
      </c>
      <c r="G101" s="18">
        <f>'Monthly Data'!AN101</f>
        <v>4845</v>
      </c>
      <c r="H101" s="8">
        <f>'Monthly Data'!K101</f>
        <v>5695</v>
      </c>
      <c r="I101" s="30">
        <f>'Monthly Data'!BR101</f>
        <v>1</v>
      </c>
      <c r="J101" s="30">
        <f>'Monthly Data'!BT101</f>
        <v>30</v>
      </c>
      <c r="L101" s="18">
        <f>'GS&lt;50 Predicted Monthly'!$X$8</f>
        <v>-8314018.5106493998</v>
      </c>
      <c r="M101" s="18">
        <f ca="1">E101*'GS&lt;50 Predicted Monthly'!$X$9</f>
        <v>1041933.5465617591</v>
      </c>
      <c r="N101" s="18">
        <f ca="1">F101*'GS&lt;50 Predicted Monthly'!$X$10</f>
        <v>30387.829518589355</v>
      </c>
      <c r="O101" s="18">
        <f>G101*'GS&lt;50 Predicted Monthly'!$X$11</f>
        <v>33286.511119405775</v>
      </c>
      <c r="P101" s="18">
        <f>H101*'GS&lt;50 Predicted Monthly'!$X$12</f>
        <v>10571370.446290502</v>
      </c>
      <c r="Q101" s="18">
        <f>I101*'GS&lt;50 Predicted Monthly'!$X$13</f>
        <v>-202362.33175645399</v>
      </c>
      <c r="R101" s="18">
        <f>J101*'GS&lt;50 Predicted Monthly'!$X$14</f>
        <v>11002902.38304105</v>
      </c>
      <c r="S101" s="20">
        <f t="shared" ca="1" si="63"/>
        <v>14163499.874125453</v>
      </c>
      <c r="V101" s="18"/>
      <c r="W101" s="34"/>
    </row>
    <row r="102" spans="1:23" x14ac:dyDescent="0.2">
      <c r="A102" s="9">
        <f>'Monthly Data'!A102</f>
        <v>45047</v>
      </c>
      <c r="B102">
        <f t="shared" si="79"/>
        <v>2023</v>
      </c>
      <c r="C102">
        <f t="shared" si="80"/>
        <v>5</v>
      </c>
      <c r="D102" s="30">
        <f>'Monthly Data'!J102</f>
        <v>14570433.755705301</v>
      </c>
      <c r="E102" s="33">
        <f t="shared" ref="E102:F102" ca="1" si="97">E90</f>
        <v>74.8</v>
      </c>
      <c r="F102" s="33">
        <f t="shared" ca="1" si="97"/>
        <v>50.489999999999995</v>
      </c>
      <c r="G102" s="18">
        <f>'Monthly Data'!AN102</f>
        <v>4845</v>
      </c>
      <c r="H102" s="8">
        <f>'Monthly Data'!K102</f>
        <v>5695</v>
      </c>
      <c r="I102" s="30">
        <f>'Monthly Data'!BR102</f>
        <v>1</v>
      </c>
      <c r="J102" s="30">
        <f>'Monthly Data'!BT102</f>
        <v>31</v>
      </c>
      <c r="L102" s="18">
        <f>'GS&lt;50 Predicted Monthly'!$X$8</f>
        <v>-8314018.5106493998</v>
      </c>
      <c r="M102" s="18">
        <f ca="1">E102*'GS&lt;50 Predicted Monthly'!$X$9</f>
        <v>352447.10931497125</v>
      </c>
      <c r="N102" s="18">
        <f ca="1">F102*'GS&lt;50 Predicted Monthly'!$X$10</f>
        <v>583377.00091010507</v>
      </c>
      <c r="O102" s="18">
        <f>G102*'GS&lt;50 Predicted Monthly'!$X$11</f>
        <v>33286.511119405775</v>
      </c>
      <c r="P102" s="18">
        <f>H102*'GS&lt;50 Predicted Monthly'!$X$12</f>
        <v>10571370.446290502</v>
      </c>
      <c r="Q102" s="18">
        <f>I102*'GS&lt;50 Predicted Monthly'!$X$13</f>
        <v>-202362.33175645399</v>
      </c>
      <c r="R102" s="18">
        <f>J102*'GS&lt;50 Predicted Monthly'!$X$14</f>
        <v>11369665.795809086</v>
      </c>
      <c r="S102" s="20">
        <f t="shared" ca="1" si="63"/>
        <v>14393766.021038217</v>
      </c>
      <c r="V102" s="18"/>
      <c r="W102" s="34"/>
    </row>
    <row r="103" spans="1:23" x14ac:dyDescent="0.2">
      <c r="A103" s="9">
        <f>'Monthly Data'!A103</f>
        <v>45078</v>
      </c>
      <c r="B103">
        <f t="shared" si="79"/>
        <v>2023</v>
      </c>
      <c r="C103">
        <f t="shared" si="80"/>
        <v>6</v>
      </c>
      <c r="D103" s="30">
        <f>'Monthly Data'!J103</f>
        <v>15207184.779696802</v>
      </c>
      <c r="E103" s="33">
        <f t="shared" ref="E103:F103" ca="1" si="98">E91</f>
        <v>2.15</v>
      </c>
      <c r="F103" s="33">
        <f t="shared" ca="1" si="98"/>
        <v>154.05000000000001</v>
      </c>
      <c r="G103" s="18">
        <f>'Monthly Data'!AN103</f>
        <v>4845</v>
      </c>
      <c r="H103" s="8">
        <f>'Monthly Data'!K103</f>
        <v>5713</v>
      </c>
      <c r="I103" s="30">
        <f>'Monthly Data'!BR103</f>
        <v>0</v>
      </c>
      <c r="J103" s="30">
        <f>'Monthly Data'!BT103</f>
        <v>30</v>
      </c>
      <c r="L103" s="18">
        <f>'GS&lt;50 Predicted Monthly'!$X$8</f>
        <v>-8314018.5106493998</v>
      </c>
      <c r="M103" s="18">
        <f ca="1">E103*'GS&lt;50 Predicted Monthly'!$X$9</f>
        <v>10130.498462930324</v>
      </c>
      <c r="N103" s="18">
        <f ca="1">F103*'GS&lt;50 Predicted Monthly'!$X$10</f>
        <v>1779941.1168588174</v>
      </c>
      <c r="O103" s="18">
        <f>G103*'GS&lt;50 Predicted Monthly'!$X$11</f>
        <v>33286.511119405775</v>
      </c>
      <c r="P103" s="18">
        <f>H103*'GS&lt;50 Predicted Monthly'!$X$12</f>
        <v>10604783.030668594</v>
      </c>
      <c r="Q103" s="18">
        <f>I103*'GS&lt;50 Predicted Monthly'!$X$13</f>
        <v>0</v>
      </c>
      <c r="R103" s="18">
        <f>J103*'GS&lt;50 Predicted Monthly'!$X$14</f>
        <v>11002902.38304105</v>
      </c>
      <c r="S103" s="20">
        <f t="shared" ca="1" si="63"/>
        <v>15117025.029501397</v>
      </c>
      <c r="V103" s="18"/>
      <c r="W103" s="34"/>
    </row>
    <row r="104" spans="1:23" x14ac:dyDescent="0.2">
      <c r="A104" s="9">
        <f>'Monthly Data'!A104</f>
        <v>45108</v>
      </c>
      <c r="B104">
        <f t="shared" si="79"/>
        <v>2023</v>
      </c>
      <c r="C104">
        <f t="shared" si="80"/>
        <v>7</v>
      </c>
      <c r="D104" s="30">
        <f>'Monthly Data'!J104</f>
        <v>17067649.803688299</v>
      </c>
      <c r="E104" s="33">
        <f t="shared" ref="E104:F104" ca="1" si="99">E92</f>
        <v>0</v>
      </c>
      <c r="F104" s="33">
        <f t="shared" ca="1" si="99"/>
        <v>267.66999999999996</v>
      </c>
      <c r="G104" s="18">
        <f>'Monthly Data'!AN104</f>
        <v>2198</v>
      </c>
      <c r="H104" s="8">
        <f>'Monthly Data'!K104</f>
        <v>5701</v>
      </c>
      <c r="I104" s="30">
        <f>'Monthly Data'!BR104</f>
        <v>0</v>
      </c>
      <c r="J104" s="30">
        <f>'Monthly Data'!BT104</f>
        <v>31</v>
      </c>
      <c r="L104" s="18">
        <f>'GS&lt;50 Predicted Monthly'!$X$8</f>
        <v>-8314018.5106493998</v>
      </c>
      <c r="M104" s="18">
        <f ca="1">E104*'GS&lt;50 Predicted Monthly'!$X$9</f>
        <v>0</v>
      </c>
      <c r="N104" s="18">
        <f ca="1">F104*'GS&lt;50 Predicted Monthly'!$X$10</f>
        <v>3092741.5692930841</v>
      </c>
      <c r="O104" s="18">
        <f>G104*'GS&lt;50 Predicted Monthly'!$X$11</f>
        <v>15100.877490289762</v>
      </c>
      <c r="P104" s="18">
        <f>H104*'GS&lt;50 Predicted Monthly'!$X$12</f>
        <v>10582507.974416532</v>
      </c>
      <c r="Q104" s="18">
        <f>I104*'GS&lt;50 Predicted Monthly'!$X$13</f>
        <v>0</v>
      </c>
      <c r="R104" s="18">
        <f>J104*'GS&lt;50 Predicted Monthly'!$X$14</f>
        <v>11369665.795809086</v>
      </c>
      <c r="S104" s="20">
        <f t="shared" ca="1" si="63"/>
        <v>16745997.706359591</v>
      </c>
      <c r="V104" s="18"/>
      <c r="W104" s="34"/>
    </row>
    <row r="105" spans="1:23" x14ac:dyDescent="0.2">
      <c r="A105" s="9">
        <f>'Monthly Data'!A105</f>
        <v>45139</v>
      </c>
      <c r="B105">
        <f t="shared" si="79"/>
        <v>2023</v>
      </c>
      <c r="C105">
        <f t="shared" si="80"/>
        <v>8</v>
      </c>
      <c r="D105" s="30">
        <f>'Monthly Data'!J105</f>
        <v>16466173.8276798</v>
      </c>
      <c r="E105" s="33">
        <f t="shared" ref="E105:F105" ca="1" si="100">E93</f>
        <v>0</v>
      </c>
      <c r="F105" s="33">
        <f t="shared" ca="1" si="100"/>
        <v>246.315</v>
      </c>
      <c r="G105" s="18">
        <f>'Monthly Data'!AN105</f>
        <v>2198</v>
      </c>
      <c r="H105" s="8">
        <f>'Monthly Data'!K105</f>
        <v>5705</v>
      </c>
      <c r="I105" s="30">
        <f>'Monthly Data'!BR105</f>
        <v>0</v>
      </c>
      <c r="J105" s="30">
        <f>'Monthly Data'!BT105</f>
        <v>31</v>
      </c>
      <c r="L105" s="18">
        <f>'GS&lt;50 Predicted Monthly'!$X$8</f>
        <v>-8314018.5106493998</v>
      </c>
      <c r="M105" s="18">
        <f ca="1">E105*'GS&lt;50 Predicted Monthly'!$X$9</f>
        <v>0</v>
      </c>
      <c r="N105" s="18">
        <f ca="1">F105*'GS&lt;50 Predicted Monthly'!$X$10</f>
        <v>2845999.3261868199</v>
      </c>
      <c r="O105" s="18">
        <f>G105*'GS&lt;50 Predicted Monthly'!$X$11</f>
        <v>15100.877490289762</v>
      </c>
      <c r="P105" s="18">
        <f>H105*'GS&lt;50 Predicted Monthly'!$X$12</f>
        <v>10589932.99316722</v>
      </c>
      <c r="Q105" s="18">
        <f>I105*'GS&lt;50 Predicted Monthly'!$X$13</f>
        <v>0</v>
      </c>
      <c r="R105" s="18">
        <f>J105*'GS&lt;50 Predicted Monthly'!$X$14</f>
        <v>11369665.795809086</v>
      </c>
      <c r="S105" s="20">
        <f t="shared" ca="1" si="63"/>
        <v>16506680.482004017</v>
      </c>
      <c r="V105" s="18"/>
      <c r="W105" s="34"/>
    </row>
    <row r="106" spans="1:23" x14ac:dyDescent="0.2">
      <c r="A106" s="9">
        <f>'Monthly Data'!A106</f>
        <v>45170</v>
      </c>
      <c r="B106">
        <f t="shared" si="79"/>
        <v>2023</v>
      </c>
      <c r="C106">
        <f t="shared" si="80"/>
        <v>9</v>
      </c>
      <c r="D106" s="30">
        <f>'Monthly Data'!J106</f>
        <v>14997289.851671299</v>
      </c>
      <c r="E106" s="33">
        <f t="shared" ref="E106:F106" ca="1" si="101">E94</f>
        <v>2.2699999999999996</v>
      </c>
      <c r="F106" s="33">
        <f t="shared" ca="1" si="101"/>
        <v>146.80000000000001</v>
      </c>
      <c r="G106" s="18">
        <f>'Monthly Data'!AN106</f>
        <v>2198</v>
      </c>
      <c r="H106" s="8">
        <f>'Monthly Data'!K106</f>
        <v>5691</v>
      </c>
      <c r="I106" s="30">
        <f>'Monthly Data'!BR106</f>
        <v>1</v>
      </c>
      <c r="J106" s="30">
        <f>'Monthly Data'!BT106</f>
        <v>30</v>
      </c>
      <c r="L106" s="18">
        <f>'GS&lt;50 Predicted Monthly'!$X$8</f>
        <v>-8314018.5106493998</v>
      </c>
      <c r="M106" s="18">
        <f ca="1">E106*'GS&lt;50 Predicted Monthly'!$X$9</f>
        <v>10695.92163295434</v>
      </c>
      <c r="N106" s="18">
        <f ca="1">F106*'GS&lt;50 Predicted Monthly'!$X$10</f>
        <v>1696172.3852961662</v>
      </c>
      <c r="O106" s="18">
        <f>G106*'GS&lt;50 Predicted Monthly'!$X$11</f>
        <v>15100.877490289762</v>
      </c>
      <c r="P106" s="18">
        <f>H106*'GS&lt;50 Predicted Monthly'!$X$12</f>
        <v>10563945.427539814</v>
      </c>
      <c r="Q106" s="18">
        <f>I106*'GS&lt;50 Predicted Monthly'!$X$13</f>
        <v>-202362.33175645399</v>
      </c>
      <c r="R106" s="18">
        <f>J106*'GS&lt;50 Predicted Monthly'!$X$14</f>
        <v>11002902.38304105</v>
      </c>
      <c r="S106" s="20">
        <f t="shared" ca="1" si="63"/>
        <v>14772436.152594421</v>
      </c>
      <c r="V106" s="18"/>
      <c r="W106" s="34"/>
    </row>
    <row r="107" spans="1:23" x14ac:dyDescent="0.2">
      <c r="A107" s="9">
        <f>'Monthly Data'!A107</f>
        <v>45200</v>
      </c>
      <c r="B107">
        <f t="shared" si="79"/>
        <v>2023</v>
      </c>
      <c r="C107">
        <f t="shared" si="80"/>
        <v>10</v>
      </c>
      <c r="D107" s="30">
        <f>'Monthly Data'!J107</f>
        <v>14525201.875662798</v>
      </c>
      <c r="E107" s="33">
        <f t="shared" ref="E107:F107" ca="1" si="102">E95</f>
        <v>83.800000000000011</v>
      </c>
      <c r="F107" s="33">
        <f t="shared" ca="1" si="102"/>
        <v>36.859999999999992</v>
      </c>
      <c r="G107" s="18">
        <f>'Monthly Data'!AN107</f>
        <v>1875</v>
      </c>
      <c r="H107" s="8">
        <f>'Monthly Data'!K107</f>
        <v>5705</v>
      </c>
      <c r="I107" s="30">
        <f>'Monthly Data'!BR107</f>
        <v>1</v>
      </c>
      <c r="J107" s="30">
        <f>'Monthly Data'!BT107</f>
        <v>31</v>
      </c>
      <c r="L107" s="18">
        <f>'GS&lt;50 Predicted Monthly'!$X$8</f>
        <v>-8314018.5106493998</v>
      </c>
      <c r="M107" s="18">
        <f ca="1">E107*'GS&lt;50 Predicted Monthly'!$X$9</f>
        <v>394853.84706677264</v>
      </c>
      <c r="N107" s="18">
        <f ca="1">F107*'GS&lt;50 Predicted Monthly'!$X$10</f>
        <v>425891.78557232063</v>
      </c>
      <c r="O107" s="18">
        <f>G107*'GS&lt;50 Predicted Monthly'!$X$11</f>
        <v>12881.776748996042</v>
      </c>
      <c r="P107" s="18">
        <f>H107*'GS&lt;50 Predicted Monthly'!$X$12</f>
        <v>10589932.99316722</v>
      </c>
      <c r="Q107" s="18">
        <f>I107*'GS&lt;50 Predicted Monthly'!$X$13</f>
        <v>-202362.33175645399</v>
      </c>
      <c r="R107" s="18">
        <f>J107*'GS&lt;50 Predicted Monthly'!$X$14</f>
        <v>11369665.795809086</v>
      </c>
      <c r="S107" s="20">
        <f t="shared" ca="1" si="63"/>
        <v>14276845.355958542</v>
      </c>
      <c r="V107" s="18"/>
      <c r="W107" s="34"/>
    </row>
    <row r="108" spans="1:23" x14ac:dyDescent="0.2">
      <c r="A108" s="9">
        <f>'Monthly Data'!A108</f>
        <v>45231</v>
      </c>
      <c r="B108">
        <f t="shared" si="79"/>
        <v>2023</v>
      </c>
      <c r="C108">
        <f t="shared" si="80"/>
        <v>11</v>
      </c>
      <c r="D108" s="30">
        <f>'Monthly Data'!J108</f>
        <v>14789580.899654299</v>
      </c>
      <c r="E108" s="33">
        <f t="shared" ref="E108:F108" ca="1" si="103">E96</f>
        <v>240.7</v>
      </c>
      <c r="F108" s="33">
        <f t="shared" ca="1" si="103"/>
        <v>3.410000000000001</v>
      </c>
      <c r="G108" s="18">
        <f>'Monthly Data'!AN108</f>
        <v>1875</v>
      </c>
      <c r="H108" s="8">
        <f>'Monthly Data'!K108</f>
        <v>5706</v>
      </c>
      <c r="I108" s="30">
        <f>'Monthly Data'!BR108</f>
        <v>1</v>
      </c>
      <c r="J108" s="30">
        <f>'Monthly Data'!BT108</f>
        <v>30</v>
      </c>
      <c r="L108" s="18">
        <f>'GS&lt;50 Predicted Monthly'!$X$8</f>
        <v>-8314018.5106493998</v>
      </c>
      <c r="M108" s="18">
        <f ca="1">E108*'GS&lt;50 Predicted Monthly'!$X$9</f>
        <v>1134144.6418731762</v>
      </c>
      <c r="N108" s="18">
        <f ca="1">F108*'GS&lt;50 Predicted Monthly'!$X$10</f>
        <v>39400.189603950465</v>
      </c>
      <c r="O108" s="18">
        <f>G108*'GS&lt;50 Predicted Monthly'!$X$11</f>
        <v>12881.776748996042</v>
      </c>
      <c r="P108" s="18">
        <f>H108*'GS&lt;50 Predicted Monthly'!$X$12</f>
        <v>10591789.24785489</v>
      </c>
      <c r="Q108" s="18">
        <f>I108*'GS&lt;50 Predicted Monthly'!$X$13</f>
        <v>-202362.33175645399</v>
      </c>
      <c r="R108" s="18">
        <f>J108*'GS&lt;50 Predicted Monthly'!$X$14</f>
        <v>11002902.38304105</v>
      </c>
      <c r="S108" s="20">
        <f t="shared" ca="1" si="63"/>
        <v>14264737.396716211</v>
      </c>
      <c r="V108" s="18"/>
      <c r="W108" s="34"/>
    </row>
    <row r="109" spans="1:23" x14ac:dyDescent="0.2">
      <c r="A109" s="9">
        <f>'Monthly Data'!A109</f>
        <v>45261</v>
      </c>
      <c r="B109">
        <f t="shared" si="79"/>
        <v>2023</v>
      </c>
      <c r="C109">
        <f t="shared" si="80"/>
        <v>12</v>
      </c>
      <c r="D109" s="30">
        <f>'Monthly Data'!J109</f>
        <v>15248929.923645798</v>
      </c>
      <c r="E109" s="33">
        <f t="shared" ref="E109:F109" ca="1" si="104">E97</f>
        <v>386.61999999999995</v>
      </c>
      <c r="F109" s="33">
        <f t="shared" ca="1" si="104"/>
        <v>0</v>
      </c>
      <c r="G109" s="18">
        <f>'Monthly Data'!AN109</f>
        <v>1875</v>
      </c>
      <c r="H109" s="8">
        <f>'Monthly Data'!K109</f>
        <v>5684</v>
      </c>
      <c r="I109" s="30">
        <f>'Monthly Data'!BR109</f>
        <v>0</v>
      </c>
      <c r="J109" s="30">
        <f>'Monthly Data'!BT109</f>
        <v>31</v>
      </c>
      <c r="L109" s="18">
        <f>'GS&lt;50 Predicted Monthly'!$X$8</f>
        <v>-8314018.5106493998</v>
      </c>
      <c r="M109" s="18">
        <f ca="1">E109*'GS&lt;50 Predicted Monthly'!$X$9</f>
        <v>1821699.2166223819</v>
      </c>
      <c r="N109" s="18">
        <f ca="1">F109*'GS&lt;50 Predicted Monthly'!$X$10</f>
        <v>0</v>
      </c>
      <c r="O109" s="18">
        <f>G109*'GS&lt;50 Predicted Monthly'!$X$11</f>
        <v>12881.776748996042</v>
      </c>
      <c r="P109" s="18">
        <f>H109*'GS&lt;50 Predicted Monthly'!$X$12</f>
        <v>10550951.644726112</v>
      </c>
      <c r="Q109" s="18">
        <f>I109*'GS&lt;50 Predicted Monthly'!$X$13</f>
        <v>0</v>
      </c>
      <c r="R109" s="18">
        <f>J109*'GS&lt;50 Predicted Monthly'!$X$14</f>
        <v>11369665.795809086</v>
      </c>
      <c r="S109" s="20">
        <f t="shared" ca="1" si="63"/>
        <v>15441179.923257178</v>
      </c>
      <c r="V109" s="18"/>
      <c r="W109" s="34"/>
    </row>
    <row r="110" spans="1:23" x14ac:dyDescent="0.2">
      <c r="A110" s="9">
        <f>'Monthly Data'!A110</f>
        <v>45292</v>
      </c>
      <c r="B110">
        <f t="shared" si="79"/>
        <v>2024</v>
      </c>
      <c r="C110">
        <f t="shared" si="80"/>
        <v>1</v>
      </c>
      <c r="D110" s="30">
        <f>'Monthly Data'!J110</f>
        <v>15984916.162170708</v>
      </c>
      <c r="E110" s="33">
        <f t="shared" ref="E110:F110" ca="1" si="105">E98</f>
        <v>508.54000000000008</v>
      </c>
      <c r="F110" s="33">
        <f t="shared" ca="1" si="105"/>
        <v>0</v>
      </c>
      <c r="G110" s="18">
        <f>'Monthly Data'!AN110</f>
        <v>4826</v>
      </c>
      <c r="H110" s="8">
        <f>'Monthly Data'!K110</f>
        <v>5693</v>
      </c>
      <c r="I110" s="30">
        <f>'Monthly Data'!BR110</f>
        <v>0</v>
      </c>
      <c r="J110" s="30">
        <f>'Monthly Data'!BT110</f>
        <v>31</v>
      </c>
      <c r="L110" s="18">
        <f>'GS&lt;50 Predicted Monthly'!$X$8</f>
        <v>-8314018.5106493998</v>
      </c>
      <c r="M110" s="18">
        <f ca="1">E110*'GS&lt;50 Predicted Monthly'!$X$9</f>
        <v>2396169.1573667848</v>
      </c>
      <c r="N110" s="18">
        <f ca="1">F110*'GS&lt;50 Predicted Monthly'!$X$10</f>
        <v>0</v>
      </c>
      <c r="O110" s="18">
        <f>G110*'GS&lt;50 Predicted Monthly'!$X$11</f>
        <v>33155.975781682617</v>
      </c>
      <c r="P110" s="18">
        <f>H110*'GS&lt;50 Predicted Monthly'!$X$12</f>
        <v>10567657.936915159</v>
      </c>
      <c r="Q110" s="18">
        <f>I110*'GS&lt;50 Predicted Monthly'!$X$13</f>
        <v>0</v>
      </c>
      <c r="R110" s="18">
        <f>J110*'GS&lt;50 Predicted Monthly'!$X$14</f>
        <v>11369665.795809086</v>
      </c>
      <c r="S110" s="20">
        <f t="shared" ca="1" si="63"/>
        <v>16052630.355223313</v>
      </c>
      <c r="U110" s="30"/>
      <c r="V110" s="18"/>
      <c r="W110" s="34"/>
    </row>
    <row r="111" spans="1:23" x14ac:dyDescent="0.2">
      <c r="A111" s="9">
        <f>'Monthly Data'!A111</f>
        <v>45323</v>
      </c>
      <c r="B111">
        <f t="shared" si="79"/>
        <v>2024</v>
      </c>
      <c r="C111">
        <f t="shared" si="80"/>
        <v>2</v>
      </c>
      <c r="D111" s="30">
        <f>'Monthly Data'!J111</f>
        <v>14775433.758234465</v>
      </c>
      <c r="E111" s="33">
        <f t="shared" ref="E111:F111" ca="1" si="106">E99</f>
        <v>451.10999999999996</v>
      </c>
      <c r="F111" s="33">
        <f t="shared" ca="1" si="106"/>
        <v>0</v>
      </c>
      <c r="G111" s="18">
        <f>'Monthly Data'!AN111</f>
        <v>4826</v>
      </c>
      <c r="H111" s="8">
        <f>'Monthly Data'!K111</f>
        <v>5693</v>
      </c>
      <c r="I111" s="30">
        <f>'Monthly Data'!BR111</f>
        <v>0</v>
      </c>
      <c r="J111" s="30">
        <f>'Monthly Data'!BT111</f>
        <v>29</v>
      </c>
      <c r="L111" s="18">
        <f>'GS&lt;50 Predicted Monthly'!$X$8</f>
        <v>-8314018.5106493998</v>
      </c>
      <c r="M111" s="18">
        <f ca="1">E111*'GS&lt;50 Predicted Monthly'!$X$9</f>
        <v>2125567.0519127897</v>
      </c>
      <c r="N111" s="18">
        <f ca="1">F111*'GS&lt;50 Predicted Monthly'!$X$10</f>
        <v>0</v>
      </c>
      <c r="O111" s="18">
        <f>G111*'GS&lt;50 Predicted Monthly'!$X$11</f>
        <v>33155.975781682617</v>
      </c>
      <c r="P111" s="18">
        <f>H111*'GS&lt;50 Predicted Monthly'!$X$12</f>
        <v>10567657.936915159</v>
      </c>
      <c r="Q111" s="18">
        <f>I111*'GS&lt;50 Predicted Monthly'!$X$13</f>
        <v>0</v>
      </c>
      <c r="R111" s="18">
        <f>J111*'GS&lt;50 Predicted Monthly'!$X$14</f>
        <v>10636138.970273016</v>
      </c>
      <c r="S111" s="20">
        <f t="shared" ca="1" si="63"/>
        <v>15048501.424233248</v>
      </c>
      <c r="U111" s="30"/>
      <c r="V111" s="18"/>
      <c r="W111" s="34"/>
    </row>
    <row r="112" spans="1:23" x14ac:dyDescent="0.2">
      <c r="A112" s="9">
        <f>'Monthly Data'!A112</f>
        <v>45352</v>
      </c>
      <c r="B112">
        <f t="shared" si="79"/>
        <v>2024</v>
      </c>
      <c r="C112">
        <f t="shared" si="80"/>
        <v>3</v>
      </c>
      <c r="D112" s="30">
        <f>'Monthly Data'!J112</f>
        <v>15102644.794298219</v>
      </c>
      <c r="E112" s="33">
        <f t="shared" ref="E112:F112" ca="1" si="107">E100</f>
        <v>374.74</v>
      </c>
      <c r="F112" s="33">
        <f t="shared" ca="1" si="107"/>
        <v>0</v>
      </c>
      <c r="G112" s="18">
        <f>'Monthly Data'!AN112</f>
        <v>4826</v>
      </c>
      <c r="H112" s="8">
        <f>'Monthly Data'!K112</f>
        <v>5700</v>
      </c>
      <c r="I112" s="30">
        <f>'Monthly Data'!BR112</f>
        <v>1</v>
      </c>
      <c r="J112" s="30">
        <f>'Monthly Data'!BT112</f>
        <v>31</v>
      </c>
      <c r="L112" s="18">
        <f>'GS&lt;50 Predicted Monthly'!$X$8</f>
        <v>-8314018.5106493998</v>
      </c>
      <c r="M112" s="18">
        <f ca="1">E112*'GS&lt;50 Predicted Monthly'!$X$9</f>
        <v>1765722.3227900043</v>
      </c>
      <c r="N112" s="18">
        <f ca="1">F112*'GS&lt;50 Predicted Monthly'!$X$10</f>
        <v>0</v>
      </c>
      <c r="O112" s="18">
        <f>G112*'GS&lt;50 Predicted Monthly'!$X$11</f>
        <v>33155.975781682617</v>
      </c>
      <c r="P112" s="18">
        <f>H112*'GS&lt;50 Predicted Monthly'!$X$12</f>
        <v>10580651.719728861</v>
      </c>
      <c r="Q112" s="18">
        <f>I112*'GS&lt;50 Predicted Monthly'!$X$13</f>
        <v>-202362.33175645399</v>
      </c>
      <c r="R112" s="18">
        <f>J112*'GS&lt;50 Predicted Monthly'!$X$14</f>
        <v>11369665.795809086</v>
      </c>
      <c r="S112" s="20">
        <f t="shared" ca="1" si="63"/>
        <v>15232814.971703781</v>
      </c>
      <c r="U112" s="30"/>
    </row>
    <row r="113" spans="1:22" x14ac:dyDescent="0.2">
      <c r="A113" s="9">
        <f>'Monthly Data'!A113</f>
        <v>45383</v>
      </c>
      <c r="B113">
        <f t="shared" si="79"/>
        <v>2024</v>
      </c>
      <c r="C113">
        <f t="shared" si="80"/>
        <v>4</v>
      </c>
      <c r="D113" s="30">
        <f>'Monthly Data'!J113</f>
        <v>14096177.490361972</v>
      </c>
      <c r="E113" s="33">
        <f t="shared" ref="E113:F113" ca="1" si="108">E101</f>
        <v>221.12999999999997</v>
      </c>
      <c r="F113" s="33">
        <f t="shared" ca="1" si="108"/>
        <v>2.6300000000000003</v>
      </c>
      <c r="G113" s="18">
        <f>'Monthly Data'!AN113</f>
        <v>2733</v>
      </c>
      <c r="H113" s="8">
        <f>'Monthly Data'!K113</f>
        <v>5698</v>
      </c>
      <c r="I113" s="30">
        <f>'Monthly Data'!BR113</f>
        <v>1</v>
      </c>
      <c r="J113" s="30">
        <f>'Monthly Data'!BT113</f>
        <v>30</v>
      </c>
      <c r="L113" s="18">
        <f>'GS&lt;50 Predicted Monthly'!$X$8</f>
        <v>-8314018.5106493998</v>
      </c>
      <c r="M113" s="18">
        <f ca="1">E113*'GS&lt;50 Predicted Monthly'!$X$9</f>
        <v>1041933.5465617591</v>
      </c>
      <c r="N113" s="18">
        <f ca="1">F113*'GS&lt;50 Predicted Monthly'!$X$10</f>
        <v>30387.829518589355</v>
      </c>
      <c r="O113" s="18">
        <f>G113*'GS&lt;50 Predicted Monthly'!$X$11</f>
        <v>18776.477789336634</v>
      </c>
      <c r="P113" s="18">
        <f>H113*'GS&lt;50 Predicted Monthly'!$X$12</f>
        <v>10576939.210353518</v>
      </c>
      <c r="Q113" s="18">
        <f>I113*'GS&lt;50 Predicted Monthly'!$X$13</f>
        <v>-202362.33175645399</v>
      </c>
      <c r="R113" s="18">
        <f>J113*'GS&lt;50 Predicted Monthly'!$X$14</f>
        <v>11002902.38304105</v>
      </c>
      <c r="S113" s="20">
        <f t="shared" ca="1" si="63"/>
        <v>14154558.604858398</v>
      </c>
      <c r="U113" s="30"/>
      <c r="V113" s="18"/>
    </row>
    <row r="114" spans="1:22" x14ac:dyDescent="0.2">
      <c r="A114" s="9">
        <f>'Monthly Data'!A114</f>
        <v>45413</v>
      </c>
      <c r="B114">
        <f t="shared" si="79"/>
        <v>2024</v>
      </c>
      <c r="C114">
        <f t="shared" si="80"/>
        <v>5</v>
      </c>
      <c r="D114" s="30">
        <f>'Monthly Data'!J114</f>
        <v>14561726.336425725</v>
      </c>
      <c r="E114" s="33">
        <f t="shared" ref="E114:F114" ca="1" si="109">E102</f>
        <v>74.8</v>
      </c>
      <c r="F114" s="33">
        <f t="shared" ca="1" si="109"/>
        <v>50.489999999999995</v>
      </c>
      <c r="G114" s="18">
        <f>'Monthly Data'!AN114</f>
        <v>2733</v>
      </c>
      <c r="H114" s="8">
        <f>'Monthly Data'!K114</f>
        <v>5710</v>
      </c>
      <c r="I114" s="30">
        <f>'Monthly Data'!BR114</f>
        <v>1</v>
      </c>
      <c r="J114" s="30">
        <f>'Monthly Data'!BT114</f>
        <v>31</v>
      </c>
      <c r="L114" s="18">
        <f>'GS&lt;50 Predicted Monthly'!$X$8</f>
        <v>-8314018.5106493998</v>
      </c>
      <c r="M114" s="18">
        <f ca="1">E114*'GS&lt;50 Predicted Monthly'!$X$9</f>
        <v>352447.10931497125</v>
      </c>
      <c r="N114" s="18">
        <f ca="1">F114*'GS&lt;50 Predicted Monthly'!$X$10</f>
        <v>583377.00091010507</v>
      </c>
      <c r="O114" s="18">
        <f>G114*'GS&lt;50 Predicted Monthly'!$X$11</f>
        <v>18776.477789336634</v>
      </c>
      <c r="P114" s="18">
        <f>H114*'GS&lt;50 Predicted Monthly'!$X$12</f>
        <v>10599214.266605578</v>
      </c>
      <c r="Q114" s="18">
        <f>I114*'GS&lt;50 Predicted Monthly'!$X$13</f>
        <v>-202362.33175645399</v>
      </c>
      <c r="R114" s="18">
        <f>J114*'GS&lt;50 Predicted Monthly'!$X$14</f>
        <v>11369665.795809086</v>
      </c>
      <c r="S114" s="20">
        <f t="shared" ca="1" si="63"/>
        <v>14407099.808023226</v>
      </c>
      <c r="U114" s="30"/>
      <c r="V114" s="18"/>
    </row>
    <row r="115" spans="1:22" x14ac:dyDescent="0.2">
      <c r="A115" s="9">
        <f>'Monthly Data'!A115</f>
        <v>45444</v>
      </c>
      <c r="B115">
        <f t="shared" si="79"/>
        <v>2024</v>
      </c>
      <c r="C115">
        <f t="shared" si="80"/>
        <v>6</v>
      </c>
      <c r="D115" s="30">
        <f>'Monthly Data'!J115</f>
        <v>15556106.23248948</v>
      </c>
      <c r="E115" s="33">
        <f t="shared" ref="E115:F115" ca="1" si="110">E103</f>
        <v>2.15</v>
      </c>
      <c r="F115" s="33">
        <f t="shared" ca="1" si="110"/>
        <v>154.05000000000001</v>
      </c>
      <c r="G115" s="18">
        <f>'Monthly Data'!AN115</f>
        <v>2733</v>
      </c>
      <c r="H115" s="8">
        <f>'Monthly Data'!K115</f>
        <v>5709</v>
      </c>
      <c r="I115" s="30">
        <f>'Monthly Data'!BR115</f>
        <v>0</v>
      </c>
      <c r="J115" s="30">
        <f>'Monthly Data'!BT115</f>
        <v>30</v>
      </c>
      <c r="L115" s="18">
        <f>'GS&lt;50 Predicted Monthly'!$X$8</f>
        <v>-8314018.5106493998</v>
      </c>
      <c r="M115" s="18">
        <f ca="1">E115*'GS&lt;50 Predicted Monthly'!$X$9</f>
        <v>10130.498462930324</v>
      </c>
      <c r="N115" s="18">
        <f ca="1">F115*'GS&lt;50 Predicted Monthly'!$X$10</f>
        <v>1779941.1168588174</v>
      </c>
      <c r="O115" s="18">
        <f>G115*'GS&lt;50 Predicted Monthly'!$X$11</f>
        <v>18776.477789336634</v>
      </c>
      <c r="P115" s="18">
        <f>H115*'GS&lt;50 Predicted Monthly'!$X$12</f>
        <v>10597358.011917906</v>
      </c>
      <c r="Q115" s="18">
        <f>I115*'GS&lt;50 Predicted Monthly'!$X$13</f>
        <v>0</v>
      </c>
      <c r="R115" s="18">
        <f>J115*'GS&lt;50 Predicted Monthly'!$X$14</f>
        <v>11002902.38304105</v>
      </c>
      <c r="S115" s="20">
        <f t="shared" ca="1" si="63"/>
        <v>15095089.977420641</v>
      </c>
      <c r="U115" s="30"/>
      <c r="V115" s="18"/>
    </row>
    <row r="116" spans="1:22" x14ac:dyDescent="0.2">
      <c r="A116" s="9">
        <v>45474</v>
      </c>
      <c r="B116">
        <f t="shared" si="79"/>
        <v>2024</v>
      </c>
      <c r="C116">
        <f t="shared" si="80"/>
        <v>7</v>
      </c>
      <c r="D116" s="30">
        <f>'Monthly Data'!J116</f>
        <v>17398173.568553235</v>
      </c>
      <c r="E116" s="33">
        <f t="shared" ref="E116:F116" ca="1" si="111">E104</f>
        <v>0</v>
      </c>
      <c r="F116" s="33">
        <f t="shared" ca="1" si="111"/>
        <v>267.66999999999996</v>
      </c>
      <c r="G116" s="18">
        <f>'Monthly Data'!AN116</f>
        <v>730</v>
      </c>
      <c r="H116" s="8">
        <f>'Monthly Data'!K116</f>
        <v>5715</v>
      </c>
      <c r="I116" s="30">
        <f>'Monthly Data'!BR116</f>
        <v>0</v>
      </c>
      <c r="J116" s="30">
        <f>'Monthly Data'!BT116</f>
        <v>31</v>
      </c>
      <c r="L116" s="18">
        <f>'GS&lt;50 Predicted Monthly'!$X$8</f>
        <v>-8314018.5106493998</v>
      </c>
      <c r="M116" s="18">
        <f ca="1">E116*'GS&lt;50 Predicted Monthly'!$X$9</f>
        <v>0</v>
      </c>
      <c r="N116" s="18">
        <f ca="1">F116*'GS&lt;50 Predicted Monthly'!$X$10</f>
        <v>3092741.5692930841</v>
      </c>
      <c r="O116" s="18">
        <f>G116*'GS&lt;50 Predicted Monthly'!$X$11</f>
        <v>5015.3050809424594</v>
      </c>
      <c r="P116" s="18">
        <f>H116*'GS&lt;50 Predicted Monthly'!$X$12</f>
        <v>10608495.540043937</v>
      </c>
      <c r="Q116" s="18">
        <f>I116*'GS&lt;50 Predicted Monthly'!$X$13</f>
        <v>0</v>
      </c>
      <c r="R116" s="18">
        <f>J116*'GS&lt;50 Predicted Monthly'!$X$14</f>
        <v>11369665.795809086</v>
      </c>
      <c r="S116" s="20">
        <f t="shared" ref="S116:S121" ca="1" si="112">SUM(L116:R116)</f>
        <v>16761899.69957765</v>
      </c>
      <c r="V116" s="18"/>
    </row>
    <row r="117" spans="1:22" x14ac:dyDescent="0.2">
      <c r="A117" s="9">
        <v>45505</v>
      </c>
      <c r="B117">
        <f t="shared" si="79"/>
        <v>2024</v>
      </c>
      <c r="C117">
        <f t="shared" si="80"/>
        <v>8</v>
      </c>
      <c r="D117" s="30">
        <f>'Monthly Data'!J117</f>
        <v>16751789.404616991</v>
      </c>
      <c r="E117" s="33">
        <f t="shared" ref="E117:F117" ca="1" si="113">E105</f>
        <v>0</v>
      </c>
      <c r="F117" s="33">
        <f t="shared" ca="1" si="113"/>
        <v>246.315</v>
      </c>
      <c r="G117" s="18">
        <f>'Monthly Data'!AN117</f>
        <v>730</v>
      </c>
      <c r="H117" s="8">
        <f>'Monthly Data'!K117</f>
        <v>5712</v>
      </c>
      <c r="I117" s="30">
        <f>'Monthly Data'!BR117</f>
        <v>0</v>
      </c>
      <c r="J117" s="30">
        <f>'Monthly Data'!BT117</f>
        <v>31</v>
      </c>
      <c r="L117" s="18">
        <f>'GS&lt;50 Predicted Monthly'!$X$8</f>
        <v>-8314018.5106493998</v>
      </c>
      <c r="M117" s="18">
        <f ca="1">E117*'GS&lt;50 Predicted Monthly'!$X$9</f>
        <v>0</v>
      </c>
      <c r="N117" s="18">
        <f ca="1">F117*'GS&lt;50 Predicted Monthly'!$X$10</f>
        <v>2845999.3261868199</v>
      </c>
      <c r="O117" s="18">
        <f>G117*'GS&lt;50 Predicted Monthly'!$X$11</f>
        <v>5015.3050809424594</v>
      </c>
      <c r="P117" s="18">
        <f>H117*'GS&lt;50 Predicted Monthly'!$X$12</f>
        <v>10602926.775980921</v>
      </c>
      <c r="Q117" s="18">
        <f>I117*'GS&lt;50 Predicted Monthly'!$X$13</f>
        <v>0</v>
      </c>
      <c r="R117" s="18">
        <f>J117*'GS&lt;50 Predicted Monthly'!$X$14</f>
        <v>11369665.795809086</v>
      </c>
      <c r="S117" s="20">
        <f t="shared" ca="1" si="112"/>
        <v>16509588.692408372</v>
      </c>
      <c r="V117" s="18"/>
    </row>
    <row r="118" spans="1:22" x14ac:dyDescent="0.2">
      <c r="A118" s="9">
        <v>45536</v>
      </c>
      <c r="B118">
        <f t="shared" si="79"/>
        <v>2024</v>
      </c>
      <c r="C118">
        <f t="shared" si="80"/>
        <v>9</v>
      </c>
      <c r="D118" s="30">
        <f>'Monthly Data'!J118</f>
        <v>15120870.800680745</v>
      </c>
      <c r="E118" s="33">
        <f t="shared" ref="E118:F118" ca="1" si="114">E106</f>
        <v>2.2699999999999996</v>
      </c>
      <c r="F118" s="33">
        <f t="shared" ca="1" si="114"/>
        <v>146.80000000000001</v>
      </c>
      <c r="G118" s="18">
        <f>'Monthly Data'!AN118</f>
        <v>730</v>
      </c>
      <c r="H118" s="8">
        <f>'Monthly Data'!K118</f>
        <v>5736</v>
      </c>
      <c r="I118" s="30">
        <f>'Monthly Data'!BR118</f>
        <v>1</v>
      </c>
      <c r="J118" s="30">
        <f>'Monthly Data'!BT118</f>
        <v>30</v>
      </c>
      <c r="L118" s="18">
        <f>'GS&lt;50 Predicted Monthly'!$X$8</f>
        <v>-8314018.5106493998</v>
      </c>
      <c r="M118" s="18">
        <f ca="1">E118*'GS&lt;50 Predicted Monthly'!$X$9</f>
        <v>10695.92163295434</v>
      </c>
      <c r="N118" s="18">
        <f ca="1">F118*'GS&lt;50 Predicted Monthly'!$X$10</f>
        <v>1696172.3852961662</v>
      </c>
      <c r="O118" s="18">
        <f>G118*'GS&lt;50 Predicted Monthly'!$X$11</f>
        <v>5015.3050809424594</v>
      </c>
      <c r="P118" s="18">
        <f>H118*'GS&lt;50 Predicted Monthly'!$X$12</f>
        <v>10647476.888485042</v>
      </c>
      <c r="Q118" s="18">
        <f>I118*'GS&lt;50 Predicted Monthly'!$X$13</f>
        <v>-202362.33175645399</v>
      </c>
      <c r="R118" s="18">
        <f>J118*'GS&lt;50 Predicted Monthly'!$X$14</f>
        <v>11002902.38304105</v>
      </c>
      <c r="S118" s="20">
        <f t="shared" ca="1" si="112"/>
        <v>14845882.041130301</v>
      </c>
      <c r="V118" s="18"/>
    </row>
    <row r="119" spans="1:22" x14ac:dyDescent="0.2">
      <c r="A119" s="9">
        <v>45566</v>
      </c>
      <c r="B119">
        <f t="shared" si="79"/>
        <v>2024</v>
      </c>
      <c r="C119">
        <f t="shared" si="80"/>
        <v>10</v>
      </c>
      <c r="D119" s="30">
        <f>'Monthly Data'!J119</f>
        <v>14429502.936744498</v>
      </c>
      <c r="E119" s="33">
        <f t="shared" ref="E119:F119" ca="1" si="115">E107</f>
        <v>83.800000000000011</v>
      </c>
      <c r="F119" s="33">
        <f t="shared" ca="1" si="115"/>
        <v>36.859999999999992</v>
      </c>
      <c r="G119" s="18">
        <f>'Monthly Data'!AN119</f>
        <v>4174.92266666668</v>
      </c>
      <c r="H119" s="8">
        <f>'Monthly Data'!K119</f>
        <v>5733</v>
      </c>
      <c r="I119" s="30">
        <f>'Monthly Data'!BR119</f>
        <v>1</v>
      </c>
      <c r="J119" s="30">
        <f>'Monthly Data'!BT119</f>
        <v>31</v>
      </c>
      <c r="L119" s="18">
        <f>'GS&lt;50 Predicted Monthly'!$X$8</f>
        <v>-8314018.5106493998</v>
      </c>
      <c r="M119" s="18">
        <f ca="1">E119*'GS&lt;50 Predicted Monthly'!$X$9</f>
        <v>394853.84706677264</v>
      </c>
      <c r="N119" s="18">
        <f ca="1">F119*'GS&lt;50 Predicted Monthly'!$X$10</f>
        <v>425891.78557232063</v>
      </c>
      <c r="O119" s="18">
        <f>G119*'GS&lt;50 Predicted Monthly'!$X$11</f>
        <v>28682.891592705811</v>
      </c>
      <c r="P119" s="18">
        <f>H119*'GS&lt;50 Predicted Monthly'!$X$12</f>
        <v>10641908.124422027</v>
      </c>
      <c r="Q119" s="18">
        <f>I119*'GS&lt;50 Predicted Monthly'!$X$13</f>
        <v>-202362.33175645399</v>
      </c>
      <c r="R119" s="18">
        <f>J119*'GS&lt;50 Predicted Monthly'!$X$14</f>
        <v>11369665.795809086</v>
      </c>
      <c r="S119" s="20">
        <f t="shared" ca="1" si="112"/>
        <v>14344621.602057058</v>
      </c>
      <c r="V119" s="18"/>
    </row>
    <row r="120" spans="1:22" x14ac:dyDescent="0.2">
      <c r="A120" s="9">
        <v>45597</v>
      </c>
      <c r="B120">
        <f t="shared" si="79"/>
        <v>2024</v>
      </c>
      <c r="C120">
        <f t="shared" si="80"/>
        <v>11</v>
      </c>
      <c r="D120" s="30">
        <f>'Monthly Data'!J120</f>
        <v>14351434.502808254</v>
      </c>
      <c r="E120" s="33">
        <f t="shared" ref="E120:F120" ca="1" si="116">E108</f>
        <v>240.7</v>
      </c>
      <c r="F120" s="33">
        <f t="shared" ca="1" si="116"/>
        <v>3.410000000000001</v>
      </c>
      <c r="G120" s="18">
        <f>'Monthly Data'!AN120</f>
        <v>4174.92266666668</v>
      </c>
      <c r="H120" s="8">
        <f>'Monthly Data'!K120</f>
        <v>5717</v>
      </c>
      <c r="I120" s="30">
        <f>'Monthly Data'!BR120</f>
        <v>1</v>
      </c>
      <c r="J120" s="30">
        <f>'Monthly Data'!BT120</f>
        <v>30</v>
      </c>
      <c r="L120" s="18">
        <f>'GS&lt;50 Predicted Monthly'!$X$8</f>
        <v>-8314018.5106493998</v>
      </c>
      <c r="M120" s="18">
        <f ca="1">E120*'GS&lt;50 Predicted Monthly'!$X$9</f>
        <v>1134144.6418731762</v>
      </c>
      <c r="N120" s="18">
        <f ca="1">F120*'GS&lt;50 Predicted Monthly'!$X$10</f>
        <v>39400.189603950465</v>
      </c>
      <c r="O120" s="18">
        <f>G120*'GS&lt;50 Predicted Monthly'!$X$11</f>
        <v>28682.891592705811</v>
      </c>
      <c r="P120" s="18">
        <f>H120*'GS&lt;50 Predicted Monthly'!$X$12</f>
        <v>10612208.04941928</v>
      </c>
      <c r="Q120" s="18">
        <f>I120*'GS&lt;50 Predicted Monthly'!$X$13</f>
        <v>-202362.33175645399</v>
      </c>
      <c r="R120" s="18">
        <f>J120*'GS&lt;50 Predicted Monthly'!$X$14</f>
        <v>11002902.38304105</v>
      </c>
      <c r="S120" s="20">
        <f t="shared" ca="1" si="112"/>
        <v>14300957.31312431</v>
      </c>
      <c r="V120" s="18"/>
    </row>
    <row r="121" spans="1:22" x14ac:dyDescent="0.2">
      <c r="A121" s="9">
        <v>45627</v>
      </c>
      <c r="B121">
        <f t="shared" si="79"/>
        <v>2024</v>
      </c>
      <c r="C121">
        <f t="shared" si="80"/>
        <v>12</v>
      </c>
      <c r="D121" s="30">
        <f>'Monthly Data'!J121</f>
        <v>16012677.658872008</v>
      </c>
      <c r="E121" s="33">
        <f t="shared" ref="E121:F121" ca="1" si="117">E109</f>
        <v>386.61999999999995</v>
      </c>
      <c r="F121" s="33">
        <f t="shared" ca="1" si="117"/>
        <v>0</v>
      </c>
      <c r="G121" s="18">
        <f>'Monthly Data'!AN121</f>
        <v>4174.92266666668</v>
      </c>
      <c r="H121" s="8">
        <f>'Monthly Data'!K121</f>
        <v>5733</v>
      </c>
      <c r="I121" s="30">
        <f>'Monthly Data'!BR121</f>
        <v>0</v>
      </c>
      <c r="J121" s="30">
        <f>'Monthly Data'!BT121</f>
        <v>31</v>
      </c>
      <c r="L121" s="18">
        <f>'GS&lt;50 Predicted Monthly'!$X$8</f>
        <v>-8314018.5106493998</v>
      </c>
      <c r="M121" s="18">
        <f ca="1">E121*'GS&lt;50 Predicted Monthly'!$X$9</f>
        <v>1821699.2166223819</v>
      </c>
      <c r="N121" s="18">
        <f ca="1">F121*'GS&lt;50 Predicted Monthly'!$X$10</f>
        <v>0</v>
      </c>
      <c r="O121" s="18">
        <f>G121*'GS&lt;50 Predicted Monthly'!$X$11</f>
        <v>28682.891592705811</v>
      </c>
      <c r="P121" s="18">
        <f>H121*'GS&lt;50 Predicted Monthly'!$X$12</f>
        <v>10641908.124422027</v>
      </c>
      <c r="Q121" s="18">
        <f>I121*'GS&lt;50 Predicted Monthly'!$X$13</f>
        <v>0</v>
      </c>
      <c r="R121" s="18">
        <f>J121*'GS&lt;50 Predicted Monthly'!$X$14</f>
        <v>11369665.795809086</v>
      </c>
      <c r="S121" s="20">
        <f t="shared" ca="1" si="112"/>
        <v>15547937.517796801</v>
      </c>
      <c r="V121" s="18"/>
    </row>
    <row r="122" spans="1:22" x14ac:dyDescent="0.2">
      <c r="A122" s="9">
        <v>45658</v>
      </c>
      <c r="B122">
        <f t="shared" si="79"/>
        <v>2025</v>
      </c>
      <c r="C122">
        <f t="shared" si="80"/>
        <v>1</v>
      </c>
      <c r="E122" s="358">
        <f t="shared" ref="E122:F122" ca="1" si="118">E110</f>
        <v>508.54000000000008</v>
      </c>
      <c r="F122" s="358">
        <f t="shared" ca="1" si="118"/>
        <v>0</v>
      </c>
      <c r="G122" s="463">
        <f>Economic!U196</f>
        <v>-642.70666666666511</v>
      </c>
      <c r="H122" s="358">
        <f>'Customer Count'!G36</f>
        <v>5742.2488571456734</v>
      </c>
      <c r="I122" s="358">
        <f t="shared" ref="I122:I145" si="119">I110</f>
        <v>0</v>
      </c>
      <c r="J122" s="83">
        <f t="shared" ref="J122:J145" si="120">J74</f>
        <v>31</v>
      </c>
      <c r="L122" s="18">
        <f>'GS&lt;50 Predicted Monthly'!$X$8</f>
        <v>-8314018.5106493998</v>
      </c>
      <c r="M122" s="18">
        <f ca="1">E122*'GS&lt;50 Predicted Monthly'!$X$9</f>
        <v>2396169.1573667848</v>
      </c>
      <c r="N122" s="18">
        <f ca="1">F122*'GS&lt;50 Predicted Monthly'!$X$10</f>
        <v>0</v>
      </c>
      <c r="O122" s="18">
        <f>G122*'GS&lt;50 Predicted Monthly'!$X$11</f>
        <v>-4415.5753573820784</v>
      </c>
      <c r="P122" s="18">
        <f>H122*'GS&lt;50 Predicted Monthly'!$X$12</f>
        <v>10659076.35885429</v>
      </c>
      <c r="Q122" s="18">
        <f>I122*'GS&lt;50 Predicted Monthly'!$X$13</f>
        <v>0</v>
      </c>
      <c r="R122" s="18">
        <f>J122*'GS&lt;50 Predicted Monthly'!$X$14</f>
        <v>11369665.795809086</v>
      </c>
      <c r="S122" s="20">
        <f t="shared" ca="1" si="63"/>
        <v>16106477.22602338</v>
      </c>
      <c r="V122" s="18"/>
    </row>
    <row r="123" spans="1:22" x14ac:dyDescent="0.2">
      <c r="A123" s="9">
        <v>45689</v>
      </c>
      <c r="B123">
        <f t="shared" si="79"/>
        <v>2025</v>
      </c>
      <c r="C123">
        <f t="shared" si="80"/>
        <v>2</v>
      </c>
      <c r="E123" s="358">
        <f t="shared" ref="E123:F123" ca="1" si="121">E111</f>
        <v>451.10999999999996</v>
      </c>
      <c r="F123" s="358">
        <f t="shared" ca="1" si="121"/>
        <v>0</v>
      </c>
      <c r="G123" s="463">
        <f>Economic!U197</f>
        <v>-642.70666666666511</v>
      </c>
      <c r="H123" s="358">
        <f>'Customer Count'!G37</f>
        <v>5746.8555074624846</v>
      </c>
      <c r="I123" s="358">
        <f t="shared" si="119"/>
        <v>0</v>
      </c>
      <c r="J123" s="83">
        <f t="shared" si="120"/>
        <v>28</v>
      </c>
      <c r="L123" s="18">
        <f>'GS&lt;50 Predicted Monthly'!$X$8</f>
        <v>-8314018.5106493998</v>
      </c>
      <c r="M123" s="18">
        <f ca="1">E123*'GS&lt;50 Predicted Monthly'!$X$9</f>
        <v>2125567.0519127897</v>
      </c>
      <c r="N123" s="18">
        <f ca="1">F123*'GS&lt;50 Predicted Monthly'!$X$10</f>
        <v>0</v>
      </c>
      <c r="O123" s="18">
        <f>G123*'GS&lt;50 Predicted Monthly'!$X$11</f>
        <v>-4415.5753573820784</v>
      </c>
      <c r="P123" s="18">
        <f>H123*'GS&lt;50 Predicted Monthly'!$X$12</f>
        <v>10667627.475099334</v>
      </c>
      <c r="Q123" s="18">
        <f>I123*'GS&lt;50 Predicted Monthly'!$X$13</f>
        <v>0</v>
      </c>
      <c r="R123" s="18">
        <f>J123*'GS&lt;50 Predicted Monthly'!$X$14</f>
        <v>10269375.55750498</v>
      </c>
      <c r="S123" s="20">
        <f t="shared" ca="1" si="63"/>
        <v>14744135.998510323</v>
      </c>
      <c r="V123" s="18"/>
    </row>
    <row r="124" spans="1:22" x14ac:dyDescent="0.2">
      <c r="A124" s="9">
        <v>45717</v>
      </c>
      <c r="B124">
        <f t="shared" si="79"/>
        <v>2025</v>
      </c>
      <c r="C124">
        <f t="shared" si="80"/>
        <v>3</v>
      </c>
      <c r="E124" s="358">
        <f t="shared" ref="E124:F124" ca="1" si="122">E112</f>
        <v>374.74</v>
      </c>
      <c r="F124" s="358">
        <f t="shared" ca="1" si="122"/>
        <v>0</v>
      </c>
      <c r="G124" s="463">
        <f>Economic!U198</f>
        <v>-642.70666666666511</v>
      </c>
      <c r="H124" s="358">
        <f>'Customer Count'!G38</f>
        <v>5751.465853409296</v>
      </c>
      <c r="I124" s="358">
        <f t="shared" si="119"/>
        <v>1</v>
      </c>
      <c r="J124" s="83">
        <f t="shared" si="120"/>
        <v>31</v>
      </c>
      <c r="L124" s="18">
        <f>'GS&lt;50 Predicted Monthly'!$X$8</f>
        <v>-8314018.5106493998</v>
      </c>
      <c r="M124" s="18">
        <f ca="1">E124*'GS&lt;50 Predicted Monthly'!$X$9</f>
        <v>1765722.3227900043</v>
      </c>
      <c r="N124" s="18">
        <f ca="1">F124*'GS&lt;50 Predicted Monthly'!$X$10</f>
        <v>0</v>
      </c>
      <c r="O124" s="18">
        <f>G124*'GS&lt;50 Predicted Monthly'!$X$11</f>
        <v>-4415.5753573820784</v>
      </c>
      <c r="P124" s="18">
        <f>H124*'GS&lt;50 Predicted Monthly'!$X$12</f>
        <v>10676185.451374892</v>
      </c>
      <c r="Q124" s="18">
        <f>I124*'GS&lt;50 Predicted Monthly'!$X$13</f>
        <v>-202362.33175645399</v>
      </c>
      <c r="R124" s="18">
        <f>J124*'GS&lt;50 Predicted Monthly'!$X$14</f>
        <v>11369665.795809086</v>
      </c>
      <c r="S124" s="20">
        <f t="shared" ca="1" si="63"/>
        <v>15290777.152210746</v>
      </c>
      <c r="V124" s="18"/>
    </row>
    <row r="125" spans="1:22" x14ac:dyDescent="0.2">
      <c r="A125" s="9">
        <v>45748</v>
      </c>
      <c r="B125">
        <f t="shared" si="79"/>
        <v>2025</v>
      </c>
      <c r="C125">
        <f t="shared" si="80"/>
        <v>4</v>
      </c>
      <c r="E125" s="358">
        <f t="shared" ref="E125:F125" ca="1" si="123">E113</f>
        <v>221.12999999999997</v>
      </c>
      <c r="F125" s="358">
        <f t="shared" ca="1" si="123"/>
        <v>2.6300000000000003</v>
      </c>
      <c r="G125" s="463">
        <f>Economic!U199</f>
        <v>2754.8639999999432</v>
      </c>
      <c r="H125" s="358">
        <f>'Customer Count'!G39</f>
        <v>5756.0798979508818</v>
      </c>
      <c r="I125" s="358">
        <f t="shared" si="119"/>
        <v>1</v>
      </c>
      <c r="J125" s="83">
        <f t="shared" si="120"/>
        <v>30</v>
      </c>
      <c r="L125" s="18">
        <f>'GS&lt;50 Predicted Monthly'!$X$8</f>
        <v>-8314018.5106493998</v>
      </c>
      <c r="M125" s="18">
        <f ca="1">E125*'GS&lt;50 Predicted Monthly'!$X$9</f>
        <v>1041933.5465617591</v>
      </c>
      <c r="N125" s="18">
        <f ca="1">F125*'GS&lt;50 Predicted Monthly'!$X$10</f>
        <v>30387.829518589355</v>
      </c>
      <c r="O125" s="18">
        <f>G125*'GS&lt;50 Predicted Monthly'!$X$11</f>
        <v>18926.689611650934</v>
      </c>
      <c r="P125" s="18">
        <f>H125*'GS&lt;50 Predicted Monthly'!$X$12</f>
        <v>10684750.293184336</v>
      </c>
      <c r="Q125" s="18">
        <f>I125*'GS&lt;50 Predicted Monthly'!$X$13</f>
        <v>-202362.33175645399</v>
      </c>
      <c r="R125" s="18">
        <f>J125*'GS&lt;50 Predicted Monthly'!$X$14</f>
        <v>11002902.38304105</v>
      </c>
      <c r="S125" s="20">
        <f t="shared" ca="1" si="63"/>
        <v>14262519.899511531</v>
      </c>
    </row>
    <row r="126" spans="1:22" x14ac:dyDescent="0.2">
      <c r="A126" s="9">
        <v>45778</v>
      </c>
      <c r="B126">
        <f t="shared" si="79"/>
        <v>2025</v>
      </c>
      <c r="C126">
        <f t="shared" si="80"/>
        <v>5</v>
      </c>
      <c r="E126" s="358">
        <f t="shared" ref="E126:F126" ca="1" si="124">E114</f>
        <v>74.8</v>
      </c>
      <c r="F126" s="358">
        <f t="shared" ca="1" si="124"/>
        <v>50.489999999999995</v>
      </c>
      <c r="G126" s="463">
        <f>Economic!U200</f>
        <v>2754.8639999999432</v>
      </c>
      <c r="H126" s="358">
        <f>'Customer Count'!G40</f>
        <v>5760.6976440543949</v>
      </c>
      <c r="I126" s="358">
        <f t="shared" si="119"/>
        <v>1</v>
      </c>
      <c r="J126" s="83">
        <f t="shared" si="120"/>
        <v>31</v>
      </c>
      <c r="L126" s="18">
        <f>'GS&lt;50 Predicted Monthly'!$X$8</f>
        <v>-8314018.5106493998</v>
      </c>
      <c r="M126" s="18">
        <f ca="1">E126*'GS&lt;50 Predicted Monthly'!$X$9</f>
        <v>352447.10931497125</v>
      </c>
      <c r="N126" s="18">
        <f ca="1">F126*'GS&lt;50 Predicted Monthly'!$X$10</f>
        <v>583377.00091010507</v>
      </c>
      <c r="O126" s="18">
        <f>G126*'GS&lt;50 Predicted Monthly'!$X$11</f>
        <v>18926.689611650934</v>
      </c>
      <c r="P126" s="18">
        <f>H126*'GS&lt;50 Predicted Monthly'!$X$12</f>
        <v>10693322.006035462</v>
      </c>
      <c r="Q126" s="18">
        <f>I126*'GS&lt;50 Predicted Monthly'!$X$13</f>
        <v>-202362.33175645399</v>
      </c>
      <c r="R126" s="18">
        <f>J126*'GS&lt;50 Predicted Monthly'!$X$14</f>
        <v>11369665.795809086</v>
      </c>
      <c r="S126" s="20">
        <f t="shared" ca="1" si="63"/>
        <v>14501357.759275422</v>
      </c>
    </row>
    <row r="127" spans="1:22" x14ac:dyDescent="0.2">
      <c r="A127" s="9">
        <v>45809</v>
      </c>
      <c r="B127">
        <f t="shared" si="79"/>
        <v>2025</v>
      </c>
      <c r="C127">
        <f t="shared" si="80"/>
        <v>6</v>
      </c>
      <c r="E127" s="358">
        <f t="shared" ref="E127:F127" ca="1" si="125">E115</f>
        <v>2.15</v>
      </c>
      <c r="F127" s="358">
        <f t="shared" ca="1" si="125"/>
        <v>154.05000000000001</v>
      </c>
      <c r="G127" s="463">
        <f>Economic!U201</f>
        <v>2754.8639999999432</v>
      </c>
      <c r="H127" s="358">
        <f>'Customer Count'!G41</f>
        <v>5765.3190946893692</v>
      </c>
      <c r="I127" s="358">
        <f t="shared" si="119"/>
        <v>0</v>
      </c>
      <c r="J127" s="83">
        <f t="shared" si="120"/>
        <v>30</v>
      </c>
      <c r="L127" s="18">
        <f>'GS&lt;50 Predicted Monthly'!$X$8</f>
        <v>-8314018.5106493998</v>
      </c>
      <c r="M127" s="18">
        <f ca="1">E127*'GS&lt;50 Predicted Monthly'!$X$9</f>
        <v>10130.498462930324</v>
      </c>
      <c r="N127" s="18">
        <f ca="1">F127*'GS&lt;50 Predicted Monthly'!$X$10</f>
        <v>1779941.1168588174</v>
      </c>
      <c r="O127" s="18">
        <f>G127*'GS&lt;50 Predicted Monthly'!$X$11</f>
        <v>18926.689611650934</v>
      </c>
      <c r="P127" s="18">
        <f>H127*'GS&lt;50 Predicted Monthly'!$X$12</f>
        <v>10701900.595440475</v>
      </c>
      <c r="Q127" s="18">
        <f>I127*'GS&lt;50 Predicted Monthly'!$X$13</f>
        <v>0</v>
      </c>
      <c r="R127" s="18">
        <f>J127*'GS&lt;50 Predicted Monthly'!$X$14</f>
        <v>11002902.38304105</v>
      </c>
      <c r="S127" s="20">
        <f t="shared" ca="1" si="63"/>
        <v>15199782.772765525</v>
      </c>
    </row>
    <row r="128" spans="1:22" x14ac:dyDescent="0.2">
      <c r="A128" s="9">
        <v>45839</v>
      </c>
      <c r="B128">
        <f t="shared" si="79"/>
        <v>2025</v>
      </c>
      <c r="C128">
        <f t="shared" si="80"/>
        <v>7</v>
      </c>
      <c r="E128" s="358">
        <f t="shared" ref="E128:F128" ca="1" si="126">E116</f>
        <v>0</v>
      </c>
      <c r="F128" s="358">
        <f t="shared" ca="1" si="126"/>
        <v>267.66999999999996</v>
      </c>
      <c r="G128" s="463">
        <f>Economic!U202</f>
        <v>735.84000000008382</v>
      </c>
      <c r="H128" s="358">
        <f>'Customer Count'!G42</f>
        <v>5769.9442528277214</v>
      </c>
      <c r="I128" s="358">
        <f t="shared" si="119"/>
        <v>0</v>
      </c>
      <c r="J128" s="83">
        <f t="shared" si="120"/>
        <v>31</v>
      </c>
      <c r="L128" s="18">
        <f>'GS&lt;50 Predicted Monthly'!$X$8</f>
        <v>-8314018.5106493998</v>
      </c>
      <c r="M128" s="18">
        <f ca="1">E128*'GS&lt;50 Predicted Monthly'!$X$9</f>
        <v>0</v>
      </c>
      <c r="N128" s="18">
        <f ca="1">F128*'GS&lt;50 Predicted Monthly'!$X$10</f>
        <v>3092741.5692930841</v>
      </c>
      <c r="O128" s="18">
        <f>G128*'GS&lt;50 Predicted Monthly'!$X$11</f>
        <v>5055.4275215905755</v>
      </c>
      <c r="P128" s="18">
        <f>H128*'GS&lt;50 Predicted Monthly'!$X$12</f>
        <v>10710486.066916015</v>
      </c>
      <c r="Q128" s="18">
        <f>I128*'GS&lt;50 Predicted Monthly'!$X$13</f>
        <v>0</v>
      </c>
      <c r="R128" s="18">
        <f>J128*'GS&lt;50 Predicted Monthly'!$X$14</f>
        <v>11369665.795809086</v>
      </c>
      <c r="S128" s="20">
        <f t="shared" ca="1" si="63"/>
        <v>16863930.348890375</v>
      </c>
    </row>
    <row r="129" spans="1:19" x14ac:dyDescent="0.2">
      <c r="A129" s="9">
        <v>45870</v>
      </c>
      <c r="B129">
        <f t="shared" si="79"/>
        <v>2025</v>
      </c>
      <c r="C129">
        <f t="shared" si="80"/>
        <v>8</v>
      </c>
      <c r="E129" s="358">
        <f t="shared" ref="E129:F129" ca="1" si="127">E117</f>
        <v>0</v>
      </c>
      <c r="F129" s="358">
        <f t="shared" ca="1" si="127"/>
        <v>246.315</v>
      </c>
      <c r="G129" s="463">
        <f>Economic!U203</f>
        <v>735.84000000008382</v>
      </c>
      <c r="H129" s="358">
        <f>'Customer Count'!G43</f>
        <v>5774.573121443751</v>
      </c>
      <c r="I129" s="358">
        <f t="shared" si="119"/>
        <v>0</v>
      </c>
      <c r="J129" s="83">
        <f t="shared" si="120"/>
        <v>31</v>
      </c>
      <c r="L129" s="18">
        <f>'GS&lt;50 Predicted Monthly'!$X$8</f>
        <v>-8314018.5106493998</v>
      </c>
      <c r="M129" s="18">
        <f ca="1">E129*'GS&lt;50 Predicted Monthly'!$X$9</f>
        <v>0</v>
      </c>
      <c r="N129" s="18">
        <f ca="1">F129*'GS&lt;50 Predicted Monthly'!$X$10</f>
        <v>2845999.3261868199</v>
      </c>
      <c r="O129" s="18">
        <f>G129*'GS&lt;50 Predicted Monthly'!$X$11</f>
        <v>5055.4275215905755</v>
      </c>
      <c r="P129" s="18">
        <f>H129*'GS&lt;50 Predicted Monthly'!$X$12</f>
        <v>10719078.425983137</v>
      </c>
      <c r="Q129" s="18">
        <f>I129*'GS&lt;50 Predicted Monthly'!$X$13</f>
        <v>0</v>
      </c>
      <c r="R129" s="18">
        <f>J129*'GS&lt;50 Predicted Monthly'!$X$14</f>
        <v>11369665.795809086</v>
      </c>
      <c r="S129" s="20">
        <f t="shared" ca="1" si="63"/>
        <v>16625780.464851234</v>
      </c>
    </row>
    <row r="130" spans="1:19" x14ac:dyDescent="0.2">
      <c r="A130" s="9">
        <v>45901</v>
      </c>
      <c r="B130">
        <f t="shared" si="79"/>
        <v>2025</v>
      </c>
      <c r="C130">
        <f t="shared" si="80"/>
        <v>9</v>
      </c>
      <c r="E130" s="358">
        <f t="shared" ref="E130:F130" ca="1" si="128">E118</f>
        <v>2.2699999999999996</v>
      </c>
      <c r="F130" s="358">
        <f t="shared" ca="1" si="128"/>
        <v>146.80000000000001</v>
      </c>
      <c r="G130" s="463">
        <f>Economic!U204</f>
        <v>735.84000000008382</v>
      </c>
      <c r="H130" s="358">
        <f>'Customer Count'!G44</f>
        <v>5779.2057035141443</v>
      </c>
      <c r="I130" s="358">
        <f t="shared" si="119"/>
        <v>1</v>
      </c>
      <c r="J130" s="83">
        <f t="shared" si="120"/>
        <v>30</v>
      </c>
      <c r="L130" s="18">
        <f>'GS&lt;50 Predicted Monthly'!$X$8</f>
        <v>-8314018.5106493998</v>
      </c>
      <c r="M130" s="18">
        <f ca="1">E130*'GS&lt;50 Predicted Monthly'!$X$9</f>
        <v>10695.92163295434</v>
      </c>
      <c r="N130" s="18">
        <f ca="1">F130*'GS&lt;50 Predicted Monthly'!$X$10</f>
        <v>1696172.3852961662</v>
      </c>
      <c r="O130" s="18">
        <f>G130*'GS&lt;50 Predicted Monthly'!$X$11</f>
        <v>5055.4275215905755</v>
      </c>
      <c r="P130" s="18">
        <f>H130*'GS&lt;50 Predicted Monthly'!$X$12</f>
        <v>10727677.678167328</v>
      </c>
      <c r="Q130" s="18">
        <f>I130*'GS&lt;50 Predicted Monthly'!$X$13</f>
        <v>-202362.33175645399</v>
      </c>
      <c r="R130" s="18">
        <f>J130*'GS&lt;50 Predicted Monthly'!$X$14</f>
        <v>11002902.38304105</v>
      </c>
      <c r="S130" s="20">
        <f t="shared" ca="1" si="63"/>
        <v>14926122.953253236</v>
      </c>
    </row>
    <row r="131" spans="1:19" x14ac:dyDescent="0.2">
      <c r="A131" s="9">
        <v>45931</v>
      </c>
      <c r="B131">
        <f t="shared" si="79"/>
        <v>2025</v>
      </c>
      <c r="C131">
        <f t="shared" si="80"/>
        <v>10</v>
      </c>
      <c r="E131" s="358">
        <f t="shared" ref="E131:F131" ca="1" si="129">E119</f>
        <v>83.800000000000011</v>
      </c>
      <c r="F131" s="358">
        <f t="shared" ca="1" si="129"/>
        <v>36.859999999999992</v>
      </c>
      <c r="G131" s="463">
        <f>Economic!U205</f>
        <v>4208.3220479999436</v>
      </c>
      <c r="H131" s="358">
        <f>'Customer Count'!G45</f>
        <v>5783.8420020179756</v>
      </c>
      <c r="I131" s="358">
        <f t="shared" si="119"/>
        <v>1</v>
      </c>
      <c r="J131" s="83">
        <f t="shared" si="120"/>
        <v>31</v>
      </c>
      <c r="L131" s="18">
        <f>'GS&lt;50 Predicted Monthly'!$X$8</f>
        <v>-8314018.5106493998</v>
      </c>
      <c r="M131" s="18">
        <f ca="1">E131*'GS&lt;50 Predicted Monthly'!$X$9</f>
        <v>394853.84706677264</v>
      </c>
      <c r="N131" s="18">
        <f ca="1">F131*'GS&lt;50 Predicted Monthly'!$X$10</f>
        <v>425891.78557232063</v>
      </c>
      <c r="O131" s="18">
        <f>G131*'GS&lt;50 Predicted Monthly'!$X$11</f>
        <v>28912.354725446978</v>
      </c>
      <c r="P131" s="18">
        <f>H131*'GS&lt;50 Predicted Monthly'!$X$12</f>
        <v>10736283.82899851</v>
      </c>
      <c r="Q131" s="18">
        <f>I131*'GS&lt;50 Predicted Monthly'!$X$13</f>
        <v>-202362.33175645399</v>
      </c>
      <c r="R131" s="18">
        <f>J131*'GS&lt;50 Predicted Monthly'!$X$14</f>
        <v>11369665.795809086</v>
      </c>
      <c r="S131" s="20">
        <f t="shared" ca="1" si="63"/>
        <v>14439226.769766282</v>
      </c>
    </row>
    <row r="132" spans="1:19" x14ac:dyDescent="0.2">
      <c r="A132" s="9">
        <v>45962</v>
      </c>
      <c r="B132">
        <f t="shared" si="79"/>
        <v>2025</v>
      </c>
      <c r="C132">
        <f t="shared" si="80"/>
        <v>11</v>
      </c>
      <c r="E132" s="358">
        <f t="shared" ref="E132:F132" ca="1" si="130">E120</f>
        <v>240.7</v>
      </c>
      <c r="F132" s="358">
        <f t="shared" ca="1" si="130"/>
        <v>3.410000000000001</v>
      </c>
      <c r="G132" s="463">
        <f>Economic!U206</f>
        <v>4208.3220479999436</v>
      </c>
      <c r="H132" s="358">
        <f>'Customer Count'!G46</f>
        <v>5788.4820199367095</v>
      </c>
      <c r="I132" s="358">
        <f t="shared" si="119"/>
        <v>1</v>
      </c>
      <c r="J132" s="83">
        <f t="shared" si="120"/>
        <v>30</v>
      </c>
      <c r="L132" s="18">
        <f>'GS&lt;50 Predicted Monthly'!$X$8</f>
        <v>-8314018.5106493998</v>
      </c>
      <c r="M132" s="18">
        <f ca="1">E132*'GS&lt;50 Predicted Monthly'!$X$9</f>
        <v>1134144.6418731762</v>
      </c>
      <c r="N132" s="18">
        <f ca="1">F132*'GS&lt;50 Predicted Monthly'!$X$10</f>
        <v>39400.189603950465</v>
      </c>
      <c r="O132" s="18">
        <f>G132*'GS&lt;50 Predicted Monthly'!$X$11</f>
        <v>28912.354725446978</v>
      </c>
      <c r="P132" s="18">
        <f>H132*'GS&lt;50 Predicted Monthly'!$X$12</f>
        <v>10744896.884011041</v>
      </c>
      <c r="Q132" s="18">
        <f>I132*'GS&lt;50 Predicted Monthly'!$X$13</f>
        <v>-202362.33175645399</v>
      </c>
      <c r="R132" s="18">
        <f>J132*'GS&lt;50 Predicted Monthly'!$X$14</f>
        <v>11002902.38304105</v>
      </c>
      <c r="S132" s="20">
        <f t="shared" ca="1" si="63"/>
        <v>14433875.610848811</v>
      </c>
    </row>
    <row r="133" spans="1:19" x14ac:dyDescent="0.2">
      <c r="A133" s="9">
        <v>45992</v>
      </c>
      <c r="B133">
        <f t="shared" si="79"/>
        <v>2025</v>
      </c>
      <c r="C133">
        <f t="shared" si="80"/>
        <v>12</v>
      </c>
      <c r="E133" s="358">
        <f t="shared" ref="E133:F133" ca="1" si="131">E121</f>
        <v>386.61999999999995</v>
      </c>
      <c r="F133" s="358">
        <f t="shared" ca="1" si="131"/>
        <v>0</v>
      </c>
      <c r="G133" s="463">
        <f>Economic!U207</f>
        <v>4208.3220479999436</v>
      </c>
      <c r="H133" s="358">
        <f>'Customer Count'!G47</f>
        <v>5793.1257602542019</v>
      </c>
      <c r="I133" s="358">
        <f t="shared" si="119"/>
        <v>0</v>
      </c>
      <c r="J133" s="83">
        <f t="shared" si="120"/>
        <v>31</v>
      </c>
      <c r="L133" s="18">
        <f>'GS&lt;50 Predicted Monthly'!$X$8</f>
        <v>-8314018.5106493998</v>
      </c>
      <c r="M133" s="18">
        <f ca="1">E133*'GS&lt;50 Predicted Monthly'!$X$9</f>
        <v>1821699.2166223819</v>
      </c>
      <c r="N133" s="18">
        <f ca="1">F133*'GS&lt;50 Predicted Monthly'!$X$10</f>
        <v>0</v>
      </c>
      <c r="O133" s="18">
        <f>G133*'GS&lt;50 Predicted Monthly'!$X$11</f>
        <v>28912.354725446978</v>
      </c>
      <c r="P133" s="18">
        <f>H133*'GS&lt;50 Predicted Monthly'!$X$12</f>
        <v>10753516.848743716</v>
      </c>
      <c r="Q133" s="18">
        <f>I133*'GS&lt;50 Predicted Monthly'!$X$13</f>
        <v>0</v>
      </c>
      <c r="R133" s="18">
        <f>J133*'GS&lt;50 Predicted Monthly'!$X$14</f>
        <v>11369665.795809086</v>
      </c>
      <c r="S133" s="20">
        <f t="shared" ca="1" si="63"/>
        <v>15659775.705251232</v>
      </c>
    </row>
    <row r="134" spans="1:19" x14ac:dyDescent="0.2">
      <c r="A134" s="9">
        <v>46023</v>
      </c>
      <c r="B134">
        <f t="shared" si="79"/>
        <v>2026</v>
      </c>
      <c r="C134">
        <f t="shared" si="80"/>
        <v>1</v>
      </c>
      <c r="E134" s="358">
        <f t="shared" ref="E134:F134" ca="1" si="132">E122</f>
        <v>508.54000000000008</v>
      </c>
      <c r="F134" s="358">
        <f t="shared" ca="1" si="132"/>
        <v>0</v>
      </c>
      <c r="G134" s="463">
        <f>Economic!U208</f>
        <v>-647.84831999999005</v>
      </c>
      <c r="H134" s="358">
        <f>'Customer Count'!G48</f>
        <v>5797.7732259567019</v>
      </c>
      <c r="I134" s="358">
        <f t="shared" si="119"/>
        <v>0</v>
      </c>
      <c r="J134" s="83">
        <f t="shared" si="120"/>
        <v>31</v>
      </c>
      <c r="L134" s="18">
        <f>'GS&lt;50 Predicted Monthly'!$X$8</f>
        <v>-8314018.5106493998</v>
      </c>
      <c r="M134" s="18">
        <f ca="1">E134*'GS&lt;50 Predicted Monthly'!$X$9</f>
        <v>2396169.1573667848</v>
      </c>
      <c r="N134" s="18">
        <f ca="1">F134*'GS&lt;50 Predicted Monthly'!$X$10</f>
        <v>0</v>
      </c>
      <c r="O134" s="18">
        <f>G134*'GS&lt;50 Predicted Monthly'!$X$11</f>
        <v>-4450.8999602410777</v>
      </c>
      <c r="P134" s="18">
        <f>H134*'GS&lt;50 Predicted Monthly'!$X$12</f>
        <v>10762143.728739776</v>
      </c>
      <c r="Q134" s="18">
        <f>I134*'GS&lt;50 Predicted Monthly'!$X$13</f>
        <v>0</v>
      </c>
      <c r="R134" s="18">
        <f>J134*'GS&lt;50 Predicted Monthly'!$X$14</f>
        <v>11369665.795809086</v>
      </c>
      <c r="S134" s="20">
        <f t="shared" ref="S134:S145" ca="1" si="133">SUM(L134:R134)</f>
        <v>16209509.271306004</v>
      </c>
    </row>
    <row r="135" spans="1:19" x14ac:dyDescent="0.2">
      <c r="A135" s="9">
        <v>46054</v>
      </c>
      <c r="B135">
        <f t="shared" si="79"/>
        <v>2026</v>
      </c>
      <c r="C135">
        <f t="shared" si="80"/>
        <v>2</v>
      </c>
      <c r="E135" s="358">
        <f t="shared" ref="E135:F135" ca="1" si="134">E123</f>
        <v>451.10999999999996</v>
      </c>
      <c r="F135" s="358">
        <f t="shared" ca="1" si="134"/>
        <v>0</v>
      </c>
      <c r="G135" s="463">
        <f>Economic!U209</f>
        <v>-647.84831999999005</v>
      </c>
      <c r="H135" s="358">
        <f>'Customer Count'!G49</f>
        <v>5802.4244200328558</v>
      </c>
      <c r="I135" s="358">
        <f t="shared" si="119"/>
        <v>0</v>
      </c>
      <c r="J135" s="83">
        <f t="shared" si="120"/>
        <v>28</v>
      </c>
      <c r="L135" s="18">
        <f>'GS&lt;50 Predicted Monthly'!$X$8</f>
        <v>-8314018.5106493998</v>
      </c>
      <c r="M135" s="18">
        <f ca="1">E135*'GS&lt;50 Predicted Monthly'!$X$9</f>
        <v>2125567.0519127897</v>
      </c>
      <c r="N135" s="18">
        <f ca="1">F135*'GS&lt;50 Predicted Monthly'!$X$10</f>
        <v>0</v>
      </c>
      <c r="O135" s="18">
        <f>G135*'GS&lt;50 Predicted Monthly'!$X$11</f>
        <v>-4450.8999602410777</v>
      </c>
      <c r="P135" s="18">
        <f>H135*'GS&lt;50 Predicted Monthly'!$X$12</f>
        <v>10770777.529546907</v>
      </c>
      <c r="Q135" s="18">
        <f>I135*'GS&lt;50 Predicted Monthly'!$X$13</f>
        <v>0</v>
      </c>
      <c r="R135" s="18">
        <f>J135*'GS&lt;50 Predicted Monthly'!$X$14</f>
        <v>10269375.55750498</v>
      </c>
      <c r="S135" s="20">
        <f t="shared" ca="1" si="133"/>
        <v>14847250.728355035</v>
      </c>
    </row>
    <row r="136" spans="1:19" x14ac:dyDescent="0.2">
      <c r="A136" s="9">
        <v>46082</v>
      </c>
      <c r="B136">
        <f t="shared" si="79"/>
        <v>2026</v>
      </c>
      <c r="C136">
        <f t="shared" si="80"/>
        <v>3</v>
      </c>
      <c r="E136" s="358">
        <f t="shared" ref="E136:F136" ca="1" si="135">E124</f>
        <v>374.74</v>
      </c>
      <c r="F136" s="358">
        <f t="shared" ca="1" si="135"/>
        <v>0</v>
      </c>
      <c r="G136" s="463">
        <f>Economic!U210</f>
        <v>-647.84831999999005</v>
      </c>
      <c r="H136" s="358">
        <f>'Customer Count'!G50</f>
        <v>5807.0793454737059</v>
      </c>
      <c r="I136" s="358">
        <f t="shared" si="119"/>
        <v>1</v>
      </c>
      <c r="J136" s="83">
        <f t="shared" si="120"/>
        <v>31</v>
      </c>
      <c r="L136" s="18">
        <f>'GS&lt;50 Predicted Monthly'!$X$8</f>
        <v>-8314018.5106493998</v>
      </c>
      <c r="M136" s="18">
        <f ca="1">E136*'GS&lt;50 Predicted Monthly'!$X$9</f>
        <v>1765722.3227900043</v>
      </c>
      <c r="N136" s="18">
        <f ca="1">F136*'GS&lt;50 Predicted Monthly'!$X$10</f>
        <v>0</v>
      </c>
      <c r="O136" s="18">
        <f>G136*'GS&lt;50 Predicted Monthly'!$X$11</f>
        <v>-4450.8999602410777</v>
      </c>
      <c r="P136" s="18">
        <f>H136*'GS&lt;50 Predicted Monthly'!$X$12</f>
        <v>10779418.256717248</v>
      </c>
      <c r="Q136" s="18">
        <f>I136*'GS&lt;50 Predicted Monthly'!$X$13</f>
        <v>-202362.33175645399</v>
      </c>
      <c r="R136" s="18">
        <f>J136*'GS&lt;50 Predicted Monthly'!$X$14</f>
        <v>11369665.795809086</v>
      </c>
      <c r="S136" s="20">
        <f t="shared" ca="1" si="133"/>
        <v>15393974.632950243</v>
      </c>
    </row>
    <row r="137" spans="1:19" x14ac:dyDescent="0.2">
      <c r="A137" s="9">
        <v>46113</v>
      </c>
      <c r="B137">
        <f t="shared" si="79"/>
        <v>2026</v>
      </c>
      <c r="C137">
        <f t="shared" si="80"/>
        <v>4</v>
      </c>
      <c r="E137" s="358">
        <f t="shared" ref="E137:F137" ca="1" si="136">E125</f>
        <v>221.12999999999997</v>
      </c>
      <c r="F137" s="358">
        <f t="shared" ca="1" si="136"/>
        <v>2.6300000000000003</v>
      </c>
      <c r="G137" s="463">
        <f>Economic!U211</f>
        <v>2776.9029119999614</v>
      </c>
      <c r="H137" s="358">
        <f>'Customer Count'!G51</f>
        <v>5811.7380052726949</v>
      </c>
      <c r="I137" s="358">
        <f t="shared" si="119"/>
        <v>1</v>
      </c>
      <c r="J137" s="83">
        <f t="shared" si="120"/>
        <v>30</v>
      </c>
      <c r="L137" s="18">
        <f>'GS&lt;50 Predicted Monthly'!$X$8</f>
        <v>-8314018.5106493998</v>
      </c>
      <c r="M137" s="18">
        <f ca="1">E137*'GS&lt;50 Predicted Monthly'!$X$9</f>
        <v>1041933.5465617591</v>
      </c>
      <c r="N137" s="18">
        <f ca="1">F137*'GS&lt;50 Predicted Monthly'!$X$10</f>
        <v>30387.829518589355</v>
      </c>
      <c r="O137" s="18">
        <f>G137*'GS&lt;50 Predicted Monthly'!$X$11</f>
        <v>19078.10312854427</v>
      </c>
      <c r="P137" s="18">
        <f>H137*'GS&lt;50 Predicted Monthly'!$X$12</f>
        <v>10788065.915807389</v>
      </c>
      <c r="Q137" s="18">
        <f>I137*'GS&lt;50 Predicted Monthly'!$X$13</f>
        <v>-202362.33175645399</v>
      </c>
      <c r="R137" s="18">
        <f>J137*'GS&lt;50 Predicted Monthly'!$X$14</f>
        <v>11002902.38304105</v>
      </c>
      <c r="S137" s="20">
        <f t="shared" ca="1" si="133"/>
        <v>14365986.935651477</v>
      </c>
    </row>
    <row r="138" spans="1:19" x14ac:dyDescent="0.2">
      <c r="A138" s="9">
        <v>46143</v>
      </c>
      <c r="B138">
        <f t="shared" si="79"/>
        <v>2026</v>
      </c>
      <c r="C138">
        <f t="shared" si="80"/>
        <v>5</v>
      </c>
      <c r="E138" s="358">
        <f t="shared" ref="E138:F138" ca="1" si="137">E126</f>
        <v>74.8</v>
      </c>
      <c r="F138" s="358">
        <f t="shared" ca="1" si="137"/>
        <v>50.489999999999995</v>
      </c>
      <c r="G138" s="463">
        <f>Economic!U212</f>
        <v>2776.9029119999614</v>
      </c>
      <c r="H138" s="358">
        <f>'Customer Count'!G52</f>
        <v>5816.4004024256674</v>
      </c>
      <c r="I138" s="358">
        <f t="shared" si="119"/>
        <v>1</v>
      </c>
      <c r="J138" s="83">
        <f t="shared" si="120"/>
        <v>31</v>
      </c>
      <c r="L138" s="18">
        <f>'GS&lt;50 Predicted Monthly'!$X$8</f>
        <v>-8314018.5106493998</v>
      </c>
      <c r="M138" s="18">
        <f ca="1">E138*'GS&lt;50 Predicted Monthly'!$X$9</f>
        <v>352447.10931497125</v>
      </c>
      <c r="N138" s="18">
        <f ca="1">F138*'GS&lt;50 Predicted Monthly'!$X$10</f>
        <v>583377.00091010507</v>
      </c>
      <c r="O138" s="18">
        <f>G138*'GS&lt;50 Predicted Monthly'!$X$11</f>
        <v>19078.10312854427</v>
      </c>
      <c r="P138" s="18">
        <f>H138*'GS&lt;50 Predicted Monthly'!$X$12</f>
        <v>10796720.512378382</v>
      </c>
      <c r="Q138" s="18">
        <f>I138*'GS&lt;50 Predicted Monthly'!$X$13</f>
        <v>-202362.33175645399</v>
      </c>
      <c r="R138" s="18">
        <f>J138*'GS&lt;50 Predicted Monthly'!$X$14</f>
        <v>11369665.795809086</v>
      </c>
      <c r="S138" s="20">
        <f t="shared" ca="1" si="133"/>
        <v>14604907.679135235</v>
      </c>
    </row>
    <row r="139" spans="1:19" x14ac:dyDescent="0.2">
      <c r="A139" s="9">
        <v>46174</v>
      </c>
      <c r="B139">
        <f t="shared" si="79"/>
        <v>2026</v>
      </c>
      <c r="C139">
        <f t="shared" si="80"/>
        <v>6</v>
      </c>
      <c r="E139" s="358">
        <f t="shared" ref="E139:F139" ca="1" si="138">E127</f>
        <v>2.15</v>
      </c>
      <c r="F139" s="358">
        <f t="shared" ca="1" si="138"/>
        <v>154.05000000000001</v>
      </c>
      <c r="G139" s="463">
        <f>Economic!U213</f>
        <v>2776.9029119999614</v>
      </c>
      <c r="H139" s="358">
        <f>'Customer Count'!G53</f>
        <v>5821.06653993087</v>
      </c>
      <c r="I139" s="358">
        <f t="shared" si="119"/>
        <v>0</v>
      </c>
      <c r="J139" s="83">
        <f t="shared" si="120"/>
        <v>30</v>
      </c>
      <c r="L139" s="18">
        <f>'GS&lt;50 Predicted Monthly'!$X$8</f>
        <v>-8314018.5106493998</v>
      </c>
      <c r="M139" s="18">
        <f ca="1">E139*'GS&lt;50 Predicted Monthly'!$X$9</f>
        <v>10130.498462930324</v>
      </c>
      <c r="N139" s="18">
        <f ca="1">F139*'GS&lt;50 Predicted Monthly'!$X$10</f>
        <v>1779941.1168588174</v>
      </c>
      <c r="O139" s="18">
        <f>G139*'GS&lt;50 Predicted Monthly'!$X$11</f>
        <v>19078.10312854427</v>
      </c>
      <c r="P139" s="18">
        <f>H139*'GS&lt;50 Predicted Monthly'!$X$12</f>
        <v>10805382.051995736</v>
      </c>
      <c r="Q139" s="18">
        <f>I139*'GS&lt;50 Predicted Monthly'!$X$13</f>
        <v>0</v>
      </c>
      <c r="R139" s="18">
        <f>J139*'GS&lt;50 Predicted Monthly'!$X$14</f>
        <v>11002902.38304105</v>
      </c>
      <c r="S139" s="20">
        <f t="shared" ca="1" si="133"/>
        <v>15303415.642837677</v>
      </c>
    </row>
    <row r="140" spans="1:19" x14ac:dyDescent="0.2">
      <c r="A140" s="9">
        <v>46204</v>
      </c>
      <c r="B140">
        <f t="shared" si="79"/>
        <v>2026</v>
      </c>
      <c r="C140">
        <f t="shared" si="80"/>
        <v>7</v>
      </c>
      <c r="E140" s="358">
        <f t="shared" ref="E140:F140" ca="1" si="139">E128</f>
        <v>0</v>
      </c>
      <c r="F140" s="358">
        <f t="shared" ca="1" si="139"/>
        <v>267.66999999999996</v>
      </c>
      <c r="G140" s="463">
        <f>Economic!U214</f>
        <v>741.72672000003513</v>
      </c>
      <c r="H140" s="358">
        <f>'Customer Count'!G54</f>
        <v>5825.7364207889568</v>
      </c>
      <c r="I140" s="358">
        <f t="shared" si="119"/>
        <v>0</v>
      </c>
      <c r="J140" s="83">
        <f t="shared" si="120"/>
        <v>31</v>
      </c>
      <c r="L140" s="18">
        <f>'GS&lt;50 Predicted Monthly'!$X$8</f>
        <v>-8314018.5106493998</v>
      </c>
      <c r="M140" s="18">
        <f ca="1">E140*'GS&lt;50 Predicted Monthly'!$X$9</f>
        <v>0</v>
      </c>
      <c r="N140" s="18">
        <f ca="1">F140*'GS&lt;50 Predicted Monthly'!$X$10</f>
        <v>3092741.5692930841</v>
      </c>
      <c r="O140" s="18">
        <f>G140*'GS&lt;50 Predicted Monthly'!$X$11</f>
        <v>5095.8709417629607</v>
      </c>
      <c r="P140" s="18">
        <f>H140*'GS&lt;50 Predicted Monthly'!$X$12</f>
        <v>10814050.540229427</v>
      </c>
      <c r="Q140" s="18">
        <f>I140*'GS&lt;50 Predicted Monthly'!$X$13</f>
        <v>0</v>
      </c>
      <c r="R140" s="18">
        <f>J140*'GS&lt;50 Predicted Monthly'!$X$14</f>
        <v>11369665.795809086</v>
      </c>
      <c r="S140" s="20">
        <f t="shared" ca="1" si="133"/>
        <v>16967535.265623961</v>
      </c>
    </row>
    <row r="141" spans="1:19" x14ac:dyDescent="0.2">
      <c r="A141" s="9">
        <v>46235</v>
      </c>
      <c r="B141">
        <f t="shared" si="79"/>
        <v>2026</v>
      </c>
      <c r="C141">
        <f t="shared" si="80"/>
        <v>8</v>
      </c>
      <c r="E141" s="358">
        <f t="shared" ref="E141:F141" ca="1" si="140">E129</f>
        <v>0</v>
      </c>
      <c r="F141" s="358">
        <f t="shared" ca="1" si="140"/>
        <v>246.315</v>
      </c>
      <c r="G141" s="463">
        <f>Economic!U215</f>
        <v>741.72672000003513</v>
      </c>
      <c r="H141" s="358">
        <f>'Customer Count'!G55</f>
        <v>5830.4100480029865</v>
      </c>
      <c r="I141" s="358">
        <f t="shared" si="119"/>
        <v>0</v>
      </c>
      <c r="J141" s="83">
        <f t="shared" si="120"/>
        <v>31</v>
      </c>
      <c r="L141" s="18">
        <f>'GS&lt;50 Predicted Monthly'!$X$8</f>
        <v>-8314018.5106493998</v>
      </c>
      <c r="M141" s="18">
        <f ca="1">E141*'GS&lt;50 Predicted Monthly'!$X$9</f>
        <v>0</v>
      </c>
      <c r="N141" s="18">
        <f ca="1">F141*'GS&lt;50 Predicted Monthly'!$X$10</f>
        <v>2845999.3261868199</v>
      </c>
      <c r="O141" s="18">
        <f>G141*'GS&lt;50 Predicted Monthly'!$X$11</f>
        <v>5095.8709417629607</v>
      </c>
      <c r="P141" s="18">
        <f>H141*'GS&lt;50 Predicted Monthly'!$X$12</f>
        <v>10822725.982653899</v>
      </c>
      <c r="Q141" s="18">
        <f>I141*'GS&lt;50 Predicted Monthly'!$X$13</f>
        <v>0</v>
      </c>
      <c r="R141" s="18">
        <f>J141*'GS&lt;50 Predicted Monthly'!$X$14</f>
        <v>11369665.795809086</v>
      </c>
      <c r="S141" s="20">
        <f t="shared" ca="1" si="133"/>
        <v>16729468.464942168</v>
      </c>
    </row>
    <row r="142" spans="1:19" x14ac:dyDescent="0.2">
      <c r="A142" s="9">
        <v>46266</v>
      </c>
      <c r="B142">
        <f t="shared" si="79"/>
        <v>2026</v>
      </c>
      <c r="C142">
        <f t="shared" si="80"/>
        <v>9</v>
      </c>
      <c r="E142" s="358">
        <f t="shared" ref="E142:F142" ca="1" si="141">E130</f>
        <v>2.2699999999999996</v>
      </c>
      <c r="F142" s="358">
        <f t="shared" ca="1" si="141"/>
        <v>146.80000000000001</v>
      </c>
      <c r="G142" s="463">
        <f>Economic!U216</f>
        <v>741.72672000003513</v>
      </c>
      <c r="H142" s="358">
        <f>'Customer Count'!G56</f>
        <v>5835.0874245784289</v>
      </c>
      <c r="I142" s="358">
        <f t="shared" si="119"/>
        <v>1</v>
      </c>
      <c r="J142" s="83">
        <f t="shared" si="120"/>
        <v>30</v>
      </c>
      <c r="L142" s="18">
        <f>'GS&lt;50 Predicted Monthly'!$X$8</f>
        <v>-8314018.5106493998</v>
      </c>
      <c r="M142" s="18">
        <f ca="1">E142*'GS&lt;50 Predicted Monthly'!$X$9</f>
        <v>10695.92163295434</v>
      </c>
      <c r="N142" s="18">
        <f ca="1">F142*'GS&lt;50 Predicted Monthly'!$X$10</f>
        <v>1696172.3852961662</v>
      </c>
      <c r="O142" s="18">
        <f>G142*'GS&lt;50 Predicted Monthly'!$X$11</f>
        <v>5095.8709417629607</v>
      </c>
      <c r="P142" s="18">
        <f>H142*'GS&lt;50 Predicted Monthly'!$X$12</f>
        <v>10831408.384848071</v>
      </c>
      <c r="Q142" s="18">
        <f>I142*'GS&lt;50 Predicted Monthly'!$X$13</f>
        <v>-202362.33175645399</v>
      </c>
      <c r="R142" s="18">
        <f>J142*'GS&lt;50 Predicted Monthly'!$X$14</f>
        <v>11002902.38304105</v>
      </c>
      <c r="S142" s="20">
        <f t="shared" ca="1" si="133"/>
        <v>15029894.10335415</v>
      </c>
    </row>
    <row r="143" spans="1:19" x14ac:dyDescent="0.2">
      <c r="A143" s="9">
        <v>46296</v>
      </c>
      <c r="B143">
        <f t="shared" si="79"/>
        <v>2026</v>
      </c>
      <c r="C143">
        <f t="shared" si="80"/>
        <v>10</v>
      </c>
      <c r="E143" s="358">
        <f t="shared" ref="E143:F143" ca="1" si="142">E131</f>
        <v>83.800000000000011</v>
      </c>
      <c r="F143" s="358">
        <f t="shared" ca="1" si="142"/>
        <v>36.859999999999992</v>
      </c>
      <c r="G143" s="463">
        <f>Economic!U217</f>
        <v>4241.9886243840447</v>
      </c>
      <c r="H143" s="358">
        <f>'Customer Count'!G57</f>
        <v>5839.768553523164</v>
      </c>
      <c r="I143" s="358">
        <f t="shared" si="119"/>
        <v>1</v>
      </c>
      <c r="J143" s="83">
        <f t="shared" si="120"/>
        <v>31</v>
      </c>
      <c r="L143" s="18">
        <f>'GS&lt;50 Predicted Monthly'!$X$8</f>
        <v>-8314018.5106493998</v>
      </c>
      <c r="M143" s="18">
        <f ca="1">E143*'GS&lt;50 Predicted Monthly'!$X$9</f>
        <v>394853.84706677264</v>
      </c>
      <c r="N143" s="18">
        <f ca="1">F143*'GS&lt;50 Predicted Monthly'!$X$10</f>
        <v>425891.78557232063</v>
      </c>
      <c r="O143" s="18">
        <f>G143*'GS&lt;50 Predicted Monthly'!$X$11</f>
        <v>29143.653563251253</v>
      </c>
      <c r="P143" s="18">
        <f>H143*'GS&lt;50 Predicted Monthly'!$X$12</f>
        <v>10840097.75239533</v>
      </c>
      <c r="Q143" s="18">
        <f>I143*'GS&lt;50 Predicted Monthly'!$X$13</f>
        <v>-202362.33175645399</v>
      </c>
      <c r="R143" s="18">
        <f>J143*'GS&lt;50 Predicted Monthly'!$X$14</f>
        <v>11369665.795809086</v>
      </c>
      <c r="S143" s="20">
        <f t="shared" ca="1" si="133"/>
        <v>14543271.992000908</v>
      </c>
    </row>
    <row r="144" spans="1:19" x14ac:dyDescent="0.2">
      <c r="A144" s="9">
        <v>46327</v>
      </c>
      <c r="B144">
        <f t="shared" si="79"/>
        <v>2026</v>
      </c>
      <c r="C144">
        <f t="shared" si="80"/>
        <v>11</v>
      </c>
      <c r="E144" s="358">
        <f t="shared" ref="E144:F144" ca="1" si="143">E132</f>
        <v>240.7</v>
      </c>
      <c r="F144" s="358">
        <f t="shared" ca="1" si="143"/>
        <v>3.410000000000001</v>
      </c>
      <c r="G144" s="463">
        <f>Economic!U218</f>
        <v>4241.9886243840447</v>
      </c>
      <c r="H144" s="358">
        <f>'Customer Count'!G58</f>
        <v>5844.4534378474855</v>
      </c>
      <c r="I144" s="358">
        <f t="shared" si="119"/>
        <v>1</v>
      </c>
      <c r="J144" s="83">
        <f t="shared" si="120"/>
        <v>30</v>
      </c>
      <c r="L144" s="18">
        <f>'GS&lt;50 Predicted Monthly'!$X$8</f>
        <v>-8314018.5106493998</v>
      </c>
      <c r="M144" s="18">
        <f ca="1">E144*'GS&lt;50 Predicted Monthly'!$X$9</f>
        <v>1134144.6418731762</v>
      </c>
      <c r="N144" s="18">
        <f ca="1">F144*'GS&lt;50 Predicted Monthly'!$X$10</f>
        <v>39400.189603950465</v>
      </c>
      <c r="O144" s="18">
        <f>G144*'GS&lt;50 Predicted Monthly'!$X$11</f>
        <v>29143.653563251253</v>
      </c>
      <c r="P144" s="18">
        <f>H144*'GS&lt;50 Predicted Monthly'!$X$12</f>
        <v>10848794.090883553</v>
      </c>
      <c r="Q144" s="18">
        <f>I144*'GS&lt;50 Predicted Monthly'!$X$13</f>
        <v>-202362.33175645399</v>
      </c>
      <c r="R144" s="18">
        <f>J144*'GS&lt;50 Predicted Monthly'!$X$14</f>
        <v>11002902.38304105</v>
      </c>
      <c r="S144" s="20">
        <f t="shared" ca="1" si="133"/>
        <v>14538004.116559127</v>
      </c>
    </row>
    <row r="145" spans="1:22" x14ac:dyDescent="0.2">
      <c r="A145" s="9">
        <v>46357</v>
      </c>
      <c r="B145">
        <f t="shared" si="79"/>
        <v>2026</v>
      </c>
      <c r="C145">
        <f t="shared" si="80"/>
        <v>12</v>
      </c>
      <c r="E145" s="358">
        <f t="shared" ref="E145:F145" ca="1" si="144">E133</f>
        <v>386.61999999999995</v>
      </c>
      <c r="F145" s="358">
        <f t="shared" ca="1" si="144"/>
        <v>0</v>
      </c>
      <c r="G145" s="463">
        <f>Economic!U219</f>
        <v>4241.9886243840447</v>
      </c>
      <c r="H145" s="358">
        <f>'Customer Count'!G59</f>
        <v>5849.142080564101</v>
      </c>
      <c r="I145" s="358">
        <f t="shared" si="119"/>
        <v>0</v>
      </c>
      <c r="J145" s="83">
        <f t="shared" si="120"/>
        <v>31</v>
      </c>
      <c r="L145" s="18">
        <f>'GS&lt;50 Predicted Monthly'!$X$8</f>
        <v>-8314018.5106493998</v>
      </c>
      <c r="M145" s="18">
        <f ca="1">E145*'GS&lt;50 Predicted Monthly'!$X$9</f>
        <v>1821699.2166223819</v>
      </c>
      <c r="N145" s="18">
        <f ca="1">F145*'GS&lt;50 Predicted Monthly'!$X$10</f>
        <v>0</v>
      </c>
      <c r="O145" s="18">
        <f>G145*'GS&lt;50 Predicted Monthly'!$X$11</f>
        <v>29143.653563251253</v>
      </c>
      <c r="P145" s="18">
        <f>H145*'GS&lt;50 Predicted Monthly'!$X$12</f>
        <v>10857497.405905088</v>
      </c>
      <c r="Q145" s="18">
        <f>I145*'GS&lt;50 Predicted Monthly'!$X$13</f>
        <v>0</v>
      </c>
      <c r="R145" s="18">
        <f>J145*'GS&lt;50 Predicted Monthly'!$X$14</f>
        <v>11369665.795809086</v>
      </c>
      <c r="S145" s="20">
        <f t="shared" ca="1" si="133"/>
        <v>15763987.561250409</v>
      </c>
    </row>
    <row r="148" spans="1:22" x14ac:dyDescent="0.2">
      <c r="U148" s="8"/>
      <c r="V148" s="18"/>
    </row>
    <row r="149" spans="1:22" x14ac:dyDescent="0.2">
      <c r="U149" s="8"/>
      <c r="V149" s="18"/>
    </row>
    <row r="150" spans="1:22" x14ac:dyDescent="0.2">
      <c r="U150" s="8"/>
      <c r="V150" s="8"/>
    </row>
    <row r="194" spans="7:19" x14ac:dyDescent="0.2">
      <c r="G194" s="359"/>
    </row>
    <row r="195" spans="7:19" x14ac:dyDescent="0.2">
      <c r="H195" s="18"/>
      <c r="J195" s="13"/>
      <c r="K195" s="18"/>
      <c r="M195" s="18"/>
      <c r="N195" s="18"/>
      <c r="O195" s="18"/>
      <c r="P195" s="18"/>
      <c r="Q195" s="18"/>
      <c r="R195" s="18"/>
      <c r="S195" s="18"/>
    </row>
    <row r="196" spans="7:19" x14ac:dyDescent="0.2">
      <c r="H196" s="18"/>
      <c r="J196" s="13"/>
      <c r="K196" s="18"/>
      <c r="M196" s="18"/>
      <c r="N196" s="18"/>
      <c r="O196" s="18"/>
      <c r="P196" s="18"/>
      <c r="Q196" s="18"/>
      <c r="R196" s="18"/>
      <c r="S196" s="18"/>
    </row>
    <row r="197" spans="7:19" x14ac:dyDescent="0.2">
      <c r="H197" s="18"/>
      <c r="J197" s="13"/>
      <c r="K197" s="18"/>
      <c r="M197" s="18"/>
      <c r="N197" s="18"/>
      <c r="O197" s="18"/>
      <c r="P197" s="18"/>
      <c r="Q197" s="18"/>
      <c r="R197" s="18"/>
      <c r="S197" s="18"/>
    </row>
    <row r="198" spans="7:19" x14ac:dyDescent="0.2">
      <c r="H198" s="18"/>
      <c r="J198" s="13"/>
      <c r="K198" s="18"/>
      <c r="M198" s="18"/>
      <c r="N198" s="18"/>
      <c r="O198" s="18"/>
      <c r="P198" s="18"/>
      <c r="Q198" s="18"/>
      <c r="R198" s="18"/>
      <c r="S198" s="18"/>
    </row>
    <row r="199" spans="7:19" x14ac:dyDescent="0.2">
      <c r="H199" s="18"/>
      <c r="J199" s="13"/>
      <c r="K199" s="18"/>
      <c r="M199" s="18"/>
      <c r="N199" s="18"/>
      <c r="O199" s="18"/>
      <c r="P199" s="18"/>
      <c r="Q199" s="18"/>
      <c r="R199" s="18"/>
      <c r="S199" s="18"/>
    </row>
    <row r="200" spans="7:19" x14ac:dyDescent="0.2">
      <c r="H200" s="18"/>
      <c r="J200" s="13"/>
      <c r="K200" s="18"/>
      <c r="M200" s="18"/>
      <c r="N200" s="18"/>
      <c r="O200" s="18"/>
      <c r="P200" s="18"/>
      <c r="Q200" s="18"/>
      <c r="R200" s="18"/>
      <c r="S200" s="18"/>
    </row>
    <row r="201" spans="7:19" x14ac:dyDescent="0.2">
      <c r="H201" s="18"/>
      <c r="J201" s="13"/>
      <c r="K201" s="18"/>
      <c r="M201" s="18"/>
      <c r="N201" s="18"/>
      <c r="O201" s="18"/>
      <c r="P201" s="18"/>
      <c r="Q201" s="18"/>
      <c r="R201" s="18"/>
      <c r="S201" s="18"/>
    </row>
    <row r="202" spans="7:19" x14ac:dyDescent="0.2">
      <c r="H202" s="18"/>
      <c r="J202" s="13"/>
      <c r="K202" s="18"/>
      <c r="M202" s="18"/>
      <c r="N202" s="18"/>
      <c r="O202" s="18"/>
      <c r="P202" s="18"/>
      <c r="Q202" s="18"/>
      <c r="R202" s="18"/>
      <c r="S202" s="18"/>
    </row>
    <row r="203" spans="7:19" x14ac:dyDescent="0.2">
      <c r="G203"/>
      <c r="J203" s="13"/>
    </row>
    <row r="204" spans="7:19" x14ac:dyDescent="0.2">
      <c r="G204"/>
      <c r="J204" s="13"/>
      <c r="K204" s="31"/>
      <c r="L204" s="31"/>
      <c r="M204" s="31"/>
      <c r="N204" s="31"/>
      <c r="O204" s="31"/>
      <c r="P204" s="31"/>
      <c r="Q204" s="31"/>
      <c r="R204" s="31"/>
      <c r="S204" s="31"/>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9"/>
  <dimension ref="A1:V204"/>
  <sheetViews>
    <sheetView workbookViewId="0">
      <selection activeCell="R2" sqref="R2"/>
    </sheetView>
  </sheetViews>
  <sheetFormatPr defaultColWidth="9.33203125" defaultRowHeight="12.75" x14ac:dyDescent="0.2"/>
  <cols>
    <col min="4" max="4" width="17.5" customWidth="1"/>
    <col min="10" max="10" width="9.33203125" style="13"/>
    <col min="12" max="12" width="14.6640625" bestFit="1" customWidth="1"/>
    <col min="13" max="13" width="12.83203125" bestFit="1" customWidth="1"/>
    <col min="14" max="14" width="13.83203125" bestFit="1" customWidth="1"/>
    <col min="15" max="15" width="13.83203125" customWidth="1"/>
    <col min="16" max="16" width="13.83203125" bestFit="1" customWidth="1"/>
    <col min="17" max="18" width="12.5" customWidth="1"/>
    <col min="19" max="19" width="19.6640625" customWidth="1"/>
    <col min="20" max="20" width="13.83203125" bestFit="1" customWidth="1"/>
    <col min="21" max="21" width="12.5" bestFit="1" customWidth="1"/>
  </cols>
  <sheetData>
    <row r="1" spans="1:19" x14ac:dyDescent="0.2">
      <c r="A1" s="373" t="str">
        <f>'Monthly Data'!A1</f>
        <v>Date</v>
      </c>
      <c r="B1" s="351" t="s">
        <v>0</v>
      </c>
      <c r="C1" s="351" t="s">
        <v>28</v>
      </c>
      <c r="D1" s="374" t="str">
        <f>'Monthly Data'!N1</f>
        <v>GS_gt_50_NoCDM</v>
      </c>
      <c r="E1" s="375" t="str">
        <f>'Monthly Data'!AZ1</f>
        <v>HDD10</v>
      </c>
      <c r="F1" s="375" t="str">
        <f>'Monthly Data'!AW1</f>
        <v>CDD14</v>
      </c>
      <c r="G1" s="375" t="str">
        <f>'Monthly Data'!BS1</f>
        <v>Trend</v>
      </c>
      <c r="H1" s="374" t="str">
        <f>'Monthly Data'!BO1</f>
        <v>Dec</v>
      </c>
      <c r="I1" s="375" t="str">
        <f>'Monthly Data'!BT1</f>
        <v>Month Days</v>
      </c>
      <c r="J1" s="375" t="str">
        <f>'Monthly Data'!AK1</f>
        <v>Tor_FTEAdjChange</v>
      </c>
      <c r="L1" s="351" t="s">
        <v>72</v>
      </c>
      <c r="M1" s="375" t="str">
        <f t="shared" ref="M1:R1" si="0">E1</f>
        <v>HDD10</v>
      </c>
      <c r="N1" s="375" t="str">
        <f t="shared" si="0"/>
        <v>CDD14</v>
      </c>
      <c r="O1" s="375" t="str">
        <f t="shared" si="0"/>
        <v>Trend</v>
      </c>
      <c r="P1" s="375" t="str">
        <f t="shared" si="0"/>
        <v>Dec</v>
      </c>
      <c r="Q1" s="375" t="str">
        <f t="shared" si="0"/>
        <v>Month Days</v>
      </c>
      <c r="R1" s="375" t="str">
        <f t="shared" si="0"/>
        <v>Tor_FTEAdjChange</v>
      </c>
      <c r="S1" s="351" t="s">
        <v>483</v>
      </c>
    </row>
    <row r="2" spans="1:19" x14ac:dyDescent="0.2">
      <c r="A2" s="9">
        <f>'Monthly Data'!A2</f>
        <v>42005</v>
      </c>
      <c r="B2">
        <f t="shared" ref="B2:B61" si="1">YEAR(A2)</f>
        <v>2015</v>
      </c>
      <c r="C2">
        <f t="shared" ref="C2:C61" si="2">MONTH(A2)</f>
        <v>1</v>
      </c>
      <c r="D2" s="30">
        <f>'Monthly Data'!N2</f>
        <v>79694681.694532961</v>
      </c>
      <c r="E2" s="33">
        <f ca="1">Weather!CT56</f>
        <v>384.56000000000006</v>
      </c>
      <c r="F2" s="33">
        <f ca="1">Weather!BS56</f>
        <v>0</v>
      </c>
      <c r="G2" s="33">
        <f>'Monthly Data'!BS2</f>
        <v>1</v>
      </c>
      <c r="H2" s="33">
        <f>'Monthly Data'!BO2</f>
        <v>0</v>
      </c>
      <c r="I2" s="33">
        <f>'Monthly Data'!BT2</f>
        <v>31</v>
      </c>
      <c r="J2" s="13">
        <f>'Monthly Data'!AK2</f>
        <v>-34.200000000000273</v>
      </c>
      <c r="L2" s="18">
        <f>'GS&gt;50 Predicted Monthly'!$X$10</f>
        <v>12654537.4440873</v>
      </c>
      <c r="M2" s="18">
        <f ca="1">E2*'GS&gt;50 Predicted Monthly'!$X$11</f>
        <v>7012735.9698486142</v>
      </c>
      <c r="N2" s="18">
        <f ca="1">F2*'GS&gt;50 Predicted Monthly'!$X$12</f>
        <v>0</v>
      </c>
      <c r="O2" s="18">
        <f>G2*'GS&gt;50 Predicted Monthly'!$X$13</f>
        <v>-66522.719028065505</v>
      </c>
      <c r="P2" s="18">
        <f>H2*'GS&gt;50 Predicted Monthly'!$X$14</f>
        <v>0</v>
      </c>
      <c r="Q2" s="18">
        <f>I2*'GS&gt;50 Predicted Monthly'!$X$15</f>
        <v>59070853.247044139</v>
      </c>
      <c r="R2" s="18">
        <f>J2*'GS&gt;50 Predicted Monthly'!$X$16</f>
        <v>-239632.50016988374</v>
      </c>
      <c r="S2" s="18">
        <f t="shared" ref="S2:S5" ca="1" si="3">SUM(L2:R2)</f>
        <v>78431971.441782102</v>
      </c>
    </row>
    <row r="3" spans="1:19" x14ac:dyDescent="0.2">
      <c r="A3" s="9">
        <f>'Monthly Data'!A3</f>
        <v>42036</v>
      </c>
      <c r="B3">
        <f t="shared" si="1"/>
        <v>2015</v>
      </c>
      <c r="C3">
        <f t="shared" si="2"/>
        <v>2</v>
      </c>
      <c r="D3" s="30">
        <f>'Monthly Data'!N3</f>
        <v>74376312.853804022</v>
      </c>
      <c r="E3" s="33">
        <f ca="1">Weather!CT57</f>
        <v>338.02</v>
      </c>
      <c r="F3" s="33">
        <f ca="1">Weather!BS57</f>
        <v>0</v>
      </c>
      <c r="G3" s="33">
        <f>'Monthly Data'!BS3</f>
        <v>2</v>
      </c>
      <c r="H3" s="33">
        <f>'Monthly Data'!BO3</f>
        <v>0</v>
      </c>
      <c r="I3" s="33">
        <f>'Monthly Data'!BT3</f>
        <v>28</v>
      </c>
      <c r="J3" s="13">
        <f>'Monthly Data'!AK3</f>
        <v>-26.700000000000273</v>
      </c>
      <c r="L3" s="18">
        <f>'GS&gt;50 Predicted Monthly'!$X$10</f>
        <v>12654537.4440873</v>
      </c>
      <c r="M3" s="18">
        <f ca="1">E3*'GS&gt;50 Predicted Monthly'!$X$11</f>
        <v>6164044.6550037134</v>
      </c>
      <c r="N3" s="18">
        <f ca="1">F3*'GS&gt;50 Predicted Monthly'!$X$12</f>
        <v>0</v>
      </c>
      <c r="O3" s="18">
        <f>G3*'GS&gt;50 Predicted Monthly'!$X$13</f>
        <v>-133045.43805613101</v>
      </c>
      <c r="P3" s="18">
        <f>H3*'GS&gt;50 Predicted Monthly'!$X$14</f>
        <v>0</v>
      </c>
      <c r="Q3" s="18">
        <f>I3*'GS&gt;50 Predicted Monthly'!$X$15</f>
        <v>53354319.061846316</v>
      </c>
      <c r="R3" s="18">
        <f>J3*'GS&gt;50 Predicted Monthly'!$X$16</f>
        <v>-187081.5132905237</v>
      </c>
      <c r="S3" s="18">
        <f t="shared" ca="1" si="3"/>
        <v>71852774.209590673</v>
      </c>
    </row>
    <row r="4" spans="1:19" x14ac:dyDescent="0.2">
      <c r="A4" s="9">
        <f>'Monthly Data'!A4</f>
        <v>42064</v>
      </c>
      <c r="B4">
        <f t="shared" si="1"/>
        <v>2015</v>
      </c>
      <c r="C4">
        <f t="shared" si="2"/>
        <v>3</v>
      </c>
      <c r="D4" s="30">
        <f>'Monthly Data'!N4</f>
        <v>77468239.013075083</v>
      </c>
      <c r="E4" s="33">
        <f ca="1">Weather!CT58</f>
        <v>252.67</v>
      </c>
      <c r="F4" s="33">
        <f ca="1">Weather!BS58</f>
        <v>0</v>
      </c>
      <c r="G4" s="33">
        <f>'Monthly Data'!BS4</f>
        <v>3</v>
      </c>
      <c r="H4" s="33">
        <f>'Monthly Data'!BO4</f>
        <v>0</v>
      </c>
      <c r="I4" s="33">
        <f>'Monthly Data'!BT4</f>
        <v>31</v>
      </c>
      <c r="J4" s="13">
        <f>'Monthly Data'!AK4</f>
        <v>-7.9000000000000909</v>
      </c>
      <c r="L4" s="18">
        <f>'GS&gt;50 Predicted Monthly'!$X$10</f>
        <v>12654537.4440873</v>
      </c>
      <c r="M4" s="18">
        <f ca="1">E4*'GS&gt;50 Predicted Monthly'!$X$11</f>
        <v>4607624.2914022496</v>
      </c>
      <c r="N4" s="18">
        <f ca="1">F4*'GS&gt;50 Predicted Monthly'!$X$12</f>
        <v>0</v>
      </c>
      <c r="O4" s="18">
        <f>G4*'GS&gt;50 Predicted Monthly'!$X$13</f>
        <v>-199568.15708419651</v>
      </c>
      <c r="P4" s="18">
        <f>H4*'GS&gt;50 Predicted Monthly'!$X$14</f>
        <v>0</v>
      </c>
      <c r="Q4" s="18">
        <f>I4*'GS&gt;50 Predicted Monthly'!$X$15</f>
        <v>59070853.247044139</v>
      </c>
      <c r="R4" s="18">
        <f>J4*'GS&gt;50 Predicted Monthly'!$X$16</f>
        <v>-55353.706179593224</v>
      </c>
      <c r="S4" s="18">
        <f t="shared" ca="1" si="3"/>
        <v>76078093.119269907</v>
      </c>
    </row>
    <row r="5" spans="1:19" x14ac:dyDescent="0.2">
      <c r="A5" s="9">
        <f>'Monthly Data'!A5</f>
        <v>42095</v>
      </c>
      <c r="B5">
        <f t="shared" si="1"/>
        <v>2015</v>
      </c>
      <c r="C5">
        <f t="shared" si="2"/>
        <v>4</v>
      </c>
      <c r="D5" s="30">
        <f>'Monthly Data'!N5</f>
        <v>70027916.172346145</v>
      </c>
      <c r="E5" s="33">
        <f ca="1">Weather!CT59</f>
        <v>112.07000000000001</v>
      </c>
      <c r="F5" s="33">
        <f ca="1">Weather!BS59</f>
        <v>2.6300000000000003</v>
      </c>
      <c r="G5" s="33">
        <f>'Monthly Data'!BS5</f>
        <v>4</v>
      </c>
      <c r="H5" s="33">
        <f>'Monthly Data'!BO5</f>
        <v>0</v>
      </c>
      <c r="I5" s="33">
        <f>'Monthly Data'!BT5</f>
        <v>30</v>
      </c>
      <c r="J5" s="13">
        <f>'Monthly Data'!AK5</f>
        <v>-3.5999999999999091</v>
      </c>
      <c r="L5" s="18">
        <f>'GS&gt;50 Predicted Monthly'!$X$10</f>
        <v>12654537.4440873</v>
      </c>
      <c r="M5" s="18">
        <f ca="1">E5*'GS&gt;50 Predicted Monthly'!$X$11</f>
        <v>2043679.3221888239</v>
      </c>
      <c r="N5" s="18">
        <f ca="1">F5*'GS&gt;50 Predicted Monthly'!$X$12</f>
        <v>123378.13645778869</v>
      </c>
      <c r="O5" s="18">
        <f>G5*'GS&gt;50 Predicted Monthly'!$X$13</f>
        <v>-266090.87611226202</v>
      </c>
      <c r="P5" s="18">
        <f>H5*'GS&gt;50 Predicted Monthly'!$X$14</f>
        <v>0</v>
      </c>
      <c r="Q5" s="18">
        <f>I5*'GS&gt;50 Predicted Monthly'!$X$15</f>
        <v>57165341.851978198</v>
      </c>
      <c r="R5" s="18">
        <f>J5*'GS&gt;50 Predicted Monthly'!$X$16</f>
        <v>-25224.473702092186</v>
      </c>
      <c r="S5" s="18">
        <f t="shared" ca="1" si="3"/>
        <v>71695621.404897764</v>
      </c>
    </row>
    <row r="6" spans="1:19" x14ac:dyDescent="0.2">
      <c r="A6" s="9">
        <f>'Monthly Data'!A6</f>
        <v>42125</v>
      </c>
      <c r="B6">
        <f t="shared" si="1"/>
        <v>2015</v>
      </c>
      <c r="C6">
        <f t="shared" si="2"/>
        <v>5</v>
      </c>
      <c r="D6" s="30">
        <f>'Monthly Data'!N6</f>
        <v>73743857.331617206</v>
      </c>
      <c r="E6" s="33">
        <f ca="1">Weather!CT60</f>
        <v>19.18</v>
      </c>
      <c r="F6" s="33">
        <f ca="1">Weather!BS60</f>
        <v>50.489999999999995</v>
      </c>
      <c r="G6" s="33">
        <f>'Monthly Data'!BS6</f>
        <v>5</v>
      </c>
      <c r="H6" s="33">
        <f>'Monthly Data'!BO6</f>
        <v>0</v>
      </c>
      <c r="I6" s="33">
        <f>'Monthly Data'!BT6</f>
        <v>31</v>
      </c>
      <c r="J6" s="13">
        <f>'Monthly Data'!AK6</f>
        <v>22.5</v>
      </c>
      <c r="L6" s="18">
        <f>'GS&gt;50 Predicted Monthly'!$X$10</f>
        <v>12654537.4440873</v>
      </c>
      <c r="M6" s="18">
        <f ca="1">E6*'GS&gt;50 Predicted Monthly'!$X$11</f>
        <v>349761.48299796233</v>
      </c>
      <c r="N6" s="18">
        <f ca="1">F6*'GS&gt;50 Predicted Monthly'!$X$12</f>
        <v>2368578.7489557983</v>
      </c>
      <c r="O6" s="18">
        <f>G6*'GS&gt;50 Predicted Monthly'!$X$13</f>
        <v>-332613.59514032752</v>
      </c>
      <c r="P6" s="18">
        <f>H6*'GS&gt;50 Predicted Monthly'!$X$14</f>
        <v>0</v>
      </c>
      <c r="Q6" s="18">
        <f>I6*'GS&gt;50 Predicted Monthly'!$X$15</f>
        <v>59070853.247044139</v>
      </c>
      <c r="R6" s="18">
        <f>J6*'GS&gt;50 Predicted Monthly'!$X$16</f>
        <v>157652.96063808014</v>
      </c>
      <c r="S6" s="18">
        <f t="shared" ref="S6:S68" ca="1" si="4">SUM(L6:R6)</f>
        <v>74268770.288582951</v>
      </c>
    </row>
    <row r="7" spans="1:19" x14ac:dyDescent="0.2">
      <c r="A7" s="9">
        <f>'Monthly Data'!A7</f>
        <v>42156</v>
      </c>
      <c r="B7">
        <f t="shared" si="1"/>
        <v>2015</v>
      </c>
      <c r="C7">
        <f t="shared" si="2"/>
        <v>6</v>
      </c>
      <c r="D7" s="30">
        <f>'Monthly Data'!N7</f>
        <v>75664536.490888268</v>
      </c>
      <c r="E7" s="33">
        <f ca="1">Weather!CT61</f>
        <v>0</v>
      </c>
      <c r="F7" s="33">
        <f ca="1">Weather!BS61</f>
        <v>154.05000000000001</v>
      </c>
      <c r="G7" s="33">
        <f>'Monthly Data'!BS7</f>
        <v>6</v>
      </c>
      <c r="H7" s="33">
        <f>'Monthly Data'!BO7</f>
        <v>0</v>
      </c>
      <c r="I7" s="33">
        <f>'Monthly Data'!BT7</f>
        <v>30</v>
      </c>
      <c r="J7" s="13">
        <f>'Monthly Data'!AK7</f>
        <v>46.299999999999727</v>
      </c>
      <c r="L7" s="18">
        <f>'GS&gt;50 Predicted Monthly'!$X$10</f>
        <v>12654537.4440873</v>
      </c>
      <c r="M7" s="18">
        <f ca="1">E7*'GS&gt;50 Predicted Monthly'!$X$11</f>
        <v>0</v>
      </c>
      <c r="N7" s="18">
        <f ca="1">F7*'GS&gt;50 Predicted Monthly'!$X$12</f>
        <v>7226768.7913773181</v>
      </c>
      <c r="O7" s="18">
        <f>G7*'GS&gt;50 Predicted Monthly'!$X$13</f>
        <v>-399136.31416839303</v>
      </c>
      <c r="P7" s="18">
        <f>H7*'GS&gt;50 Predicted Monthly'!$X$14</f>
        <v>0</v>
      </c>
      <c r="Q7" s="18">
        <f>I7*'GS&gt;50 Predicted Monthly'!$X$15</f>
        <v>57165341.851978198</v>
      </c>
      <c r="R7" s="18">
        <f>J7*'GS&gt;50 Predicted Monthly'!$X$16</f>
        <v>324414.75900191412</v>
      </c>
      <c r="S7" s="18">
        <f t="shared" ca="1" si="4"/>
        <v>76971926.532276332</v>
      </c>
    </row>
    <row r="8" spans="1:19" x14ac:dyDescent="0.2">
      <c r="A8" s="9">
        <f>'Monthly Data'!A8</f>
        <v>42186</v>
      </c>
      <c r="B8">
        <f t="shared" si="1"/>
        <v>2015</v>
      </c>
      <c r="C8">
        <f t="shared" si="2"/>
        <v>7</v>
      </c>
      <c r="D8" s="30">
        <f>'Monthly Data'!N8</f>
        <v>82284876.650159329</v>
      </c>
      <c r="E8" s="33">
        <f ca="1">Weather!CT62</f>
        <v>0</v>
      </c>
      <c r="F8" s="33">
        <f ca="1">Weather!BS62</f>
        <v>267.66999999999996</v>
      </c>
      <c r="G8" s="33">
        <f>'Monthly Data'!BS8</f>
        <v>7</v>
      </c>
      <c r="H8" s="33">
        <f>'Monthly Data'!BO8</f>
        <v>0</v>
      </c>
      <c r="I8" s="33">
        <f>'Monthly Data'!BT8</f>
        <v>31</v>
      </c>
      <c r="J8" s="13">
        <f>'Monthly Data'!AK8</f>
        <v>91.599999999999909</v>
      </c>
      <c r="L8" s="18">
        <f>'GS&gt;50 Predicted Monthly'!$X$10</f>
        <v>12654537.4440873</v>
      </c>
      <c r="M8" s="18">
        <f ca="1">E8*'GS&gt;50 Predicted Monthly'!$X$11</f>
        <v>0</v>
      </c>
      <c r="N8" s="18">
        <f ca="1">F8*'GS&gt;50 Predicted Monthly'!$X$12</f>
        <v>12556891.933709616</v>
      </c>
      <c r="O8" s="18">
        <f>G8*'GS&gt;50 Predicted Monthly'!$X$13</f>
        <v>-465659.03319645853</v>
      </c>
      <c r="P8" s="18">
        <f>H8*'GS&gt;50 Predicted Monthly'!$X$14</f>
        <v>0</v>
      </c>
      <c r="Q8" s="18">
        <f>I8*'GS&gt;50 Predicted Monthly'!$X$15</f>
        <v>59070853.247044139</v>
      </c>
      <c r="R8" s="18">
        <f>J8*'GS&gt;50 Predicted Monthly'!$X$16</f>
        <v>641822.71975325013</v>
      </c>
      <c r="S8" s="18">
        <f t="shared" ca="1" si="4"/>
        <v>84458446.311397851</v>
      </c>
    </row>
    <row r="9" spans="1:19" x14ac:dyDescent="0.2">
      <c r="A9" s="9">
        <f>'Monthly Data'!A9</f>
        <v>42217</v>
      </c>
      <c r="B9">
        <f t="shared" si="1"/>
        <v>2015</v>
      </c>
      <c r="C9">
        <f t="shared" si="2"/>
        <v>8</v>
      </c>
      <c r="D9" s="30">
        <f>'Monthly Data'!N9</f>
        <v>81168529.809430391</v>
      </c>
      <c r="E9" s="33">
        <f ca="1">Weather!CT63</f>
        <v>0</v>
      </c>
      <c r="F9" s="33">
        <f ca="1">Weather!BS63</f>
        <v>246.315</v>
      </c>
      <c r="G9" s="33">
        <f>'Monthly Data'!BS9</f>
        <v>8</v>
      </c>
      <c r="H9" s="33">
        <f>'Monthly Data'!BO9</f>
        <v>0</v>
      </c>
      <c r="I9" s="33">
        <f>'Monthly Data'!BT9</f>
        <v>31</v>
      </c>
      <c r="J9" s="13">
        <f>'Monthly Data'!AK9</f>
        <v>119.69999999999982</v>
      </c>
      <c r="L9" s="18">
        <f>'GS&gt;50 Predicted Monthly'!$X$10</f>
        <v>12654537.4440873</v>
      </c>
      <c r="M9" s="18">
        <f ca="1">E9*'GS&gt;50 Predicted Monthly'!$X$11</f>
        <v>0</v>
      </c>
      <c r="N9" s="18">
        <f ca="1">F9*'GS&gt;50 Predicted Monthly'!$X$12</f>
        <v>11555089.612775749</v>
      </c>
      <c r="O9" s="18">
        <f>G9*'GS&gt;50 Predicted Monthly'!$X$13</f>
        <v>-532181.75222452404</v>
      </c>
      <c r="P9" s="18">
        <f>H9*'GS&gt;50 Predicted Monthly'!$X$14</f>
        <v>0</v>
      </c>
      <c r="Q9" s="18">
        <f>I9*'GS&gt;50 Predicted Monthly'!$X$15</f>
        <v>59070853.247044139</v>
      </c>
      <c r="R9" s="18">
        <f>J9*'GS&gt;50 Predicted Monthly'!$X$16</f>
        <v>838713.75059458509</v>
      </c>
      <c r="S9" s="18">
        <f t="shared" ca="1" si="4"/>
        <v>83587012.302277252</v>
      </c>
    </row>
    <row r="10" spans="1:19" x14ac:dyDescent="0.2">
      <c r="A10" s="9">
        <f>'Monthly Data'!A10</f>
        <v>42248</v>
      </c>
      <c r="B10">
        <f t="shared" si="1"/>
        <v>2015</v>
      </c>
      <c r="C10">
        <f t="shared" si="2"/>
        <v>9</v>
      </c>
      <c r="D10" s="30">
        <f>'Monthly Data'!N10</f>
        <v>78691834.968701452</v>
      </c>
      <c r="E10" s="33">
        <f ca="1">Weather!CT64</f>
        <v>0</v>
      </c>
      <c r="F10" s="33">
        <f ca="1">Weather!BS64</f>
        <v>146.80000000000001</v>
      </c>
      <c r="G10" s="33">
        <f>'Monthly Data'!BS10</f>
        <v>9</v>
      </c>
      <c r="H10" s="33">
        <f>'Monthly Data'!BO10</f>
        <v>0</v>
      </c>
      <c r="I10" s="33">
        <f>'Monthly Data'!BT10</f>
        <v>30</v>
      </c>
      <c r="J10" s="13">
        <f>'Monthly Data'!AK10</f>
        <v>132.19999999999982</v>
      </c>
      <c r="L10" s="18">
        <f>'GS&gt;50 Predicted Monthly'!$X$10</f>
        <v>12654537.4440873</v>
      </c>
      <c r="M10" s="18">
        <f ca="1">E10*'GS&gt;50 Predicted Monthly'!$X$11</f>
        <v>0</v>
      </c>
      <c r="N10" s="18">
        <f ca="1">F10*'GS&gt;50 Predicted Monthly'!$X$12</f>
        <v>6886657.9589366456</v>
      </c>
      <c r="O10" s="18">
        <f>G10*'GS&gt;50 Predicted Monthly'!$X$13</f>
        <v>-598704.47125258949</v>
      </c>
      <c r="P10" s="18">
        <f>H10*'GS&gt;50 Predicted Monthly'!$X$14</f>
        <v>0</v>
      </c>
      <c r="Q10" s="18">
        <f>I10*'GS&gt;50 Predicted Monthly'!$X$15</f>
        <v>57165341.851978198</v>
      </c>
      <c r="R10" s="18">
        <f>J10*'GS&gt;50 Predicted Monthly'!$X$16</f>
        <v>926298.72872685187</v>
      </c>
      <c r="S10" s="18">
        <f t="shared" ca="1" si="4"/>
        <v>77034131.5124764</v>
      </c>
    </row>
    <row r="11" spans="1:19" x14ac:dyDescent="0.2">
      <c r="A11" s="9">
        <f>'Monthly Data'!A11</f>
        <v>42278</v>
      </c>
      <c r="B11">
        <f t="shared" si="1"/>
        <v>2015</v>
      </c>
      <c r="C11">
        <f t="shared" si="2"/>
        <v>10</v>
      </c>
      <c r="D11" s="30">
        <f>'Monthly Data'!N11</f>
        <v>73009956.127972499</v>
      </c>
      <c r="E11" s="33">
        <f ca="1">Weather!CT65</f>
        <v>23.589999999999996</v>
      </c>
      <c r="F11" s="33">
        <f ca="1">Weather!BS65</f>
        <v>36.859999999999992</v>
      </c>
      <c r="G11" s="33">
        <f>'Monthly Data'!BS11</f>
        <v>10</v>
      </c>
      <c r="H11" s="33">
        <f>'Monthly Data'!BO11</f>
        <v>0</v>
      </c>
      <c r="I11" s="33">
        <f>'Monthly Data'!BT11</f>
        <v>31</v>
      </c>
      <c r="J11" s="13">
        <f>'Monthly Data'!AK11</f>
        <v>123.19999999999982</v>
      </c>
      <c r="L11" s="18">
        <f>'GS&gt;50 Predicted Monthly'!$X$10</f>
        <v>12654537.4440873</v>
      </c>
      <c r="M11" s="18">
        <f ca="1">E11*'GS&gt;50 Predicted Monthly'!$X$11</f>
        <v>430181.09405223833</v>
      </c>
      <c r="N11" s="18">
        <f ca="1">F11*'GS&gt;50 Predicted Monthly'!$X$12</f>
        <v>1729170.3839673344</v>
      </c>
      <c r="O11" s="18">
        <f>G11*'GS&gt;50 Predicted Monthly'!$X$13</f>
        <v>-665227.19028065505</v>
      </c>
      <c r="P11" s="18">
        <f>H11*'GS&gt;50 Predicted Monthly'!$X$14</f>
        <v>0</v>
      </c>
      <c r="Q11" s="18">
        <f>I11*'GS&gt;50 Predicted Monthly'!$X$15</f>
        <v>59070853.247044139</v>
      </c>
      <c r="R11" s="18">
        <f>J11*'GS&gt;50 Predicted Monthly'!$X$16</f>
        <v>863237.54447161977</v>
      </c>
      <c r="S11" s="18">
        <f t="shared" ca="1" si="4"/>
        <v>74082752.523341984</v>
      </c>
    </row>
    <row r="12" spans="1:19" x14ac:dyDescent="0.2">
      <c r="A12" s="9">
        <f>'Monthly Data'!A12</f>
        <v>42309</v>
      </c>
      <c r="B12">
        <f t="shared" si="1"/>
        <v>2015</v>
      </c>
      <c r="C12">
        <f t="shared" si="2"/>
        <v>11</v>
      </c>
      <c r="D12" s="30">
        <f>'Monthly Data'!N12</f>
        <v>71846695.28724356</v>
      </c>
      <c r="E12" s="33">
        <f ca="1">Weather!CT66</f>
        <v>134.25000000000003</v>
      </c>
      <c r="F12" s="33">
        <f ca="1">Weather!BS66</f>
        <v>3.410000000000001</v>
      </c>
      <c r="G12" s="33">
        <f>'Monthly Data'!BS12</f>
        <v>11</v>
      </c>
      <c r="H12" s="33">
        <f>'Monthly Data'!BO12</f>
        <v>0</v>
      </c>
      <c r="I12" s="33">
        <f>'Monthly Data'!BT12</f>
        <v>30</v>
      </c>
      <c r="J12" s="13">
        <f>'Monthly Data'!AK12</f>
        <v>108</v>
      </c>
      <c r="L12" s="18">
        <f>'GS&gt;50 Predicted Monthly'!$X$10</f>
        <v>12654537.4440873</v>
      </c>
      <c r="M12" s="18">
        <f ca="1">E12*'GS&gt;50 Predicted Monthly'!$X$11</f>
        <v>2448148.023591056</v>
      </c>
      <c r="N12" s="18">
        <f ca="1">F12*'GS&gt;50 Predicted Monthly'!$X$12</f>
        <v>159969.37084450931</v>
      </c>
      <c r="O12" s="18">
        <f>G12*'GS&gt;50 Predicted Monthly'!$X$13</f>
        <v>-731749.90930872061</v>
      </c>
      <c r="P12" s="18">
        <f>H12*'GS&gt;50 Predicted Monthly'!$X$14</f>
        <v>0</v>
      </c>
      <c r="Q12" s="18">
        <f>I12*'GS&gt;50 Predicted Monthly'!$X$15</f>
        <v>57165341.851978198</v>
      </c>
      <c r="R12" s="18">
        <f>J12*'GS&gt;50 Predicted Monthly'!$X$16</f>
        <v>756734.21106278466</v>
      </c>
      <c r="S12" s="18">
        <f t="shared" ca="1" si="4"/>
        <v>72452980.992255136</v>
      </c>
    </row>
    <row r="13" spans="1:19" x14ac:dyDescent="0.2">
      <c r="A13" s="9">
        <f>'Monthly Data'!A13</f>
        <v>42339</v>
      </c>
      <c r="B13">
        <f t="shared" si="1"/>
        <v>2015</v>
      </c>
      <c r="C13">
        <f t="shared" si="2"/>
        <v>12</v>
      </c>
      <c r="D13" s="30">
        <f>'Monthly Data'!N13</f>
        <v>72643978.446514621</v>
      </c>
      <c r="E13" s="33">
        <f ca="1">Weather!CT67</f>
        <v>262.99</v>
      </c>
      <c r="F13" s="33">
        <f ca="1">Weather!BS67</f>
        <v>0</v>
      </c>
      <c r="G13" s="33">
        <f>'Monthly Data'!BS13</f>
        <v>12</v>
      </c>
      <c r="H13" s="33">
        <f>'Monthly Data'!BO13</f>
        <v>1</v>
      </c>
      <c r="I13" s="33">
        <f>'Monthly Data'!BT13</f>
        <v>31</v>
      </c>
      <c r="J13" s="13">
        <f>'Monthly Data'!AK13</f>
        <v>108.29999999999973</v>
      </c>
      <c r="L13" s="18">
        <f>'GS&gt;50 Predicted Monthly'!$X$10</f>
        <v>12654537.4440873</v>
      </c>
      <c r="M13" s="18">
        <f ca="1">E13*'GS&gt;50 Predicted Monthly'!$X$11</f>
        <v>4795817.1227129363</v>
      </c>
      <c r="N13" s="18">
        <f ca="1">F13*'GS&gt;50 Predicted Monthly'!$X$12</f>
        <v>0</v>
      </c>
      <c r="O13" s="18">
        <f>G13*'GS&gt;50 Predicted Monthly'!$X$13</f>
        <v>-798272.62833678606</v>
      </c>
      <c r="P13" s="18">
        <f>H13*'GS&gt;50 Predicted Monthly'!$X$14</f>
        <v>-2455659.1490839599</v>
      </c>
      <c r="Q13" s="18">
        <f>I13*'GS&gt;50 Predicted Monthly'!$X$15</f>
        <v>59070853.247044139</v>
      </c>
      <c r="R13" s="18">
        <f>J13*'GS&gt;50 Predicted Monthly'!$X$16</f>
        <v>758836.25053795718</v>
      </c>
      <c r="S13" s="18">
        <f t="shared" ca="1" si="4"/>
        <v>74026112.286961585</v>
      </c>
    </row>
    <row r="14" spans="1:19" x14ac:dyDescent="0.2">
      <c r="A14" s="9">
        <f>'Monthly Data'!A14</f>
        <v>42370</v>
      </c>
      <c r="B14">
        <f t="shared" si="1"/>
        <v>2016</v>
      </c>
      <c r="C14">
        <f t="shared" si="2"/>
        <v>1</v>
      </c>
      <c r="D14" s="30">
        <f>'Monthly Data'!N14</f>
        <v>78763477.389551774</v>
      </c>
      <c r="E14" s="33">
        <f ca="1">E2</f>
        <v>384.56000000000006</v>
      </c>
      <c r="F14" s="33">
        <f ca="1">F2</f>
        <v>0</v>
      </c>
      <c r="G14" s="33">
        <f>'Monthly Data'!BS14</f>
        <v>13</v>
      </c>
      <c r="H14" s="33">
        <f>'Monthly Data'!BO14</f>
        <v>0</v>
      </c>
      <c r="I14" s="33">
        <f>'Monthly Data'!BT14</f>
        <v>31</v>
      </c>
      <c r="J14" s="13">
        <f>'Monthly Data'!AK14</f>
        <v>113.80000000000018</v>
      </c>
      <c r="L14" s="18">
        <f>'GS&gt;50 Predicted Monthly'!$X$10</f>
        <v>12654537.4440873</v>
      </c>
      <c r="M14" s="18">
        <f ca="1">E14*'GS&gt;50 Predicted Monthly'!$X$11</f>
        <v>7012735.9698486142</v>
      </c>
      <c r="N14" s="18">
        <f ca="1">F14*'GS&gt;50 Predicted Monthly'!$X$12</f>
        <v>0</v>
      </c>
      <c r="O14" s="18">
        <f>G14*'GS&gt;50 Predicted Monthly'!$X$13</f>
        <v>-864795.34736485151</v>
      </c>
      <c r="P14" s="18">
        <f>H14*'GS&gt;50 Predicted Monthly'!$X$14</f>
        <v>0</v>
      </c>
      <c r="Q14" s="18">
        <f>I14*'GS&gt;50 Predicted Monthly'!$X$15</f>
        <v>59070853.247044139</v>
      </c>
      <c r="R14" s="18">
        <f>J14*'GS&gt;50 Predicted Monthly'!$X$16</f>
        <v>797373.64091615775</v>
      </c>
      <c r="S14" s="18">
        <f t="shared" ca="1" si="4"/>
        <v>78670704.954531357</v>
      </c>
    </row>
    <row r="15" spans="1:19" x14ac:dyDescent="0.2">
      <c r="A15" s="9">
        <f>'Monthly Data'!A15</f>
        <v>42401</v>
      </c>
      <c r="B15">
        <f t="shared" si="1"/>
        <v>2016</v>
      </c>
      <c r="C15">
        <f t="shared" si="2"/>
        <v>2</v>
      </c>
      <c r="D15" s="30">
        <f>'Monthly Data'!N15</f>
        <v>74636760.565422177</v>
      </c>
      <c r="E15" s="33">
        <f t="shared" ref="E15:F15" ca="1" si="5">E3</f>
        <v>338.02</v>
      </c>
      <c r="F15" s="33">
        <f t="shared" ca="1" si="5"/>
        <v>0</v>
      </c>
      <c r="G15" s="33">
        <f>'Monthly Data'!BS15</f>
        <v>14</v>
      </c>
      <c r="H15" s="33">
        <f>'Monthly Data'!BO15</f>
        <v>0</v>
      </c>
      <c r="I15" s="33">
        <f>'Monthly Data'!BT15</f>
        <v>29</v>
      </c>
      <c r="J15" s="13">
        <f>'Monthly Data'!AK15</f>
        <v>103.30000000000018</v>
      </c>
      <c r="L15" s="18">
        <f>'GS&gt;50 Predicted Monthly'!$X$10</f>
        <v>12654537.4440873</v>
      </c>
      <c r="M15" s="18">
        <f ca="1">E15*'GS&gt;50 Predicted Monthly'!$X$11</f>
        <v>6164044.6550037134</v>
      </c>
      <c r="N15" s="18">
        <f ca="1">F15*'GS&gt;50 Predicted Monthly'!$X$12</f>
        <v>0</v>
      </c>
      <c r="O15" s="18">
        <f>G15*'GS&gt;50 Predicted Monthly'!$X$13</f>
        <v>-931318.06639291707</v>
      </c>
      <c r="P15" s="18">
        <f>H15*'GS&gt;50 Predicted Monthly'!$X$14</f>
        <v>0</v>
      </c>
      <c r="Q15" s="18">
        <f>I15*'GS&gt;50 Predicted Monthly'!$X$15</f>
        <v>55259830.456912257</v>
      </c>
      <c r="R15" s="18">
        <f>J15*'GS&gt;50 Predicted Monthly'!$X$16</f>
        <v>723802.2592850537</v>
      </c>
      <c r="S15" s="18">
        <f t="shared" ca="1" si="4"/>
        <v>73870896.748895407</v>
      </c>
    </row>
    <row r="16" spans="1:19" x14ac:dyDescent="0.2">
      <c r="A16" s="9">
        <f>'Monthly Data'!A16</f>
        <v>42430</v>
      </c>
      <c r="B16">
        <f t="shared" si="1"/>
        <v>2016</v>
      </c>
      <c r="C16">
        <f t="shared" si="2"/>
        <v>3</v>
      </c>
      <c r="D16" s="30">
        <f>'Monthly Data'!N16</f>
        <v>77047328.741292581</v>
      </c>
      <c r="E16" s="33">
        <f t="shared" ref="E16:F16" ca="1" si="6">E4</f>
        <v>252.67</v>
      </c>
      <c r="F16" s="33">
        <f t="shared" ca="1" si="6"/>
        <v>0</v>
      </c>
      <c r="G16" s="33">
        <f>'Monthly Data'!BS16</f>
        <v>15</v>
      </c>
      <c r="H16" s="33">
        <f>'Monthly Data'!BO16</f>
        <v>0</v>
      </c>
      <c r="I16" s="33">
        <f>'Monthly Data'!BT16</f>
        <v>31</v>
      </c>
      <c r="J16" s="13">
        <f>'Monthly Data'!AK16</f>
        <v>74.100000000000364</v>
      </c>
      <c r="L16" s="18">
        <f>'GS&gt;50 Predicted Monthly'!$X$10</f>
        <v>12654537.4440873</v>
      </c>
      <c r="M16" s="18">
        <f ca="1">E16*'GS&gt;50 Predicted Monthly'!$X$11</f>
        <v>4607624.2914022496</v>
      </c>
      <c r="N16" s="18">
        <f ca="1">F16*'GS&gt;50 Predicted Monthly'!$X$12</f>
        <v>0</v>
      </c>
      <c r="O16" s="18">
        <f>G16*'GS&gt;50 Predicted Monthly'!$X$13</f>
        <v>-997840.78542098263</v>
      </c>
      <c r="P16" s="18">
        <f>H16*'GS&gt;50 Predicted Monthly'!$X$14</f>
        <v>0</v>
      </c>
      <c r="Q16" s="18">
        <f>I16*'GS&gt;50 Predicted Monthly'!$X$15</f>
        <v>59070853.247044139</v>
      </c>
      <c r="R16" s="18">
        <f>J16*'GS&gt;50 Predicted Monthly'!$X$16</f>
        <v>519203.75036807981</v>
      </c>
      <c r="S16" s="18">
        <f t="shared" ca="1" si="4"/>
        <v>75854377.947480783</v>
      </c>
    </row>
    <row r="17" spans="1:20" x14ac:dyDescent="0.2">
      <c r="A17" s="9">
        <f>'Monthly Data'!A17</f>
        <v>42461</v>
      </c>
      <c r="B17">
        <f t="shared" si="1"/>
        <v>2016</v>
      </c>
      <c r="C17">
        <f t="shared" si="2"/>
        <v>4</v>
      </c>
      <c r="D17" s="30">
        <f>'Monthly Data'!N17</f>
        <v>73374646.91716297</v>
      </c>
      <c r="E17" s="33">
        <f t="shared" ref="E17:F17" ca="1" si="7">E5</f>
        <v>112.07000000000001</v>
      </c>
      <c r="F17" s="33">
        <f t="shared" ca="1" si="7"/>
        <v>2.6300000000000003</v>
      </c>
      <c r="G17" s="33">
        <f>'Monthly Data'!BS17</f>
        <v>16</v>
      </c>
      <c r="H17" s="33">
        <f>'Monthly Data'!BO17</f>
        <v>0</v>
      </c>
      <c r="I17" s="33">
        <f>'Monthly Data'!BT17</f>
        <v>30</v>
      </c>
      <c r="J17" s="13">
        <f>'Monthly Data'!AK17</f>
        <v>60.899999999999636</v>
      </c>
      <c r="L17" s="18">
        <f>'GS&gt;50 Predicted Monthly'!$X$10</f>
        <v>12654537.4440873</v>
      </c>
      <c r="M17" s="18">
        <f ca="1">E17*'GS&gt;50 Predicted Monthly'!$X$11</f>
        <v>2043679.3221888239</v>
      </c>
      <c r="N17" s="18">
        <f ca="1">F17*'GS&gt;50 Predicted Monthly'!$X$12</f>
        <v>123378.13645778869</v>
      </c>
      <c r="O17" s="18">
        <f>G17*'GS&gt;50 Predicted Monthly'!$X$13</f>
        <v>-1064363.5044490481</v>
      </c>
      <c r="P17" s="18">
        <f>H17*'GS&gt;50 Predicted Monthly'!$X$14</f>
        <v>0</v>
      </c>
      <c r="Q17" s="18">
        <f>I17*'GS&gt;50 Predicted Monthly'!$X$15</f>
        <v>57165341.851978198</v>
      </c>
      <c r="R17" s="18">
        <f>J17*'GS&gt;50 Predicted Monthly'!$X$16</f>
        <v>426714.01346040104</v>
      </c>
      <c r="S17" s="18">
        <f t="shared" ca="1" si="4"/>
        <v>71349287.263723463</v>
      </c>
    </row>
    <row r="18" spans="1:20" x14ac:dyDescent="0.2">
      <c r="A18" s="9">
        <f>'Monthly Data'!A18</f>
        <v>42491</v>
      </c>
      <c r="B18">
        <f t="shared" si="1"/>
        <v>2016</v>
      </c>
      <c r="C18">
        <f t="shared" si="2"/>
        <v>5</v>
      </c>
      <c r="D18" s="30">
        <f>'Monthly Data'!N18</f>
        <v>75400761.093033373</v>
      </c>
      <c r="E18" s="33">
        <f t="shared" ref="E18:F18" ca="1" si="8">E6</f>
        <v>19.18</v>
      </c>
      <c r="F18" s="33">
        <f t="shared" ca="1" si="8"/>
        <v>50.489999999999995</v>
      </c>
      <c r="G18" s="33">
        <f>'Monthly Data'!BS18</f>
        <v>17</v>
      </c>
      <c r="H18" s="33">
        <f>'Monthly Data'!BO18</f>
        <v>0</v>
      </c>
      <c r="I18" s="33">
        <f>'Monthly Data'!BT18</f>
        <v>31</v>
      </c>
      <c r="J18" s="13">
        <f>'Monthly Data'!AK18</f>
        <v>53.900000000000091</v>
      </c>
      <c r="L18" s="18">
        <f>'GS&gt;50 Predicted Monthly'!$X$10</f>
        <v>12654537.4440873</v>
      </c>
      <c r="M18" s="18">
        <f ca="1">E18*'GS&gt;50 Predicted Monthly'!$X$11</f>
        <v>349761.48299796233</v>
      </c>
      <c r="N18" s="18">
        <f ca="1">F18*'GS&gt;50 Predicted Monthly'!$X$12</f>
        <v>2368578.7489557983</v>
      </c>
      <c r="O18" s="18">
        <f>G18*'GS&gt;50 Predicted Monthly'!$X$13</f>
        <v>-1130886.2234771135</v>
      </c>
      <c r="P18" s="18">
        <f>H18*'GS&gt;50 Predicted Monthly'!$X$14</f>
        <v>0</v>
      </c>
      <c r="Q18" s="18">
        <f>I18*'GS&gt;50 Predicted Monthly'!$X$15</f>
        <v>59070853.247044139</v>
      </c>
      <c r="R18" s="18">
        <f>J18*'GS&gt;50 Predicted Monthly'!$X$16</f>
        <v>377666.42570633488</v>
      </c>
      <c r="S18" s="18">
        <f t="shared" ca="1" si="4"/>
        <v>73690511.125314429</v>
      </c>
    </row>
    <row r="19" spans="1:20" x14ac:dyDescent="0.2">
      <c r="A19" s="9">
        <f>'Monthly Data'!A19</f>
        <v>42522</v>
      </c>
      <c r="B19">
        <f t="shared" si="1"/>
        <v>2016</v>
      </c>
      <c r="C19">
        <f t="shared" si="2"/>
        <v>6</v>
      </c>
      <c r="D19" s="30">
        <f>'Monthly Data'!N19</f>
        <v>78871885.268903777</v>
      </c>
      <c r="E19" s="33">
        <f t="shared" ref="E19:F19" ca="1" si="9">E7</f>
        <v>0</v>
      </c>
      <c r="F19" s="33">
        <f t="shared" ca="1" si="9"/>
        <v>154.05000000000001</v>
      </c>
      <c r="G19" s="33">
        <f>'Monthly Data'!BS19</f>
        <v>18</v>
      </c>
      <c r="H19" s="33">
        <f>'Monthly Data'!BO19</f>
        <v>0</v>
      </c>
      <c r="I19" s="33">
        <f>'Monthly Data'!BT19</f>
        <v>30</v>
      </c>
      <c r="J19" s="13">
        <f>'Monthly Data'!AK19</f>
        <v>57.700000000000273</v>
      </c>
      <c r="L19" s="18">
        <f>'GS&gt;50 Predicted Monthly'!$X$10</f>
        <v>12654537.4440873</v>
      </c>
      <c r="M19" s="18">
        <f ca="1">E19*'GS&gt;50 Predicted Monthly'!$X$11</f>
        <v>0</v>
      </c>
      <c r="N19" s="18">
        <f ca="1">F19*'GS&gt;50 Predicted Monthly'!$X$12</f>
        <v>7226768.7913773181</v>
      </c>
      <c r="O19" s="18">
        <f>G19*'GS&gt;50 Predicted Monthly'!$X$13</f>
        <v>-1197408.942505179</v>
      </c>
      <c r="P19" s="18">
        <f>H19*'GS&gt;50 Predicted Monthly'!$X$14</f>
        <v>0</v>
      </c>
      <c r="Q19" s="18">
        <f>I19*'GS&gt;50 Predicted Monthly'!$X$15</f>
        <v>57165341.851978198</v>
      </c>
      <c r="R19" s="18">
        <f>J19*'GS&gt;50 Predicted Monthly'!$X$16</f>
        <v>404292.25905854523</v>
      </c>
      <c r="S19" s="18">
        <f t="shared" ca="1" si="4"/>
        <v>76253531.403996184</v>
      </c>
      <c r="T19" s="84"/>
    </row>
    <row r="20" spans="1:20" x14ac:dyDescent="0.2">
      <c r="A20" s="9">
        <f>'Monthly Data'!A20</f>
        <v>42552</v>
      </c>
      <c r="B20">
        <f t="shared" si="1"/>
        <v>2016</v>
      </c>
      <c r="C20">
        <f t="shared" si="2"/>
        <v>7</v>
      </c>
      <c r="D20" s="30">
        <f>'Monthly Data'!N20</f>
        <v>85038422.444774166</v>
      </c>
      <c r="E20" s="33">
        <f t="shared" ref="E20:F20" ca="1" si="10">E8</f>
        <v>0</v>
      </c>
      <c r="F20" s="33">
        <f t="shared" ca="1" si="10"/>
        <v>267.66999999999996</v>
      </c>
      <c r="G20" s="33">
        <f>'Monthly Data'!BS20</f>
        <v>19</v>
      </c>
      <c r="H20" s="33">
        <f>'Monthly Data'!BO20</f>
        <v>0</v>
      </c>
      <c r="I20" s="33">
        <f>'Monthly Data'!BT20</f>
        <v>31</v>
      </c>
      <c r="J20" s="13">
        <f>'Monthly Data'!AK20</f>
        <v>31.900000000000091</v>
      </c>
      <c r="L20" s="18">
        <f>'GS&gt;50 Predicted Monthly'!$X$10</f>
        <v>12654537.4440873</v>
      </c>
      <c r="M20" s="18">
        <f ca="1">E20*'GS&gt;50 Predicted Monthly'!$X$11</f>
        <v>0</v>
      </c>
      <c r="N20" s="18">
        <f ca="1">F20*'GS&gt;50 Predicted Monthly'!$X$12</f>
        <v>12556891.933709616</v>
      </c>
      <c r="O20" s="18">
        <f>G20*'GS&gt;50 Predicted Monthly'!$X$13</f>
        <v>-1263931.6615332447</v>
      </c>
      <c r="P20" s="18">
        <f>H20*'GS&gt;50 Predicted Monthly'!$X$14</f>
        <v>0</v>
      </c>
      <c r="Q20" s="18">
        <f>I20*'GS&gt;50 Predicted Monthly'!$X$15</f>
        <v>59070853.247044139</v>
      </c>
      <c r="R20" s="18">
        <f>J20*'GS&gt;50 Predicted Monthly'!$X$16</f>
        <v>223516.86419354536</v>
      </c>
      <c r="S20" s="18">
        <f t="shared" ca="1" si="4"/>
        <v>83241867.827501357</v>
      </c>
    </row>
    <row r="21" spans="1:20" x14ac:dyDescent="0.2">
      <c r="A21" s="9">
        <f>'Monthly Data'!A21</f>
        <v>42583</v>
      </c>
      <c r="B21">
        <f t="shared" si="1"/>
        <v>2016</v>
      </c>
      <c r="C21">
        <f t="shared" si="2"/>
        <v>8</v>
      </c>
      <c r="D21" s="30">
        <f>'Monthly Data'!N21</f>
        <v>88248238.620644569</v>
      </c>
      <c r="E21" s="33">
        <f t="shared" ref="E21:F21" ca="1" si="11">E9</f>
        <v>0</v>
      </c>
      <c r="F21" s="33">
        <f t="shared" ca="1" si="11"/>
        <v>246.315</v>
      </c>
      <c r="G21" s="33">
        <f>'Monthly Data'!BS21</f>
        <v>20</v>
      </c>
      <c r="H21" s="33">
        <f>'Monthly Data'!BO21</f>
        <v>0</v>
      </c>
      <c r="I21" s="33">
        <f>'Monthly Data'!BT21</f>
        <v>31</v>
      </c>
      <c r="J21" s="13">
        <f>'Monthly Data'!AK21</f>
        <v>8.5</v>
      </c>
      <c r="L21" s="18">
        <f>'GS&gt;50 Predicted Monthly'!$X$10</f>
        <v>12654537.4440873</v>
      </c>
      <c r="M21" s="18">
        <f ca="1">E21*'GS&gt;50 Predicted Monthly'!$X$11</f>
        <v>0</v>
      </c>
      <c r="N21" s="18">
        <f ca="1">F21*'GS&gt;50 Predicted Monthly'!$X$12</f>
        <v>11555089.612775749</v>
      </c>
      <c r="O21" s="18">
        <f>G21*'GS&gt;50 Predicted Monthly'!$X$13</f>
        <v>-1330454.3805613101</v>
      </c>
      <c r="P21" s="18">
        <f>H21*'GS&gt;50 Predicted Monthly'!$X$14</f>
        <v>0</v>
      </c>
      <c r="Q21" s="18">
        <f>I21*'GS&gt;50 Predicted Monthly'!$X$15</f>
        <v>59070853.247044139</v>
      </c>
      <c r="R21" s="18">
        <f>J21*'GS&gt;50 Predicted Monthly'!$X$16</f>
        <v>59557.785129941389</v>
      </c>
      <c r="S21" s="18">
        <f t="shared" ca="1" si="4"/>
        <v>82009583.708475813</v>
      </c>
    </row>
    <row r="22" spans="1:20" x14ac:dyDescent="0.2">
      <c r="A22" s="9">
        <f>'Monthly Data'!A22</f>
        <v>42614</v>
      </c>
      <c r="B22">
        <f t="shared" si="1"/>
        <v>2016</v>
      </c>
      <c r="C22">
        <f t="shared" si="2"/>
        <v>9</v>
      </c>
      <c r="D22" s="30">
        <f>'Monthly Data'!N22</f>
        <v>78975239.796514973</v>
      </c>
      <c r="E22" s="33">
        <f t="shared" ref="E22:F22" ca="1" si="12">E10</f>
        <v>0</v>
      </c>
      <c r="F22" s="33">
        <f t="shared" ca="1" si="12"/>
        <v>146.80000000000001</v>
      </c>
      <c r="G22" s="33">
        <f>'Monthly Data'!BS22</f>
        <v>21</v>
      </c>
      <c r="H22" s="33">
        <f>'Monthly Data'!BO22</f>
        <v>0</v>
      </c>
      <c r="I22" s="33">
        <f>'Monthly Data'!BT22</f>
        <v>30</v>
      </c>
      <c r="J22" s="13">
        <f>'Monthly Data'!AK22</f>
        <v>-12.099999999999909</v>
      </c>
      <c r="L22" s="18">
        <f>'GS&gt;50 Predicted Monthly'!$X$10</f>
        <v>12654537.4440873</v>
      </c>
      <c r="M22" s="18">
        <f ca="1">E22*'GS&gt;50 Predicted Monthly'!$X$11</f>
        <v>0</v>
      </c>
      <c r="N22" s="18">
        <f ca="1">F22*'GS&gt;50 Predicted Monthly'!$X$12</f>
        <v>6886657.9589366456</v>
      </c>
      <c r="O22" s="18">
        <f>G22*'GS&gt;50 Predicted Monthly'!$X$13</f>
        <v>-1396977.0995893755</v>
      </c>
      <c r="P22" s="18">
        <f>H22*'GS&gt;50 Predicted Monthly'!$X$14</f>
        <v>0</v>
      </c>
      <c r="Q22" s="18">
        <f>I22*'GS&gt;50 Predicted Monthly'!$X$15</f>
        <v>57165341.851978198</v>
      </c>
      <c r="R22" s="18">
        <f>J22*'GS&gt;50 Predicted Monthly'!$X$16</f>
        <v>-84782.258832033578</v>
      </c>
      <c r="S22" s="18">
        <f t="shared" ca="1" si="4"/>
        <v>75224777.896580726</v>
      </c>
    </row>
    <row r="23" spans="1:20" x14ac:dyDescent="0.2">
      <c r="A23" s="9">
        <f>'Monthly Data'!A23</f>
        <v>42644</v>
      </c>
      <c r="B23">
        <f t="shared" si="1"/>
        <v>2016</v>
      </c>
      <c r="C23">
        <f t="shared" si="2"/>
        <v>10</v>
      </c>
      <c r="D23" s="30">
        <f>'Monthly Data'!N23</f>
        <v>74338761.972385362</v>
      </c>
      <c r="E23" s="33">
        <f t="shared" ref="E23:F23" ca="1" si="13">E11</f>
        <v>23.589999999999996</v>
      </c>
      <c r="F23" s="33">
        <f t="shared" ca="1" si="13"/>
        <v>36.859999999999992</v>
      </c>
      <c r="G23" s="33">
        <f>'Monthly Data'!BS23</f>
        <v>22</v>
      </c>
      <c r="H23" s="33">
        <f>'Monthly Data'!BO23</f>
        <v>0</v>
      </c>
      <c r="I23" s="33">
        <f>'Monthly Data'!BT23</f>
        <v>31</v>
      </c>
      <c r="J23" s="13">
        <f>'Monthly Data'!AK23</f>
        <v>-16.199999999999818</v>
      </c>
      <c r="L23" s="18">
        <f>'GS&gt;50 Predicted Monthly'!$X$10</f>
        <v>12654537.4440873</v>
      </c>
      <c r="M23" s="18">
        <f ca="1">E23*'GS&gt;50 Predicted Monthly'!$X$11</f>
        <v>430181.09405223833</v>
      </c>
      <c r="N23" s="18">
        <f ca="1">F23*'GS&gt;50 Predicted Monthly'!$X$12</f>
        <v>1729170.3839673344</v>
      </c>
      <c r="O23" s="18">
        <f>G23*'GS&gt;50 Predicted Monthly'!$X$13</f>
        <v>-1463499.8186174412</v>
      </c>
      <c r="P23" s="18">
        <f>H23*'GS&gt;50 Predicted Monthly'!$X$14</f>
        <v>0</v>
      </c>
      <c r="Q23" s="18">
        <f>I23*'GS&gt;50 Predicted Monthly'!$X$15</f>
        <v>59070853.247044139</v>
      </c>
      <c r="R23" s="18">
        <f>J23*'GS&gt;50 Predicted Monthly'!$X$16</f>
        <v>-113510.13165941642</v>
      </c>
      <c r="S23" s="18">
        <f t="shared" ca="1" si="4"/>
        <v>72307732.218874156</v>
      </c>
    </row>
    <row r="24" spans="1:20" x14ac:dyDescent="0.2">
      <c r="A24" s="9">
        <f>'Monthly Data'!A24</f>
        <v>42675</v>
      </c>
      <c r="B24">
        <f t="shared" si="1"/>
        <v>2016</v>
      </c>
      <c r="C24">
        <f t="shared" si="2"/>
        <v>11</v>
      </c>
      <c r="D24" s="30">
        <f>'Monthly Data'!N24</f>
        <v>72857624.148255765</v>
      </c>
      <c r="E24" s="33">
        <f t="shared" ref="E24:F24" ca="1" si="14">E12</f>
        <v>134.25000000000003</v>
      </c>
      <c r="F24" s="33">
        <f t="shared" ca="1" si="14"/>
        <v>3.410000000000001</v>
      </c>
      <c r="G24" s="33">
        <f>'Monthly Data'!BS24</f>
        <v>23</v>
      </c>
      <c r="H24" s="33">
        <f>'Monthly Data'!BO24</f>
        <v>0</v>
      </c>
      <c r="I24" s="33">
        <f>'Monthly Data'!BT24</f>
        <v>30</v>
      </c>
      <c r="J24" s="13">
        <f>'Monthly Data'!AK24</f>
        <v>-9</v>
      </c>
      <c r="L24" s="18">
        <f>'GS&gt;50 Predicted Monthly'!$X$10</f>
        <v>12654537.4440873</v>
      </c>
      <c r="M24" s="18">
        <f ca="1">E24*'GS&gt;50 Predicted Monthly'!$X$11</f>
        <v>2448148.023591056</v>
      </c>
      <c r="N24" s="18">
        <f ca="1">F24*'GS&gt;50 Predicted Monthly'!$X$12</f>
        <v>159969.37084450931</v>
      </c>
      <c r="O24" s="18">
        <f>G24*'GS&gt;50 Predicted Monthly'!$X$13</f>
        <v>-1530022.5376455067</v>
      </c>
      <c r="P24" s="18">
        <f>H24*'GS&gt;50 Predicted Monthly'!$X$14</f>
        <v>0</v>
      </c>
      <c r="Q24" s="18">
        <f>I24*'GS&gt;50 Predicted Monthly'!$X$15</f>
        <v>57165341.851978198</v>
      </c>
      <c r="R24" s="18">
        <f>J24*'GS&gt;50 Predicted Monthly'!$X$16</f>
        <v>-63061.18425523206</v>
      </c>
      <c r="S24" s="18">
        <f t="shared" ca="1" si="4"/>
        <v>70834912.968600333</v>
      </c>
    </row>
    <row r="25" spans="1:20" x14ac:dyDescent="0.2">
      <c r="A25" s="9">
        <f>'Monthly Data'!A25</f>
        <v>42705</v>
      </c>
      <c r="B25">
        <f t="shared" si="1"/>
        <v>2016</v>
      </c>
      <c r="C25">
        <f t="shared" si="2"/>
        <v>12</v>
      </c>
      <c r="D25" s="30">
        <f>'Monthly Data'!N25</f>
        <v>75276873.324126154</v>
      </c>
      <c r="E25" s="33">
        <f t="shared" ref="E25:F25" ca="1" si="15">E13</f>
        <v>262.99</v>
      </c>
      <c r="F25" s="33">
        <f t="shared" ca="1" si="15"/>
        <v>0</v>
      </c>
      <c r="G25" s="33">
        <f>'Monthly Data'!BS25</f>
        <v>24</v>
      </c>
      <c r="H25" s="33">
        <f>'Monthly Data'!BO25</f>
        <v>1</v>
      </c>
      <c r="I25" s="33">
        <f>'Monthly Data'!BT25</f>
        <v>31</v>
      </c>
      <c r="J25" s="13">
        <f>'Monthly Data'!AK25</f>
        <v>-12.900000000000091</v>
      </c>
      <c r="L25" s="18">
        <f>'GS&gt;50 Predicted Monthly'!$X$10</f>
        <v>12654537.4440873</v>
      </c>
      <c r="M25" s="18">
        <f ca="1">E25*'GS&gt;50 Predicted Monthly'!$X$11</f>
        <v>4795817.1227129363</v>
      </c>
      <c r="N25" s="18">
        <f ca="1">F25*'GS&gt;50 Predicted Monthly'!$X$12</f>
        <v>0</v>
      </c>
      <c r="O25" s="18">
        <f>G25*'GS&gt;50 Predicted Monthly'!$X$13</f>
        <v>-1596545.2566735721</v>
      </c>
      <c r="P25" s="18">
        <f>H25*'GS&gt;50 Predicted Monthly'!$X$14</f>
        <v>-2455659.1490839599</v>
      </c>
      <c r="Q25" s="18">
        <f>I25*'GS&gt;50 Predicted Monthly'!$X$15</f>
        <v>59070853.247044139</v>
      </c>
      <c r="R25" s="18">
        <f>J25*'GS&gt;50 Predicted Monthly'!$X$16</f>
        <v>-90387.697432499917</v>
      </c>
      <c r="S25" s="18">
        <f t="shared" ca="1" si="4"/>
        <v>72378615.710654333</v>
      </c>
    </row>
    <row r="26" spans="1:20" x14ac:dyDescent="0.2">
      <c r="A26" s="9">
        <f>'Monthly Data'!A26</f>
        <v>42736</v>
      </c>
      <c r="B26">
        <f t="shared" si="1"/>
        <v>2017</v>
      </c>
      <c r="C26">
        <f t="shared" si="2"/>
        <v>1</v>
      </c>
      <c r="D26" s="30">
        <f>'Monthly Data'!N26</f>
        <v>77812185.537604213</v>
      </c>
      <c r="E26" s="33">
        <f t="shared" ref="E26:F26" ca="1" si="16">E14</f>
        <v>384.56000000000006</v>
      </c>
      <c r="F26" s="33">
        <f t="shared" ca="1" si="16"/>
        <v>0</v>
      </c>
      <c r="G26" s="33">
        <f>'Monthly Data'!BS26</f>
        <v>25</v>
      </c>
      <c r="H26" s="33">
        <f>'Monthly Data'!BO26</f>
        <v>0</v>
      </c>
      <c r="I26" s="33">
        <f>'Monthly Data'!BT26</f>
        <v>31</v>
      </c>
      <c r="J26" s="13">
        <f>'Monthly Data'!AK26</f>
        <v>-4.7000000000002728</v>
      </c>
      <c r="L26" s="18">
        <f>'GS&gt;50 Predicted Monthly'!$X$10</f>
        <v>12654537.4440873</v>
      </c>
      <c r="M26" s="18">
        <f ca="1">E26*'GS&gt;50 Predicted Monthly'!$X$11</f>
        <v>7012735.9698486142</v>
      </c>
      <c r="N26" s="18">
        <f ca="1">F26*'GS&gt;50 Predicted Monthly'!$X$12</f>
        <v>0</v>
      </c>
      <c r="O26" s="18">
        <f>G26*'GS&gt;50 Predicted Monthly'!$X$13</f>
        <v>-1663067.9757016376</v>
      </c>
      <c r="P26" s="18">
        <f>H26*'GS&gt;50 Predicted Monthly'!$X$14</f>
        <v>0</v>
      </c>
      <c r="Q26" s="18">
        <f>I26*'GS&gt;50 Predicted Monthly'!$X$15</f>
        <v>59070853.247044139</v>
      </c>
      <c r="R26" s="18">
        <f>J26*'GS&gt;50 Predicted Monthly'!$X$16</f>
        <v>-32931.951777734212</v>
      </c>
      <c r="S26" s="18">
        <f t="shared" ca="1" si="4"/>
        <v>77042126.733500674</v>
      </c>
    </row>
    <row r="27" spans="1:20" x14ac:dyDescent="0.2">
      <c r="A27" s="9">
        <f>'Monthly Data'!A27</f>
        <v>42767</v>
      </c>
      <c r="B27">
        <f t="shared" si="1"/>
        <v>2017</v>
      </c>
      <c r="C27">
        <f t="shared" si="2"/>
        <v>2</v>
      </c>
      <c r="D27" s="30">
        <f>'Monthly Data'!N27</f>
        <v>69707884.42837292</v>
      </c>
      <c r="E27" s="33">
        <f t="shared" ref="E27:F27" ca="1" si="17">E15</f>
        <v>338.02</v>
      </c>
      <c r="F27" s="33">
        <f t="shared" ca="1" si="17"/>
        <v>0</v>
      </c>
      <c r="G27" s="33">
        <f>'Monthly Data'!BS27</f>
        <v>26</v>
      </c>
      <c r="H27" s="33">
        <f>'Monthly Data'!BO27</f>
        <v>0</v>
      </c>
      <c r="I27" s="33">
        <f>'Monthly Data'!BT27</f>
        <v>28</v>
      </c>
      <c r="J27" s="13">
        <f>'Monthly Data'!AK27</f>
        <v>9.8000000000001819</v>
      </c>
      <c r="L27" s="18">
        <f>'GS&gt;50 Predicted Monthly'!$X$10</f>
        <v>12654537.4440873</v>
      </c>
      <c r="M27" s="18">
        <f ca="1">E27*'GS&gt;50 Predicted Monthly'!$X$11</f>
        <v>6164044.6550037134</v>
      </c>
      <c r="N27" s="18">
        <f ca="1">F27*'GS&gt;50 Predicted Monthly'!$X$12</f>
        <v>0</v>
      </c>
      <c r="O27" s="18">
        <f>G27*'GS&gt;50 Predicted Monthly'!$X$13</f>
        <v>-1729590.694729703</v>
      </c>
      <c r="P27" s="18">
        <f>H27*'GS&gt;50 Predicted Monthly'!$X$14</f>
        <v>0</v>
      </c>
      <c r="Q27" s="18">
        <f>I27*'GS&gt;50 Predicted Monthly'!$X$15</f>
        <v>53354319.061846316</v>
      </c>
      <c r="R27" s="18">
        <f>J27*'GS&gt;50 Predicted Monthly'!$X$16</f>
        <v>68666.622855698399</v>
      </c>
      <c r="S27" s="18">
        <f t="shared" ca="1" si="4"/>
        <v>70511977.089063317</v>
      </c>
    </row>
    <row r="28" spans="1:20" x14ac:dyDescent="0.2">
      <c r="A28" s="9">
        <f>'Monthly Data'!A28</f>
        <v>42795</v>
      </c>
      <c r="B28">
        <f t="shared" si="1"/>
        <v>2017</v>
      </c>
      <c r="C28">
        <f t="shared" si="2"/>
        <v>3</v>
      </c>
      <c r="D28" s="30">
        <f>'Monthly Data'!N28</f>
        <v>76997412.319141626</v>
      </c>
      <c r="E28" s="33">
        <f t="shared" ref="E28:F28" ca="1" si="18">E16</f>
        <v>252.67</v>
      </c>
      <c r="F28" s="33">
        <f t="shared" ca="1" si="18"/>
        <v>0</v>
      </c>
      <c r="G28" s="33">
        <f>'Monthly Data'!BS28</f>
        <v>27</v>
      </c>
      <c r="H28" s="33">
        <f>'Monthly Data'!BO28</f>
        <v>0</v>
      </c>
      <c r="I28" s="33">
        <f>'Monthly Data'!BT28</f>
        <v>31</v>
      </c>
      <c r="J28" s="13">
        <f>'Monthly Data'!AK28</f>
        <v>37.099999999999909</v>
      </c>
      <c r="L28" s="18">
        <f>'GS&gt;50 Predicted Monthly'!$X$10</f>
        <v>12654537.4440873</v>
      </c>
      <c r="M28" s="18">
        <f ca="1">E28*'GS&gt;50 Predicted Monthly'!$X$11</f>
        <v>4607624.2914022496</v>
      </c>
      <c r="N28" s="18">
        <f ca="1">F28*'GS&gt;50 Predicted Monthly'!$X$12</f>
        <v>0</v>
      </c>
      <c r="O28" s="18">
        <f>G28*'GS&gt;50 Predicted Monthly'!$X$13</f>
        <v>-1796113.4137577687</v>
      </c>
      <c r="P28" s="18">
        <f>H28*'GS&gt;50 Predicted Monthly'!$X$14</f>
        <v>0</v>
      </c>
      <c r="Q28" s="18">
        <f>I28*'GS&gt;50 Predicted Monthly'!$X$15</f>
        <v>59070853.247044139</v>
      </c>
      <c r="R28" s="18">
        <f>J28*'GS&gt;50 Predicted Monthly'!$X$16</f>
        <v>259952.21509656706</v>
      </c>
      <c r="S28" s="18">
        <f t="shared" ca="1" si="4"/>
        <v>74796853.783872485</v>
      </c>
    </row>
    <row r="29" spans="1:20" x14ac:dyDescent="0.2">
      <c r="A29" s="9">
        <f>'Monthly Data'!A29</f>
        <v>42826</v>
      </c>
      <c r="B29">
        <f t="shared" si="1"/>
        <v>2017</v>
      </c>
      <c r="C29">
        <f t="shared" si="2"/>
        <v>4</v>
      </c>
      <c r="D29" s="30">
        <f>'Monthly Data'!N29</f>
        <v>69695820.209910318</v>
      </c>
      <c r="E29" s="33">
        <f t="shared" ref="E29:F29" ca="1" si="19">E17</f>
        <v>112.07000000000001</v>
      </c>
      <c r="F29" s="33">
        <f t="shared" ca="1" si="19"/>
        <v>2.6300000000000003</v>
      </c>
      <c r="G29" s="33">
        <f>'Monthly Data'!BS29</f>
        <v>28</v>
      </c>
      <c r="H29" s="33">
        <f>'Monthly Data'!BO29</f>
        <v>0</v>
      </c>
      <c r="I29" s="33">
        <f>'Monthly Data'!BT29</f>
        <v>30</v>
      </c>
      <c r="J29" s="13">
        <f>'Monthly Data'!AK29</f>
        <v>52.800000000000182</v>
      </c>
      <c r="L29" s="18">
        <f>'GS&gt;50 Predicted Monthly'!$X$10</f>
        <v>12654537.4440873</v>
      </c>
      <c r="M29" s="18">
        <f ca="1">E29*'GS&gt;50 Predicted Monthly'!$X$11</f>
        <v>2043679.3221888239</v>
      </c>
      <c r="N29" s="18">
        <f ca="1">F29*'GS&gt;50 Predicted Monthly'!$X$12</f>
        <v>123378.13645778869</v>
      </c>
      <c r="O29" s="18">
        <f>G29*'GS&gt;50 Predicted Monthly'!$X$13</f>
        <v>-1862636.1327858341</v>
      </c>
      <c r="P29" s="18">
        <f>H29*'GS&gt;50 Predicted Monthly'!$X$14</f>
        <v>0</v>
      </c>
      <c r="Q29" s="18">
        <f>I29*'GS&gt;50 Predicted Monthly'!$X$15</f>
        <v>57165341.851978198</v>
      </c>
      <c r="R29" s="18">
        <f>J29*'GS&gt;50 Predicted Monthly'!$X$16</f>
        <v>369958.947630696</v>
      </c>
      <c r="S29" s="18">
        <f t="shared" ca="1" si="4"/>
        <v>70494259.569556981</v>
      </c>
    </row>
    <row r="30" spans="1:20" x14ac:dyDescent="0.2">
      <c r="A30" s="9">
        <f>'Monthly Data'!A30</f>
        <v>42856</v>
      </c>
      <c r="B30">
        <f t="shared" si="1"/>
        <v>2017</v>
      </c>
      <c r="C30">
        <f t="shared" si="2"/>
        <v>5</v>
      </c>
      <c r="D30" s="30">
        <f>'Monthly Data'!N30</f>
        <v>73710670.100679025</v>
      </c>
      <c r="E30" s="33">
        <f t="shared" ref="E30:F30" ca="1" si="20">E18</f>
        <v>19.18</v>
      </c>
      <c r="F30" s="33">
        <f t="shared" ca="1" si="20"/>
        <v>50.489999999999995</v>
      </c>
      <c r="G30" s="33">
        <f>'Monthly Data'!BS30</f>
        <v>29</v>
      </c>
      <c r="H30" s="33">
        <f>'Monthly Data'!BO30</f>
        <v>0</v>
      </c>
      <c r="I30" s="33">
        <f>'Monthly Data'!BT30</f>
        <v>31</v>
      </c>
      <c r="J30" s="13">
        <f>'Monthly Data'!AK30</f>
        <v>62.599999999999909</v>
      </c>
      <c r="L30" s="18">
        <f>'GS&gt;50 Predicted Monthly'!$X$10</f>
        <v>12654537.4440873</v>
      </c>
      <c r="M30" s="18">
        <f ca="1">E30*'GS&gt;50 Predicted Monthly'!$X$11</f>
        <v>349761.48299796233</v>
      </c>
      <c r="N30" s="18">
        <f ca="1">F30*'GS&gt;50 Predicted Monthly'!$X$12</f>
        <v>2368578.7489557983</v>
      </c>
      <c r="O30" s="18">
        <f>G30*'GS&gt;50 Predicted Monthly'!$X$13</f>
        <v>-1929158.8518138996</v>
      </c>
      <c r="P30" s="18">
        <f>H30*'GS&gt;50 Predicted Monthly'!$X$14</f>
        <v>0</v>
      </c>
      <c r="Q30" s="18">
        <f>I30*'GS&gt;50 Predicted Monthly'!$X$15</f>
        <v>59070853.247044139</v>
      </c>
      <c r="R30" s="18">
        <f>J30*'GS&gt;50 Predicted Monthly'!$X$16</f>
        <v>438625.57048639125</v>
      </c>
      <c r="S30" s="18">
        <f t="shared" ca="1" si="4"/>
        <v>72953197.641757697</v>
      </c>
    </row>
    <row r="31" spans="1:20" x14ac:dyDescent="0.2">
      <c r="A31" s="9">
        <f>'Monthly Data'!A31</f>
        <v>42887</v>
      </c>
      <c r="B31">
        <f t="shared" si="1"/>
        <v>2017</v>
      </c>
      <c r="C31">
        <f t="shared" si="2"/>
        <v>6</v>
      </c>
      <c r="D31" s="30">
        <f>'Monthly Data'!N31</f>
        <v>76943218.991447717</v>
      </c>
      <c r="E31" s="33">
        <f t="shared" ref="E31:F31" ca="1" si="21">E19</f>
        <v>0</v>
      </c>
      <c r="F31" s="33">
        <f t="shared" ca="1" si="21"/>
        <v>154.05000000000001</v>
      </c>
      <c r="G31" s="33">
        <f>'Monthly Data'!BS31</f>
        <v>30</v>
      </c>
      <c r="H31" s="33">
        <f>'Monthly Data'!BO31</f>
        <v>0</v>
      </c>
      <c r="I31" s="33">
        <f>'Monthly Data'!BT31</f>
        <v>30</v>
      </c>
      <c r="J31" s="13">
        <f>'Monthly Data'!AK31</f>
        <v>56.299999999999727</v>
      </c>
      <c r="L31" s="18">
        <f>'GS&gt;50 Predicted Monthly'!$X$10</f>
        <v>12654537.4440873</v>
      </c>
      <c r="M31" s="18">
        <f ca="1">E31*'GS&gt;50 Predicted Monthly'!$X$11</f>
        <v>0</v>
      </c>
      <c r="N31" s="18">
        <f ca="1">F31*'GS&gt;50 Predicted Monthly'!$X$12</f>
        <v>7226768.7913773181</v>
      </c>
      <c r="O31" s="18">
        <f>G31*'GS&gt;50 Predicted Monthly'!$X$13</f>
        <v>-1995681.5708419653</v>
      </c>
      <c r="P31" s="18">
        <f>H31*'GS&gt;50 Predicted Monthly'!$X$14</f>
        <v>0</v>
      </c>
      <c r="Q31" s="18">
        <f>I31*'GS&gt;50 Predicted Monthly'!$X$15</f>
        <v>57165341.851978198</v>
      </c>
      <c r="R31" s="18">
        <f>J31*'GS&gt;50 Predicted Monthly'!$X$16</f>
        <v>394482.74150772754</v>
      </c>
      <c r="S31" s="18">
        <f t="shared" ca="1" si="4"/>
        <v>75445449.258108571</v>
      </c>
    </row>
    <row r="32" spans="1:20" x14ac:dyDescent="0.2">
      <c r="A32" s="9">
        <f>'Monthly Data'!A32</f>
        <v>42917</v>
      </c>
      <c r="B32">
        <f t="shared" si="1"/>
        <v>2017</v>
      </c>
      <c r="C32">
        <f t="shared" si="2"/>
        <v>7</v>
      </c>
      <c r="D32" s="30">
        <f>'Monthly Data'!N32</f>
        <v>80788009.882216424</v>
      </c>
      <c r="E32" s="33">
        <f t="shared" ref="E32:F32" ca="1" si="22">E20</f>
        <v>0</v>
      </c>
      <c r="F32" s="33">
        <f t="shared" ca="1" si="22"/>
        <v>267.66999999999996</v>
      </c>
      <c r="G32" s="33">
        <f>'Monthly Data'!BS32</f>
        <v>31</v>
      </c>
      <c r="H32" s="33">
        <f>'Monthly Data'!BO32</f>
        <v>0</v>
      </c>
      <c r="I32" s="33">
        <f>'Monthly Data'!BT32</f>
        <v>31</v>
      </c>
      <c r="J32" s="13">
        <f>'Monthly Data'!AK32</f>
        <v>58.799999999999727</v>
      </c>
      <c r="L32" s="18">
        <f>'GS&gt;50 Predicted Monthly'!$X$10</f>
        <v>12654537.4440873</v>
      </c>
      <c r="M32" s="18">
        <f ca="1">E32*'GS&gt;50 Predicted Monthly'!$X$11</f>
        <v>0</v>
      </c>
      <c r="N32" s="18">
        <f ca="1">F32*'GS&gt;50 Predicted Monthly'!$X$12</f>
        <v>12556891.933709616</v>
      </c>
      <c r="O32" s="18">
        <f>G32*'GS&gt;50 Predicted Monthly'!$X$13</f>
        <v>-2062204.2898700307</v>
      </c>
      <c r="P32" s="18">
        <f>H32*'GS&gt;50 Predicted Monthly'!$X$14</f>
        <v>0</v>
      </c>
      <c r="Q32" s="18">
        <f>I32*'GS&gt;50 Predicted Monthly'!$X$15</f>
        <v>59070853.247044139</v>
      </c>
      <c r="R32" s="18">
        <f>J32*'GS&gt;50 Predicted Monthly'!$X$16</f>
        <v>411999.73713418085</v>
      </c>
      <c r="S32" s="18">
        <f t="shared" ca="1" si="4"/>
        <v>82632078.072105199</v>
      </c>
    </row>
    <row r="33" spans="1:19" x14ac:dyDescent="0.2">
      <c r="A33" s="9">
        <f>'Monthly Data'!A33</f>
        <v>42948</v>
      </c>
      <c r="B33">
        <f t="shared" si="1"/>
        <v>2017</v>
      </c>
      <c r="C33">
        <f t="shared" si="2"/>
        <v>8</v>
      </c>
      <c r="D33" s="30">
        <f>'Monthly Data'!N33</f>
        <v>80742066.772985116</v>
      </c>
      <c r="E33" s="33">
        <f t="shared" ref="E33:F33" ca="1" si="23">E21</f>
        <v>0</v>
      </c>
      <c r="F33" s="33">
        <f t="shared" ca="1" si="23"/>
        <v>246.315</v>
      </c>
      <c r="G33" s="33">
        <f>'Monthly Data'!BS33</f>
        <v>32</v>
      </c>
      <c r="H33" s="33">
        <f>'Monthly Data'!BO33</f>
        <v>0</v>
      </c>
      <c r="I33" s="33">
        <f>'Monthly Data'!BT33</f>
        <v>31</v>
      </c>
      <c r="J33" s="13">
        <f>'Monthly Data'!AK33</f>
        <v>61</v>
      </c>
      <c r="L33" s="18">
        <f>'GS&gt;50 Predicted Monthly'!$X$10</f>
        <v>12654537.4440873</v>
      </c>
      <c r="M33" s="18">
        <f ca="1">E33*'GS&gt;50 Predicted Monthly'!$X$11</f>
        <v>0</v>
      </c>
      <c r="N33" s="18">
        <f ca="1">F33*'GS&gt;50 Predicted Monthly'!$X$12</f>
        <v>11555089.612775749</v>
      </c>
      <c r="O33" s="18">
        <f>G33*'GS&gt;50 Predicted Monthly'!$X$13</f>
        <v>-2128727.0088980962</v>
      </c>
      <c r="P33" s="18">
        <f>H33*'GS&gt;50 Predicted Monthly'!$X$14</f>
        <v>0</v>
      </c>
      <c r="Q33" s="18">
        <f>I33*'GS&gt;50 Predicted Monthly'!$X$15</f>
        <v>59070853.247044139</v>
      </c>
      <c r="R33" s="18">
        <f>J33*'GS&gt;50 Predicted Monthly'!$X$16</f>
        <v>427414.69328546175</v>
      </c>
      <c r="S33" s="18">
        <f t="shared" ca="1" si="4"/>
        <v>81579167.988294557</v>
      </c>
    </row>
    <row r="34" spans="1:19" x14ac:dyDescent="0.2">
      <c r="A34" s="9">
        <f>'Monthly Data'!A34</f>
        <v>42979</v>
      </c>
      <c r="B34">
        <f t="shared" si="1"/>
        <v>2017</v>
      </c>
      <c r="C34">
        <f t="shared" si="2"/>
        <v>9</v>
      </c>
      <c r="D34" s="30">
        <f>'Monthly Data'!N34</f>
        <v>76743976.663753822</v>
      </c>
      <c r="E34" s="33">
        <f t="shared" ref="E34:F34" ca="1" si="24">E22</f>
        <v>0</v>
      </c>
      <c r="F34" s="33">
        <f t="shared" ca="1" si="24"/>
        <v>146.80000000000001</v>
      </c>
      <c r="G34" s="33">
        <f>'Monthly Data'!BS34</f>
        <v>33</v>
      </c>
      <c r="H34" s="33">
        <f>'Monthly Data'!BO34</f>
        <v>0</v>
      </c>
      <c r="I34" s="33">
        <f>'Monthly Data'!BT34</f>
        <v>30</v>
      </c>
      <c r="J34" s="13">
        <f>'Monthly Data'!AK34</f>
        <v>83.900000000000091</v>
      </c>
      <c r="L34" s="18">
        <f>'GS&gt;50 Predicted Monthly'!$X$10</f>
        <v>12654537.4440873</v>
      </c>
      <c r="M34" s="18">
        <f ca="1">E34*'GS&gt;50 Predicted Monthly'!$X$11</f>
        <v>0</v>
      </c>
      <c r="N34" s="18">
        <f ca="1">F34*'GS&gt;50 Predicted Monthly'!$X$12</f>
        <v>6886657.9589366456</v>
      </c>
      <c r="O34" s="18">
        <f>G34*'GS&gt;50 Predicted Monthly'!$X$13</f>
        <v>-2195249.7279261616</v>
      </c>
      <c r="P34" s="18">
        <f>H34*'GS&gt;50 Predicted Monthly'!$X$14</f>
        <v>0</v>
      </c>
      <c r="Q34" s="18">
        <f>I34*'GS&gt;50 Predicted Monthly'!$X$15</f>
        <v>57165341.851978198</v>
      </c>
      <c r="R34" s="18">
        <f>J34*'GS&gt;50 Predicted Monthly'!$X$16</f>
        <v>587870.37322377507</v>
      </c>
      <c r="S34" s="18">
        <f t="shared" ca="1" si="4"/>
        <v>75099157.900299758</v>
      </c>
    </row>
    <row r="35" spans="1:19" x14ac:dyDescent="0.2">
      <c r="A35" s="9">
        <f>'Monthly Data'!A35</f>
        <v>43009</v>
      </c>
      <c r="B35">
        <f t="shared" si="1"/>
        <v>2017</v>
      </c>
      <c r="C35">
        <f t="shared" si="2"/>
        <v>10</v>
      </c>
      <c r="D35" s="30">
        <f>'Monthly Data'!N35</f>
        <v>74943627.554522514</v>
      </c>
      <c r="E35" s="33">
        <f t="shared" ref="E35:F35" ca="1" si="25">E23</f>
        <v>23.589999999999996</v>
      </c>
      <c r="F35" s="33">
        <f t="shared" ca="1" si="25"/>
        <v>36.859999999999992</v>
      </c>
      <c r="G35" s="33">
        <f>'Monthly Data'!BS35</f>
        <v>34</v>
      </c>
      <c r="H35" s="33">
        <f>'Monthly Data'!BO35</f>
        <v>0</v>
      </c>
      <c r="I35" s="33">
        <f>'Monthly Data'!BT35</f>
        <v>31</v>
      </c>
      <c r="J35" s="13">
        <f>'Monthly Data'!AK35</f>
        <v>108.69999999999982</v>
      </c>
      <c r="L35" s="18">
        <f>'GS&gt;50 Predicted Monthly'!$X$10</f>
        <v>12654537.4440873</v>
      </c>
      <c r="M35" s="18">
        <f ca="1">E35*'GS&gt;50 Predicted Monthly'!$X$11</f>
        <v>430181.09405223833</v>
      </c>
      <c r="N35" s="18">
        <f ca="1">F35*'GS&gt;50 Predicted Monthly'!$X$12</f>
        <v>1729170.3839673344</v>
      </c>
      <c r="O35" s="18">
        <f>G35*'GS&gt;50 Predicted Monthly'!$X$13</f>
        <v>-2261772.4469542271</v>
      </c>
      <c r="P35" s="18">
        <f>H35*'GS&gt;50 Predicted Monthly'!$X$14</f>
        <v>0</v>
      </c>
      <c r="Q35" s="18">
        <f>I35*'GS&gt;50 Predicted Monthly'!$X$15</f>
        <v>59070853.247044139</v>
      </c>
      <c r="R35" s="18">
        <f>J35*'GS&gt;50 Predicted Monthly'!$X$16</f>
        <v>761638.96983819036</v>
      </c>
      <c r="S35" s="18">
        <f t="shared" ca="1" si="4"/>
        <v>72384608.692034975</v>
      </c>
    </row>
    <row r="36" spans="1:19" x14ac:dyDescent="0.2">
      <c r="A36" s="9">
        <f>'Monthly Data'!A36</f>
        <v>43040</v>
      </c>
      <c r="B36">
        <f t="shared" si="1"/>
        <v>2017</v>
      </c>
      <c r="C36">
        <f t="shared" si="2"/>
        <v>11</v>
      </c>
      <c r="D36" s="30">
        <f>'Monthly Data'!N36</f>
        <v>73430363.445291221</v>
      </c>
      <c r="E36" s="33">
        <f t="shared" ref="E36:F36" ca="1" si="26">E24</f>
        <v>134.25000000000003</v>
      </c>
      <c r="F36" s="33">
        <f t="shared" ca="1" si="26"/>
        <v>3.410000000000001</v>
      </c>
      <c r="G36" s="33">
        <f>'Monthly Data'!BS36</f>
        <v>35</v>
      </c>
      <c r="H36" s="33">
        <f>'Monthly Data'!BO36</f>
        <v>0</v>
      </c>
      <c r="I36" s="33">
        <f>'Monthly Data'!BT36</f>
        <v>30</v>
      </c>
      <c r="J36" s="13">
        <f>'Monthly Data'!AK36</f>
        <v>125.5</v>
      </c>
      <c r="L36" s="18">
        <f>'GS&gt;50 Predicted Monthly'!$X$10</f>
        <v>12654537.4440873</v>
      </c>
      <c r="M36" s="18">
        <f ca="1">E36*'GS&gt;50 Predicted Monthly'!$X$11</f>
        <v>2448148.023591056</v>
      </c>
      <c r="N36" s="18">
        <f ca="1">F36*'GS&gt;50 Predicted Monthly'!$X$12</f>
        <v>159969.37084450931</v>
      </c>
      <c r="O36" s="18">
        <f>G36*'GS&gt;50 Predicted Monthly'!$X$13</f>
        <v>-2328295.1659822925</v>
      </c>
      <c r="P36" s="18">
        <f>H36*'GS&gt;50 Predicted Monthly'!$X$14</f>
        <v>0</v>
      </c>
      <c r="Q36" s="18">
        <f>I36*'GS&gt;50 Predicted Monthly'!$X$15</f>
        <v>57165341.851978198</v>
      </c>
      <c r="R36" s="18">
        <f>J36*'GS&gt;50 Predicted Monthly'!$X$16</f>
        <v>879353.18044795818</v>
      </c>
      <c r="S36" s="18">
        <f t="shared" ca="1" si="4"/>
        <v>70979054.704966724</v>
      </c>
    </row>
    <row r="37" spans="1:19" x14ac:dyDescent="0.2">
      <c r="A37" s="9">
        <f>'Monthly Data'!A37</f>
        <v>43070</v>
      </c>
      <c r="B37">
        <f t="shared" si="1"/>
        <v>2017</v>
      </c>
      <c r="C37">
        <f t="shared" si="2"/>
        <v>12</v>
      </c>
      <c r="D37" s="30">
        <f>'Monthly Data'!N37</f>
        <v>74717172.336059913</v>
      </c>
      <c r="E37" s="33">
        <f t="shared" ref="E37:F37" ca="1" si="27">E25</f>
        <v>262.99</v>
      </c>
      <c r="F37" s="33">
        <f t="shared" ca="1" si="27"/>
        <v>0</v>
      </c>
      <c r="G37" s="33">
        <f>'Monthly Data'!BS37</f>
        <v>36</v>
      </c>
      <c r="H37" s="33">
        <f>'Monthly Data'!BO37</f>
        <v>1</v>
      </c>
      <c r="I37" s="33">
        <f>'Monthly Data'!BT37</f>
        <v>31</v>
      </c>
      <c r="J37" s="13">
        <f>'Monthly Data'!AK37</f>
        <v>143</v>
      </c>
      <c r="L37" s="18">
        <f>'GS&gt;50 Predicted Monthly'!$X$10</f>
        <v>12654537.4440873</v>
      </c>
      <c r="M37" s="18">
        <f ca="1">E37*'GS&gt;50 Predicted Monthly'!$X$11</f>
        <v>4795817.1227129363</v>
      </c>
      <c r="N37" s="18">
        <f ca="1">F37*'GS&gt;50 Predicted Monthly'!$X$12</f>
        <v>0</v>
      </c>
      <c r="O37" s="18">
        <f>G37*'GS&gt;50 Predicted Monthly'!$X$13</f>
        <v>-2394817.8850103579</v>
      </c>
      <c r="P37" s="18">
        <f>H37*'GS&gt;50 Predicted Monthly'!$X$14</f>
        <v>-2455659.1490839599</v>
      </c>
      <c r="Q37" s="18">
        <f>I37*'GS&gt;50 Predicted Monthly'!$X$15</f>
        <v>59070853.247044139</v>
      </c>
      <c r="R37" s="18">
        <f>J37*'GS&gt;50 Predicted Monthly'!$X$16</f>
        <v>1001972.1498331316</v>
      </c>
      <c r="S37" s="18">
        <f t="shared" ca="1" si="4"/>
        <v>72672702.929583177</v>
      </c>
    </row>
    <row r="38" spans="1:19" x14ac:dyDescent="0.2">
      <c r="A38" s="9">
        <f>'Monthly Data'!A38</f>
        <v>43101</v>
      </c>
      <c r="B38">
        <f t="shared" si="1"/>
        <v>2018</v>
      </c>
      <c r="C38">
        <f t="shared" si="2"/>
        <v>1</v>
      </c>
      <c r="D38" s="30">
        <f>'Monthly Data'!N38</f>
        <v>79618055.13230744</v>
      </c>
      <c r="E38" s="33">
        <f t="shared" ref="E38:F38" ca="1" si="28">E26</f>
        <v>384.56000000000006</v>
      </c>
      <c r="F38" s="33">
        <f t="shared" ca="1" si="28"/>
        <v>0</v>
      </c>
      <c r="G38" s="33">
        <f>'Monthly Data'!BS38</f>
        <v>37</v>
      </c>
      <c r="H38" s="33">
        <f>'Monthly Data'!BO38</f>
        <v>0</v>
      </c>
      <c r="I38" s="33">
        <f>'Monthly Data'!BT38</f>
        <v>31</v>
      </c>
      <c r="J38" s="13">
        <f>'Monthly Data'!AK38</f>
        <v>137.80000000000018</v>
      </c>
      <c r="L38" s="18">
        <f>'GS&gt;50 Predicted Monthly'!$X$10</f>
        <v>12654537.4440873</v>
      </c>
      <c r="M38" s="18">
        <f ca="1">E38*'GS&gt;50 Predicted Monthly'!$X$11</f>
        <v>7012735.9698486142</v>
      </c>
      <c r="N38" s="18">
        <f ca="1">F38*'GS&gt;50 Predicted Monthly'!$X$12</f>
        <v>0</v>
      </c>
      <c r="O38" s="18">
        <f>G38*'GS&gt;50 Predicted Monthly'!$X$13</f>
        <v>-2461340.6040384239</v>
      </c>
      <c r="P38" s="18">
        <f>H38*'GS&gt;50 Predicted Monthly'!$X$14</f>
        <v>0</v>
      </c>
      <c r="Q38" s="18">
        <f>I38*'GS&gt;50 Predicted Monthly'!$X$15</f>
        <v>59070853.247044139</v>
      </c>
      <c r="R38" s="18">
        <f>J38*'GS&gt;50 Predicted Monthly'!$X$16</f>
        <v>965536.79893010994</v>
      </c>
      <c r="S38" s="18">
        <f t="shared" ca="1" si="4"/>
        <v>77242322.855871737</v>
      </c>
    </row>
    <row r="39" spans="1:19" x14ac:dyDescent="0.2">
      <c r="A39" s="9">
        <f>'Monthly Data'!A39</f>
        <v>43132</v>
      </c>
      <c r="B39">
        <f t="shared" si="1"/>
        <v>2018</v>
      </c>
      <c r="C39">
        <f t="shared" si="2"/>
        <v>2</v>
      </c>
      <c r="D39" s="30">
        <f>'Monthly Data'!N39</f>
        <v>70553686.891704157</v>
      </c>
      <c r="E39" s="33">
        <f t="shared" ref="E39:F39" ca="1" si="29">E27</f>
        <v>338.02</v>
      </c>
      <c r="F39" s="33">
        <f t="shared" ca="1" si="29"/>
        <v>0</v>
      </c>
      <c r="G39" s="33">
        <f>'Monthly Data'!BS39</f>
        <v>38</v>
      </c>
      <c r="H39" s="33">
        <f>'Monthly Data'!BO39</f>
        <v>0</v>
      </c>
      <c r="I39" s="33">
        <f>'Monthly Data'!BT39</f>
        <v>28</v>
      </c>
      <c r="J39" s="13">
        <f>'Monthly Data'!AK39</f>
        <v>127.29999999999973</v>
      </c>
      <c r="L39" s="18">
        <f>'GS&gt;50 Predicted Monthly'!$X$10</f>
        <v>12654537.4440873</v>
      </c>
      <c r="M39" s="18">
        <f ca="1">E39*'GS&gt;50 Predicted Monthly'!$X$11</f>
        <v>6164044.6550037134</v>
      </c>
      <c r="N39" s="18">
        <f ca="1">F39*'GS&gt;50 Predicted Monthly'!$X$12</f>
        <v>0</v>
      </c>
      <c r="O39" s="18">
        <f>G39*'GS&gt;50 Predicted Monthly'!$X$13</f>
        <v>-2527863.3230664893</v>
      </c>
      <c r="P39" s="18">
        <f>H39*'GS&gt;50 Predicted Monthly'!$X$14</f>
        <v>0</v>
      </c>
      <c r="Q39" s="18">
        <f>I39*'GS&gt;50 Predicted Monthly'!$X$15</f>
        <v>53354319.061846316</v>
      </c>
      <c r="R39" s="18">
        <f>J39*'GS&gt;50 Predicted Monthly'!$X$16</f>
        <v>891965.41729900264</v>
      </c>
      <c r="S39" s="18">
        <f t="shared" ca="1" si="4"/>
        <v>70537003.255169839</v>
      </c>
    </row>
    <row r="40" spans="1:19" x14ac:dyDescent="0.2">
      <c r="A40" s="9">
        <f>'Monthly Data'!A40</f>
        <v>43160</v>
      </c>
      <c r="B40">
        <f t="shared" si="1"/>
        <v>2018</v>
      </c>
      <c r="C40">
        <f t="shared" si="2"/>
        <v>3</v>
      </c>
      <c r="D40" s="30">
        <f>'Monthly Data'!N40</f>
        <v>76019363.651100874</v>
      </c>
      <c r="E40" s="33">
        <f t="shared" ref="E40:F40" ca="1" si="30">E28</f>
        <v>252.67</v>
      </c>
      <c r="F40" s="33">
        <f t="shared" ca="1" si="30"/>
        <v>0</v>
      </c>
      <c r="G40" s="33">
        <f>'Monthly Data'!BS40</f>
        <v>39</v>
      </c>
      <c r="H40" s="33">
        <f>'Monthly Data'!BO40</f>
        <v>0</v>
      </c>
      <c r="I40" s="33">
        <f>'Monthly Data'!BT40</f>
        <v>31</v>
      </c>
      <c r="J40" s="13">
        <f>'Monthly Data'!AK40</f>
        <v>105.79999999999973</v>
      </c>
      <c r="L40" s="18">
        <f>'GS&gt;50 Predicted Monthly'!$X$10</f>
        <v>12654537.4440873</v>
      </c>
      <c r="M40" s="18">
        <f ca="1">E40*'GS&gt;50 Predicted Monthly'!$X$11</f>
        <v>4607624.2914022496</v>
      </c>
      <c r="N40" s="18">
        <f ca="1">F40*'GS&gt;50 Predicted Monthly'!$X$12</f>
        <v>0</v>
      </c>
      <c r="O40" s="18">
        <f>G40*'GS&gt;50 Predicted Monthly'!$X$13</f>
        <v>-2594386.0420945548</v>
      </c>
      <c r="P40" s="18">
        <f>H40*'GS&gt;50 Predicted Monthly'!$X$14</f>
        <v>0</v>
      </c>
      <c r="Q40" s="18">
        <f>I40*'GS&gt;50 Predicted Monthly'!$X$15</f>
        <v>59070853.247044139</v>
      </c>
      <c r="R40" s="18">
        <f>J40*'GS&gt;50 Predicted Monthly'!$X$16</f>
        <v>741319.25491150387</v>
      </c>
      <c r="S40" s="18">
        <f t="shared" ca="1" si="4"/>
        <v>74479948.195350632</v>
      </c>
    </row>
    <row r="41" spans="1:19" x14ac:dyDescent="0.2">
      <c r="A41" s="9">
        <f>'Monthly Data'!A41</f>
        <v>43191</v>
      </c>
      <c r="B41">
        <f t="shared" si="1"/>
        <v>2018</v>
      </c>
      <c r="C41">
        <f t="shared" si="2"/>
        <v>4</v>
      </c>
      <c r="D41" s="30">
        <f>'Monthly Data'!N41</f>
        <v>72504561.410497591</v>
      </c>
      <c r="E41" s="33">
        <f t="shared" ref="E41:F41" ca="1" si="31">E29</f>
        <v>112.07000000000001</v>
      </c>
      <c r="F41" s="33">
        <f t="shared" ca="1" si="31"/>
        <v>2.6300000000000003</v>
      </c>
      <c r="G41" s="33">
        <f>'Monthly Data'!BS41</f>
        <v>40</v>
      </c>
      <c r="H41" s="33">
        <f>'Monthly Data'!BO41</f>
        <v>0</v>
      </c>
      <c r="I41" s="33">
        <f>'Monthly Data'!BT41</f>
        <v>30</v>
      </c>
      <c r="J41" s="13">
        <f>'Monthly Data'!AK41</f>
        <v>87.599999999999909</v>
      </c>
      <c r="L41" s="18">
        <f>'GS&gt;50 Predicted Monthly'!$X$10</f>
        <v>12654537.4440873</v>
      </c>
      <c r="M41" s="18">
        <f ca="1">E41*'GS&gt;50 Predicted Monthly'!$X$11</f>
        <v>2043679.3221888239</v>
      </c>
      <c r="N41" s="18">
        <f ca="1">F41*'GS&gt;50 Predicted Monthly'!$X$12</f>
        <v>123378.13645778869</v>
      </c>
      <c r="O41" s="18">
        <f>G41*'GS&gt;50 Predicted Monthly'!$X$13</f>
        <v>-2660908.7611226202</v>
      </c>
      <c r="P41" s="18">
        <f>H41*'GS&gt;50 Predicted Monthly'!$X$14</f>
        <v>0</v>
      </c>
      <c r="Q41" s="18">
        <f>I41*'GS&gt;50 Predicted Monthly'!$X$15</f>
        <v>57165341.851978198</v>
      </c>
      <c r="R41" s="18">
        <f>J41*'GS&gt;50 Predicted Monthly'!$X$16</f>
        <v>613795.52675092476</v>
      </c>
      <c r="S41" s="18">
        <f t="shared" ca="1" si="4"/>
        <v>69939823.520340413</v>
      </c>
    </row>
    <row r="42" spans="1:19" x14ac:dyDescent="0.2">
      <c r="A42" s="9">
        <f>'Monthly Data'!A42</f>
        <v>43221</v>
      </c>
      <c r="B42">
        <f t="shared" si="1"/>
        <v>2018</v>
      </c>
      <c r="C42">
        <f t="shared" si="2"/>
        <v>5</v>
      </c>
      <c r="D42" s="30">
        <f>'Monthly Data'!N42</f>
        <v>75108611.169894308</v>
      </c>
      <c r="E42" s="33">
        <f t="shared" ref="E42:F42" ca="1" si="32">E30</f>
        <v>19.18</v>
      </c>
      <c r="F42" s="33">
        <f t="shared" ca="1" si="32"/>
        <v>50.489999999999995</v>
      </c>
      <c r="G42" s="33">
        <f>'Monthly Data'!BS42</f>
        <v>41</v>
      </c>
      <c r="H42" s="33">
        <f>'Monthly Data'!BO42</f>
        <v>0</v>
      </c>
      <c r="I42" s="33">
        <f>'Monthly Data'!BT42</f>
        <v>31</v>
      </c>
      <c r="J42" s="13">
        <f>'Monthly Data'!AK42</f>
        <v>69</v>
      </c>
      <c r="L42" s="18">
        <f>'GS&gt;50 Predicted Monthly'!$X$10</f>
        <v>12654537.4440873</v>
      </c>
      <c r="M42" s="18">
        <f ca="1">E42*'GS&gt;50 Predicted Monthly'!$X$11</f>
        <v>349761.48299796233</v>
      </c>
      <c r="N42" s="18">
        <f ca="1">F42*'GS&gt;50 Predicted Monthly'!$X$12</f>
        <v>2368578.7489557983</v>
      </c>
      <c r="O42" s="18">
        <f>G42*'GS&gt;50 Predicted Monthly'!$X$13</f>
        <v>-2727431.4801506856</v>
      </c>
      <c r="P42" s="18">
        <f>H42*'GS&gt;50 Predicted Monthly'!$X$14</f>
        <v>0</v>
      </c>
      <c r="Q42" s="18">
        <f>I42*'GS&gt;50 Predicted Monthly'!$X$15</f>
        <v>59070853.247044139</v>
      </c>
      <c r="R42" s="18">
        <f>J42*'GS&gt;50 Predicted Monthly'!$X$16</f>
        <v>483469.07929011242</v>
      </c>
      <c r="S42" s="18">
        <f t="shared" ca="1" si="4"/>
        <v>72199768.52222462</v>
      </c>
    </row>
    <row r="43" spans="1:19" x14ac:dyDescent="0.2">
      <c r="A43" s="9">
        <f>'Monthly Data'!A43</f>
        <v>43252</v>
      </c>
      <c r="B43">
        <f t="shared" si="1"/>
        <v>2018</v>
      </c>
      <c r="C43">
        <f t="shared" si="2"/>
        <v>6</v>
      </c>
      <c r="D43" s="30">
        <f>'Monthly Data'!N43</f>
        <v>76769190.929291025</v>
      </c>
      <c r="E43" s="33">
        <f t="shared" ref="E43:F43" ca="1" si="33">E31</f>
        <v>0</v>
      </c>
      <c r="F43" s="33">
        <f t="shared" ca="1" si="33"/>
        <v>154.05000000000001</v>
      </c>
      <c r="G43" s="33">
        <f>'Monthly Data'!BS43</f>
        <v>42</v>
      </c>
      <c r="H43" s="33">
        <f>'Monthly Data'!BO43</f>
        <v>0</v>
      </c>
      <c r="I43" s="33">
        <f>'Monthly Data'!BT43</f>
        <v>30</v>
      </c>
      <c r="J43" s="13">
        <f>'Monthly Data'!AK43</f>
        <v>66.5</v>
      </c>
      <c r="L43" s="18">
        <f>'GS&gt;50 Predicted Monthly'!$X$10</f>
        <v>12654537.4440873</v>
      </c>
      <c r="M43" s="18">
        <f ca="1">E43*'GS&gt;50 Predicted Monthly'!$X$11</f>
        <v>0</v>
      </c>
      <c r="N43" s="18">
        <f ca="1">F43*'GS&gt;50 Predicted Monthly'!$X$12</f>
        <v>7226768.7913773181</v>
      </c>
      <c r="O43" s="18">
        <f>G43*'GS&gt;50 Predicted Monthly'!$X$13</f>
        <v>-2793954.1991787511</v>
      </c>
      <c r="P43" s="18">
        <f>H43*'GS&gt;50 Predicted Monthly'!$X$14</f>
        <v>0</v>
      </c>
      <c r="Q43" s="18">
        <f>I43*'GS&gt;50 Predicted Monthly'!$X$15</f>
        <v>57165341.851978198</v>
      </c>
      <c r="R43" s="18">
        <f>J43*'GS&gt;50 Predicted Monthly'!$X$16</f>
        <v>465952.08366365911</v>
      </c>
      <c r="S43" s="18">
        <f t="shared" ca="1" si="4"/>
        <v>74718645.971927717</v>
      </c>
    </row>
    <row r="44" spans="1:19" x14ac:dyDescent="0.2">
      <c r="A44" s="9">
        <f>'Monthly Data'!A44</f>
        <v>43282</v>
      </c>
      <c r="B44">
        <f t="shared" si="1"/>
        <v>2018</v>
      </c>
      <c r="C44">
        <f t="shared" si="2"/>
        <v>7</v>
      </c>
      <c r="D44" s="30">
        <f>'Monthly Data'!N44</f>
        <v>82170576.688687727</v>
      </c>
      <c r="E44" s="33">
        <f t="shared" ref="E44:F44" ca="1" si="34">E32</f>
        <v>0</v>
      </c>
      <c r="F44" s="33">
        <f t="shared" ca="1" si="34"/>
        <v>267.66999999999996</v>
      </c>
      <c r="G44" s="33">
        <f>'Monthly Data'!BS44</f>
        <v>43</v>
      </c>
      <c r="H44" s="33">
        <f>'Monthly Data'!BO44</f>
        <v>0</v>
      </c>
      <c r="I44" s="33">
        <f>'Monthly Data'!BT44</f>
        <v>31</v>
      </c>
      <c r="J44" s="13">
        <f>'Monthly Data'!AK44</f>
        <v>78.800000000000182</v>
      </c>
      <c r="L44" s="18">
        <f>'GS&gt;50 Predicted Monthly'!$X$10</f>
        <v>12654537.4440873</v>
      </c>
      <c r="M44" s="18">
        <f ca="1">E44*'GS&gt;50 Predicted Monthly'!$X$11</f>
        <v>0</v>
      </c>
      <c r="N44" s="18">
        <f ca="1">F44*'GS&gt;50 Predicted Monthly'!$X$12</f>
        <v>12556891.933709616</v>
      </c>
      <c r="O44" s="18">
        <f>G44*'GS&gt;50 Predicted Monthly'!$X$13</f>
        <v>-2860476.9182068165</v>
      </c>
      <c r="P44" s="18">
        <f>H44*'GS&gt;50 Predicted Monthly'!$X$14</f>
        <v>0</v>
      </c>
      <c r="Q44" s="18">
        <f>I44*'GS&gt;50 Predicted Monthly'!$X$15</f>
        <v>59070853.247044139</v>
      </c>
      <c r="R44" s="18">
        <f>J44*'GS&gt;50 Predicted Monthly'!$X$16</f>
        <v>552135.70214581082</v>
      </c>
      <c r="S44" s="18">
        <f t="shared" ca="1" si="4"/>
        <v>81973941.408780053</v>
      </c>
    </row>
    <row r="45" spans="1:19" x14ac:dyDescent="0.2">
      <c r="A45" s="9">
        <f>'Monthly Data'!A45</f>
        <v>43313</v>
      </c>
      <c r="B45">
        <f t="shared" si="1"/>
        <v>2018</v>
      </c>
      <c r="C45">
        <f t="shared" si="2"/>
        <v>8</v>
      </c>
      <c r="D45" s="30">
        <f>'Monthly Data'!N45</f>
        <v>82374458.448084444</v>
      </c>
      <c r="E45" s="33">
        <f t="shared" ref="E45:F45" ca="1" si="35">E33</f>
        <v>0</v>
      </c>
      <c r="F45" s="33">
        <f t="shared" ca="1" si="35"/>
        <v>246.315</v>
      </c>
      <c r="G45" s="33">
        <f>'Monthly Data'!BS45</f>
        <v>44</v>
      </c>
      <c r="H45" s="33">
        <f>'Monthly Data'!BO45</f>
        <v>0</v>
      </c>
      <c r="I45" s="33">
        <f>'Monthly Data'!BT45</f>
        <v>31</v>
      </c>
      <c r="J45" s="13">
        <f>'Monthly Data'!AK45</f>
        <v>80.900000000000091</v>
      </c>
      <c r="L45" s="18">
        <f>'GS&gt;50 Predicted Monthly'!$X$10</f>
        <v>12654537.4440873</v>
      </c>
      <c r="M45" s="18">
        <f ca="1">E45*'GS&gt;50 Predicted Monthly'!$X$11</f>
        <v>0</v>
      </c>
      <c r="N45" s="18">
        <f ca="1">F45*'GS&gt;50 Predicted Monthly'!$X$12</f>
        <v>11555089.612775749</v>
      </c>
      <c r="O45" s="18">
        <f>G45*'GS&gt;50 Predicted Monthly'!$X$13</f>
        <v>-2926999.6372348825</v>
      </c>
      <c r="P45" s="18">
        <f>H45*'GS&gt;50 Predicted Monthly'!$X$14</f>
        <v>0</v>
      </c>
      <c r="Q45" s="18">
        <f>I45*'GS&gt;50 Predicted Monthly'!$X$15</f>
        <v>59070853.247044139</v>
      </c>
      <c r="R45" s="18">
        <f>J45*'GS&gt;50 Predicted Monthly'!$X$16</f>
        <v>566849.97847203107</v>
      </c>
      <c r="S45" s="18">
        <f t="shared" ca="1" si="4"/>
        <v>80920330.645144328</v>
      </c>
    </row>
    <row r="46" spans="1:19" x14ac:dyDescent="0.2">
      <c r="A46" s="9">
        <f>'Monthly Data'!A46</f>
        <v>43344</v>
      </c>
      <c r="B46">
        <f t="shared" si="1"/>
        <v>2018</v>
      </c>
      <c r="C46">
        <f t="shared" si="2"/>
        <v>9</v>
      </c>
      <c r="D46" s="30">
        <f>'Monthly Data'!N46</f>
        <v>74890624.207481161</v>
      </c>
      <c r="E46" s="33">
        <f t="shared" ref="E46:F46" ca="1" si="36">E34</f>
        <v>0</v>
      </c>
      <c r="F46" s="33">
        <f t="shared" ca="1" si="36"/>
        <v>146.80000000000001</v>
      </c>
      <c r="G46" s="33">
        <f>'Monthly Data'!BS46</f>
        <v>45</v>
      </c>
      <c r="H46" s="33">
        <f>'Monthly Data'!BO46</f>
        <v>0</v>
      </c>
      <c r="I46" s="33">
        <f>'Monthly Data'!BT46</f>
        <v>30</v>
      </c>
      <c r="J46" s="13">
        <f>'Monthly Data'!AK46</f>
        <v>60.299999999999727</v>
      </c>
      <c r="L46" s="18">
        <f>'GS&gt;50 Predicted Monthly'!$X$10</f>
        <v>12654537.4440873</v>
      </c>
      <c r="M46" s="18">
        <f ca="1">E46*'GS&gt;50 Predicted Monthly'!$X$11</f>
        <v>0</v>
      </c>
      <c r="N46" s="18">
        <f ca="1">F46*'GS&gt;50 Predicted Monthly'!$X$12</f>
        <v>6886657.9589366456</v>
      </c>
      <c r="O46" s="18">
        <f>G46*'GS&gt;50 Predicted Monthly'!$X$13</f>
        <v>-2993522.3562629479</v>
      </c>
      <c r="P46" s="18">
        <f>H46*'GS&gt;50 Predicted Monthly'!$X$14</f>
        <v>0</v>
      </c>
      <c r="Q46" s="18">
        <f>I46*'GS&gt;50 Predicted Monthly'!$X$15</f>
        <v>57165341.851978198</v>
      </c>
      <c r="R46" s="18">
        <f>J46*'GS&gt;50 Predicted Monthly'!$X$16</f>
        <v>422509.9345100529</v>
      </c>
      <c r="S46" s="18">
        <f t="shared" ca="1" si="4"/>
        <v>74135524.833249241</v>
      </c>
    </row>
    <row r="47" spans="1:19" x14ac:dyDescent="0.2">
      <c r="A47" s="9">
        <f>'Monthly Data'!A47</f>
        <v>43374</v>
      </c>
      <c r="B47">
        <f t="shared" si="1"/>
        <v>2018</v>
      </c>
      <c r="C47">
        <f t="shared" si="2"/>
        <v>10</v>
      </c>
      <c r="D47" s="30">
        <f>'Monthly Data'!N47</f>
        <v>71126370.966877878</v>
      </c>
      <c r="E47" s="33">
        <f t="shared" ref="E47:F47" ca="1" si="37">E35</f>
        <v>23.589999999999996</v>
      </c>
      <c r="F47" s="33">
        <f t="shared" ca="1" si="37"/>
        <v>36.859999999999992</v>
      </c>
      <c r="G47" s="33">
        <f>'Monthly Data'!BS47</f>
        <v>46</v>
      </c>
      <c r="H47" s="33">
        <f>'Monthly Data'!BO47</f>
        <v>0</v>
      </c>
      <c r="I47" s="33">
        <f>'Monthly Data'!BT47</f>
        <v>31</v>
      </c>
      <c r="J47" s="13">
        <f>'Monthly Data'!AK47</f>
        <v>40</v>
      </c>
      <c r="L47" s="18">
        <f>'GS&gt;50 Predicted Monthly'!$X$10</f>
        <v>12654537.4440873</v>
      </c>
      <c r="M47" s="18">
        <f ca="1">E47*'GS&gt;50 Predicted Monthly'!$X$11</f>
        <v>430181.09405223833</v>
      </c>
      <c r="N47" s="18">
        <f ca="1">F47*'GS&gt;50 Predicted Monthly'!$X$12</f>
        <v>1729170.3839673344</v>
      </c>
      <c r="O47" s="18">
        <f>G47*'GS&gt;50 Predicted Monthly'!$X$13</f>
        <v>-3060045.0752910133</v>
      </c>
      <c r="P47" s="18">
        <f>H47*'GS&gt;50 Predicted Monthly'!$X$14</f>
        <v>0</v>
      </c>
      <c r="Q47" s="18">
        <f>I47*'GS&gt;50 Predicted Monthly'!$X$15</f>
        <v>59070853.247044139</v>
      </c>
      <c r="R47" s="18">
        <f>J47*'GS&gt;50 Predicted Monthly'!$X$16</f>
        <v>280271.9300232536</v>
      </c>
      <c r="S47" s="18">
        <f t="shared" ca="1" si="4"/>
        <v>71104969.023883253</v>
      </c>
    </row>
    <row r="48" spans="1:19" x14ac:dyDescent="0.2">
      <c r="A48" s="9">
        <f>'Monthly Data'!A48</f>
        <v>43405</v>
      </c>
      <c r="B48">
        <f t="shared" si="1"/>
        <v>2018</v>
      </c>
      <c r="C48">
        <f t="shared" si="2"/>
        <v>11</v>
      </c>
      <c r="D48" s="30">
        <f>'Monthly Data'!N48</f>
        <v>70890027.726274595</v>
      </c>
      <c r="E48" s="33">
        <f t="shared" ref="E48:F48" ca="1" si="38">E36</f>
        <v>134.25000000000003</v>
      </c>
      <c r="F48" s="33">
        <f t="shared" ca="1" si="38"/>
        <v>3.410000000000001</v>
      </c>
      <c r="G48" s="33">
        <f>'Monthly Data'!BS48</f>
        <v>47</v>
      </c>
      <c r="H48" s="33">
        <f>'Monthly Data'!BO48</f>
        <v>0</v>
      </c>
      <c r="I48" s="33">
        <f>'Monthly Data'!BT48</f>
        <v>30</v>
      </c>
      <c r="J48" s="13">
        <f>'Monthly Data'!AK48</f>
        <v>36.099999999999909</v>
      </c>
      <c r="L48" s="18">
        <f>'GS&gt;50 Predicted Monthly'!$X$10</f>
        <v>12654537.4440873</v>
      </c>
      <c r="M48" s="18">
        <f ca="1">E48*'GS&gt;50 Predicted Monthly'!$X$11</f>
        <v>2448148.023591056</v>
      </c>
      <c r="N48" s="18">
        <f ca="1">F48*'GS&gt;50 Predicted Monthly'!$X$12</f>
        <v>159969.37084450931</v>
      </c>
      <c r="O48" s="18">
        <f>G48*'GS&gt;50 Predicted Monthly'!$X$13</f>
        <v>-3126567.7943190788</v>
      </c>
      <c r="P48" s="18">
        <f>H48*'GS&gt;50 Predicted Monthly'!$X$14</f>
        <v>0</v>
      </c>
      <c r="Q48" s="18">
        <f>I48*'GS&gt;50 Predicted Monthly'!$X$15</f>
        <v>57165341.851978198</v>
      </c>
      <c r="R48" s="18">
        <f>J48*'GS&gt;50 Predicted Monthly'!$X$16</f>
        <v>252945.41684598572</v>
      </c>
      <c r="S48" s="18">
        <f t="shared" ca="1" si="4"/>
        <v>69554374.313027978</v>
      </c>
    </row>
    <row r="49" spans="1:19" x14ac:dyDescent="0.2">
      <c r="A49" s="9">
        <f>'Monthly Data'!A49</f>
        <v>43435</v>
      </c>
      <c r="B49">
        <f t="shared" si="1"/>
        <v>2018</v>
      </c>
      <c r="C49">
        <f t="shared" si="2"/>
        <v>12</v>
      </c>
      <c r="D49" s="30">
        <f>'Monthly Data'!N49</f>
        <v>70258464.485671312</v>
      </c>
      <c r="E49" s="33">
        <f t="shared" ref="E49:F49" ca="1" si="39">E37</f>
        <v>262.99</v>
      </c>
      <c r="F49" s="33">
        <f t="shared" ca="1" si="39"/>
        <v>0</v>
      </c>
      <c r="G49" s="33">
        <f>'Monthly Data'!BS49</f>
        <v>48</v>
      </c>
      <c r="H49" s="33">
        <f>'Monthly Data'!BO49</f>
        <v>1</v>
      </c>
      <c r="I49" s="33">
        <f>'Monthly Data'!BT49</f>
        <v>31</v>
      </c>
      <c r="J49" s="13">
        <f>'Monthly Data'!AK49</f>
        <v>31.800000000000182</v>
      </c>
      <c r="L49" s="18">
        <f>'GS&gt;50 Predicted Monthly'!$X$10</f>
        <v>12654537.4440873</v>
      </c>
      <c r="M49" s="18">
        <f ca="1">E49*'GS&gt;50 Predicted Monthly'!$X$11</f>
        <v>4795817.1227129363</v>
      </c>
      <c r="N49" s="18">
        <f ca="1">F49*'GS&gt;50 Predicted Monthly'!$X$12</f>
        <v>0</v>
      </c>
      <c r="O49" s="18">
        <f>G49*'GS&gt;50 Predicted Monthly'!$X$13</f>
        <v>-3193090.5133471442</v>
      </c>
      <c r="P49" s="18">
        <f>H49*'GS&gt;50 Predicted Monthly'!$X$14</f>
        <v>-2455659.1490839599</v>
      </c>
      <c r="Q49" s="18">
        <f>I49*'GS&gt;50 Predicted Monthly'!$X$15</f>
        <v>59070853.247044139</v>
      </c>
      <c r="R49" s="18">
        <f>J49*'GS&gt;50 Predicted Monthly'!$X$16</f>
        <v>222816.18436848788</v>
      </c>
      <c r="S49" s="18">
        <f t="shared" ca="1" si="4"/>
        <v>71095274.335781753</v>
      </c>
    </row>
    <row r="50" spans="1:19" x14ac:dyDescent="0.2">
      <c r="A50" s="9">
        <f>'Monthly Data'!A50</f>
        <v>43466</v>
      </c>
      <c r="B50">
        <f t="shared" si="1"/>
        <v>2019</v>
      </c>
      <c r="C50">
        <f t="shared" si="2"/>
        <v>1</v>
      </c>
      <c r="D50" s="30">
        <f>'Monthly Data'!N50</f>
        <v>77017720.98365432</v>
      </c>
      <c r="E50" s="33">
        <f t="shared" ref="E50:F50" ca="1" si="40">E38</f>
        <v>384.56000000000006</v>
      </c>
      <c r="F50" s="33">
        <f t="shared" ca="1" si="40"/>
        <v>0</v>
      </c>
      <c r="G50" s="33">
        <f>'Monthly Data'!BS50</f>
        <v>49</v>
      </c>
      <c r="H50" s="33">
        <f>'Monthly Data'!BO50</f>
        <v>0</v>
      </c>
      <c r="I50" s="33">
        <f>'Monthly Data'!BT50</f>
        <v>31</v>
      </c>
      <c r="J50" s="13">
        <f>'Monthly Data'!AK50</f>
        <v>27.099999999999909</v>
      </c>
      <c r="L50" s="18">
        <f>'GS&gt;50 Predicted Monthly'!$X$10</f>
        <v>12654537.4440873</v>
      </c>
      <c r="M50" s="18">
        <f ca="1">E50*'GS&gt;50 Predicted Monthly'!$X$11</f>
        <v>7012735.9698486142</v>
      </c>
      <c r="N50" s="18">
        <f ca="1">F50*'GS&gt;50 Predicted Monthly'!$X$12</f>
        <v>0</v>
      </c>
      <c r="O50" s="18">
        <f>G50*'GS&gt;50 Predicted Monthly'!$X$13</f>
        <v>-3259613.2323752097</v>
      </c>
      <c r="P50" s="18">
        <f>H50*'GS&gt;50 Predicted Monthly'!$X$14</f>
        <v>0</v>
      </c>
      <c r="Q50" s="18">
        <f>I50*'GS&gt;50 Predicted Monthly'!$X$15</f>
        <v>59070853.247044139</v>
      </c>
      <c r="R50" s="18">
        <f>J50*'GS&gt;50 Predicted Monthly'!$X$16</f>
        <v>189884.23259075367</v>
      </c>
      <c r="S50" s="18">
        <f t="shared" ca="1" si="4"/>
        <v>75668397.661195591</v>
      </c>
    </row>
    <row r="51" spans="1:19" x14ac:dyDescent="0.2">
      <c r="A51" s="9">
        <f>'Monthly Data'!A51</f>
        <v>43497</v>
      </c>
      <c r="B51">
        <f t="shared" si="1"/>
        <v>2019</v>
      </c>
      <c r="C51">
        <f t="shared" si="2"/>
        <v>2</v>
      </c>
      <c r="D51" s="30">
        <f>'Monthly Data'!N51</f>
        <v>69584021.673609644</v>
      </c>
      <c r="E51" s="33">
        <f t="shared" ref="E51:F51" ca="1" si="41">E39</f>
        <v>338.02</v>
      </c>
      <c r="F51" s="33">
        <f t="shared" ca="1" si="41"/>
        <v>0</v>
      </c>
      <c r="G51" s="33">
        <f>'Monthly Data'!BS51</f>
        <v>50</v>
      </c>
      <c r="H51" s="33">
        <f>'Monthly Data'!BO51</f>
        <v>0</v>
      </c>
      <c r="I51" s="33">
        <f>'Monthly Data'!BT51</f>
        <v>28</v>
      </c>
      <c r="J51" s="13">
        <f>'Monthly Data'!AK51</f>
        <v>40.700000000000273</v>
      </c>
      <c r="L51" s="18">
        <f>'GS&gt;50 Predicted Monthly'!$X$10</f>
        <v>12654537.4440873</v>
      </c>
      <c r="M51" s="18">
        <f ca="1">E51*'GS&gt;50 Predicted Monthly'!$X$11</f>
        <v>6164044.6550037134</v>
      </c>
      <c r="N51" s="18">
        <f ca="1">F51*'GS&gt;50 Predicted Monthly'!$X$12</f>
        <v>0</v>
      </c>
      <c r="O51" s="18">
        <f>G51*'GS&gt;50 Predicted Monthly'!$X$13</f>
        <v>-3326135.9514032751</v>
      </c>
      <c r="P51" s="18">
        <f>H51*'GS&gt;50 Predicted Monthly'!$X$14</f>
        <v>0</v>
      </c>
      <c r="Q51" s="18">
        <f>I51*'GS&gt;50 Predicted Monthly'!$X$15</f>
        <v>53354319.061846316</v>
      </c>
      <c r="R51" s="18">
        <f>J51*'GS&gt;50 Predicted Monthly'!$X$16</f>
        <v>285176.68879866245</v>
      </c>
      <c r="S51" s="18">
        <f t="shared" ca="1" si="4"/>
        <v>69131941.898332715</v>
      </c>
    </row>
    <row r="52" spans="1:19" x14ac:dyDescent="0.2">
      <c r="A52" s="9">
        <f>'Monthly Data'!A52</f>
        <v>43525</v>
      </c>
      <c r="B52">
        <f t="shared" si="1"/>
        <v>2019</v>
      </c>
      <c r="C52">
        <f t="shared" si="2"/>
        <v>3</v>
      </c>
      <c r="D52" s="30">
        <f>'Monthly Data'!N52</f>
        <v>74426627.363564968</v>
      </c>
      <c r="E52" s="33">
        <f t="shared" ref="E52:F52" ca="1" si="42">E40</f>
        <v>252.67</v>
      </c>
      <c r="F52" s="33">
        <f t="shared" ca="1" si="42"/>
        <v>0</v>
      </c>
      <c r="G52" s="33">
        <f>'Monthly Data'!BS52</f>
        <v>51</v>
      </c>
      <c r="H52" s="33">
        <f>'Monthly Data'!BO52</f>
        <v>0</v>
      </c>
      <c r="I52" s="33">
        <f>'Monthly Data'!BT52</f>
        <v>31</v>
      </c>
      <c r="J52" s="13">
        <f>'Monthly Data'!AK52</f>
        <v>62.700000000000273</v>
      </c>
      <c r="L52" s="18">
        <f>'GS&gt;50 Predicted Monthly'!$X$10</f>
        <v>12654537.4440873</v>
      </c>
      <c r="M52" s="18">
        <f ca="1">E52*'GS&gt;50 Predicted Monthly'!$X$11</f>
        <v>4607624.2914022496</v>
      </c>
      <c r="N52" s="18">
        <f ca="1">F52*'GS&gt;50 Predicted Monthly'!$X$12</f>
        <v>0</v>
      </c>
      <c r="O52" s="18">
        <f>G52*'GS&gt;50 Predicted Monthly'!$X$13</f>
        <v>-3392658.6704313406</v>
      </c>
      <c r="P52" s="18">
        <f>H52*'GS&gt;50 Predicted Monthly'!$X$14</f>
        <v>0</v>
      </c>
      <c r="Q52" s="18">
        <f>I52*'GS&gt;50 Predicted Monthly'!$X$15</f>
        <v>59070853.247044139</v>
      </c>
      <c r="R52" s="18">
        <f>J52*'GS&gt;50 Predicted Monthly'!$X$16</f>
        <v>439326.25031145191</v>
      </c>
      <c r="S52" s="18">
        <f t="shared" ca="1" si="4"/>
        <v>73379682.562413797</v>
      </c>
    </row>
    <row r="53" spans="1:19" x14ac:dyDescent="0.2">
      <c r="A53" s="9">
        <f>'Monthly Data'!A53</f>
        <v>43556</v>
      </c>
      <c r="B53">
        <f t="shared" si="1"/>
        <v>2019</v>
      </c>
      <c r="C53">
        <f t="shared" si="2"/>
        <v>4</v>
      </c>
      <c r="D53" s="30">
        <f>'Monthly Data'!N53</f>
        <v>68208973.053520292</v>
      </c>
      <c r="E53" s="33">
        <f t="shared" ref="E53:F53" ca="1" si="43">E41</f>
        <v>112.07000000000001</v>
      </c>
      <c r="F53" s="33">
        <f t="shared" ca="1" si="43"/>
        <v>2.6300000000000003</v>
      </c>
      <c r="G53" s="33">
        <f>'Monthly Data'!BS53</f>
        <v>52</v>
      </c>
      <c r="H53" s="33">
        <f>'Monthly Data'!BO53</f>
        <v>0</v>
      </c>
      <c r="I53" s="33">
        <f>'Monthly Data'!BT53</f>
        <v>30</v>
      </c>
      <c r="J53" s="13">
        <f>'Monthly Data'!AK53</f>
        <v>89.200000000000273</v>
      </c>
      <c r="L53" s="18">
        <f>'GS&gt;50 Predicted Monthly'!$X$10</f>
        <v>12654537.4440873</v>
      </c>
      <c r="M53" s="18">
        <f ca="1">E53*'GS&gt;50 Predicted Monthly'!$X$11</f>
        <v>2043679.3221888239</v>
      </c>
      <c r="N53" s="18">
        <f ca="1">F53*'GS&gt;50 Predicted Monthly'!$X$12</f>
        <v>123378.13645778869</v>
      </c>
      <c r="O53" s="18">
        <f>G53*'GS&gt;50 Predicted Monthly'!$X$13</f>
        <v>-3459181.389459406</v>
      </c>
      <c r="P53" s="18">
        <f>H53*'GS&gt;50 Predicted Monthly'!$X$14</f>
        <v>0</v>
      </c>
      <c r="Q53" s="18">
        <f>I53*'GS&gt;50 Predicted Monthly'!$X$15</f>
        <v>57165341.851978198</v>
      </c>
      <c r="R53" s="18">
        <f>J53*'GS&gt;50 Predicted Monthly'!$X$16</f>
        <v>625006.40395185747</v>
      </c>
      <c r="S53" s="18">
        <f t="shared" ca="1" si="4"/>
        <v>69152761.769204557</v>
      </c>
    </row>
    <row r="54" spans="1:19" x14ac:dyDescent="0.2">
      <c r="A54" s="9">
        <f>'Monthly Data'!A54</f>
        <v>43586</v>
      </c>
      <c r="B54">
        <f t="shared" si="1"/>
        <v>2019</v>
      </c>
      <c r="C54">
        <f t="shared" si="2"/>
        <v>5</v>
      </c>
      <c r="D54" s="30">
        <f>'Monthly Data'!N54</f>
        <v>69285910.743475616</v>
      </c>
      <c r="E54" s="33">
        <f t="shared" ref="E54:F54" ca="1" si="44">E42</f>
        <v>19.18</v>
      </c>
      <c r="F54" s="33">
        <f t="shared" ca="1" si="44"/>
        <v>50.489999999999995</v>
      </c>
      <c r="G54" s="33">
        <f>'Monthly Data'!BS54</f>
        <v>53</v>
      </c>
      <c r="H54" s="33">
        <f>'Monthly Data'!BO54</f>
        <v>0</v>
      </c>
      <c r="I54" s="33">
        <f>'Monthly Data'!BT54</f>
        <v>31</v>
      </c>
      <c r="J54" s="13">
        <f>'Monthly Data'!AK54</f>
        <v>103.60000000000036</v>
      </c>
      <c r="L54" s="18">
        <f>'GS&gt;50 Predicted Monthly'!$X$10</f>
        <v>12654537.4440873</v>
      </c>
      <c r="M54" s="18">
        <f ca="1">E54*'GS&gt;50 Predicted Monthly'!$X$11</f>
        <v>349761.48299796233</v>
      </c>
      <c r="N54" s="18">
        <f ca="1">F54*'GS&gt;50 Predicted Monthly'!$X$12</f>
        <v>2368578.7489557983</v>
      </c>
      <c r="O54" s="18">
        <f>G54*'GS&gt;50 Predicted Monthly'!$X$13</f>
        <v>-3525704.1084874719</v>
      </c>
      <c r="P54" s="18">
        <f>H54*'GS&gt;50 Predicted Monthly'!$X$14</f>
        <v>0</v>
      </c>
      <c r="Q54" s="18">
        <f>I54*'GS&gt;50 Predicted Monthly'!$X$15</f>
        <v>59070853.247044139</v>
      </c>
      <c r="R54" s="18">
        <f>J54*'GS&gt;50 Predicted Monthly'!$X$16</f>
        <v>725904.29876022937</v>
      </c>
      <c r="S54" s="18">
        <f t="shared" ca="1" si="4"/>
        <v>71643931.113357961</v>
      </c>
    </row>
    <row r="55" spans="1:19" x14ac:dyDescent="0.2">
      <c r="A55" s="9">
        <f>'Monthly Data'!A55</f>
        <v>43617</v>
      </c>
      <c r="B55">
        <f t="shared" si="1"/>
        <v>2019</v>
      </c>
      <c r="C55">
        <f t="shared" si="2"/>
        <v>6</v>
      </c>
      <c r="D55" s="30">
        <f>'Monthly Data'!N55</f>
        <v>70340791.43343094</v>
      </c>
      <c r="E55" s="33">
        <f t="shared" ref="E55:F55" ca="1" si="45">E43</f>
        <v>0</v>
      </c>
      <c r="F55" s="33">
        <f t="shared" ca="1" si="45"/>
        <v>154.05000000000001</v>
      </c>
      <c r="G55" s="33">
        <f>'Monthly Data'!BS55</f>
        <v>54</v>
      </c>
      <c r="H55" s="33">
        <f>'Monthly Data'!BO55</f>
        <v>0</v>
      </c>
      <c r="I55" s="33">
        <f>'Monthly Data'!BT55</f>
        <v>30</v>
      </c>
      <c r="J55" s="13">
        <f>'Monthly Data'!AK55</f>
        <v>108.10000000000036</v>
      </c>
      <c r="L55" s="18">
        <f>'GS&gt;50 Predicted Monthly'!$X$10</f>
        <v>12654537.4440873</v>
      </c>
      <c r="M55" s="18">
        <f ca="1">E55*'GS&gt;50 Predicted Monthly'!$X$11</f>
        <v>0</v>
      </c>
      <c r="N55" s="18">
        <f ca="1">F55*'GS&gt;50 Predicted Monthly'!$X$12</f>
        <v>7226768.7913773181</v>
      </c>
      <c r="O55" s="18">
        <f>G55*'GS&gt;50 Predicted Monthly'!$X$13</f>
        <v>-3592226.8275155374</v>
      </c>
      <c r="P55" s="18">
        <f>H55*'GS&gt;50 Predicted Monthly'!$X$14</f>
        <v>0</v>
      </c>
      <c r="Q55" s="18">
        <f>I55*'GS&gt;50 Predicted Monthly'!$X$15</f>
        <v>57165341.851978198</v>
      </c>
      <c r="R55" s="18">
        <f>J55*'GS&gt;50 Predicted Monthly'!$X$16</f>
        <v>757434.89088784542</v>
      </c>
      <c r="S55" s="18">
        <f t="shared" ca="1" si="4"/>
        <v>74211856.150815114</v>
      </c>
    </row>
    <row r="56" spans="1:19" x14ac:dyDescent="0.2">
      <c r="A56" s="9">
        <f>'Monthly Data'!A56</f>
        <v>43647</v>
      </c>
      <c r="B56">
        <f t="shared" si="1"/>
        <v>2019</v>
      </c>
      <c r="C56">
        <f t="shared" si="2"/>
        <v>7</v>
      </c>
      <c r="D56" s="30">
        <f>'Monthly Data'!N56</f>
        <v>81692876.123386264</v>
      </c>
      <c r="E56" s="33">
        <f t="shared" ref="E56:F56" ca="1" si="46">E44</f>
        <v>0</v>
      </c>
      <c r="F56" s="33">
        <f t="shared" ca="1" si="46"/>
        <v>267.66999999999996</v>
      </c>
      <c r="G56" s="33">
        <f>'Monthly Data'!BS56</f>
        <v>55</v>
      </c>
      <c r="H56" s="33">
        <f>'Monthly Data'!BO56</f>
        <v>0</v>
      </c>
      <c r="I56" s="33">
        <f>'Monthly Data'!BT56</f>
        <v>31</v>
      </c>
      <c r="J56" s="13">
        <f>'Monthly Data'!AK56</f>
        <v>107.59999999999991</v>
      </c>
      <c r="L56" s="18">
        <f>'GS&gt;50 Predicted Monthly'!$X$10</f>
        <v>12654537.4440873</v>
      </c>
      <c r="M56" s="18">
        <f ca="1">E56*'GS&gt;50 Predicted Monthly'!$X$11</f>
        <v>0</v>
      </c>
      <c r="N56" s="18">
        <f ca="1">F56*'GS&gt;50 Predicted Monthly'!$X$12</f>
        <v>12556891.933709616</v>
      </c>
      <c r="O56" s="18">
        <f>G56*'GS&gt;50 Predicted Monthly'!$X$13</f>
        <v>-3658749.5465436028</v>
      </c>
      <c r="P56" s="18">
        <f>H56*'GS&gt;50 Predicted Monthly'!$X$14</f>
        <v>0</v>
      </c>
      <c r="Q56" s="18">
        <f>I56*'GS&gt;50 Predicted Monthly'!$X$15</f>
        <v>59070853.247044139</v>
      </c>
      <c r="R56" s="18">
        <f>J56*'GS&gt;50 Predicted Monthly'!$X$16</f>
        <v>753931.49176255148</v>
      </c>
      <c r="S56" s="18">
        <f t="shared" ca="1" si="4"/>
        <v>81377464.57006</v>
      </c>
    </row>
    <row r="57" spans="1:19" x14ac:dyDescent="0.2">
      <c r="A57" s="9">
        <f>'Monthly Data'!A57</f>
        <v>43678</v>
      </c>
      <c r="B57">
        <f t="shared" si="1"/>
        <v>2019</v>
      </c>
      <c r="C57">
        <f t="shared" si="2"/>
        <v>8</v>
      </c>
      <c r="D57" s="30">
        <f>'Monthly Data'!N57</f>
        <v>78330561.813341588</v>
      </c>
      <c r="E57" s="33">
        <f t="shared" ref="E57:F57" ca="1" si="47">E45</f>
        <v>0</v>
      </c>
      <c r="F57" s="33">
        <f t="shared" ca="1" si="47"/>
        <v>246.315</v>
      </c>
      <c r="G57" s="33">
        <f>'Monthly Data'!BS57</f>
        <v>56</v>
      </c>
      <c r="H57" s="33">
        <f>'Monthly Data'!BO57</f>
        <v>0</v>
      </c>
      <c r="I57" s="33">
        <f>'Monthly Data'!BT57</f>
        <v>31</v>
      </c>
      <c r="J57" s="13">
        <f>'Monthly Data'!AK57</f>
        <v>114.40000000000009</v>
      </c>
      <c r="L57" s="18">
        <f>'GS&gt;50 Predicted Monthly'!$X$10</f>
        <v>12654537.4440873</v>
      </c>
      <c r="M57" s="18">
        <f ca="1">E57*'GS&gt;50 Predicted Monthly'!$X$11</f>
        <v>0</v>
      </c>
      <c r="N57" s="18">
        <f ca="1">F57*'GS&gt;50 Predicted Monthly'!$X$12</f>
        <v>11555089.612775749</v>
      </c>
      <c r="O57" s="18">
        <f>G57*'GS&gt;50 Predicted Monthly'!$X$13</f>
        <v>-3725272.2655716683</v>
      </c>
      <c r="P57" s="18">
        <f>H57*'GS&gt;50 Predicted Monthly'!$X$14</f>
        <v>0</v>
      </c>
      <c r="Q57" s="18">
        <f>I57*'GS&gt;50 Predicted Monthly'!$X$15</f>
        <v>59070853.247044139</v>
      </c>
      <c r="R57" s="18">
        <f>J57*'GS&gt;50 Predicted Monthly'!$X$16</f>
        <v>801577.71986650594</v>
      </c>
      <c r="S57" s="18">
        <f t="shared" ca="1" si="4"/>
        <v>80356785.758202016</v>
      </c>
    </row>
    <row r="58" spans="1:19" x14ac:dyDescent="0.2">
      <c r="A58" s="9">
        <f>'Monthly Data'!A58</f>
        <v>43709</v>
      </c>
      <c r="B58">
        <f t="shared" si="1"/>
        <v>2019</v>
      </c>
      <c r="C58">
        <f t="shared" si="2"/>
        <v>9</v>
      </c>
      <c r="D58" s="30">
        <f>'Monthly Data'!N58</f>
        <v>71728053.503296927</v>
      </c>
      <c r="E58" s="33">
        <f t="shared" ref="E58:F58" ca="1" si="48">E46</f>
        <v>0</v>
      </c>
      <c r="F58" s="33">
        <f t="shared" ca="1" si="48"/>
        <v>146.80000000000001</v>
      </c>
      <c r="G58" s="33">
        <f>'Monthly Data'!BS58</f>
        <v>57</v>
      </c>
      <c r="H58" s="33">
        <f>'Monthly Data'!BO58</f>
        <v>0</v>
      </c>
      <c r="I58" s="33">
        <f>'Monthly Data'!BT58</f>
        <v>30</v>
      </c>
      <c r="J58" s="13">
        <f>'Monthly Data'!AK58</f>
        <v>140</v>
      </c>
      <c r="L58" s="18">
        <f>'GS&gt;50 Predicted Monthly'!$X$10</f>
        <v>12654537.4440873</v>
      </c>
      <c r="M58" s="18">
        <f ca="1">E58*'GS&gt;50 Predicted Monthly'!$X$11</f>
        <v>0</v>
      </c>
      <c r="N58" s="18">
        <f ca="1">F58*'GS&gt;50 Predicted Monthly'!$X$12</f>
        <v>6886657.9589366456</v>
      </c>
      <c r="O58" s="18">
        <f>G58*'GS&gt;50 Predicted Monthly'!$X$13</f>
        <v>-3791794.9845997337</v>
      </c>
      <c r="P58" s="18">
        <f>H58*'GS&gt;50 Predicted Monthly'!$X$14</f>
        <v>0</v>
      </c>
      <c r="Q58" s="18">
        <f>I58*'GS&gt;50 Predicted Monthly'!$X$15</f>
        <v>57165341.851978198</v>
      </c>
      <c r="R58" s="18">
        <f>J58*'GS&gt;50 Predicted Monthly'!$X$16</f>
        <v>980951.75508138759</v>
      </c>
      <c r="S58" s="18">
        <f t="shared" ca="1" si="4"/>
        <v>73895694.025483802</v>
      </c>
    </row>
    <row r="59" spans="1:19" x14ac:dyDescent="0.2">
      <c r="A59" s="9">
        <f>'Monthly Data'!A59</f>
        <v>43739</v>
      </c>
      <c r="B59">
        <f t="shared" si="1"/>
        <v>2019</v>
      </c>
      <c r="C59">
        <f t="shared" si="2"/>
        <v>10</v>
      </c>
      <c r="D59" s="30">
        <f>'Monthly Data'!N59</f>
        <v>69595229.193252251</v>
      </c>
      <c r="E59" s="33">
        <f t="shared" ref="E59:F59" ca="1" si="49">E47</f>
        <v>23.589999999999996</v>
      </c>
      <c r="F59" s="33">
        <f t="shared" ca="1" si="49"/>
        <v>36.859999999999992</v>
      </c>
      <c r="G59" s="33">
        <f>'Monthly Data'!BS59</f>
        <v>58</v>
      </c>
      <c r="H59" s="33">
        <f>'Monthly Data'!BO59</f>
        <v>0</v>
      </c>
      <c r="I59" s="33">
        <f>'Monthly Data'!BT59</f>
        <v>31</v>
      </c>
      <c r="J59" s="13">
        <f>'Monthly Data'!AK59</f>
        <v>137.30000000000018</v>
      </c>
      <c r="L59" s="18">
        <f>'GS&gt;50 Predicted Monthly'!$X$10</f>
        <v>12654537.4440873</v>
      </c>
      <c r="M59" s="18">
        <f ca="1">E59*'GS&gt;50 Predicted Monthly'!$X$11</f>
        <v>430181.09405223833</v>
      </c>
      <c r="N59" s="18">
        <f ca="1">F59*'GS&gt;50 Predicted Monthly'!$X$12</f>
        <v>1729170.3839673344</v>
      </c>
      <c r="O59" s="18">
        <f>G59*'GS&gt;50 Predicted Monthly'!$X$13</f>
        <v>-3858317.7036277992</v>
      </c>
      <c r="P59" s="18">
        <f>H59*'GS&gt;50 Predicted Monthly'!$X$14</f>
        <v>0</v>
      </c>
      <c r="Q59" s="18">
        <f>I59*'GS&gt;50 Predicted Monthly'!$X$15</f>
        <v>59070853.247044139</v>
      </c>
      <c r="R59" s="18">
        <f>J59*'GS&gt;50 Predicted Monthly'!$X$16</f>
        <v>962033.39980481926</v>
      </c>
      <c r="S59" s="18">
        <f t="shared" ca="1" si="4"/>
        <v>70988457.865328029</v>
      </c>
    </row>
    <row r="60" spans="1:19" x14ac:dyDescent="0.2">
      <c r="A60" s="9">
        <f>'Monthly Data'!A60</f>
        <v>43770</v>
      </c>
      <c r="B60">
        <f t="shared" si="1"/>
        <v>2019</v>
      </c>
      <c r="C60">
        <f t="shared" si="2"/>
        <v>11</v>
      </c>
      <c r="D60" s="30">
        <f>'Monthly Data'!N60</f>
        <v>70061546.883207574</v>
      </c>
      <c r="E60" s="33">
        <f t="shared" ref="E60:F60" ca="1" si="50">E48</f>
        <v>134.25000000000003</v>
      </c>
      <c r="F60" s="33">
        <f t="shared" ca="1" si="50"/>
        <v>3.410000000000001</v>
      </c>
      <c r="G60" s="33">
        <f>'Monthly Data'!BS60</f>
        <v>59</v>
      </c>
      <c r="H60" s="33">
        <f>'Monthly Data'!BO60</f>
        <v>0</v>
      </c>
      <c r="I60" s="33">
        <f>'Monthly Data'!BT60</f>
        <v>30</v>
      </c>
      <c r="J60" s="13">
        <f>'Monthly Data'!AK60</f>
        <v>130.90000000000009</v>
      </c>
      <c r="L60" s="18">
        <f>'GS&gt;50 Predicted Monthly'!$X$10</f>
        <v>12654537.4440873</v>
      </c>
      <c r="M60" s="18">
        <f ca="1">E60*'GS&gt;50 Predicted Monthly'!$X$11</f>
        <v>2448148.023591056</v>
      </c>
      <c r="N60" s="18">
        <f ca="1">F60*'GS&gt;50 Predicted Monthly'!$X$12</f>
        <v>159969.37084450931</v>
      </c>
      <c r="O60" s="18">
        <f>G60*'GS&gt;50 Predicted Monthly'!$X$13</f>
        <v>-3924840.4226558646</v>
      </c>
      <c r="P60" s="18">
        <f>H60*'GS&gt;50 Predicted Monthly'!$X$14</f>
        <v>0</v>
      </c>
      <c r="Q60" s="18">
        <f>I60*'GS&gt;50 Predicted Monthly'!$X$15</f>
        <v>57165341.851978198</v>
      </c>
      <c r="R60" s="18">
        <f>J60*'GS&gt;50 Predicted Monthly'!$X$16</f>
        <v>917189.89100109797</v>
      </c>
      <c r="S60" s="18">
        <f t="shared" ca="1" si="4"/>
        <v>69420346.158846304</v>
      </c>
    </row>
    <row r="61" spans="1:19" x14ac:dyDescent="0.2">
      <c r="A61" s="9">
        <f>'Monthly Data'!A61</f>
        <v>43800</v>
      </c>
      <c r="B61">
        <f t="shared" si="1"/>
        <v>2019</v>
      </c>
      <c r="C61">
        <f t="shared" si="2"/>
        <v>12</v>
      </c>
      <c r="D61" s="30">
        <f>'Monthly Data'!N61</f>
        <v>70940575.573162898</v>
      </c>
      <c r="E61" s="33">
        <f t="shared" ref="E61:F61" ca="1" si="51">E49</f>
        <v>262.99</v>
      </c>
      <c r="F61" s="33">
        <f t="shared" ca="1" si="51"/>
        <v>0</v>
      </c>
      <c r="G61" s="33">
        <f>'Monthly Data'!BS61</f>
        <v>60</v>
      </c>
      <c r="H61" s="33">
        <f>'Monthly Data'!BO61</f>
        <v>1</v>
      </c>
      <c r="I61" s="33">
        <f>'Monthly Data'!BT61</f>
        <v>31</v>
      </c>
      <c r="J61" s="13">
        <f>'Monthly Data'!AK61</f>
        <v>120.19999999999982</v>
      </c>
      <c r="L61" s="18">
        <f>'GS&gt;50 Predicted Monthly'!$X$10</f>
        <v>12654537.4440873</v>
      </c>
      <c r="M61" s="18">
        <f ca="1">E61*'GS&gt;50 Predicted Monthly'!$X$11</f>
        <v>4795817.1227129363</v>
      </c>
      <c r="N61" s="18">
        <f ca="1">F61*'GS&gt;50 Predicted Monthly'!$X$12</f>
        <v>0</v>
      </c>
      <c r="O61" s="18">
        <f>G61*'GS&gt;50 Predicted Monthly'!$X$13</f>
        <v>-3991363.1416839305</v>
      </c>
      <c r="P61" s="18">
        <f>H61*'GS&gt;50 Predicted Monthly'!$X$14</f>
        <v>-2455659.1490839599</v>
      </c>
      <c r="Q61" s="18">
        <f>I61*'GS&gt;50 Predicted Monthly'!$X$15</f>
        <v>59070853.247044139</v>
      </c>
      <c r="R61" s="18">
        <f>J61*'GS&gt;50 Predicted Monthly'!$X$16</f>
        <v>842217.14971987577</v>
      </c>
      <c r="S61" s="18">
        <f t="shared" ca="1" si="4"/>
        <v>70916402.672796369</v>
      </c>
    </row>
    <row r="62" spans="1:19" x14ac:dyDescent="0.2">
      <c r="A62" s="9">
        <f>'Monthly Data'!A62</f>
        <v>43831</v>
      </c>
      <c r="B62">
        <f t="shared" ref="B62:B115" si="52">YEAR(A62)</f>
        <v>2020</v>
      </c>
      <c r="C62">
        <f t="shared" ref="C62:C115" si="53">MONTH(A62)</f>
        <v>1</v>
      </c>
      <c r="D62" s="30">
        <f>'Monthly Data'!N62</f>
        <v>76432025.257973492</v>
      </c>
      <c r="E62" s="33">
        <f t="shared" ref="E62:F62" ca="1" si="54">E50</f>
        <v>384.56000000000006</v>
      </c>
      <c r="F62" s="33">
        <f t="shared" ca="1" si="54"/>
        <v>0</v>
      </c>
      <c r="G62" s="33">
        <f>'Monthly Data'!BS62</f>
        <v>61</v>
      </c>
      <c r="H62" s="33">
        <f>'Monthly Data'!BO62</f>
        <v>0</v>
      </c>
      <c r="I62" s="33">
        <f>'Monthly Data'!BT62</f>
        <v>31</v>
      </c>
      <c r="J62" s="13">
        <f>'Monthly Data'!AK62</f>
        <v>141.59999999999991</v>
      </c>
      <c r="L62" s="18">
        <f>'GS&gt;50 Predicted Monthly'!$X$10</f>
        <v>12654537.4440873</v>
      </c>
      <c r="M62" s="18">
        <f ca="1">E62*'GS&gt;50 Predicted Monthly'!$X$11</f>
        <v>7012735.9698486142</v>
      </c>
      <c r="N62" s="18">
        <f ca="1">F62*'GS&gt;50 Predicted Monthly'!$X$12</f>
        <v>0</v>
      </c>
      <c r="O62" s="18">
        <f>G62*'GS&gt;50 Predicted Monthly'!$X$13</f>
        <v>-4057885.860711996</v>
      </c>
      <c r="P62" s="18">
        <f>H62*'GS&gt;50 Predicted Monthly'!$X$14</f>
        <v>0</v>
      </c>
      <c r="Q62" s="18">
        <f>I62*'GS&gt;50 Predicted Monthly'!$X$15</f>
        <v>59070853.247044139</v>
      </c>
      <c r="R62" s="18">
        <f>J62*'GS&gt;50 Predicted Monthly'!$X$16</f>
        <v>992162.63228231703</v>
      </c>
      <c r="S62" s="18">
        <f t="shared" ca="1" si="4"/>
        <v>75672403.432550371</v>
      </c>
    </row>
    <row r="63" spans="1:19" x14ac:dyDescent="0.2">
      <c r="A63" s="9">
        <f>'Monthly Data'!A63</f>
        <v>43862</v>
      </c>
      <c r="B63">
        <f t="shared" si="52"/>
        <v>2020</v>
      </c>
      <c r="C63">
        <f t="shared" si="53"/>
        <v>2</v>
      </c>
      <c r="D63" s="30">
        <f>'Monthly Data'!N63</f>
        <v>71230216.188582152</v>
      </c>
      <c r="E63" s="33">
        <f t="shared" ref="E63:F63" ca="1" si="55">E51</f>
        <v>338.02</v>
      </c>
      <c r="F63" s="33">
        <f t="shared" ca="1" si="55"/>
        <v>0</v>
      </c>
      <c r="G63" s="33">
        <f>'Monthly Data'!BS63</f>
        <v>62</v>
      </c>
      <c r="H63" s="33">
        <f>'Monthly Data'!BO63</f>
        <v>0</v>
      </c>
      <c r="I63" s="33">
        <f>'Monthly Data'!BT63</f>
        <v>29</v>
      </c>
      <c r="J63" s="13">
        <f>'Monthly Data'!AK63</f>
        <v>130.59999999999991</v>
      </c>
      <c r="L63" s="18">
        <f>'GS&gt;50 Predicted Monthly'!$X$10</f>
        <v>12654537.4440873</v>
      </c>
      <c r="M63" s="18">
        <f ca="1">E63*'GS&gt;50 Predicted Monthly'!$X$11</f>
        <v>6164044.6550037134</v>
      </c>
      <c r="N63" s="18">
        <f ca="1">F63*'GS&gt;50 Predicted Monthly'!$X$12</f>
        <v>0</v>
      </c>
      <c r="O63" s="18">
        <f>G63*'GS&gt;50 Predicted Monthly'!$X$13</f>
        <v>-4124408.5797400614</v>
      </c>
      <c r="P63" s="18">
        <f>H63*'GS&gt;50 Predicted Monthly'!$X$14</f>
        <v>0</v>
      </c>
      <c r="Q63" s="18">
        <f>I63*'GS&gt;50 Predicted Monthly'!$X$15</f>
        <v>55259830.456912257</v>
      </c>
      <c r="R63" s="18">
        <f>J63*'GS&gt;50 Predicted Monthly'!$X$16</f>
        <v>915087.85152592231</v>
      </c>
      <c r="S63" s="18">
        <f t="shared" ca="1" si="4"/>
        <v>70869091.827789128</v>
      </c>
    </row>
    <row r="64" spans="1:19" x14ac:dyDescent="0.2">
      <c r="A64" s="9">
        <f>'Monthly Data'!A64</f>
        <v>43891</v>
      </c>
      <c r="B64">
        <f t="shared" si="52"/>
        <v>2020</v>
      </c>
      <c r="C64">
        <f t="shared" si="53"/>
        <v>3</v>
      </c>
      <c r="D64" s="30">
        <f>'Monthly Data'!N64</f>
        <v>71001661.119190797</v>
      </c>
      <c r="E64" s="33">
        <f t="shared" ref="E64:F64" ca="1" si="56">E52</f>
        <v>252.67</v>
      </c>
      <c r="F64" s="33">
        <f t="shared" ca="1" si="56"/>
        <v>0</v>
      </c>
      <c r="G64" s="33">
        <f>'Monthly Data'!BS64</f>
        <v>63</v>
      </c>
      <c r="H64" s="33">
        <f>'Monthly Data'!BO64</f>
        <v>0</v>
      </c>
      <c r="I64" s="33">
        <f>'Monthly Data'!BT64</f>
        <v>31</v>
      </c>
      <c r="J64" s="13">
        <f>'Monthly Data'!AK64</f>
        <v>34.400000000000091</v>
      </c>
      <c r="L64" s="18">
        <f>'GS&gt;50 Predicted Monthly'!$X$10</f>
        <v>12654537.4440873</v>
      </c>
      <c r="M64" s="18">
        <f ca="1">E64*'GS&gt;50 Predicted Monthly'!$X$11</f>
        <v>4607624.2914022496</v>
      </c>
      <c r="N64" s="18">
        <f ca="1">F64*'GS&gt;50 Predicted Monthly'!$X$12</f>
        <v>0</v>
      </c>
      <c r="O64" s="18">
        <f>G64*'GS&gt;50 Predicted Monthly'!$X$13</f>
        <v>-4190931.2987681269</v>
      </c>
      <c r="P64" s="18">
        <f>H64*'GS&gt;50 Predicted Monthly'!$X$14</f>
        <v>0</v>
      </c>
      <c r="Q64" s="18">
        <f>I64*'GS&gt;50 Predicted Monthly'!$X$15</f>
        <v>59070853.247044139</v>
      </c>
      <c r="R64" s="18">
        <f>J64*'GS&gt;50 Predicted Monthly'!$X$16</f>
        <v>241033.85981999873</v>
      </c>
      <c r="S64" s="18">
        <f t="shared" ca="1" si="4"/>
        <v>72383117.543585554</v>
      </c>
    </row>
    <row r="65" spans="1:19" x14ac:dyDescent="0.2">
      <c r="A65" s="9">
        <f>'Monthly Data'!A65</f>
        <v>43922</v>
      </c>
      <c r="B65">
        <f t="shared" si="52"/>
        <v>2020</v>
      </c>
      <c r="C65">
        <f t="shared" si="53"/>
        <v>4</v>
      </c>
      <c r="D65" s="30">
        <f>'Monthly Data'!N65</f>
        <v>60883665.04979945</v>
      </c>
      <c r="E65" s="33">
        <f t="shared" ref="E65:F65" ca="1" si="57">E53</f>
        <v>112.07000000000001</v>
      </c>
      <c r="F65" s="33">
        <f t="shared" ca="1" si="57"/>
        <v>2.6300000000000003</v>
      </c>
      <c r="G65" s="33">
        <f>'Monthly Data'!BS65</f>
        <v>64</v>
      </c>
      <c r="H65" s="33">
        <f>'Monthly Data'!BO65</f>
        <v>0</v>
      </c>
      <c r="I65" s="33">
        <f>'Monthly Data'!BT65</f>
        <v>30</v>
      </c>
      <c r="J65" s="13">
        <f>'Monthly Data'!AK65</f>
        <v>-184.10000000000036</v>
      </c>
      <c r="L65" s="18">
        <f>'GS&gt;50 Predicted Monthly'!$X$10</f>
        <v>12654537.4440873</v>
      </c>
      <c r="M65" s="18">
        <f ca="1">E65*'GS&gt;50 Predicted Monthly'!$X$11</f>
        <v>2043679.3221888239</v>
      </c>
      <c r="N65" s="18">
        <f ca="1">F65*'GS&gt;50 Predicted Monthly'!$X$12</f>
        <v>123378.13645778869</v>
      </c>
      <c r="O65" s="18">
        <f>G65*'GS&gt;50 Predicted Monthly'!$X$13</f>
        <v>-4257454.0177961923</v>
      </c>
      <c r="P65" s="18">
        <f>H65*'GS&gt;50 Predicted Monthly'!$X$14</f>
        <v>0</v>
      </c>
      <c r="Q65" s="18">
        <f>I65*'GS&gt;50 Predicted Monthly'!$X$15</f>
        <v>57165341.851978198</v>
      </c>
      <c r="R65" s="18">
        <f>J65*'GS&gt;50 Predicted Monthly'!$X$16</f>
        <v>-1289951.5579320271</v>
      </c>
      <c r="S65" s="18">
        <f t="shared" ca="1" si="4"/>
        <v>66439531.17898389</v>
      </c>
    </row>
    <row r="66" spans="1:19" x14ac:dyDescent="0.2">
      <c r="A66" s="9">
        <f>'Monthly Data'!A66</f>
        <v>43952</v>
      </c>
      <c r="B66">
        <f t="shared" si="52"/>
        <v>2020</v>
      </c>
      <c r="C66">
        <f t="shared" si="53"/>
        <v>5</v>
      </c>
      <c r="D66" s="30">
        <f>'Monthly Data'!N66</f>
        <v>63891673.980408102</v>
      </c>
      <c r="E66" s="33">
        <f t="shared" ref="E66:F66" ca="1" si="58">E54</f>
        <v>19.18</v>
      </c>
      <c r="F66" s="33">
        <f t="shared" ca="1" si="58"/>
        <v>50.489999999999995</v>
      </c>
      <c r="G66" s="33">
        <f>'Monthly Data'!BS66</f>
        <v>65</v>
      </c>
      <c r="H66" s="33">
        <f>'Monthly Data'!BO66</f>
        <v>0</v>
      </c>
      <c r="I66" s="33">
        <f>'Monthly Data'!BT66</f>
        <v>31</v>
      </c>
      <c r="J66" s="13">
        <f>'Monthly Data'!AK66</f>
        <v>-407.60000000000036</v>
      </c>
      <c r="L66" s="18">
        <f>'GS&gt;50 Predicted Monthly'!$X$10</f>
        <v>12654537.4440873</v>
      </c>
      <c r="M66" s="18">
        <f ca="1">E66*'GS&gt;50 Predicted Monthly'!$X$11</f>
        <v>349761.48299796233</v>
      </c>
      <c r="N66" s="18">
        <f ca="1">F66*'GS&gt;50 Predicted Monthly'!$X$12</f>
        <v>2368578.7489557983</v>
      </c>
      <c r="O66" s="18">
        <f>G66*'GS&gt;50 Predicted Monthly'!$X$13</f>
        <v>-4323976.7368242582</v>
      </c>
      <c r="P66" s="18">
        <f>H66*'GS&gt;50 Predicted Monthly'!$X$14</f>
        <v>0</v>
      </c>
      <c r="Q66" s="18">
        <f>I66*'GS&gt;50 Predicted Monthly'!$X$15</f>
        <v>59070853.247044139</v>
      </c>
      <c r="R66" s="18">
        <f>J66*'GS&gt;50 Predicted Monthly'!$X$16</f>
        <v>-2855970.9669369566</v>
      </c>
      <c r="S66" s="18">
        <f t="shared" ca="1" si="4"/>
        <v>67263783.219323978</v>
      </c>
    </row>
    <row r="67" spans="1:19" x14ac:dyDescent="0.2">
      <c r="A67" s="9">
        <f>'Monthly Data'!A67</f>
        <v>43983</v>
      </c>
      <c r="B67">
        <f t="shared" si="52"/>
        <v>2020</v>
      </c>
      <c r="C67">
        <f t="shared" si="53"/>
        <v>6</v>
      </c>
      <c r="D67" s="30">
        <f>'Monthly Data'!N67</f>
        <v>70683945.911016747</v>
      </c>
      <c r="E67" s="33">
        <f t="shared" ref="E67:F67" ca="1" si="59">E55</f>
        <v>0</v>
      </c>
      <c r="F67" s="33">
        <f t="shared" ca="1" si="59"/>
        <v>154.05000000000001</v>
      </c>
      <c r="G67" s="33">
        <f>'Monthly Data'!BS67</f>
        <v>66</v>
      </c>
      <c r="H67" s="33">
        <f>'Monthly Data'!BO67</f>
        <v>0</v>
      </c>
      <c r="I67" s="33">
        <f>'Monthly Data'!BT67</f>
        <v>30</v>
      </c>
      <c r="J67" s="13">
        <f>'Monthly Data'!AK67</f>
        <v>-482.30000000000018</v>
      </c>
      <c r="L67" s="18">
        <f>'GS&gt;50 Predicted Monthly'!$X$10</f>
        <v>12654537.4440873</v>
      </c>
      <c r="M67" s="18">
        <f ca="1">E67*'GS&gt;50 Predicted Monthly'!$X$11</f>
        <v>0</v>
      </c>
      <c r="N67" s="18">
        <f ca="1">F67*'GS&gt;50 Predicted Monthly'!$X$12</f>
        <v>7226768.7913773181</v>
      </c>
      <c r="O67" s="18">
        <f>G67*'GS&gt;50 Predicted Monthly'!$X$13</f>
        <v>-4390499.4558523232</v>
      </c>
      <c r="P67" s="18">
        <f>H67*'GS&gt;50 Predicted Monthly'!$X$14</f>
        <v>0</v>
      </c>
      <c r="Q67" s="18">
        <f>I67*'GS&gt;50 Predicted Monthly'!$X$15</f>
        <v>57165341.851978198</v>
      </c>
      <c r="R67" s="18">
        <f>J67*'GS&gt;50 Predicted Monthly'!$X$16</f>
        <v>-3379378.7962553813</v>
      </c>
      <c r="S67" s="18">
        <f t="shared" ca="1" si="4"/>
        <v>69276769.835335106</v>
      </c>
    </row>
    <row r="68" spans="1:19" x14ac:dyDescent="0.2">
      <c r="A68" s="9">
        <f>'Monthly Data'!A68</f>
        <v>44013</v>
      </c>
      <c r="B68">
        <f t="shared" si="52"/>
        <v>2020</v>
      </c>
      <c r="C68">
        <f t="shared" si="53"/>
        <v>7</v>
      </c>
      <c r="D68" s="30">
        <f>'Monthly Data'!N68</f>
        <v>75739065.841625407</v>
      </c>
      <c r="E68" s="33">
        <f t="shared" ref="E68:F68" ca="1" si="60">E56</f>
        <v>0</v>
      </c>
      <c r="F68" s="33">
        <f t="shared" ca="1" si="60"/>
        <v>267.66999999999996</v>
      </c>
      <c r="G68" s="33">
        <f>'Monthly Data'!BS68</f>
        <v>67</v>
      </c>
      <c r="H68" s="33">
        <f>'Monthly Data'!BO68</f>
        <v>0</v>
      </c>
      <c r="I68" s="33">
        <f>'Monthly Data'!BT68</f>
        <v>31</v>
      </c>
      <c r="J68" s="13">
        <f>'Monthly Data'!AK68</f>
        <v>-432.80000000000018</v>
      </c>
      <c r="L68" s="18">
        <f>'GS&gt;50 Predicted Monthly'!$X$10</f>
        <v>12654537.4440873</v>
      </c>
      <c r="M68" s="18">
        <f ca="1">E68*'GS&gt;50 Predicted Monthly'!$X$11</f>
        <v>0</v>
      </c>
      <c r="N68" s="18">
        <f ca="1">F68*'GS&gt;50 Predicted Monthly'!$X$12</f>
        <v>12556891.933709616</v>
      </c>
      <c r="O68" s="18">
        <f>G68*'GS&gt;50 Predicted Monthly'!$X$13</f>
        <v>-4457022.1748803891</v>
      </c>
      <c r="P68" s="18">
        <f>H68*'GS&gt;50 Predicted Monthly'!$X$14</f>
        <v>0</v>
      </c>
      <c r="Q68" s="18">
        <f>I68*'GS&gt;50 Predicted Monthly'!$X$15</f>
        <v>59070853.247044139</v>
      </c>
      <c r="R68" s="18">
        <f>J68*'GS&gt;50 Predicted Monthly'!$X$16</f>
        <v>-3032542.2828516052</v>
      </c>
      <c r="S68" s="18">
        <f t="shared" ca="1" si="4"/>
        <v>76792718.167109057</v>
      </c>
    </row>
    <row r="69" spans="1:19" x14ac:dyDescent="0.2">
      <c r="A69" s="9">
        <f>'Monthly Data'!A69</f>
        <v>44044</v>
      </c>
      <c r="B69">
        <f t="shared" si="52"/>
        <v>2020</v>
      </c>
      <c r="C69">
        <f t="shared" si="53"/>
        <v>8</v>
      </c>
      <c r="D69" s="30">
        <f>'Monthly Data'!N69</f>
        <v>75530851.772234052</v>
      </c>
      <c r="E69" s="33">
        <f t="shared" ref="E69:F69" ca="1" si="61">E57</f>
        <v>0</v>
      </c>
      <c r="F69" s="33">
        <f t="shared" ca="1" si="61"/>
        <v>246.315</v>
      </c>
      <c r="G69" s="33">
        <f>'Monthly Data'!BS69</f>
        <v>68</v>
      </c>
      <c r="H69" s="33">
        <f>'Monthly Data'!BO69</f>
        <v>0</v>
      </c>
      <c r="I69" s="33">
        <f>'Monthly Data'!BT69</f>
        <v>31</v>
      </c>
      <c r="J69" s="13">
        <f>'Monthly Data'!AK69</f>
        <v>-307.30000000000018</v>
      </c>
      <c r="L69" s="18">
        <f>'GS&gt;50 Predicted Monthly'!$X$10</f>
        <v>12654537.4440873</v>
      </c>
      <c r="M69" s="18">
        <f ca="1">E69*'GS&gt;50 Predicted Monthly'!$X$11</f>
        <v>0</v>
      </c>
      <c r="N69" s="18">
        <f ca="1">F69*'GS&gt;50 Predicted Monthly'!$X$12</f>
        <v>11555089.612775749</v>
      </c>
      <c r="O69" s="18">
        <f>G69*'GS&gt;50 Predicted Monthly'!$X$13</f>
        <v>-4523544.8939084541</v>
      </c>
      <c r="P69" s="18">
        <f>H69*'GS&gt;50 Predicted Monthly'!$X$14</f>
        <v>0</v>
      </c>
      <c r="Q69" s="18">
        <f>I69*'GS&gt;50 Predicted Monthly'!$X$15</f>
        <v>59070853.247044139</v>
      </c>
      <c r="R69" s="18">
        <f>J69*'GS&gt;50 Predicted Monthly'!$X$16</f>
        <v>-2153189.1024036468</v>
      </c>
      <c r="S69" s="18">
        <f ca="1">SUM(L69:R69)</f>
        <v>76603746.307595089</v>
      </c>
    </row>
    <row r="70" spans="1:19" x14ac:dyDescent="0.2">
      <c r="A70" s="9">
        <f>'Monthly Data'!A70</f>
        <v>44075</v>
      </c>
      <c r="B70">
        <f t="shared" si="52"/>
        <v>2020</v>
      </c>
      <c r="C70">
        <f t="shared" si="53"/>
        <v>9</v>
      </c>
      <c r="D70" s="30">
        <f>'Monthly Data'!N70</f>
        <v>65350821.702842705</v>
      </c>
      <c r="E70" s="33">
        <f t="shared" ref="E70:F70" ca="1" si="62">E58</f>
        <v>0</v>
      </c>
      <c r="F70" s="33">
        <f t="shared" ca="1" si="62"/>
        <v>146.80000000000001</v>
      </c>
      <c r="G70" s="33">
        <f>'Monthly Data'!BS70</f>
        <v>69</v>
      </c>
      <c r="H70" s="33">
        <f>'Monthly Data'!BO70</f>
        <v>0</v>
      </c>
      <c r="I70" s="33">
        <f>'Monthly Data'!BT70</f>
        <v>30</v>
      </c>
      <c r="J70" s="13">
        <f>'Monthly Data'!AK70</f>
        <v>-220</v>
      </c>
      <c r="L70" s="18">
        <f>'GS&gt;50 Predicted Monthly'!$X$10</f>
        <v>12654537.4440873</v>
      </c>
      <c r="M70" s="18">
        <f ca="1">E70*'GS&gt;50 Predicted Monthly'!$X$11</f>
        <v>0</v>
      </c>
      <c r="N70" s="18">
        <f ca="1">F70*'GS&gt;50 Predicted Monthly'!$X$12</f>
        <v>6886657.9589366456</v>
      </c>
      <c r="O70" s="18">
        <f>G70*'GS&gt;50 Predicted Monthly'!$X$13</f>
        <v>-4590067.61293652</v>
      </c>
      <c r="P70" s="18">
        <f>H70*'GS&gt;50 Predicted Monthly'!$X$14</f>
        <v>0</v>
      </c>
      <c r="Q70" s="18">
        <f>I70*'GS&gt;50 Predicted Monthly'!$X$15</f>
        <v>57165341.851978198</v>
      </c>
      <c r="R70" s="18">
        <f>J70*'GS&gt;50 Predicted Monthly'!$X$16</f>
        <v>-1541495.6151278948</v>
      </c>
      <c r="S70" s="18">
        <f t="shared" ref="S70:S133" ca="1" si="63">SUM(L70:R70)</f>
        <v>70574974.026937738</v>
      </c>
    </row>
    <row r="71" spans="1:19" x14ac:dyDescent="0.2">
      <c r="A71" s="9">
        <f>'Monthly Data'!A71</f>
        <v>44105</v>
      </c>
      <c r="B71">
        <f t="shared" si="52"/>
        <v>2020</v>
      </c>
      <c r="C71">
        <f t="shared" si="53"/>
        <v>10</v>
      </c>
      <c r="D71" s="30">
        <f>'Monthly Data'!N71</f>
        <v>63677703.633451357</v>
      </c>
      <c r="E71" s="33">
        <f t="shared" ref="E71:F71" ca="1" si="64">E59</f>
        <v>23.589999999999996</v>
      </c>
      <c r="F71" s="33">
        <f t="shared" ca="1" si="64"/>
        <v>36.859999999999992</v>
      </c>
      <c r="G71" s="33">
        <f>'Monthly Data'!BS71</f>
        <v>70</v>
      </c>
      <c r="H71" s="33">
        <f>'Monthly Data'!BO71</f>
        <v>0</v>
      </c>
      <c r="I71" s="33">
        <f>'Monthly Data'!BT71</f>
        <v>31</v>
      </c>
      <c r="J71" s="13">
        <f>'Monthly Data'!AK71</f>
        <v>-113.5</v>
      </c>
      <c r="L71" s="18">
        <f>'GS&gt;50 Predicted Monthly'!$X$10</f>
        <v>12654537.4440873</v>
      </c>
      <c r="M71" s="18">
        <f ca="1">E71*'GS&gt;50 Predicted Monthly'!$X$11</f>
        <v>430181.09405223833</v>
      </c>
      <c r="N71" s="18">
        <f ca="1">F71*'GS&gt;50 Predicted Monthly'!$X$12</f>
        <v>1729170.3839673344</v>
      </c>
      <c r="O71" s="18">
        <f>G71*'GS&gt;50 Predicted Monthly'!$X$13</f>
        <v>-4656590.331964585</v>
      </c>
      <c r="P71" s="18">
        <f>H71*'GS&gt;50 Predicted Monthly'!$X$14</f>
        <v>0</v>
      </c>
      <c r="Q71" s="18">
        <f>I71*'GS&gt;50 Predicted Monthly'!$X$15</f>
        <v>59070853.247044139</v>
      </c>
      <c r="R71" s="18">
        <f>J71*'GS&gt;50 Predicted Monthly'!$X$16</f>
        <v>-795271.60144098208</v>
      </c>
      <c r="S71" s="18">
        <f t="shared" ca="1" si="63"/>
        <v>68432880.235745445</v>
      </c>
    </row>
    <row r="72" spans="1:19" x14ac:dyDescent="0.2">
      <c r="A72" s="9">
        <f>'Monthly Data'!A72</f>
        <v>44136</v>
      </c>
      <c r="B72">
        <f t="shared" si="52"/>
        <v>2020</v>
      </c>
      <c r="C72">
        <f t="shared" si="53"/>
        <v>11</v>
      </c>
      <c r="D72" s="30">
        <f>'Monthly Data'!N72</f>
        <v>63426058.56406001</v>
      </c>
      <c r="E72" s="33">
        <f t="shared" ref="E72:F72" ca="1" si="65">E60</f>
        <v>134.25000000000003</v>
      </c>
      <c r="F72" s="33">
        <f t="shared" ca="1" si="65"/>
        <v>3.410000000000001</v>
      </c>
      <c r="G72" s="33">
        <f>'Monthly Data'!BS72</f>
        <v>71</v>
      </c>
      <c r="H72" s="33">
        <f>'Monthly Data'!BO72</f>
        <v>0</v>
      </c>
      <c r="I72" s="33">
        <f>'Monthly Data'!BT72</f>
        <v>30</v>
      </c>
      <c r="J72" s="13">
        <f>'Monthly Data'!AK72</f>
        <v>-64.5</v>
      </c>
      <c r="L72" s="18">
        <f>'GS&gt;50 Predicted Monthly'!$X$10</f>
        <v>12654537.4440873</v>
      </c>
      <c r="M72" s="18">
        <f ca="1">E72*'GS&gt;50 Predicted Monthly'!$X$11</f>
        <v>2448148.023591056</v>
      </c>
      <c r="N72" s="18">
        <f ca="1">F72*'GS&gt;50 Predicted Monthly'!$X$12</f>
        <v>159969.37084450931</v>
      </c>
      <c r="O72" s="18">
        <f>G72*'GS&gt;50 Predicted Monthly'!$X$13</f>
        <v>-4723113.0509926509</v>
      </c>
      <c r="P72" s="18">
        <f>H72*'GS&gt;50 Predicted Monthly'!$X$14</f>
        <v>0</v>
      </c>
      <c r="Q72" s="18">
        <f>I72*'GS&gt;50 Predicted Monthly'!$X$15</f>
        <v>57165341.851978198</v>
      </c>
      <c r="R72" s="18">
        <f>J72*'GS&gt;50 Predicted Monthly'!$X$16</f>
        <v>-451938.48716249643</v>
      </c>
      <c r="S72" s="18">
        <f t="shared" ca="1" si="63"/>
        <v>67252945.152345911</v>
      </c>
    </row>
    <row r="73" spans="1:19" x14ac:dyDescent="0.2">
      <c r="A73" s="9">
        <f>'Monthly Data'!A73</f>
        <v>44166</v>
      </c>
      <c r="B73">
        <f t="shared" si="52"/>
        <v>2020</v>
      </c>
      <c r="C73">
        <f t="shared" si="53"/>
        <v>12</v>
      </c>
      <c r="D73" s="30">
        <f>'Monthly Data'!N73</f>
        <v>66367198.494668663</v>
      </c>
      <c r="E73" s="33">
        <f t="shared" ref="E73:F73" ca="1" si="66">E61</f>
        <v>262.99</v>
      </c>
      <c r="F73" s="33">
        <f t="shared" ca="1" si="66"/>
        <v>0</v>
      </c>
      <c r="G73" s="33">
        <f>'Monthly Data'!BS73</f>
        <v>72</v>
      </c>
      <c r="H73" s="33">
        <f>'Monthly Data'!BO73</f>
        <v>1</v>
      </c>
      <c r="I73" s="33">
        <f>'Monthly Data'!BT73</f>
        <v>31</v>
      </c>
      <c r="J73" s="13">
        <f>'Monthly Data'!AK73</f>
        <v>-73.199999999999818</v>
      </c>
      <c r="L73" s="18">
        <f>'GS&gt;50 Predicted Monthly'!$X$10</f>
        <v>12654537.4440873</v>
      </c>
      <c r="M73" s="18">
        <f ca="1">E73*'GS&gt;50 Predicted Monthly'!$X$11</f>
        <v>4795817.1227129363</v>
      </c>
      <c r="N73" s="18">
        <f ca="1">F73*'GS&gt;50 Predicted Monthly'!$X$12</f>
        <v>0</v>
      </c>
      <c r="O73" s="18">
        <f>G73*'GS&gt;50 Predicted Monthly'!$X$13</f>
        <v>-4789635.7700207159</v>
      </c>
      <c r="P73" s="18">
        <f>H73*'GS&gt;50 Predicted Monthly'!$X$14</f>
        <v>-2455659.1490839599</v>
      </c>
      <c r="Q73" s="18">
        <f>I73*'GS&gt;50 Predicted Monthly'!$X$15</f>
        <v>59070853.247044139</v>
      </c>
      <c r="R73" s="18">
        <f>J73*'GS&gt;50 Predicted Monthly'!$X$16</f>
        <v>-512897.63194255281</v>
      </c>
      <c r="S73" s="18">
        <f t="shared" ca="1" si="63"/>
        <v>68763015.262797147</v>
      </c>
    </row>
    <row r="74" spans="1:19" x14ac:dyDescent="0.2">
      <c r="A74" s="9">
        <f>'Monthly Data'!A74</f>
        <v>44197</v>
      </c>
      <c r="B74">
        <f t="shared" si="52"/>
        <v>2021</v>
      </c>
      <c r="C74">
        <f t="shared" si="53"/>
        <v>1</v>
      </c>
      <c r="D74" s="30">
        <f>'Monthly Data'!N74</f>
        <v>66761890.620358296</v>
      </c>
      <c r="E74" s="33">
        <f t="shared" ref="E74:F74" ca="1" si="67">E62</f>
        <v>384.56000000000006</v>
      </c>
      <c r="F74" s="33">
        <f t="shared" ca="1" si="67"/>
        <v>0</v>
      </c>
      <c r="G74" s="33">
        <f>'Monthly Data'!BS74</f>
        <v>73</v>
      </c>
      <c r="H74" s="33">
        <f>'Monthly Data'!BO74</f>
        <v>0</v>
      </c>
      <c r="I74" s="33">
        <f>'Monthly Data'!BT74</f>
        <v>31</v>
      </c>
      <c r="J74" s="13">
        <f>'Monthly Data'!AK74</f>
        <v>-146.39999999999964</v>
      </c>
      <c r="L74" s="18">
        <f>'GS&gt;50 Predicted Monthly'!$X$10</f>
        <v>12654537.4440873</v>
      </c>
      <c r="M74" s="18">
        <f ca="1">E74*'GS&gt;50 Predicted Monthly'!$X$11</f>
        <v>7012735.9698486142</v>
      </c>
      <c r="N74" s="18">
        <f ca="1">F74*'GS&gt;50 Predicted Monthly'!$X$12</f>
        <v>0</v>
      </c>
      <c r="O74" s="18">
        <f>G74*'GS&gt;50 Predicted Monthly'!$X$13</f>
        <v>-4856158.4890487818</v>
      </c>
      <c r="P74" s="18">
        <f>H74*'GS&gt;50 Predicted Monthly'!$X$14</f>
        <v>0</v>
      </c>
      <c r="Q74" s="18">
        <f>I74*'GS&gt;50 Predicted Monthly'!$X$15</f>
        <v>59070853.247044139</v>
      </c>
      <c r="R74" s="18">
        <f>J74*'GS&gt;50 Predicted Monthly'!$X$16</f>
        <v>-1025795.2638851056</v>
      </c>
      <c r="S74" s="18">
        <f t="shared" ca="1" si="63"/>
        <v>72856172.908046156</v>
      </c>
    </row>
    <row r="75" spans="1:19" x14ac:dyDescent="0.2">
      <c r="A75" s="9">
        <f>'Monthly Data'!A75</f>
        <v>44228</v>
      </c>
      <c r="B75">
        <f t="shared" si="52"/>
        <v>2021</v>
      </c>
      <c r="C75">
        <f t="shared" si="53"/>
        <v>2</v>
      </c>
      <c r="D75" s="30">
        <f>'Monthly Data'!N75</f>
        <v>63358967.919563264</v>
      </c>
      <c r="E75" s="33">
        <f t="shared" ref="E75:F75" ca="1" si="68">E63</f>
        <v>338.02</v>
      </c>
      <c r="F75" s="33">
        <f t="shared" ca="1" si="68"/>
        <v>0</v>
      </c>
      <c r="G75" s="33">
        <f>'Monthly Data'!BS75</f>
        <v>74</v>
      </c>
      <c r="H75" s="33">
        <f>'Monthly Data'!BO75</f>
        <v>0</v>
      </c>
      <c r="I75" s="33">
        <f>'Monthly Data'!BT75</f>
        <v>28</v>
      </c>
      <c r="J75" s="13">
        <f>'Monthly Data'!AK75</f>
        <v>-191.30000000000018</v>
      </c>
      <c r="L75" s="18">
        <f>'GS&gt;50 Predicted Monthly'!$X$10</f>
        <v>12654537.4440873</v>
      </c>
      <c r="M75" s="18">
        <f ca="1">E75*'GS&gt;50 Predicted Monthly'!$X$11</f>
        <v>6164044.6550037134</v>
      </c>
      <c r="N75" s="18">
        <f ca="1">F75*'GS&gt;50 Predicted Monthly'!$X$12</f>
        <v>0</v>
      </c>
      <c r="O75" s="18">
        <f>G75*'GS&gt;50 Predicted Monthly'!$X$13</f>
        <v>-4922681.2080768477</v>
      </c>
      <c r="P75" s="18">
        <f>H75*'GS&gt;50 Predicted Monthly'!$X$14</f>
        <v>0</v>
      </c>
      <c r="Q75" s="18">
        <f>I75*'GS&gt;50 Predicted Monthly'!$X$15</f>
        <v>53354319.061846316</v>
      </c>
      <c r="R75" s="18">
        <f>J75*'GS&gt;50 Predicted Monthly'!$X$16</f>
        <v>-1340400.5053362115</v>
      </c>
      <c r="S75" s="18">
        <f t="shared" ca="1" si="63"/>
        <v>65909819.447524279</v>
      </c>
    </row>
    <row r="76" spans="1:19" x14ac:dyDescent="0.2">
      <c r="A76" s="9">
        <f>'Monthly Data'!A76</f>
        <v>44256</v>
      </c>
      <c r="B76">
        <f t="shared" si="52"/>
        <v>2021</v>
      </c>
      <c r="C76">
        <f t="shared" si="53"/>
        <v>3</v>
      </c>
      <c r="D76" s="30">
        <f>'Monthly Data'!N76</f>
        <v>67520952.218768224</v>
      </c>
      <c r="E76" s="33">
        <f t="shared" ref="E76:F76" ca="1" si="69">E64</f>
        <v>252.67</v>
      </c>
      <c r="F76" s="33">
        <f t="shared" ca="1" si="69"/>
        <v>0</v>
      </c>
      <c r="G76" s="33">
        <f>'Monthly Data'!BS76</f>
        <v>75</v>
      </c>
      <c r="H76" s="33">
        <f>'Monthly Data'!BO76</f>
        <v>0</v>
      </c>
      <c r="I76" s="33">
        <f>'Monthly Data'!BT76</f>
        <v>31</v>
      </c>
      <c r="J76" s="13">
        <f>'Monthly Data'!AK76</f>
        <v>-110.70000000000027</v>
      </c>
      <c r="L76" s="18">
        <f>'GS&gt;50 Predicted Monthly'!$X$10</f>
        <v>12654537.4440873</v>
      </c>
      <c r="M76" s="18">
        <f ca="1">E76*'GS&gt;50 Predicted Monthly'!$X$11</f>
        <v>4607624.2914022496</v>
      </c>
      <c r="N76" s="18">
        <f ca="1">F76*'GS&gt;50 Predicted Monthly'!$X$12</f>
        <v>0</v>
      </c>
      <c r="O76" s="18">
        <f>G76*'GS&gt;50 Predicted Monthly'!$X$13</f>
        <v>-4989203.9271049127</v>
      </c>
      <c r="P76" s="18">
        <f>H76*'GS&gt;50 Predicted Monthly'!$X$14</f>
        <v>0</v>
      </c>
      <c r="Q76" s="18">
        <f>I76*'GS&gt;50 Predicted Monthly'!$X$15</f>
        <v>59070853.247044139</v>
      </c>
      <c r="R76" s="18">
        <f>J76*'GS&gt;50 Predicted Monthly'!$X$16</f>
        <v>-775652.56633935624</v>
      </c>
      <c r="S76" s="18">
        <f t="shared" ca="1" si="63"/>
        <v>70568158.489089414</v>
      </c>
    </row>
    <row r="77" spans="1:19" x14ac:dyDescent="0.2">
      <c r="A77" s="9">
        <f>'Monthly Data'!A77</f>
        <v>44287</v>
      </c>
      <c r="B77">
        <f t="shared" si="52"/>
        <v>2021</v>
      </c>
      <c r="C77">
        <f t="shared" si="53"/>
        <v>4</v>
      </c>
      <c r="D77" s="30">
        <f>'Monthly Data'!N77</f>
        <v>60994721.517973185</v>
      </c>
      <c r="E77" s="33">
        <f t="shared" ref="E77:F77" ca="1" si="70">E65</f>
        <v>112.07000000000001</v>
      </c>
      <c r="F77" s="33">
        <f t="shared" ca="1" si="70"/>
        <v>2.6300000000000003</v>
      </c>
      <c r="G77" s="33">
        <f>'Monthly Data'!BS77</f>
        <v>76</v>
      </c>
      <c r="H77" s="33">
        <f>'Monthly Data'!BO77</f>
        <v>0</v>
      </c>
      <c r="I77" s="33">
        <f>'Monthly Data'!BT77</f>
        <v>30</v>
      </c>
      <c r="J77" s="13">
        <f>'Monthly Data'!AK77</f>
        <v>97</v>
      </c>
      <c r="L77" s="18">
        <f>'GS&gt;50 Predicted Monthly'!$X$10</f>
        <v>12654537.4440873</v>
      </c>
      <c r="M77" s="18">
        <f ca="1">E77*'GS&gt;50 Predicted Monthly'!$X$11</f>
        <v>2043679.3221888239</v>
      </c>
      <c r="N77" s="18">
        <f ca="1">F77*'GS&gt;50 Predicted Monthly'!$X$12</f>
        <v>123378.13645778869</v>
      </c>
      <c r="O77" s="18">
        <f>G77*'GS&gt;50 Predicted Monthly'!$X$13</f>
        <v>-5055726.6461329786</v>
      </c>
      <c r="P77" s="18">
        <f>H77*'GS&gt;50 Predicted Monthly'!$X$14</f>
        <v>0</v>
      </c>
      <c r="Q77" s="18">
        <f>I77*'GS&gt;50 Predicted Monthly'!$X$15</f>
        <v>57165341.851978198</v>
      </c>
      <c r="R77" s="18">
        <f>J77*'GS&gt;50 Predicted Monthly'!$X$16</f>
        <v>679659.43030638993</v>
      </c>
      <c r="S77" s="18">
        <f t="shared" ca="1" si="63"/>
        <v>67610869.538885519</v>
      </c>
    </row>
    <row r="78" spans="1:19" x14ac:dyDescent="0.2">
      <c r="A78" s="9">
        <f>'Monthly Data'!A78</f>
        <v>44317</v>
      </c>
      <c r="B78">
        <f t="shared" si="52"/>
        <v>2021</v>
      </c>
      <c r="C78">
        <f t="shared" si="53"/>
        <v>5</v>
      </c>
      <c r="D78" s="30">
        <f>'Monthly Data'!N78</f>
        <v>64228014.817178145</v>
      </c>
      <c r="E78" s="33">
        <f t="shared" ref="E78:F78" ca="1" si="71">E66</f>
        <v>19.18</v>
      </c>
      <c r="F78" s="33">
        <f t="shared" ca="1" si="71"/>
        <v>50.489999999999995</v>
      </c>
      <c r="G78" s="33">
        <f>'Monthly Data'!BS78</f>
        <v>77</v>
      </c>
      <c r="H78" s="33">
        <f>'Monthly Data'!BO78</f>
        <v>0</v>
      </c>
      <c r="I78" s="33">
        <f>'Monthly Data'!BT78</f>
        <v>31</v>
      </c>
      <c r="J78" s="13">
        <f>'Monthly Data'!AK78</f>
        <v>302.90000000000009</v>
      </c>
      <c r="L78" s="18">
        <f>'GS&gt;50 Predicted Monthly'!$X$10</f>
        <v>12654537.4440873</v>
      </c>
      <c r="M78" s="18">
        <f ca="1">E78*'GS&gt;50 Predicted Monthly'!$X$11</f>
        <v>349761.48299796233</v>
      </c>
      <c r="N78" s="18">
        <f ca="1">F78*'GS&gt;50 Predicted Monthly'!$X$12</f>
        <v>2368578.7489557983</v>
      </c>
      <c r="O78" s="18">
        <f>G78*'GS&gt;50 Predicted Monthly'!$X$13</f>
        <v>-5122249.3651610436</v>
      </c>
      <c r="P78" s="18">
        <f>H78*'GS&gt;50 Predicted Monthly'!$X$14</f>
        <v>0</v>
      </c>
      <c r="Q78" s="18">
        <f>I78*'GS&gt;50 Predicted Monthly'!$X$15</f>
        <v>59070853.247044139</v>
      </c>
      <c r="R78" s="18">
        <f>J78*'GS&gt;50 Predicted Monthly'!$X$16</f>
        <v>2122359.1901010885</v>
      </c>
      <c r="S78" s="18">
        <f t="shared" ca="1" si="63"/>
        <v>71443840.748025239</v>
      </c>
    </row>
    <row r="79" spans="1:19" x14ac:dyDescent="0.2">
      <c r="A79" s="9">
        <f>'Monthly Data'!A79</f>
        <v>44348</v>
      </c>
      <c r="B79">
        <f t="shared" si="52"/>
        <v>2021</v>
      </c>
      <c r="C79">
        <f t="shared" si="53"/>
        <v>6</v>
      </c>
      <c r="D79" s="30">
        <f>'Monthly Data'!N79</f>
        <v>73762071.116383106</v>
      </c>
      <c r="E79" s="33">
        <f t="shared" ref="E79:F79" ca="1" si="72">E67</f>
        <v>0</v>
      </c>
      <c r="F79" s="33">
        <f t="shared" ca="1" si="72"/>
        <v>154.05000000000001</v>
      </c>
      <c r="G79" s="33">
        <f>'Monthly Data'!BS79</f>
        <v>78</v>
      </c>
      <c r="H79" s="33">
        <f>'Monthly Data'!BO79</f>
        <v>0</v>
      </c>
      <c r="I79" s="33">
        <f>'Monthly Data'!BT79</f>
        <v>30</v>
      </c>
      <c r="J79" s="13">
        <f>'Monthly Data'!AK79</f>
        <v>372.30000000000018</v>
      </c>
      <c r="L79" s="18">
        <f>'GS&gt;50 Predicted Monthly'!$X$10</f>
        <v>12654537.4440873</v>
      </c>
      <c r="M79" s="18">
        <f ca="1">E79*'GS&gt;50 Predicted Monthly'!$X$11</f>
        <v>0</v>
      </c>
      <c r="N79" s="18">
        <f ca="1">F79*'GS&gt;50 Predicted Monthly'!$X$12</f>
        <v>7226768.7913773181</v>
      </c>
      <c r="O79" s="18">
        <f>G79*'GS&gt;50 Predicted Monthly'!$X$13</f>
        <v>-5188772.0841891095</v>
      </c>
      <c r="P79" s="18">
        <f>H79*'GS&gt;50 Predicted Monthly'!$X$14</f>
        <v>0</v>
      </c>
      <c r="Q79" s="18">
        <f>I79*'GS&gt;50 Predicted Monthly'!$X$15</f>
        <v>57165341.851978198</v>
      </c>
      <c r="R79" s="18">
        <f>J79*'GS&gt;50 Predicted Monthly'!$X$16</f>
        <v>2608630.9886914343</v>
      </c>
      <c r="S79" s="18">
        <f t="shared" ca="1" si="63"/>
        <v>74466506.991945133</v>
      </c>
    </row>
    <row r="80" spans="1:19" x14ac:dyDescent="0.2">
      <c r="A80" s="9">
        <f>'Monthly Data'!A80</f>
        <v>44378</v>
      </c>
      <c r="B80">
        <f t="shared" si="52"/>
        <v>2021</v>
      </c>
      <c r="C80">
        <f t="shared" si="53"/>
        <v>7</v>
      </c>
      <c r="D80" s="30">
        <f>'Monthly Data'!N80</f>
        <v>76779118.415588066</v>
      </c>
      <c r="E80" s="33">
        <f t="shared" ref="E80:F80" ca="1" si="73">E68</f>
        <v>0</v>
      </c>
      <c r="F80" s="33">
        <f t="shared" ca="1" si="73"/>
        <v>267.66999999999996</v>
      </c>
      <c r="G80" s="33">
        <f>'Monthly Data'!BS80</f>
        <v>79</v>
      </c>
      <c r="H80" s="33">
        <f>'Monthly Data'!BO80</f>
        <v>0</v>
      </c>
      <c r="I80" s="33">
        <f>'Monthly Data'!BT80</f>
        <v>31</v>
      </c>
      <c r="J80" s="13">
        <f>'Monthly Data'!AK80</f>
        <v>350.30000000000018</v>
      </c>
      <c r="L80" s="18">
        <f>'GS&gt;50 Predicted Monthly'!$X$10</f>
        <v>12654537.4440873</v>
      </c>
      <c r="M80" s="18">
        <f ca="1">E80*'GS&gt;50 Predicted Monthly'!$X$11</f>
        <v>0</v>
      </c>
      <c r="N80" s="18">
        <f ca="1">F80*'GS&gt;50 Predicted Monthly'!$X$12</f>
        <v>12556891.933709616</v>
      </c>
      <c r="O80" s="18">
        <f>G80*'GS&gt;50 Predicted Monthly'!$X$13</f>
        <v>-5255294.8032171745</v>
      </c>
      <c r="P80" s="18">
        <f>H80*'GS&gt;50 Predicted Monthly'!$X$14</f>
        <v>0</v>
      </c>
      <c r="Q80" s="18">
        <f>I80*'GS&gt;50 Predicted Monthly'!$X$15</f>
        <v>59070853.247044139</v>
      </c>
      <c r="R80" s="18">
        <f>J80*'GS&gt;50 Predicted Monthly'!$X$16</f>
        <v>2454481.4271786446</v>
      </c>
      <c r="S80" s="18">
        <f t="shared" ca="1" si="63"/>
        <v>81481469.248802543</v>
      </c>
    </row>
    <row r="81" spans="1:19" x14ac:dyDescent="0.2">
      <c r="A81" s="9">
        <f>'Monthly Data'!A81</f>
        <v>44409</v>
      </c>
      <c r="B81">
        <f t="shared" si="52"/>
        <v>2021</v>
      </c>
      <c r="C81">
        <f t="shared" si="53"/>
        <v>8</v>
      </c>
      <c r="D81" s="30">
        <f>'Monthly Data'!N81</f>
        <v>82287571.714793041</v>
      </c>
      <c r="E81" s="33">
        <f t="shared" ref="E81:F81" ca="1" si="74">E69</f>
        <v>0</v>
      </c>
      <c r="F81" s="33">
        <f t="shared" ca="1" si="74"/>
        <v>246.315</v>
      </c>
      <c r="G81" s="33">
        <f>'Monthly Data'!BS81</f>
        <v>80</v>
      </c>
      <c r="H81" s="33">
        <f>'Monthly Data'!BO81</f>
        <v>0</v>
      </c>
      <c r="I81" s="33">
        <f>'Monthly Data'!BT81</f>
        <v>31</v>
      </c>
      <c r="J81" s="13">
        <f>'Monthly Data'!AK81</f>
        <v>294.59999999999991</v>
      </c>
      <c r="L81" s="18">
        <f>'GS&gt;50 Predicted Monthly'!$X$10</f>
        <v>12654537.4440873</v>
      </c>
      <c r="M81" s="18">
        <f ca="1">E81*'GS&gt;50 Predicted Monthly'!$X$11</f>
        <v>0</v>
      </c>
      <c r="N81" s="18">
        <f ca="1">F81*'GS&gt;50 Predicted Monthly'!$X$12</f>
        <v>11555089.612775749</v>
      </c>
      <c r="O81" s="18">
        <f>G81*'GS&gt;50 Predicted Monthly'!$X$13</f>
        <v>-5321817.5222452404</v>
      </c>
      <c r="P81" s="18">
        <f>H81*'GS&gt;50 Predicted Monthly'!$X$14</f>
        <v>0</v>
      </c>
      <c r="Q81" s="18">
        <f>I81*'GS&gt;50 Predicted Monthly'!$X$15</f>
        <v>59070853.247044139</v>
      </c>
      <c r="R81" s="18">
        <f>J81*'GS&gt;50 Predicted Monthly'!$X$16</f>
        <v>2064202.764621262</v>
      </c>
      <c r="S81" s="18">
        <f t="shared" ca="1" si="63"/>
        <v>80022865.5462832</v>
      </c>
    </row>
    <row r="82" spans="1:19" x14ac:dyDescent="0.2">
      <c r="A82" s="9">
        <f>'Monthly Data'!A82</f>
        <v>44440</v>
      </c>
      <c r="B82">
        <f t="shared" si="52"/>
        <v>2021</v>
      </c>
      <c r="C82">
        <f t="shared" si="53"/>
        <v>9</v>
      </c>
      <c r="D82" s="30">
        <f>'Monthly Data'!N82</f>
        <v>71607496.013998002</v>
      </c>
      <c r="E82" s="33">
        <f t="shared" ref="E82:F82" ca="1" si="75">E70</f>
        <v>0</v>
      </c>
      <c r="F82" s="33">
        <f t="shared" ca="1" si="75"/>
        <v>146.80000000000001</v>
      </c>
      <c r="G82" s="33">
        <f>'Monthly Data'!BS82</f>
        <v>81</v>
      </c>
      <c r="H82" s="33">
        <f>'Monthly Data'!BO82</f>
        <v>0</v>
      </c>
      <c r="I82" s="33">
        <f>'Monthly Data'!BT82</f>
        <v>30</v>
      </c>
      <c r="J82" s="13">
        <f>'Monthly Data'!AK82</f>
        <v>252.09999999999991</v>
      </c>
      <c r="L82" s="18">
        <f>'GS&gt;50 Predicted Monthly'!$X$10</f>
        <v>12654537.4440873</v>
      </c>
      <c r="M82" s="18">
        <f ca="1">E82*'GS&gt;50 Predicted Monthly'!$X$11</f>
        <v>0</v>
      </c>
      <c r="N82" s="18">
        <f ca="1">F82*'GS&gt;50 Predicted Monthly'!$X$12</f>
        <v>6886657.9589366456</v>
      </c>
      <c r="O82" s="18">
        <f>G82*'GS&gt;50 Predicted Monthly'!$X$13</f>
        <v>-5388340.2412733063</v>
      </c>
      <c r="P82" s="18">
        <f>H82*'GS&gt;50 Predicted Monthly'!$X$14</f>
        <v>0</v>
      </c>
      <c r="Q82" s="18">
        <f>I82*'GS&gt;50 Predicted Monthly'!$X$15</f>
        <v>57165341.851978198</v>
      </c>
      <c r="R82" s="18">
        <f>J82*'GS&gt;50 Predicted Monthly'!$X$16</f>
        <v>1766413.838971555</v>
      </c>
      <c r="S82" s="18">
        <f t="shared" ca="1" si="63"/>
        <v>73084610.852700397</v>
      </c>
    </row>
    <row r="83" spans="1:19" x14ac:dyDescent="0.2">
      <c r="A83" s="9">
        <f>'Monthly Data'!A83</f>
        <v>44470</v>
      </c>
      <c r="B83">
        <f t="shared" si="52"/>
        <v>2021</v>
      </c>
      <c r="C83">
        <f t="shared" si="53"/>
        <v>10</v>
      </c>
      <c r="D83" s="30">
        <f>'Monthly Data'!N83</f>
        <v>69158586.313202962</v>
      </c>
      <c r="E83" s="33">
        <f t="shared" ref="E83:F83" ca="1" si="76">E71</f>
        <v>23.589999999999996</v>
      </c>
      <c r="F83" s="33">
        <f t="shared" ca="1" si="76"/>
        <v>36.859999999999992</v>
      </c>
      <c r="G83" s="33">
        <f>'Monthly Data'!BS83</f>
        <v>82</v>
      </c>
      <c r="H83" s="33">
        <f>'Monthly Data'!BO83</f>
        <v>0</v>
      </c>
      <c r="I83" s="33">
        <f>'Monthly Data'!BT83</f>
        <v>31</v>
      </c>
      <c r="J83" s="13">
        <f>'Monthly Data'!AK83</f>
        <v>200.59999999999991</v>
      </c>
      <c r="L83" s="18">
        <f>'GS&gt;50 Predicted Monthly'!$X$10</f>
        <v>12654537.4440873</v>
      </c>
      <c r="M83" s="18">
        <f ca="1">E83*'GS&gt;50 Predicted Monthly'!$X$11</f>
        <v>430181.09405223833</v>
      </c>
      <c r="N83" s="18">
        <f ca="1">F83*'GS&gt;50 Predicted Monthly'!$X$12</f>
        <v>1729170.3839673344</v>
      </c>
      <c r="O83" s="18">
        <f>G83*'GS&gt;50 Predicted Monthly'!$X$13</f>
        <v>-5454862.9603013713</v>
      </c>
      <c r="P83" s="18">
        <f>H83*'GS&gt;50 Predicted Monthly'!$X$14</f>
        <v>0</v>
      </c>
      <c r="Q83" s="18">
        <f>I83*'GS&gt;50 Predicted Monthly'!$X$15</f>
        <v>59070853.247044139</v>
      </c>
      <c r="R83" s="18">
        <f>J83*'GS&gt;50 Predicted Monthly'!$X$16</f>
        <v>1405563.7290666162</v>
      </c>
      <c r="S83" s="18">
        <f t="shared" ca="1" si="63"/>
        <v>69835442.937916249</v>
      </c>
    </row>
    <row r="84" spans="1:19" x14ac:dyDescent="0.2">
      <c r="A84" s="9">
        <f>'Monthly Data'!A84</f>
        <v>44501</v>
      </c>
      <c r="B84">
        <f t="shared" si="52"/>
        <v>2021</v>
      </c>
      <c r="C84">
        <f t="shared" si="53"/>
        <v>11</v>
      </c>
      <c r="D84" s="30">
        <f>'Monthly Data'!N84</f>
        <v>69469437.612407923</v>
      </c>
      <c r="E84" s="33">
        <f t="shared" ref="E84:F84" ca="1" si="77">E72</f>
        <v>134.25000000000003</v>
      </c>
      <c r="F84" s="33">
        <f t="shared" ca="1" si="77"/>
        <v>3.410000000000001</v>
      </c>
      <c r="G84" s="33">
        <f>'Monthly Data'!BS84</f>
        <v>83</v>
      </c>
      <c r="H84" s="33">
        <f>'Monthly Data'!BO84</f>
        <v>0</v>
      </c>
      <c r="I84" s="33">
        <f>'Monthly Data'!BT84</f>
        <v>30</v>
      </c>
      <c r="J84" s="13">
        <f>'Monthly Data'!AK84</f>
        <v>183.19999999999982</v>
      </c>
      <c r="L84" s="18">
        <f>'GS&gt;50 Predicted Monthly'!$X$10</f>
        <v>12654537.4440873</v>
      </c>
      <c r="M84" s="18">
        <f ca="1">E84*'GS&gt;50 Predicted Monthly'!$X$11</f>
        <v>2448148.023591056</v>
      </c>
      <c r="N84" s="18">
        <f ca="1">F84*'GS&gt;50 Predicted Monthly'!$X$12</f>
        <v>159969.37084450931</v>
      </c>
      <c r="O84" s="18">
        <f>G84*'GS&gt;50 Predicted Monthly'!$X$13</f>
        <v>-5521385.6793294372</v>
      </c>
      <c r="P84" s="18">
        <f>H84*'GS&gt;50 Predicted Monthly'!$X$14</f>
        <v>0</v>
      </c>
      <c r="Q84" s="18">
        <f>I84*'GS&gt;50 Predicted Monthly'!$X$15</f>
        <v>57165341.851978198</v>
      </c>
      <c r="R84" s="18">
        <f>J84*'GS&gt;50 Predicted Monthly'!$X$16</f>
        <v>1283645.4395065003</v>
      </c>
      <c r="S84" s="18">
        <f t="shared" ca="1" si="63"/>
        <v>68190256.450678125</v>
      </c>
    </row>
    <row r="85" spans="1:19" x14ac:dyDescent="0.2">
      <c r="A85" s="9">
        <f>'Monthly Data'!A85</f>
        <v>44531</v>
      </c>
      <c r="B85">
        <f t="shared" si="52"/>
        <v>2021</v>
      </c>
      <c r="C85">
        <f t="shared" si="53"/>
        <v>12</v>
      </c>
      <c r="D85" s="30">
        <f>'Monthly Data'!N85</f>
        <v>71198021.911612883</v>
      </c>
      <c r="E85" s="33">
        <f t="shared" ref="E85:F85" ca="1" si="78">E73</f>
        <v>262.99</v>
      </c>
      <c r="F85" s="33">
        <f t="shared" ca="1" si="78"/>
        <v>0</v>
      </c>
      <c r="G85" s="33">
        <f>'Monthly Data'!BS85</f>
        <v>84</v>
      </c>
      <c r="H85" s="33">
        <f>'Monthly Data'!BO85</f>
        <v>1</v>
      </c>
      <c r="I85" s="33">
        <f>'Monthly Data'!BT85</f>
        <v>31</v>
      </c>
      <c r="J85" s="13">
        <f>'Monthly Data'!AK85</f>
        <v>221.19999999999982</v>
      </c>
      <c r="L85" s="18">
        <f>'GS&gt;50 Predicted Monthly'!$X$10</f>
        <v>12654537.4440873</v>
      </c>
      <c r="M85" s="18">
        <f ca="1">E85*'GS&gt;50 Predicted Monthly'!$X$11</f>
        <v>4795817.1227129363</v>
      </c>
      <c r="N85" s="18">
        <f ca="1">F85*'GS&gt;50 Predicted Monthly'!$X$12</f>
        <v>0</v>
      </c>
      <c r="O85" s="18">
        <f>G85*'GS&gt;50 Predicted Monthly'!$X$13</f>
        <v>-5587908.3983575022</v>
      </c>
      <c r="P85" s="18">
        <f>H85*'GS&gt;50 Predicted Monthly'!$X$14</f>
        <v>-2455659.1490839599</v>
      </c>
      <c r="Q85" s="18">
        <f>I85*'GS&gt;50 Predicted Monthly'!$X$15</f>
        <v>59070853.247044139</v>
      </c>
      <c r="R85" s="18">
        <f>J85*'GS&gt;50 Predicted Monthly'!$X$16</f>
        <v>1549903.7730285912</v>
      </c>
      <c r="S85" s="18">
        <f t="shared" ca="1" si="63"/>
        <v>70027544.039431512</v>
      </c>
    </row>
    <row r="86" spans="1:19" x14ac:dyDescent="0.2">
      <c r="A86" s="9">
        <f>'Monthly Data'!A86</f>
        <v>44562</v>
      </c>
      <c r="B86">
        <f t="shared" si="52"/>
        <v>2022</v>
      </c>
      <c r="C86">
        <f t="shared" si="53"/>
        <v>1</v>
      </c>
      <c r="D86" s="30">
        <f>'Monthly Data'!N86</f>
        <v>74478066.188207835</v>
      </c>
      <c r="E86" s="33">
        <f t="shared" ref="E86:F86" ca="1" si="79">E74</f>
        <v>384.56000000000006</v>
      </c>
      <c r="F86" s="33">
        <f t="shared" ca="1" si="79"/>
        <v>0</v>
      </c>
      <c r="G86" s="33">
        <f>'Monthly Data'!BS86</f>
        <v>85</v>
      </c>
      <c r="H86" s="33">
        <f>'Monthly Data'!BO86</f>
        <v>0</v>
      </c>
      <c r="I86" s="33">
        <f>'Monthly Data'!BT86</f>
        <v>31</v>
      </c>
      <c r="J86" s="13">
        <f>'Monthly Data'!AK86</f>
        <v>252.19999999999982</v>
      </c>
      <c r="L86" s="18">
        <f>'GS&gt;50 Predicted Monthly'!$X$10</f>
        <v>12654537.4440873</v>
      </c>
      <c r="M86" s="18">
        <f ca="1">E86*'GS&gt;50 Predicted Monthly'!$X$11</f>
        <v>7012735.9698486142</v>
      </c>
      <c r="N86" s="18">
        <f ca="1">F86*'GS&gt;50 Predicted Monthly'!$X$12</f>
        <v>0</v>
      </c>
      <c r="O86" s="18">
        <f>G86*'GS&gt;50 Predicted Monthly'!$X$13</f>
        <v>-5654431.1173855681</v>
      </c>
      <c r="P86" s="18">
        <f>H86*'GS&gt;50 Predicted Monthly'!$X$14</f>
        <v>0</v>
      </c>
      <c r="Q86" s="18">
        <f>I86*'GS&gt;50 Predicted Monthly'!$X$15</f>
        <v>59070853.247044139</v>
      </c>
      <c r="R86" s="18">
        <f>J86*'GS&gt;50 Predicted Monthly'!$X$16</f>
        <v>1767114.5187966125</v>
      </c>
      <c r="S86" s="18">
        <f t="shared" ca="1" si="63"/>
        <v>74850810.062391087</v>
      </c>
    </row>
    <row r="87" spans="1:19" x14ac:dyDescent="0.2">
      <c r="A87" s="9">
        <f>'Monthly Data'!A87</f>
        <v>44593</v>
      </c>
      <c r="B87">
        <f t="shared" si="52"/>
        <v>2022</v>
      </c>
      <c r="C87">
        <f t="shared" si="53"/>
        <v>2</v>
      </c>
      <c r="D87" s="30">
        <f>'Monthly Data'!N87</f>
        <v>67971284.977837473</v>
      </c>
      <c r="E87" s="33">
        <f t="shared" ref="E87:F87" ca="1" si="80">E75</f>
        <v>338.02</v>
      </c>
      <c r="F87" s="33">
        <f t="shared" ca="1" si="80"/>
        <v>0</v>
      </c>
      <c r="G87" s="33">
        <f>'Monthly Data'!BS87</f>
        <v>86</v>
      </c>
      <c r="H87" s="33">
        <f>'Monthly Data'!BO87</f>
        <v>0</v>
      </c>
      <c r="I87" s="33">
        <f>'Monthly Data'!BT87</f>
        <v>28</v>
      </c>
      <c r="J87" s="13">
        <f>'Monthly Data'!AK87</f>
        <v>286.80000000000018</v>
      </c>
      <c r="L87" s="18">
        <f>'GS&gt;50 Predicted Monthly'!$X$10</f>
        <v>12654537.4440873</v>
      </c>
      <c r="M87" s="18">
        <f ca="1">E87*'GS&gt;50 Predicted Monthly'!$X$11</f>
        <v>6164044.6550037134</v>
      </c>
      <c r="N87" s="18">
        <f ca="1">F87*'GS&gt;50 Predicted Monthly'!$X$12</f>
        <v>0</v>
      </c>
      <c r="O87" s="18">
        <f>G87*'GS&gt;50 Predicted Monthly'!$X$13</f>
        <v>-5720953.8364136331</v>
      </c>
      <c r="P87" s="18">
        <f>H87*'GS&gt;50 Predicted Monthly'!$X$14</f>
        <v>0</v>
      </c>
      <c r="Q87" s="18">
        <f>I87*'GS&gt;50 Predicted Monthly'!$X$15</f>
        <v>53354319.061846316</v>
      </c>
      <c r="R87" s="18">
        <f>J87*'GS&gt;50 Predicted Monthly'!$X$16</f>
        <v>2009549.7382667295</v>
      </c>
      <c r="S87" s="18">
        <f t="shared" ca="1" si="63"/>
        <v>68461497.062790439</v>
      </c>
    </row>
    <row r="88" spans="1:19" x14ac:dyDescent="0.2">
      <c r="A88" s="9">
        <f>'Monthly Data'!A88</f>
        <v>44621</v>
      </c>
      <c r="B88">
        <f t="shared" si="52"/>
        <v>2022</v>
      </c>
      <c r="C88">
        <f t="shared" si="53"/>
        <v>3</v>
      </c>
      <c r="D88" s="30">
        <f>'Monthly Data'!N88</f>
        <v>72988414.767467111</v>
      </c>
      <c r="E88" s="33">
        <f t="shared" ref="E88:F88" ca="1" si="81">E76</f>
        <v>252.67</v>
      </c>
      <c r="F88" s="33">
        <f t="shared" ca="1" si="81"/>
        <v>0</v>
      </c>
      <c r="G88" s="33">
        <f>'Monthly Data'!BS88</f>
        <v>87</v>
      </c>
      <c r="H88" s="33">
        <f>'Monthly Data'!BO88</f>
        <v>0</v>
      </c>
      <c r="I88" s="33">
        <f>'Monthly Data'!BT88</f>
        <v>31</v>
      </c>
      <c r="J88" s="13">
        <f>'Monthly Data'!AK88</f>
        <v>269.80000000000018</v>
      </c>
      <c r="L88" s="18">
        <f>'GS&gt;50 Predicted Monthly'!$X$10</f>
        <v>12654537.4440873</v>
      </c>
      <c r="M88" s="18">
        <f ca="1">E88*'GS&gt;50 Predicted Monthly'!$X$11</f>
        <v>4607624.2914022496</v>
      </c>
      <c r="N88" s="18">
        <f ca="1">F88*'GS&gt;50 Predicted Monthly'!$X$12</f>
        <v>0</v>
      </c>
      <c r="O88" s="18">
        <f>G88*'GS&gt;50 Predicted Monthly'!$X$13</f>
        <v>-5787476.555441699</v>
      </c>
      <c r="P88" s="18">
        <f>H88*'GS&gt;50 Predicted Monthly'!$X$14</f>
        <v>0</v>
      </c>
      <c r="Q88" s="18">
        <f>I88*'GS&gt;50 Predicted Monthly'!$X$15</f>
        <v>59070853.247044139</v>
      </c>
      <c r="R88" s="18">
        <f>J88*'GS&gt;50 Predicted Monthly'!$X$16</f>
        <v>1890434.1680068467</v>
      </c>
      <c r="S88" s="18">
        <f t="shared" ca="1" si="63"/>
        <v>72435972.595098838</v>
      </c>
    </row>
    <row r="89" spans="1:19" x14ac:dyDescent="0.2">
      <c r="A89" s="9">
        <f>'Monthly Data'!A89</f>
        <v>44652</v>
      </c>
      <c r="B89">
        <f t="shared" si="52"/>
        <v>2022</v>
      </c>
      <c r="C89">
        <f t="shared" si="53"/>
        <v>4</v>
      </c>
      <c r="D89" s="30">
        <f>'Monthly Data'!N89</f>
        <v>66254711.557096742</v>
      </c>
      <c r="E89" s="33">
        <f t="shared" ref="E89:F89" ca="1" si="82">E77</f>
        <v>112.07000000000001</v>
      </c>
      <c r="F89" s="33">
        <f t="shared" ca="1" si="82"/>
        <v>2.6300000000000003</v>
      </c>
      <c r="G89" s="33">
        <f>'Monthly Data'!BS89</f>
        <v>88</v>
      </c>
      <c r="H89" s="33">
        <f>'Monthly Data'!BO89</f>
        <v>0</v>
      </c>
      <c r="I89" s="33">
        <f>'Monthly Data'!BT89</f>
        <v>30</v>
      </c>
      <c r="J89" s="13">
        <f>'Monthly Data'!AK89</f>
        <v>286.30000000000018</v>
      </c>
      <c r="L89" s="18">
        <f>'GS&gt;50 Predicted Monthly'!$X$10</f>
        <v>12654537.4440873</v>
      </c>
      <c r="M89" s="18">
        <f ca="1">E89*'GS&gt;50 Predicted Monthly'!$X$11</f>
        <v>2043679.3221888239</v>
      </c>
      <c r="N89" s="18">
        <f ca="1">F89*'GS&gt;50 Predicted Monthly'!$X$12</f>
        <v>123378.13645778869</v>
      </c>
      <c r="O89" s="18">
        <f>G89*'GS&gt;50 Predicted Monthly'!$X$13</f>
        <v>-5853999.2744697649</v>
      </c>
      <c r="P89" s="18">
        <f>H89*'GS&gt;50 Predicted Monthly'!$X$14</f>
        <v>0</v>
      </c>
      <c r="Q89" s="18">
        <f>I89*'GS&gt;50 Predicted Monthly'!$X$15</f>
        <v>57165341.851978198</v>
      </c>
      <c r="R89" s="18">
        <f>J89*'GS&gt;50 Predicted Monthly'!$X$16</f>
        <v>2006046.3391414389</v>
      </c>
      <c r="S89" s="18">
        <f t="shared" ca="1" si="63"/>
        <v>68138983.819383785</v>
      </c>
    </row>
    <row r="90" spans="1:19" x14ac:dyDescent="0.2">
      <c r="A90" s="9">
        <f>'Monthly Data'!A90</f>
        <v>44682</v>
      </c>
      <c r="B90">
        <f t="shared" si="52"/>
        <v>2022</v>
      </c>
      <c r="C90">
        <f t="shared" si="53"/>
        <v>5</v>
      </c>
      <c r="D90" s="30">
        <f>'Monthly Data'!N90</f>
        <v>70028259.346726373</v>
      </c>
      <c r="E90" s="33">
        <f t="shared" ref="E90:F90" ca="1" si="83">E78</f>
        <v>19.18</v>
      </c>
      <c r="F90" s="33">
        <f t="shared" ca="1" si="83"/>
        <v>50.489999999999995</v>
      </c>
      <c r="G90" s="33">
        <f>'Monthly Data'!BS90</f>
        <v>89</v>
      </c>
      <c r="H90" s="33">
        <f>'Monthly Data'!BO90</f>
        <v>0</v>
      </c>
      <c r="I90" s="33">
        <f>'Monthly Data'!BT90</f>
        <v>31</v>
      </c>
      <c r="J90" s="13">
        <f>'Monthly Data'!AK90</f>
        <v>290</v>
      </c>
      <c r="L90" s="18">
        <f>'GS&gt;50 Predicted Monthly'!$X$10</f>
        <v>12654537.4440873</v>
      </c>
      <c r="M90" s="18">
        <f ca="1">E90*'GS&gt;50 Predicted Monthly'!$X$11</f>
        <v>349761.48299796233</v>
      </c>
      <c r="N90" s="18">
        <f ca="1">F90*'GS&gt;50 Predicted Monthly'!$X$12</f>
        <v>2368578.7489557983</v>
      </c>
      <c r="O90" s="18">
        <f>G90*'GS&gt;50 Predicted Monthly'!$X$13</f>
        <v>-5920521.9934978299</v>
      </c>
      <c r="P90" s="18">
        <f>H90*'GS&gt;50 Predicted Monthly'!$X$14</f>
        <v>0</v>
      </c>
      <c r="Q90" s="18">
        <f>I90*'GS&gt;50 Predicted Monthly'!$X$15</f>
        <v>59070853.247044139</v>
      </c>
      <c r="R90" s="18">
        <f>J90*'GS&gt;50 Predicted Monthly'!$X$16</f>
        <v>2031971.4926685884</v>
      </c>
      <c r="S90" s="18">
        <f t="shared" ca="1" si="63"/>
        <v>70555180.422255948</v>
      </c>
    </row>
    <row r="91" spans="1:19" x14ac:dyDescent="0.2">
      <c r="A91" s="9">
        <f>'Monthly Data'!A91</f>
        <v>44713</v>
      </c>
      <c r="B91">
        <f t="shared" si="52"/>
        <v>2022</v>
      </c>
      <c r="C91">
        <f t="shared" si="53"/>
        <v>6</v>
      </c>
      <c r="D91" s="30">
        <f>'Monthly Data'!N91</f>
        <v>73412523.136356011</v>
      </c>
      <c r="E91" s="33">
        <f t="shared" ref="E91:F91" ca="1" si="84">E79</f>
        <v>0</v>
      </c>
      <c r="F91" s="33">
        <f t="shared" ca="1" si="84"/>
        <v>154.05000000000001</v>
      </c>
      <c r="G91" s="33">
        <f>'Monthly Data'!BS91</f>
        <v>90</v>
      </c>
      <c r="H91" s="33">
        <f>'Monthly Data'!BO91</f>
        <v>0</v>
      </c>
      <c r="I91" s="33">
        <f>'Monthly Data'!BT91</f>
        <v>30</v>
      </c>
      <c r="J91" s="13">
        <f>'Monthly Data'!AK91</f>
        <v>289</v>
      </c>
      <c r="L91" s="18">
        <f>'GS&gt;50 Predicted Monthly'!$X$10</f>
        <v>12654537.4440873</v>
      </c>
      <c r="M91" s="18">
        <f ca="1">E91*'GS&gt;50 Predicted Monthly'!$X$11</f>
        <v>0</v>
      </c>
      <c r="N91" s="18">
        <f ca="1">F91*'GS&gt;50 Predicted Monthly'!$X$12</f>
        <v>7226768.7913773181</v>
      </c>
      <c r="O91" s="18">
        <f>G91*'GS&gt;50 Predicted Monthly'!$X$13</f>
        <v>-5987044.7125258958</v>
      </c>
      <c r="P91" s="18">
        <f>H91*'GS&gt;50 Predicted Monthly'!$X$14</f>
        <v>0</v>
      </c>
      <c r="Q91" s="18">
        <f>I91*'GS&gt;50 Predicted Monthly'!$X$15</f>
        <v>57165341.851978198</v>
      </c>
      <c r="R91" s="18">
        <f>J91*'GS&gt;50 Predicted Monthly'!$X$16</f>
        <v>2024964.6944180073</v>
      </c>
      <c r="S91" s="18">
        <f t="shared" ca="1" si="63"/>
        <v>73084568.069334924</v>
      </c>
    </row>
    <row r="92" spans="1:19" x14ac:dyDescent="0.2">
      <c r="A92" s="9">
        <f>'Monthly Data'!A92</f>
        <v>44743</v>
      </c>
      <c r="B92">
        <f t="shared" si="52"/>
        <v>2022</v>
      </c>
      <c r="C92">
        <f t="shared" si="53"/>
        <v>7</v>
      </c>
      <c r="D92" s="30">
        <f>'Monthly Data'!N92</f>
        <v>77789632.925985634</v>
      </c>
      <c r="E92" s="33">
        <f t="shared" ref="E92:F92" ca="1" si="85">E80</f>
        <v>0</v>
      </c>
      <c r="F92" s="33">
        <f t="shared" ca="1" si="85"/>
        <v>267.66999999999996</v>
      </c>
      <c r="G92" s="33">
        <f>'Monthly Data'!BS92</f>
        <v>91</v>
      </c>
      <c r="H92" s="33">
        <f>'Monthly Data'!BO92</f>
        <v>0</v>
      </c>
      <c r="I92" s="33">
        <f>'Monthly Data'!BT92</f>
        <v>31</v>
      </c>
      <c r="J92" s="13">
        <f>'Monthly Data'!AK92</f>
        <v>250.90000000000009</v>
      </c>
      <c r="L92" s="18">
        <f>'GS&gt;50 Predicted Monthly'!$X$10</f>
        <v>12654537.4440873</v>
      </c>
      <c r="M92" s="18">
        <f ca="1">E92*'GS&gt;50 Predicted Monthly'!$X$11</f>
        <v>0</v>
      </c>
      <c r="N92" s="18">
        <f ca="1">F92*'GS&gt;50 Predicted Monthly'!$X$12</f>
        <v>12556891.933709616</v>
      </c>
      <c r="O92" s="18">
        <f>G92*'GS&gt;50 Predicted Monthly'!$X$13</f>
        <v>-6053567.4315539608</v>
      </c>
      <c r="P92" s="18">
        <f>H92*'GS&gt;50 Predicted Monthly'!$X$14</f>
        <v>0</v>
      </c>
      <c r="Q92" s="18">
        <f>I92*'GS&gt;50 Predicted Monthly'!$X$15</f>
        <v>59070853.247044139</v>
      </c>
      <c r="R92" s="18">
        <f>J92*'GS&gt;50 Predicted Monthly'!$X$16</f>
        <v>1758005.6810708588</v>
      </c>
      <c r="S92" s="18">
        <f t="shared" ca="1" si="63"/>
        <v>79986720.874357969</v>
      </c>
    </row>
    <row r="93" spans="1:19" x14ac:dyDescent="0.2">
      <c r="A93" s="9">
        <f>'Monthly Data'!A93</f>
        <v>44774</v>
      </c>
      <c r="B93">
        <f t="shared" si="52"/>
        <v>2022</v>
      </c>
      <c r="C93">
        <f t="shared" si="53"/>
        <v>8</v>
      </c>
      <c r="D93" s="30">
        <f>'Monthly Data'!N93</f>
        <v>79678316.715615273</v>
      </c>
      <c r="E93" s="33">
        <f t="shared" ref="E93:F93" ca="1" si="86">E81</f>
        <v>0</v>
      </c>
      <c r="F93" s="33">
        <f t="shared" ca="1" si="86"/>
        <v>246.315</v>
      </c>
      <c r="G93" s="33">
        <f>'Monthly Data'!BS93</f>
        <v>92</v>
      </c>
      <c r="H93" s="33">
        <f>'Monthly Data'!BO93</f>
        <v>0</v>
      </c>
      <c r="I93" s="33">
        <f>'Monthly Data'!BT93</f>
        <v>31</v>
      </c>
      <c r="J93" s="13">
        <f>'Monthly Data'!AK93</f>
        <v>177.30000000000018</v>
      </c>
      <c r="L93" s="18">
        <f>'GS&gt;50 Predicted Monthly'!$X$10</f>
        <v>12654537.4440873</v>
      </c>
      <c r="M93" s="18">
        <f ca="1">E93*'GS&gt;50 Predicted Monthly'!$X$11</f>
        <v>0</v>
      </c>
      <c r="N93" s="18">
        <f ca="1">F93*'GS&gt;50 Predicted Monthly'!$X$12</f>
        <v>11555089.612775749</v>
      </c>
      <c r="O93" s="18">
        <f>G93*'GS&gt;50 Predicted Monthly'!$X$13</f>
        <v>-6120090.1505820267</v>
      </c>
      <c r="P93" s="18">
        <f>H93*'GS&gt;50 Predicted Monthly'!$X$14</f>
        <v>0</v>
      </c>
      <c r="Q93" s="18">
        <f>I93*'GS&gt;50 Predicted Monthly'!$X$15</f>
        <v>59070853.247044139</v>
      </c>
      <c r="R93" s="18">
        <f>J93*'GS&gt;50 Predicted Monthly'!$X$16</f>
        <v>1242305.3298280728</v>
      </c>
      <c r="S93" s="18">
        <f t="shared" ca="1" si="63"/>
        <v>78402695.483153224</v>
      </c>
    </row>
    <row r="94" spans="1:19" x14ac:dyDescent="0.2">
      <c r="A94" s="9">
        <f>'Monthly Data'!A94</f>
        <v>44805</v>
      </c>
      <c r="B94">
        <f t="shared" si="52"/>
        <v>2022</v>
      </c>
      <c r="C94">
        <f t="shared" si="53"/>
        <v>9</v>
      </c>
      <c r="D94" s="30">
        <f>'Monthly Data'!N94</f>
        <v>70692856.505244911</v>
      </c>
      <c r="E94" s="33">
        <f t="shared" ref="E94:F94" ca="1" si="87">E82</f>
        <v>0</v>
      </c>
      <c r="F94" s="33">
        <f t="shared" ca="1" si="87"/>
        <v>146.80000000000001</v>
      </c>
      <c r="G94" s="33">
        <f>'Monthly Data'!BS94</f>
        <v>93</v>
      </c>
      <c r="H94" s="33">
        <f>'Monthly Data'!BO94</f>
        <v>0</v>
      </c>
      <c r="I94" s="33">
        <f>'Monthly Data'!BT94</f>
        <v>30</v>
      </c>
      <c r="J94" s="13">
        <f>'Monthly Data'!AK94</f>
        <v>103.10000000000036</v>
      </c>
      <c r="L94" s="18">
        <f>'GS&gt;50 Predicted Monthly'!$X$10</f>
        <v>12654537.4440873</v>
      </c>
      <c r="M94" s="18">
        <f ca="1">E94*'GS&gt;50 Predicted Monthly'!$X$11</f>
        <v>0</v>
      </c>
      <c r="N94" s="18">
        <f ca="1">F94*'GS&gt;50 Predicted Monthly'!$X$12</f>
        <v>6886657.9589366456</v>
      </c>
      <c r="O94" s="18">
        <f>G94*'GS&gt;50 Predicted Monthly'!$X$13</f>
        <v>-6186612.8696100917</v>
      </c>
      <c r="P94" s="18">
        <f>H94*'GS&gt;50 Predicted Monthly'!$X$14</f>
        <v>0</v>
      </c>
      <c r="Q94" s="18">
        <f>I94*'GS&gt;50 Predicted Monthly'!$X$15</f>
        <v>57165341.851978198</v>
      </c>
      <c r="R94" s="18">
        <f>J94*'GS&gt;50 Predicted Monthly'!$X$16</f>
        <v>722400.89963493869</v>
      </c>
      <c r="S94" s="18">
        <f t="shared" ca="1" si="63"/>
        <v>71242325.285026997</v>
      </c>
    </row>
    <row r="95" spans="1:19" x14ac:dyDescent="0.2">
      <c r="A95" s="9">
        <f>'Monthly Data'!A95</f>
        <v>44835</v>
      </c>
      <c r="B95">
        <f t="shared" si="52"/>
        <v>2022</v>
      </c>
      <c r="C95">
        <f t="shared" si="53"/>
        <v>10</v>
      </c>
      <c r="D95" s="30">
        <f>'Monthly Data'!N95</f>
        <v>66086004.294874541</v>
      </c>
      <c r="E95" s="33">
        <f t="shared" ref="E95:F95" ca="1" si="88">E83</f>
        <v>23.589999999999996</v>
      </c>
      <c r="F95" s="33">
        <f t="shared" ca="1" si="88"/>
        <v>36.859999999999992</v>
      </c>
      <c r="G95" s="33">
        <f>'Monthly Data'!BS95</f>
        <v>94</v>
      </c>
      <c r="H95" s="33">
        <f>'Monthly Data'!BO95</f>
        <v>0</v>
      </c>
      <c r="I95" s="33">
        <f>'Monthly Data'!BT95</f>
        <v>31</v>
      </c>
      <c r="J95" s="13">
        <f>'Monthly Data'!AK95</f>
        <v>45</v>
      </c>
      <c r="L95" s="18">
        <f>'GS&gt;50 Predicted Monthly'!$X$10</f>
        <v>12654537.4440873</v>
      </c>
      <c r="M95" s="18">
        <f ca="1">E95*'GS&gt;50 Predicted Monthly'!$X$11</f>
        <v>430181.09405223833</v>
      </c>
      <c r="N95" s="18">
        <f ca="1">F95*'GS&gt;50 Predicted Monthly'!$X$12</f>
        <v>1729170.3839673344</v>
      </c>
      <c r="O95" s="18">
        <f>G95*'GS&gt;50 Predicted Monthly'!$X$13</f>
        <v>-6253135.5886381576</v>
      </c>
      <c r="P95" s="18">
        <f>H95*'GS&gt;50 Predicted Monthly'!$X$14</f>
        <v>0</v>
      </c>
      <c r="Q95" s="18">
        <f>I95*'GS&gt;50 Predicted Monthly'!$X$15</f>
        <v>59070853.247044139</v>
      </c>
      <c r="R95" s="18">
        <f>J95*'GS&gt;50 Predicted Monthly'!$X$16</f>
        <v>315305.92127616028</v>
      </c>
      <c r="S95" s="18">
        <f t="shared" ca="1" si="63"/>
        <v>67946912.501789019</v>
      </c>
    </row>
    <row r="96" spans="1:19" x14ac:dyDescent="0.2">
      <c r="A96" s="9">
        <f>'Monthly Data'!A96</f>
        <v>44866</v>
      </c>
      <c r="B96">
        <f t="shared" si="52"/>
        <v>2022</v>
      </c>
      <c r="C96">
        <f t="shared" si="53"/>
        <v>11</v>
      </c>
      <c r="D96" s="30">
        <f>'Monthly Data'!N96</f>
        <v>67580147.084504172</v>
      </c>
      <c r="E96" s="33">
        <f t="shared" ref="E96:F96" ca="1" si="89">E84</f>
        <v>134.25000000000003</v>
      </c>
      <c r="F96" s="33">
        <f t="shared" ca="1" si="89"/>
        <v>3.410000000000001</v>
      </c>
      <c r="G96" s="33">
        <f>'Monthly Data'!BS96</f>
        <v>95</v>
      </c>
      <c r="H96" s="33">
        <f>'Monthly Data'!BO96</f>
        <v>0</v>
      </c>
      <c r="I96" s="33">
        <f>'Monthly Data'!BT96</f>
        <v>30</v>
      </c>
      <c r="J96" s="13">
        <f>'Monthly Data'!AK96</f>
        <v>1</v>
      </c>
      <c r="L96" s="18">
        <f>'GS&gt;50 Predicted Monthly'!$X$10</f>
        <v>12654537.4440873</v>
      </c>
      <c r="M96" s="18">
        <f ca="1">E96*'GS&gt;50 Predicted Monthly'!$X$11</f>
        <v>2448148.023591056</v>
      </c>
      <c r="N96" s="18">
        <f ca="1">F96*'GS&gt;50 Predicted Monthly'!$X$12</f>
        <v>159969.37084450931</v>
      </c>
      <c r="O96" s="18">
        <f>G96*'GS&gt;50 Predicted Monthly'!$X$13</f>
        <v>-6319658.3076662226</v>
      </c>
      <c r="P96" s="18">
        <f>H96*'GS&gt;50 Predicted Monthly'!$X$14</f>
        <v>0</v>
      </c>
      <c r="Q96" s="18">
        <f>I96*'GS&gt;50 Predicted Monthly'!$X$15</f>
        <v>57165341.851978198</v>
      </c>
      <c r="R96" s="18">
        <f>J96*'GS&gt;50 Predicted Monthly'!$X$16</f>
        <v>7006.7982505813397</v>
      </c>
      <c r="S96" s="18">
        <f t="shared" ca="1" si="63"/>
        <v>66115345.181085415</v>
      </c>
    </row>
    <row r="97" spans="1:22" x14ac:dyDescent="0.2">
      <c r="A97" s="9">
        <f>'Monthly Data'!A97</f>
        <v>44896</v>
      </c>
      <c r="B97">
        <f t="shared" si="52"/>
        <v>2022</v>
      </c>
      <c r="C97">
        <f t="shared" si="53"/>
        <v>12</v>
      </c>
      <c r="D97" s="30">
        <f>'Monthly Data'!N97</f>
        <v>69037463.87413381</v>
      </c>
      <c r="E97" s="33">
        <f t="shared" ref="E97:F97" ca="1" si="90">E85</f>
        <v>262.99</v>
      </c>
      <c r="F97" s="33">
        <f t="shared" ca="1" si="90"/>
        <v>0</v>
      </c>
      <c r="G97" s="33">
        <f>'Monthly Data'!BS97</f>
        <v>96</v>
      </c>
      <c r="H97" s="33">
        <f>'Monthly Data'!BO97</f>
        <v>1</v>
      </c>
      <c r="I97" s="33">
        <f>'Monthly Data'!BT97</f>
        <v>31</v>
      </c>
      <c r="J97" s="13">
        <f>'Monthly Data'!AK97</f>
        <v>-18.699999999999818</v>
      </c>
      <c r="L97" s="18">
        <f>'GS&gt;50 Predicted Monthly'!$X$10</f>
        <v>12654537.4440873</v>
      </c>
      <c r="M97" s="18">
        <f ca="1">E97*'GS&gt;50 Predicted Monthly'!$X$11</f>
        <v>4795817.1227129363</v>
      </c>
      <c r="N97" s="18">
        <f ca="1">F97*'GS&gt;50 Predicted Monthly'!$X$12</f>
        <v>0</v>
      </c>
      <c r="O97" s="18">
        <f>G97*'GS&gt;50 Predicted Monthly'!$X$13</f>
        <v>-6386181.0266942885</v>
      </c>
      <c r="P97" s="18">
        <f>H97*'GS&gt;50 Predicted Monthly'!$X$14</f>
        <v>-2455659.1490839599</v>
      </c>
      <c r="Q97" s="18">
        <f>I97*'GS&gt;50 Predicted Monthly'!$X$15</f>
        <v>59070853.247044139</v>
      </c>
      <c r="R97" s="18">
        <f>J97*'GS&gt;50 Predicted Monthly'!$X$16</f>
        <v>-131027.12728586978</v>
      </c>
      <c r="S97" s="18">
        <f t="shared" ca="1" si="63"/>
        <v>67548340.51078026</v>
      </c>
    </row>
    <row r="98" spans="1:22" x14ac:dyDescent="0.2">
      <c r="A98" s="9">
        <f>'Monthly Data'!A98</f>
        <v>44927</v>
      </c>
      <c r="B98">
        <f t="shared" si="52"/>
        <v>2023</v>
      </c>
      <c r="C98">
        <f t="shared" si="53"/>
        <v>1</v>
      </c>
      <c r="D98" s="30">
        <f>'Monthly Data'!N98</f>
        <v>71676689.947135583</v>
      </c>
      <c r="E98" s="33">
        <f t="shared" ref="E98:F98" ca="1" si="91">E86</f>
        <v>384.56000000000006</v>
      </c>
      <c r="F98" s="33">
        <f t="shared" ca="1" si="91"/>
        <v>0</v>
      </c>
      <c r="G98" s="33">
        <f>'Monthly Data'!BS98</f>
        <v>97</v>
      </c>
      <c r="H98" s="33">
        <f>'Monthly Data'!BO98</f>
        <v>0</v>
      </c>
      <c r="I98" s="33">
        <f>'Monthly Data'!BT98</f>
        <v>31</v>
      </c>
      <c r="J98" s="13">
        <f>'Monthly Data'!AK98</f>
        <v>13.199999999999818</v>
      </c>
      <c r="L98" s="18">
        <f>'GS&gt;50 Predicted Monthly'!$X$10</f>
        <v>12654537.4440873</v>
      </c>
      <c r="M98" s="18">
        <f ca="1">E98*'GS&gt;50 Predicted Monthly'!$X$11</f>
        <v>7012735.9698486142</v>
      </c>
      <c r="N98" s="18">
        <f ca="1">F98*'GS&gt;50 Predicted Monthly'!$X$12</f>
        <v>0</v>
      </c>
      <c r="O98" s="18">
        <f>G98*'GS&gt;50 Predicted Monthly'!$X$13</f>
        <v>-6452703.7457223544</v>
      </c>
      <c r="P98" s="18">
        <f>H98*'GS&gt;50 Predicted Monthly'!$X$14</f>
        <v>0</v>
      </c>
      <c r="Q98" s="18">
        <f>I98*'GS&gt;50 Predicted Monthly'!$X$15</f>
        <v>59070853.247044139</v>
      </c>
      <c r="R98" s="18">
        <f>J98*'GS&gt;50 Predicted Monthly'!$X$16</f>
        <v>92489.736907672414</v>
      </c>
      <c r="S98" s="18">
        <f t="shared" ca="1" si="63"/>
        <v>72377912.652165368</v>
      </c>
    </row>
    <row r="99" spans="1:22" x14ac:dyDescent="0.2">
      <c r="A99" s="9">
        <f>'Monthly Data'!A99</f>
        <v>44958</v>
      </c>
      <c r="B99">
        <f t="shared" si="52"/>
        <v>2023</v>
      </c>
      <c r="C99">
        <f t="shared" si="53"/>
        <v>2</v>
      </c>
      <c r="D99" s="30">
        <f>'Monthly Data'!N99</f>
        <v>65932492.269264214</v>
      </c>
      <c r="E99" s="33">
        <f t="shared" ref="E99:F99" ca="1" si="92">E87</f>
        <v>338.02</v>
      </c>
      <c r="F99" s="33">
        <f t="shared" ca="1" si="92"/>
        <v>0</v>
      </c>
      <c r="G99" s="33">
        <f>'Monthly Data'!BS99</f>
        <v>98</v>
      </c>
      <c r="H99" s="33">
        <f>'Monthly Data'!BO99</f>
        <v>0</v>
      </c>
      <c r="I99" s="33">
        <f>'Monthly Data'!BT99</f>
        <v>28</v>
      </c>
      <c r="J99" s="13">
        <f>'Monthly Data'!AK99</f>
        <v>45.900000000000091</v>
      </c>
      <c r="L99" s="18">
        <f>'GS&gt;50 Predicted Monthly'!$X$10</f>
        <v>12654537.4440873</v>
      </c>
      <c r="M99" s="18">
        <f ca="1">E99*'GS&gt;50 Predicted Monthly'!$X$11</f>
        <v>6164044.6550037134</v>
      </c>
      <c r="N99" s="18">
        <f ca="1">F99*'GS&gt;50 Predicted Monthly'!$X$12</f>
        <v>0</v>
      </c>
      <c r="O99" s="18">
        <f>G99*'GS&gt;50 Predicted Monthly'!$X$13</f>
        <v>-6519226.4647504194</v>
      </c>
      <c r="P99" s="18">
        <f>H99*'GS&gt;50 Predicted Monthly'!$X$14</f>
        <v>0</v>
      </c>
      <c r="Q99" s="18">
        <f>I99*'GS&gt;50 Predicted Monthly'!$X$15</f>
        <v>53354319.061846316</v>
      </c>
      <c r="R99" s="18">
        <f>J99*'GS&gt;50 Predicted Monthly'!$X$16</f>
        <v>321612.03970168415</v>
      </c>
      <c r="S99" s="18">
        <f t="shared" ca="1" si="63"/>
        <v>65975286.7358886</v>
      </c>
    </row>
    <row r="100" spans="1:22" x14ac:dyDescent="0.2">
      <c r="A100" s="9">
        <f>'Monthly Data'!A100</f>
        <v>44986</v>
      </c>
      <c r="B100">
        <f t="shared" si="52"/>
        <v>2023</v>
      </c>
      <c r="C100">
        <f t="shared" si="53"/>
        <v>3</v>
      </c>
      <c r="D100" s="30">
        <f>'Monthly Data'!N100</f>
        <v>71645382.591392845</v>
      </c>
      <c r="E100" s="33">
        <f t="shared" ref="E100:F100" ca="1" si="93">E88</f>
        <v>252.67</v>
      </c>
      <c r="F100" s="33">
        <f t="shared" ca="1" si="93"/>
        <v>0</v>
      </c>
      <c r="G100" s="33">
        <f>'Monthly Data'!BS100</f>
        <v>99</v>
      </c>
      <c r="H100" s="33">
        <f>'Monthly Data'!BO100</f>
        <v>0</v>
      </c>
      <c r="I100" s="33">
        <f>'Monthly Data'!BT100</f>
        <v>31</v>
      </c>
      <c r="J100" s="13">
        <f>'Monthly Data'!AK100</f>
        <v>92.299999999999727</v>
      </c>
      <c r="L100" s="18">
        <f>'GS&gt;50 Predicted Monthly'!$X$10</f>
        <v>12654537.4440873</v>
      </c>
      <c r="M100" s="18">
        <f ca="1">E100*'GS&gt;50 Predicted Monthly'!$X$11</f>
        <v>4607624.2914022496</v>
      </c>
      <c r="N100" s="18">
        <f ca="1">F100*'GS&gt;50 Predicted Monthly'!$X$12</f>
        <v>0</v>
      </c>
      <c r="O100" s="18">
        <f>G100*'GS&gt;50 Predicted Monthly'!$X$13</f>
        <v>-6585749.1837784853</v>
      </c>
      <c r="P100" s="18">
        <f>H100*'GS&gt;50 Predicted Monthly'!$X$14</f>
        <v>0</v>
      </c>
      <c r="Q100" s="18">
        <f>I100*'GS&gt;50 Predicted Monthly'!$X$15</f>
        <v>59070853.247044139</v>
      </c>
      <c r="R100" s="18">
        <f>J100*'GS&gt;50 Predicted Monthly'!$X$16</f>
        <v>646727.47852865572</v>
      </c>
      <c r="S100" s="18">
        <f t="shared" ca="1" si="63"/>
        <v>70393993.277283847</v>
      </c>
      <c r="U100" s="18"/>
      <c r="V100" s="34"/>
    </row>
    <row r="101" spans="1:22" x14ac:dyDescent="0.2">
      <c r="A101" s="9">
        <f>'Monthly Data'!A101</f>
        <v>45017</v>
      </c>
      <c r="B101">
        <f t="shared" si="52"/>
        <v>2023</v>
      </c>
      <c r="C101">
        <f t="shared" si="53"/>
        <v>4</v>
      </c>
      <c r="D101" s="30">
        <f>'Monthly Data'!N101</f>
        <v>64673302.913521484</v>
      </c>
      <c r="E101" s="33">
        <f t="shared" ref="E101:F101" ca="1" si="94">E89</f>
        <v>112.07000000000001</v>
      </c>
      <c r="F101" s="33">
        <f t="shared" ca="1" si="94"/>
        <v>2.6300000000000003</v>
      </c>
      <c r="G101" s="33">
        <f>'Monthly Data'!BS101</f>
        <v>100</v>
      </c>
      <c r="H101" s="33">
        <f>'Monthly Data'!BO101</f>
        <v>0</v>
      </c>
      <c r="I101" s="33">
        <f>'Monthly Data'!BT101</f>
        <v>30</v>
      </c>
      <c r="J101" s="13">
        <f>'Monthly Data'!AK101</f>
        <v>85.599999999999909</v>
      </c>
      <c r="L101" s="18">
        <f>'GS&gt;50 Predicted Monthly'!$X$10</f>
        <v>12654537.4440873</v>
      </c>
      <c r="M101" s="18">
        <f ca="1">E101*'GS&gt;50 Predicted Monthly'!$X$11</f>
        <v>2043679.3221888239</v>
      </c>
      <c r="N101" s="18">
        <f ca="1">F101*'GS&gt;50 Predicted Monthly'!$X$12</f>
        <v>123378.13645778869</v>
      </c>
      <c r="O101" s="18">
        <f>G101*'GS&gt;50 Predicted Monthly'!$X$13</f>
        <v>-6652271.9028065503</v>
      </c>
      <c r="P101" s="18">
        <f>H101*'GS&gt;50 Predicted Monthly'!$X$14</f>
        <v>0</v>
      </c>
      <c r="Q101" s="18">
        <f>I101*'GS&gt;50 Predicted Monthly'!$X$15</f>
        <v>57165341.851978198</v>
      </c>
      <c r="R101" s="18">
        <f>J101*'GS&gt;50 Predicted Monthly'!$X$16</f>
        <v>599781.93024976202</v>
      </c>
      <c r="S101" s="18">
        <f t="shared" ca="1" si="63"/>
        <v>65934446.782155327</v>
      </c>
      <c r="U101" s="18"/>
      <c r="V101" s="34"/>
    </row>
    <row r="102" spans="1:22" x14ac:dyDescent="0.2">
      <c r="A102" s="9">
        <f>'Monthly Data'!A102</f>
        <v>45047</v>
      </c>
      <c r="B102">
        <f t="shared" si="52"/>
        <v>2023</v>
      </c>
      <c r="C102">
        <f t="shared" si="53"/>
        <v>5</v>
      </c>
      <c r="D102" s="30">
        <f>'Monthly Data'!N102</f>
        <v>67530760.235650122</v>
      </c>
      <c r="E102" s="33">
        <f t="shared" ref="E102:F102" ca="1" si="95">E90</f>
        <v>19.18</v>
      </c>
      <c r="F102" s="33">
        <f t="shared" ca="1" si="95"/>
        <v>50.489999999999995</v>
      </c>
      <c r="G102" s="33">
        <f>'Monthly Data'!BS102</f>
        <v>101</v>
      </c>
      <c r="H102" s="33">
        <f>'Monthly Data'!BO102</f>
        <v>0</v>
      </c>
      <c r="I102" s="33">
        <f>'Monthly Data'!BT102</f>
        <v>31</v>
      </c>
      <c r="J102" s="13">
        <f>'Monthly Data'!AK102</f>
        <v>99.5</v>
      </c>
      <c r="L102" s="18">
        <f>'GS&gt;50 Predicted Monthly'!$X$10</f>
        <v>12654537.4440873</v>
      </c>
      <c r="M102" s="18">
        <f ca="1">E102*'GS&gt;50 Predicted Monthly'!$X$11</f>
        <v>349761.48299796233</v>
      </c>
      <c r="N102" s="18">
        <f ca="1">F102*'GS&gt;50 Predicted Monthly'!$X$12</f>
        <v>2368578.7489557983</v>
      </c>
      <c r="O102" s="18">
        <f>G102*'GS&gt;50 Predicted Monthly'!$X$13</f>
        <v>-6718794.6218346162</v>
      </c>
      <c r="P102" s="18">
        <f>H102*'GS&gt;50 Predicted Monthly'!$X$14</f>
        <v>0</v>
      </c>
      <c r="Q102" s="18">
        <f>I102*'GS&gt;50 Predicted Monthly'!$X$15</f>
        <v>59070853.247044139</v>
      </c>
      <c r="R102" s="18">
        <f>J102*'GS&gt;50 Predicted Monthly'!$X$16</f>
        <v>697176.42593284335</v>
      </c>
      <c r="S102" s="18">
        <f t="shared" ca="1" si="63"/>
        <v>68422112.727183416</v>
      </c>
      <c r="U102" s="18"/>
      <c r="V102" s="34"/>
    </row>
    <row r="103" spans="1:22" x14ac:dyDescent="0.2">
      <c r="A103" s="9">
        <f>'Monthly Data'!A103</f>
        <v>45078</v>
      </c>
      <c r="B103">
        <f t="shared" si="52"/>
        <v>2023</v>
      </c>
      <c r="C103">
        <f t="shared" si="53"/>
        <v>6</v>
      </c>
      <c r="D103" s="30">
        <f>'Monthly Data'!N103</f>
        <v>70478423.557778746</v>
      </c>
      <c r="E103" s="33">
        <f t="shared" ref="E103:F103" ca="1" si="96">E91</f>
        <v>0</v>
      </c>
      <c r="F103" s="33">
        <f t="shared" ca="1" si="96"/>
        <v>154.05000000000001</v>
      </c>
      <c r="G103" s="33">
        <f>'Monthly Data'!BS103</f>
        <v>102</v>
      </c>
      <c r="H103" s="33">
        <f>'Monthly Data'!BO103</f>
        <v>0</v>
      </c>
      <c r="I103" s="33">
        <f>'Monthly Data'!BT103</f>
        <v>30</v>
      </c>
      <c r="J103" s="13">
        <f>'Monthly Data'!AK103</f>
        <v>109.89999999999964</v>
      </c>
      <c r="L103" s="18">
        <f>'GS&gt;50 Predicted Monthly'!$X$10</f>
        <v>12654537.4440873</v>
      </c>
      <c r="M103" s="18">
        <f ca="1">E103*'GS&gt;50 Predicted Monthly'!$X$11</f>
        <v>0</v>
      </c>
      <c r="N103" s="18">
        <f ca="1">F103*'GS&gt;50 Predicted Monthly'!$X$12</f>
        <v>7226768.7913773181</v>
      </c>
      <c r="O103" s="18">
        <f>G103*'GS&gt;50 Predicted Monthly'!$X$13</f>
        <v>-6785317.3408626812</v>
      </c>
      <c r="P103" s="18">
        <f>H103*'GS&gt;50 Predicted Monthly'!$X$14</f>
        <v>0</v>
      </c>
      <c r="Q103" s="18">
        <f>I103*'GS&gt;50 Predicted Monthly'!$X$15</f>
        <v>57165341.851978198</v>
      </c>
      <c r="R103" s="18">
        <f>J103*'GS&gt;50 Predicted Monthly'!$X$16</f>
        <v>770047.12773888675</v>
      </c>
      <c r="S103" s="18">
        <f t="shared" ca="1" si="63"/>
        <v>71031377.874319032</v>
      </c>
      <c r="U103" s="18"/>
      <c r="V103" s="34"/>
    </row>
    <row r="104" spans="1:22" x14ac:dyDescent="0.2">
      <c r="A104" s="9">
        <f>'Monthly Data'!A104</f>
        <v>45108</v>
      </c>
      <c r="B104">
        <f t="shared" si="52"/>
        <v>2023</v>
      </c>
      <c r="C104">
        <f t="shared" si="53"/>
        <v>7</v>
      </c>
      <c r="D104" s="30">
        <f>'Monthly Data'!N104</f>
        <v>76112982.879907385</v>
      </c>
      <c r="E104" s="33">
        <f t="shared" ref="E104:F104" ca="1" si="97">E92</f>
        <v>0</v>
      </c>
      <c r="F104" s="33">
        <f t="shared" ca="1" si="97"/>
        <v>267.66999999999996</v>
      </c>
      <c r="G104" s="33">
        <f>'Monthly Data'!BS104</f>
        <v>103</v>
      </c>
      <c r="H104" s="33">
        <f>'Monthly Data'!BO104</f>
        <v>0</v>
      </c>
      <c r="I104" s="33">
        <f>'Monthly Data'!BT104</f>
        <v>31</v>
      </c>
      <c r="J104" s="13">
        <f>'Monthly Data'!AK104</f>
        <v>116.40000000000009</v>
      </c>
      <c r="L104" s="18">
        <f>'GS&gt;50 Predicted Monthly'!$X$10</f>
        <v>12654537.4440873</v>
      </c>
      <c r="M104" s="18">
        <f ca="1">E104*'GS&gt;50 Predicted Monthly'!$X$11</f>
        <v>0</v>
      </c>
      <c r="N104" s="18">
        <f ca="1">F104*'GS&gt;50 Predicted Monthly'!$X$12</f>
        <v>12556891.933709616</v>
      </c>
      <c r="O104" s="18">
        <f>G104*'GS&gt;50 Predicted Monthly'!$X$13</f>
        <v>-6851840.0598907471</v>
      </c>
      <c r="P104" s="18">
        <f>H104*'GS&gt;50 Predicted Monthly'!$X$14</f>
        <v>0</v>
      </c>
      <c r="Q104" s="18">
        <f>I104*'GS&gt;50 Predicted Monthly'!$X$15</f>
        <v>59070853.247044139</v>
      </c>
      <c r="R104" s="18">
        <f>J104*'GS&gt;50 Predicted Monthly'!$X$16</f>
        <v>815591.31636766857</v>
      </c>
      <c r="S104" s="18">
        <f t="shared" ca="1" si="63"/>
        <v>78246033.881317988</v>
      </c>
      <c r="U104" s="18"/>
      <c r="V104" s="34"/>
    </row>
    <row r="105" spans="1:22" x14ac:dyDescent="0.2">
      <c r="A105" s="9">
        <f>'Monthly Data'!A105</f>
        <v>45139</v>
      </c>
      <c r="B105">
        <f t="shared" si="52"/>
        <v>2023</v>
      </c>
      <c r="C105">
        <f t="shared" si="53"/>
        <v>8</v>
      </c>
      <c r="D105" s="30">
        <f>'Monthly Data'!N105</f>
        <v>74128294.202036023</v>
      </c>
      <c r="E105" s="33">
        <f t="shared" ref="E105:F105" ca="1" si="98">E93</f>
        <v>0</v>
      </c>
      <c r="F105" s="33">
        <f t="shared" ca="1" si="98"/>
        <v>246.315</v>
      </c>
      <c r="G105" s="33">
        <f>'Monthly Data'!BS105</f>
        <v>104</v>
      </c>
      <c r="H105" s="33">
        <f>'Monthly Data'!BO105</f>
        <v>0</v>
      </c>
      <c r="I105" s="33">
        <f>'Monthly Data'!BT105</f>
        <v>31</v>
      </c>
      <c r="J105" s="13">
        <f>'Monthly Data'!AK105</f>
        <v>108</v>
      </c>
      <c r="L105" s="18">
        <f>'GS&gt;50 Predicted Monthly'!$X$10</f>
        <v>12654537.4440873</v>
      </c>
      <c r="M105" s="18">
        <f ca="1">E105*'GS&gt;50 Predicted Monthly'!$X$11</f>
        <v>0</v>
      </c>
      <c r="N105" s="18">
        <f ca="1">F105*'GS&gt;50 Predicted Monthly'!$X$12</f>
        <v>11555089.612775749</v>
      </c>
      <c r="O105" s="18">
        <f>G105*'GS&gt;50 Predicted Monthly'!$X$13</f>
        <v>-6918362.7789188121</v>
      </c>
      <c r="P105" s="18">
        <f>H105*'GS&gt;50 Predicted Monthly'!$X$14</f>
        <v>0</v>
      </c>
      <c r="Q105" s="18">
        <f>I105*'GS&gt;50 Predicted Monthly'!$X$15</f>
        <v>59070853.247044139</v>
      </c>
      <c r="R105" s="18">
        <f>J105*'GS&gt;50 Predicted Monthly'!$X$16</f>
        <v>756734.21106278466</v>
      </c>
      <c r="S105" s="18">
        <f t="shared" ca="1" si="63"/>
        <v>77118851.736051172</v>
      </c>
      <c r="U105" s="18"/>
      <c r="V105" s="34"/>
    </row>
    <row r="106" spans="1:22" x14ac:dyDescent="0.2">
      <c r="A106" s="9">
        <f>'Monthly Data'!A106</f>
        <v>45170</v>
      </c>
      <c r="B106">
        <f t="shared" si="52"/>
        <v>2023</v>
      </c>
      <c r="C106">
        <f t="shared" si="53"/>
        <v>9</v>
      </c>
      <c r="D106" s="30">
        <f>'Monthly Data'!N106</f>
        <v>70137255.524164647</v>
      </c>
      <c r="E106" s="33">
        <f t="shared" ref="E106:F106" ca="1" si="99">E94</f>
        <v>0</v>
      </c>
      <c r="F106" s="33">
        <f t="shared" ca="1" si="99"/>
        <v>146.80000000000001</v>
      </c>
      <c r="G106" s="33">
        <f>'Monthly Data'!BS106</f>
        <v>105</v>
      </c>
      <c r="H106" s="33">
        <f>'Monthly Data'!BO106</f>
        <v>0</v>
      </c>
      <c r="I106" s="33">
        <f>'Monthly Data'!BT106</f>
        <v>30</v>
      </c>
      <c r="J106" s="13">
        <f>'Monthly Data'!AK106</f>
        <v>114.5</v>
      </c>
      <c r="L106" s="18">
        <f>'GS&gt;50 Predicted Monthly'!$X$10</f>
        <v>12654537.4440873</v>
      </c>
      <c r="M106" s="18">
        <f ca="1">E106*'GS&gt;50 Predicted Monthly'!$X$11</f>
        <v>0</v>
      </c>
      <c r="N106" s="18">
        <f ca="1">F106*'GS&gt;50 Predicted Monthly'!$X$12</f>
        <v>6886657.9589366456</v>
      </c>
      <c r="O106" s="18">
        <f>G106*'GS&gt;50 Predicted Monthly'!$X$13</f>
        <v>-6984885.497946878</v>
      </c>
      <c r="P106" s="18">
        <f>H106*'GS&gt;50 Predicted Monthly'!$X$14</f>
        <v>0</v>
      </c>
      <c r="Q106" s="18">
        <f>I106*'GS&gt;50 Predicted Monthly'!$X$15</f>
        <v>57165341.851978198</v>
      </c>
      <c r="R106" s="18">
        <f>J106*'GS&gt;50 Predicted Monthly'!$X$16</f>
        <v>802278.39969156345</v>
      </c>
      <c r="S106" s="18">
        <f t="shared" ca="1" si="63"/>
        <v>70523930.156746835</v>
      </c>
      <c r="U106" s="18"/>
      <c r="V106" s="34"/>
    </row>
    <row r="107" spans="1:22" x14ac:dyDescent="0.2">
      <c r="A107" s="9">
        <f>'Monthly Data'!A107</f>
        <v>45200</v>
      </c>
      <c r="B107">
        <f t="shared" si="52"/>
        <v>2023</v>
      </c>
      <c r="C107">
        <f t="shared" si="53"/>
        <v>10</v>
      </c>
      <c r="D107" s="30">
        <f>'Monthly Data'!N107</f>
        <v>68045049.846293285</v>
      </c>
      <c r="E107" s="33">
        <f t="shared" ref="E107:F107" ca="1" si="100">E95</f>
        <v>23.589999999999996</v>
      </c>
      <c r="F107" s="33">
        <f t="shared" ca="1" si="100"/>
        <v>36.859999999999992</v>
      </c>
      <c r="G107" s="33">
        <f>'Monthly Data'!BS107</f>
        <v>106</v>
      </c>
      <c r="H107" s="33">
        <f>'Monthly Data'!BO107</f>
        <v>0</v>
      </c>
      <c r="I107" s="33">
        <f>'Monthly Data'!BT107</f>
        <v>31</v>
      </c>
      <c r="J107" s="13">
        <f>'Monthly Data'!AK107</f>
        <v>118.09999999999991</v>
      </c>
      <c r="L107" s="18">
        <f>'GS&gt;50 Predicted Monthly'!$X$10</f>
        <v>12654537.4440873</v>
      </c>
      <c r="M107" s="18">
        <f ca="1">E107*'GS&gt;50 Predicted Monthly'!$X$11</f>
        <v>430181.09405223833</v>
      </c>
      <c r="N107" s="18">
        <f ca="1">F107*'GS&gt;50 Predicted Monthly'!$X$12</f>
        <v>1729170.3839673344</v>
      </c>
      <c r="O107" s="18">
        <f>G107*'GS&gt;50 Predicted Monthly'!$X$13</f>
        <v>-7051408.2169749439</v>
      </c>
      <c r="P107" s="18">
        <f>H107*'GS&gt;50 Predicted Monthly'!$X$14</f>
        <v>0</v>
      </c>
      <c r="Q107" s="18">
        <f>I107*'GS&gt;50 Predicted Monthly'!$X$15</f>
        <v>59070853.247044139</v>
      </c>
      <c r="R107" s="18">
        <f>J107*'GS&gt;50 Predicted Monthly'!$X$16</f>
        <v>827502.87339365564</v>
      </c>
      <c r="S107" s="18">
        <f t="shared" ca="1" si="63"/>
        <v>67660836.825569719</v>
      </c>
      <c r="U107" s="18"/>
      <c r="V107" s="34"/>
    </row>
    <row r="108" spans="1:22" x14ac:dyDescent="0.2">
      <c r="A108" s="9">
        <f>'Monthly Data'!A108</f>
        <v>45231</v>
      </c>
      <c r="B108">
        <f t="shared" si="52"/>
        <v>2023</v>
      </c>
      <c r="C108">
        <f t="shared" si="53"/>
        <v>11</v>
      </c>
      <c r="D108" s="30">
        <f>'Monthly Data'!N108</f>
        <v>67535164.168421924</v>
      </c>
      <c r="E108" s="33">
        <f t="shared" ref="E108:F108" ca="1" si="101">E96</f>
        <v>134.25000000000003</v>
      </c>
      <c r="F108" s="33">
        <f t="shared" ca="1" si="101"/>
        <v>3.410000000000001</v>
      </c>
      <c r="G108" s="33">
        <f>'Monthly Data'!BS108</f>
        <v>107</v>
      </c>
      <c r="H108" s="33">
        <f>'Monthly Data'!BO108</f>
        <v>0</v>
      </c>
      <c r="I108" s="33">
        <f>'Monthly Data'!BT108</f>
        <v>30</v>
      </c>
      <c r="J108" s="13">
        <f>'Monthly Data'!AK108</f>
        <v>128.60000000000036</v>
      </c>
      <c r="L108" s="18">
        <f>'GS&gt;50 Predicted Monthly'!$X$10</f>
        <v>12654537.4440873</v>
      </c>
      <c r="M108" s="18">
        <f ca="1">E108*'GS&gt;50 Predicted Monthly'!$X$11</f>
        <v>2448148.023591056</v>
      </c>
      <c r="N108" s="18">
        <f ca="1">F108*'GS&gt;50 Predicted Monthly'!$X$12</f>
        <v>159969.37084450931</v>
      </c>
      <c r="O108" s="18">
        <f>G108*'GS&gt;50 Predicted Monthly'!$X$13</f>
        <v>-7117930.9360030089</v>
      </c>
      <c r="P108" s="18">
        <f>H108*'GS&gt;50 Predicted Monthly'!$X$14</f>
        <v>0</v>
      </c>
      <c r="Q108" s="18">
        <f>I108*'GS&gt;50 Predicted Monthly'!$X$15</f>
        <v>57165341.851978198</v>
      </c>
      <c r="R108" s="18">
        <f>J108*'GS&gt;50 Predicted Monthly'!$X$16</f>
        <v>901074.25502476282</v>
      </c>
      <c r="S108" s="18">
        <f t="shared" ca="1" si="63"/>
        <v>66211140.009522818</v>
      </c>
      <c r="U108" s="18"/>
      <c r="V108" s="34"/>
    </row>
    <row r="109" spans="1:22" x14ac:dyDescent="0.2">
      <c r="A109" s="9">
        <f>'Monthly Data'!A109</f>
        <v>45261</v>
      </c>
      <c r="B109">
        <f t="shared" si="52"/>
        <v>2023</v>
      </c>
      <c r="C109">
        <f t="shared" si="53"/>
        <v>12</v>
      </c>
      <c r="D109" s="30">
        <f>'Monthly Data'!N109</f>
        <v>67172872.490550563</v>
      </c>
      <c r="E109" s="33">
        <f t="shared" ref="E109:F109" ca="1" si="102">E97</f>
        <v>262.99</v>
      </c>
      <c r="F109" s="33">
        <f t="shared" ca="1" si="102"/>
        <v>0</v>
      </c>
      <c r="G109" s="33">
        <f>'Monthly Data'!BS109</f>
        <v>108</v>
      </c>
      <c r="H109" s="33">
        <f>'Monthly Data'!BO109</f>
        <v>1</v>
      </c>
      <c r="I109" s="33">
        <f>'Monthly Data'!BT109</f>
        <v>31</v>
      </c>
      <c r="J109" s="13">
        <f>'Monthly Data'!AK109</f>
        <v>108.40000000000009</v>
      </c>
      <c r="L109" s="18">
        <f>'GS&gt;50 Predicted Monthly'!$X$10</f>
        <v>12654537.4440873</v>
      </c>
      <c r="M109" s="18">
        <f ca="1">E109*'GS&gt;50 Predicted Monthly'!$X$11</f>
        <v>4795817.1227129363</v>
      </c>
      <c r="N109" s="18">
        <f ca="1">F109*'GS&gt;50 Predicted Monthly'!$X$12</f>
        <v>0</v>
      </c>
      <c r="O109" s="18">
        <f>G109*'GS&gt;50 Predicted Monthly'!$X$13</f>
        <v>-7184453.6550310748</v>
      </c>
      <c r="P109" s="18">
        <f>H109*'GS&gt;50 Predicted Monthly'!$X$14</f>
        <v>-2455659.1490839599</v>
      </c>
      <c r="Q109" s="18">
        <f>I109*'GS&gt;50 Predicted Monthly'!$X$15</f>
        <v>59070853.247044139</v>
      </c>
      <c r="R109" s="18">
        <f>J109*'GS&gt;50 Predicted Monthly'!$X$16</f>
        <v>759536.93036301783</v>
      </c>
      <c r="S109" s="18">
        <f t="shared" ca="1" si="63"/>
        <v>67640631.940092355</v>
      </c>
      <c r="T109" s="30"/>
      <c r="U109" s="18"/>
      <c r="V109" s="34"/>
    </row>
    <row r="110" spans="1:22" x14ac:dyDescent="0.2">
      <c r="A110" s="9">
        <f>'Monthly Data'!A110</f>
        <v>45292</v>
      </c>
      <c r="B110">
        <f t="shared" si="52"/>
        <v>2024</v>
      </c>
      <c r="C110">
        <f t="shared" si="53"/>
        <v>1</v>
      </c>
      <c r="D110" s="30">
        <f>'Monthly Data'!N110</f>
        <v>73612400.277207389</v>
      </c>
      <c r="E110" s="33">
        <f t="shared" ref="E110:F110" ca="1" si="103">E98</f>
        <v>384.56000000000006</v>
      </c>
      <c r="F110" s="33">
        <f t="shared" ca="1" si="103"/>
        <v>0</v>
      </c>
      <c r="G110" s="33">
        <f>'Monthly Data'!BS110</f>
        <v>109</v>
      </c>
      <c r="H110" s="33">
        <f>'Monthly Data'!BO110</f>
        <v>0</v>
      </c>
      <c r="I110" s="33">
        <f>'Monthly Data'!BT110</f>
        <v>31</v>
      </c>
      <c r="J110" s="13">
        <f>'Monthly Data'!AK110</f>
        <v>88.5</v>
      </c>
      <c r="L110" s="18">
        <f>'GS&gt;50 Predicted Monthly'!$X$10</f>
        <v>12654537.4440873</v>
      </c>
      <c r="M110" s="18">
        <f ca="1">E110*'GS&gt;50 Predicted Monthly'!$X$11</f>
        <v>7012735.9698486142</v>
      </c>
      <c r="N110" s="18">
        <f ca="1">F110*'GS&gt;50 Predicted Monthly'!$X$12</f>
        <v>0</v>
      </c>
      <c r="O110" s="18">
        <f>G110*'GS&gt;50 Predicted Monthly'!$X$13</f>
        <v>-7250976.3740591398</v>
      </c>
      <c r="P110" s="18">
        <f>H110*'GS&gt;50 Predicted Monthly'!$X$14</f>
        <v>0</v>
      </c>
      <c r="Q110" s="18">
        <f>I110*'GS&gt;50 Predicted Monthly'!$X$15</f>
        <v>59070853.247044139</v>
      </c>
      <c r="R110" s="18">
        <f>J110*'GS&gt;50 Predicted Monthly'!$X$16</f>
        <v>620101.64517644851</v>
      </c>
      <c r="S110" s="18">
        <f t="shared" ca="1" si="63"/>
        <v>72107251.93209736</v>
      </c>
      <c r="T110" s="30"/>
      <c r="U110" s="18"/>
      <c r="V110" s="34"/>
    </row>
    <row r="111" spans="1:22" x14ac:dyDescent="0.2">
      <c r="A111" s="9">
        <f>'Monthly Data'!A111</f>
        <v>45323</v>
      </c>
      <c r="B111">
        <f t="shared" si="52"/>
        <v>2024</v>
      </c>
      <c r="C111">
        <f t="shared" si="53"/>
        <v>2</v>
      </c>
      <c r="D111" s="30">
        <f>'Monthly Data'!N111</f>
        <v>67426409.722989291</v>
      </c>
      <c r="E111" s="33">
        <f t="shared" ref="E111:F111" ca="1" si="104">E99</f>
        <v>338.02</v>
      </c>
      <c r="F111" s="33">
        <f t="shared" ca="1" si="104"/>
        <v>0</v>
      </c>
      <c r="G111" s="33">
        <f>'Monthly Data'!BS111</f>
        <v>110</v>
      </c>
      <c r="H111" s="33">
        <f>'Monthly Data'!BO111</f>
        <v>0</v>
      </c>
      <c r="I111" s="33">
        <f>'Monthly Data'!BT111</f>
        <v>29</v>
      </c>
      <c r="J111" s="13">
        <f>'Monthly Data'!AK111</f>
        <v>61.399999999999636</v>
      </c>
      <c r="L111" s="18">
        <f>'GS&gt;50 Predicted Monthly'!$X$10</f>
        <v>12654537.4440873</v>
      </c>
      <c r="M111" s="18">
        <f ca="1">E111*'GS&gt;50 Predicted Monthly'!$X$11</f>
        <v>6164044.6550037134</v>
      </c>
      <c r="N111" s="18">
        <f ca="1">F111*'GS&gt;50 Predicted Monthly'!$X$12</f>
        <v>0</v>
      </c>
      <c r="O111" s="18">
        <f>G111*'GS&gt;50 Predicted Monthly'!$X$13</f>
        <v>-7317499.0930872057</v>
      </c>
      <c r="P111" s="18">
        <f>H111*'GS&gt;50 Predicted Monthly'!$X$14</f>
        <v>0</v>
      </c>
      <c r="Q111" s="18">
        <f>I111*'GS&gt;50 Predicted Monthly'!$X$15</f>
        <v>55259830.456912257</v>
      </c>
      <c r="R111" s="18">
        <f>J111*'GS&gt;50 Predicted Monthly'!$X$16</f>
        <v>430217.41258569172</v>
      </c>
      <c r="S111" s="18">
        <f t="shared" ca="1" si="63"/>
        <v>67191130.875501767</v>
      </c>
      <c r="T111" s="30"/>
      <c r="U111" s="18"/>
      <c r="V111" s="34"/>
    </row>
    <row r="112" spans="1:22" x14ac:dyDescent="0.2">
      <c r="A112" s="9">
        <f>'Monthly Data'!A112</f>
        <v>45352</v>
      </c>
      <c r="B112">
        <f t="shared" si="52"/>
        <v>2024</v>
      </c>
      <c r="C112">
        <f t="shared" si="53"/>
        <v>3</v>
      </c>
      <c r="D112" s="30">
        <f>'Monthly Data'!N112</f>
        <v>69526387.418771222</v>
      </c>
      <c r="E112" s="33">
        <f t="shared" ref="E112:F112" ca="1" si="105">E100</f>
        <v>252.67</v>
      </c>
      <c r="F112" s="33">
        <f t="shared" ca="1" si="105"/>
        <v>0</v>
      </c>
      <c r="G112" s="33">
        <f>'Monthly Data'!BS112</f>
        <v>111</v>
      </c>
      <c r="H112" s="33">
        <f>'Monthly Data'!BO112</f>
        <v>0</v>
      </c>
      <c r="I112" s="33">
        <f>'Monthly Data'!BT112</f>
        <v>31</v>
      </c>
      <c r="J112" s="13">
        <f>'Monthly Data'!AK112</f>
        <v>38.300000000000182</v>
      </c>
      <c r="L112" s="18">
        <f>'GS&gt;50 Predicted Monthly'!$X$10</f>
        <v>12654537.4440873</v>
      </c>
      <c r="M112" s="18">
        <f ca="1">E112*'GS&gt;50 Predicted Monthly'!$X$11</f>
        <v>4607624.2914022496</v>
      </c>
      <c r="N112" s="18">
        <f ca="1">F112*'GS&gt;50 Predicted Monthly'!$X$12</f>
        <v>0</v>
      </c>
      <c r="O112" s="18">
        <f>G112*'GS&gt;50 Predicted Monthly'!$X$13</f>
        <v>-7384021.8121152706</v>
      </c>
      <c r="P112" s="18">
        <f>H112*'GS&gt;50 Predicted Monthly'!$X$14</f>
        <v>0</v>
      </c>
      <c r="Q112" s="18">
        <f>I112*'GS&gt;50 Predicted Monthly'!$X$15</f>
        <v>59070853.247044139</v>
      </c>
      <c r="R112" s="18">
        <f>J112*'GS&gt;50 Predicted Monthly'!$X$16</f>
        <v>268360.37299726659</v>
      </c>
      <c r="S112" s="18">
        <f t="shared" ca="1" si="63"/>
        <v>69217353.543415681</v>
      </c>
      <c r="T112" s="30"/>
    </row>
    <row r="113" spans="1:21" x14ac:dyDescent="0.2">
      <c r="A113" s="9">
        <f>'Monthly Data'!A113</f>
        <v>45383</v>
      </c>
      <c r="B113">
        <f t="shared" si="52"/>
        <v>2024</v>
      </c>
      <c r="C113">
        <f t="shared" si="53"/>
        <v>4</v>
      </c>
      <c r="D113" s="30">
        <f>'Monthly Data'!N113</f>
        <v>66433277.094553113</v>
      </c>
      <c r="E113" s="33">
        <f t="shared" ref="E113:F113" ca="1" si="106">E101</f>
        <v>112.07000000000001</v>
      </c>
      <c r="F113" s="33">
        <f t="shared" ca="1" si="106"/>
        <v>2.6300000000000003</v>
      </c>
      <c r="G113" s="33">
        <f>'Monthly Data'!BS113</f>
        <v>112</v>
      </c>
      <c r="H113" s="33">
        <f>'Monthly Data'!BO113</f>
        <v>0</v>
      </c>
      <c r="I113" s="33">
        <f>'Monthly Data'!BT113</f>
        <v>30</v>
      </c>
      <c r="J113" s="13">
        <f>'Monthly Data'!AK113</f>
        <v>33.200000000000273</v>
      </c>
      <c r="L113" s="18">
        <f>'GS&gt;50 Predicted Monthly'!$X$10</f>
        <v>12654537.4440873</v>
      </c>
      <c r="M113" s="18">
        <f ca="1">E113*'GS&gt;50 Predicted Monthly'!$X$11</f>
        <v>2043679.3221888239</v>
      </c>
      <c r="N113" s="18">
        <f ca="1">F113*'GS&gt;50 Predicted Monthly'!$X$12</f>
        <v>123378.13645778869</v>
      </c>
      <c r="O113" s="18">
        <f>G113*'GS&gt;50 Predicted Monthly'!$X$13</f>
        <v>-7450544.5311433366</v>
      </c>
      <c r="P113" s="18">
        <f>H113*'GS&gt;50 Predicted Monthly'!$X$14</f>
        <v>0</v>
      </c>
      <c r="Q113" s="18">
        <f>I113*'GS&gt;50 Predicted Monthly'!$X$15</f>
        <v>57165341.851978198</v>
      </c>
      <c r="R113" s="18">
        <f>J113*'GS&gt;50 Predicted Monthly'!$X$16</f>
        <v>232625.7019193024</v>
      </c>
      <c r="S113" s="18">
        <f t="shared" ca="1" si="63"/>
        <v>64769017.925488077</v>
      </c>
      <c r="T113" s="30"/>
      <c r="U113" s="18"/>
    </row>
    <row r="114" spans="1:21" x14ac:dyDescent="0.2">
      <c r="A114" s="9">
        <f>'Monthly Data'!A114</f>
        <v>45413</v>
      </c>
      <c r="B114">
        <f t="shared" si="52"/>
        <v>2024</v>
      </c>
      <c r="C114">
        <f t="shared" si="53"/>
        <v>5</v>
      </c>
      <c r="D114" s="30">
        <f>'Monthly Data'!N114</f>
        <v>69679780.220335022</v>
      </c>
      <c r="E114" s="33">
        <f t="shared" ref="E114:F114" ca="1" si="107">E102</f>
        <v>19.18</v>
      </c>
      <c r="F114" s="33">
        <f t="shared" ca="1" si="107"/>
        <v>50.489999999999995</v>
      </c>
      <c r="G114" s="33">
        <f>'Monthly Data'!BS114</f>
        <v>113</v>
      </c>
      <c r="H114" s="33">
        <f>'Monthly Data'!BO114</f>
        <v>0</v>
      </c>
      <c r="I114" s="33">
        <f>'Monthly Data'!BT114</f>
        <v>31</v>
      </c>
      <c r="J114" s="13">
        <f>'Monthly Data'!AK114</f>
        <v>42.300000000000182</v>
      </c>
      <c r="L114" s="18">
        <f>'GS&gt;50 Predicted Monthly'!$X$10</f>
        <v>12654537.4440873</v>
      </c>
      <c r="M114" s="18">
        <f ca="1">E114*'GS&gt;50 Predicted Monthly'!$X$11</f>
        <v>349761.48299796233</v>
      </c>
      <c r="N114" s="18">
        <f ca="1">F114*'GS&gt;50 Predicted Monthly'!$X$12</f>
        <v>2368578.7489557983</v>
      </c>
      <c r="O114" s="18">
        <f>G114*'GS&gt;50 Predicted Monthly'!$X$13</f>
        <v>-7517067.2501714025</v>
      </c>
      <c r="P114" s="18">
        <f>H114*'GS&gt;50 Predicted Monthly'!$X$14</f>
        <v>0</v>
      </c>
      <c r="Q114" s="18">
        <f>I114*'GS&gt;50 Predicted Monthly'!$X$15</f>
        <v>59070853.247044139</v>
      </c>
      <c r="R114" s="18">
        <f>J114*'GS&gt;50 Predicted Monthly'!$X$16</f>
        <v>296387.56599959196</v>
      </c>
      <c r="S114" s="18">
        <f t="shared" ca="1" si="63"/>
        <v>67223051.238913387</v>
      </c>
      <c r="T114" s="30"/>
      <c r="U114" s="18"/>
    </row>
    <row r="115" spans="1:21" x14ac:dyDescent="0.2">
      <c r="A115" s="9">
        <f>'Monthly Data'!A115</f>
        <v>45444</v>
      </c>
      <c r="B115">
        <f t="shared" si="52"/>
        <v>2024</v>
      </c>
      <c r="C115">
        <f t="shared" si="53"/>
        <v>6</v>
      </c>
      <c r="D115" s="30">
        <f>'Monthly Data'!N115</f>
        <v>72525274.106116936</v>
      </c>
      <c r="E115" s="33">
        <f t="shared" ref="E115:F115" ca="1" si="108">E103</f>
        <v>0</v>
      </c>
      <c r="F115" s="33">
        <f t="shared" ca="1" si="108"/>
        <v>154.05000000000001</v>
      </c>
      <c r="G115" s="33">
        <f>'Monthly Data'!BS115</f>
        <v>114</v>
      </c>
      <c r="H115" s="33">
        <f>'Monthly Data'!BO115</f>
        <v>0</v>
      </c>
      <c r="I115" s="33">
        <f>'Monthly Data'!BT115</f>
        <v>30</v>
      </c>
      <c r="J115" s="13">
        <f>'Monthly Data'!AK115</f>
        <v>42.100000000000364</v>
      </c>
      <c r="L115" s="18">
        <f>'GS&gt;50 Predicted Monthly'!$X$10</f>
        <v>12654537.4440873</v>
      </c>
      <c r="M115" s="18">
        <f ca="1">E115*'GS&gt;50 Predicted Monthly'!$X$11</f>
        <v>0</v>
      </c>
      <c r="N115" s="18">
        <f ca="1">F115*'GS&gt;50 Predicted Monthly'!$X$12</f>
        <v>7226768.7913773181</v>
      </c>
      <c r="O115" s="18">
        <f>G115*'GS&gt;50 Predicted Monthly'!$X$13</f>
        <v>-7583589.9691994675</v>
      </c>
      <c r="P115" s="18">
        <f>H115*'GS&gt;50 Predicted Monthly'!$X$14</f>
        <v>0</v>
      </c>
      <c r="Q115" s="18">
        <f>I115*'GS&gt;50 Predicted Monthly'!$X$15</f>
        <v>57165341.851978198</v>
      </c>
      <c r="R115" s="18">
        <f>J115*'GS&gt;50 Predicted Monthly'!$X$16</f>
        <v>294986.20634947694</v>
      </c>
      <c r="S115" s="18">
        <f t="shared" ref="S115:S121" ca="1" si="109">SUM(L115:R115)</f>
        <v>69758044.324592829</v>
      </c>
      <c r="T115" s="30"/>
      <c r="U115" s="18"/>
    </row>
    <row r="116" spans="1:21" x14ac:dyDescent="0.2">
      <c r="A116" s="9">
        <v>45474</v>
      </c>
      <c r="B116">
        <f t="shared" ref="B116:B125" si="110">YEAR(A116)</f>
        <v>2024</v>
      </c>
      <c r="C116">
        <f t="shared" ref="C116:C125" si="111">MONTH(A116)</f>
        <v>7</v>
      </c>
      <c r="D116" s="30">
        <f>'Monthly Data'!N116</f>
        <v>79765425.231898844</v>
      </c>
      <c r="E116" s="33">
        <f t="shared" ref="E116:F116" ca="1" si="112">E104</f>
        <v>0</v>
      </c>
      <c r="F116" s="33">
        <f t="shared" ca="1" si="112"/>
        <v>267.66999999999996</v>
      </c>
      <c r="G116" s="33">
        <f>'Monthly Data'!BS116</f>
        <v>115</v>
      </c>
      <c r="H116" s="33">
        <f>'Monthly Data'!BO116</f>
        <v>0</v>
      </c>
      <c r="I116" s="33">
        <f>'Monthly Data'!BT116</f>
        <v>31</v>
      </c>
      <c r="J116" s="13">
        <f>'Monthly Data'!AK116</f>
        <v>44.399999999999636</v>
      </c>
      <c r="L116" s="18">
        <f>'GS&gt;50 Predicted Monthly'!$X$10</f>
        <v>12654537.4440873</v>
      </c>
      <c r="M116" s="18">
        <f ca="1">E116*'GS&gt;50 Predicted Monthly'!$X$11</f>
        <v>0</v>
      </c>
      <c r="N116" s="18">
        <f ca="1">F116*'GS&gt;50 Predicted Monthly'!$X$12</f>
        <v>12556891.933709616</v>
      </c>
      <c r="O116" s="18">
        <f>G116*'GS&gt;50 Predicted Monthly'!$X$13</f>
        <v>-7650112.6882275334</v>
      </c>
      <c r="P116" s="18">
        <f>H116*'GS&gt;50 Predicted Monthly'!$X$14</f>
        <v>0</v>
      </c>
      <c r="Q116" s="18">
        <f>I116*'GS&gt;50 Predicted Monthly'!$X$15</f>
        <v>59070853.247044139</v>
      </c>
      <c r="R116" s="18">
        <f>J116*'GS&gt;50 Predicted Monthly'!$X$16</f>
        <v>311101.84232580895</v>
      </c>
      <c r="S116" s="18">
        <f t="shared" ca="1" si="109"/>
        <v>76943271.778939337</v>
      </c>
      <c r="T116" s="30"/>
      <c r="U116" s="18"/>
    </row>
    <row r="117" spans="1:21" x14ac:dyDescent="0.2">
      <c r="A117" s="9">
        <v>45505</v>
      </c>
      <c r="B117">
        <f t="shared" si="110"/>
        <v>2024</v>
      </c>
      <c r="C117">
        <f t="shared" si="111"/>
        <v>8</v>
      </c>
      <c r="D117" s="30">
        <f>'Monthly Data'!N117</f>
        <v>77761792.017680764</v>
      </c>
      <c r="E117" s="33">
        <f t="shared" ref="E117:F117" ca="1" si="113">E105</f>
        <v>0</v>
      </c>
      <c r="F117" s="33">
        <f t="shared" ca="1" si="113"/>
        <v>246.315</v>
      </c>
      <c r="G117" s="33">
        <f>'Monthly Data'!BS117</f>
        <v>116</v>
      </c>
      <c r="H117" s="33">
        <f>'Monthly Data'!BO117</f>
        <v>0</v>
      </c>
      <c r="I117" s="33">
        <f>'Monthly Data'!BT117</f>
        <v>31</v>
      </c>
      <c r="J117" s="13">
        <f>'Monthly Data'!AK117</f>
        <v>51.199999999999818</v>
      </c>
      <c r="L117" s="18">
        <f>'GS&gt;50 Predicted Monthly'!$X$10</f>
        <v>12654537.4440873</v>
      </c>
      <c r="M117" s="18">
        <f ca="1">E117*'GS&gt;50 Predicted Monthly'!$X$11</f>
        <v>0</v>
      </c>
      <c r="N117" s="18">
        <f ca="1">F117*'GS&gt;50 Predicted Monthly'!$X$12</f>
        <v>11555089.612775749</v>
      </c>
      <c r="O117" s="18">
        <f>G117*'GS&gt;50 Predicted Monthly'!$X$13</f>
        <v>-7716635.4072555983</v>
      </c>
      <c r="P117" s="18">
        <f>H117*'GS&gt;50 Predicted Monthly'!$X$14</f>
        <v>0</v>
      </c>
      <c r="Q117" s="18">
        <f>I117*'GS&gt;50 Predicted Monthly'!$X$15</f>
        <v>59070853.247044139</v>
      </c>
      <c r="R117" s="18">
        <f>J117*'GS&gt;50 Predicted Monthly'!$X$16</f>
        <v>358748.07042976335</v>
      </c>
      <c r="S117" s="18">
        <f t="shared" ca="1" si="109"/>
        <v>75922592.967081353</v>
      </c>
      <c r="U117" s="18"/>
    </row>
    <row r="118" spans="1:21" x14ac:dyDescent="0.2">
      <c r="A118" s="9">
        <v>45536</v>
      </c>
      <c r="B118">
        <f t="shared" si="110"/>
        <v>2024</v>
      </c>
      <c r="C118">
        <f t="shared" si="111"/>
        <v>9</v>
      </c>
      <c r="D118" s="30">
        <f>'Monthly Data'!N118</f>
        <v>71569012.573462665</v>
      </c>
      <c r="E118" s="33">
        <f t="shared" ref="E118:F118" ca="1" si="114">E106</f>
        <v>0</v>
      </c>
      <c r="F118" s="33">
        <f t="shared" ca="1" si="114"/>
        <v>146.80000000000001</v>
      </c>
      <c r="G118" s="33">
        <f>'Monthly Data'!BS118</f>
        <v>117</v>
      </c>
      <c r="H118" s="33">
        <f>'Monthly Data'!BO118</f>
        <v>0</v>
      </c>
      <c r="I118" s="33">
        <f>'Monthly Data'!BT118</f>
        <v>30</v>
      </c>
      <c r="J118" s="13">
        <f>'Monthly Data'!AK118</f>
        <v>64.399999999999636</v>
      </c>
      <c r="L118" s="18">
        <f>'GS&gt;50 Predicted Monthly'!$X$10</f>
        <v>12654537.4440873</v>
      </c>
      <c r="M118" s="18">
        <f ca="1">E118*'GS&gt;50 Predicted Monthly'!$X$11</f>
        <v>0</v>
      </c>
      <c r="N118" s="18">
        <f ca="1">F118*'GS&gt;50 Predicted Monthly'!$X$12</f>
        <v>6886657.9589366456</v>
      </c>
      <c r="O118" s="18">
        <f>G118*'GS&gt;50 Predicted Monthly'!$X$13</f>
        <v>-7783158.1262836643</v>
      </c>
      <c r="P118" s="18">
        <f>H118*'GS&gt;50 Predicted Monthly'!$X$14</f>
        <v>0</v>
      </c>
      <c r="Q118" s="18">
        <f>I118*'GS&gt;50 Predicted Monthly'!$X$15</f>
        <v>57165341.851978198</v>
      </c>
      <c r="R118" s="18">
        <f>J118*'GS&gt;50 Predicted Monthly'!$X$16</f>
        <v>451237.80733743572</v>
      </c>
      <c r="S118" s="18">
        <f t="shared" ca="1" si="109"/>
        <v>69374616.936055914</v>
      </c>
      <c r="U118" s="18"/>
    </row>
    <row r="119" spans="1:21" x14ac:dyDescent="0.2">
      <c r="A119" s="9">
        <v>45566</v>
      </c>
      <c r="B119">
        <f t="shared" si="110"/>
        <v>2024</v>
      </c>
      <c r="C119">
        <f t="shared" si="111"/>
        <v>10</v>
      </c>
      <c r="D119" s="30">
        <f>'Monthly Data'!N119</f>
        <v>68521516.309244588</v>
      </c>
      <c r="E119" s="33">
        <f t="shared" ref="E119:F119" ca="1" si="115">E107</f>
        <v>23.589999999999996</v>
      </c>
      <c r="F119" s="33">
        <f t="shared" ca="1" si="115"/>
        <v>36.859999999999992</v>
      </c>
      <c r="G119" s="33">
        <f>'Monthly Data'!BS119</f>
        <v>118</v>
      </c>
      <c r="H119" s="33">
        <f>'Monthly Data'!BO119</f>
        <v>0</v>
      </c>
      <c r="I119" s="33">
        <f>'Monthly Data'!BT119</f>
        <v>31</v>
      </c>
      <c r="J119" s="13">
        <f>'Monthly Data'!AK119</f>
        <v>75.800000000000182</v>
      </c>
      <c r="L119" s="18">
        <f>'GS&gt;50 Predicted Monthly'!$X$10</f>
        <v>12654537.4440873</v>
      </c>
      <c r="M119" s="18">
        <f ca="1">E119*'GS&gt;50 Predicted Monthly'!$X$11</f>
        <v>430181.09405223833</v>
      </c>
      <c r="N119" s="18">
        <f ca="1">F119*'GS&gt;50 Predicted Monthly'!$X$12</f>
        <v>1729170.3839673344</v>
      </c>
      <c r="O119" s="18">
        <f>G119*'GS&gt;50 Predicted Monthly'!$X$13</f>
        <v>-7849680.8453117292</v>
      </c>
      <c r="P119" s="18">
        <f>H119*'GS&gt;50 Predicted Monthly'!$X$14</f>
        <v>0</v>
      </c>
      <c r="Q119" s="18">
        <f>I119*'GS&gt;50 Predicted Monthly'!$X$15</f>
        <v>59070853.247044139</v>
      </c>
      <c r="R119" s="18">
        <f>J119*'GS&gt;50 Predicted Monthly'!$X$16</f>
        <v>531115.30739406683</v>
      </c>
      <c r="S119" s="18">
        <f t="shared" ca="1" si="109"/>
        <v>66566176.631233349</v>
      </c>
      <c r="U119" s="18"/>
    </row>
    <row r="120" spans="1:21" x14ac:dyDescent="0.2">
      <c r="A120" s="9">
        <v>45597</v>
      </c>
      <c r="B120">
        <f t="shared" si="110"/>
        <v>2024</v>
      </c>
      <c r="C120">
        <f t="shared" si="111"/>
        <v>11</v>
      </c>
      <c r="D120" s="30">
        <f>'Monthly Data'!N120</f>
        <v>66855346.295026518</v>
      </c>
      <c r="E120" s="33">
        <f t="shared" ref="E120:F120" ca="1" si="116">E108</f>
        <v>134.25000000000003</v>
      </c>
      <c r="F120" s="33">
        <f t="shared" ca="1" si="116"/>
        <v>3.410000000000001</v>
      </c>
      <c r="G120" s="33">
        <f>'Monthly Data'!BS120</f>
        <v>119</v>
      </c>
      <c r="H120" s="33">
        <f>'Monthly Data'!BO120</f>
        <v>0</v>
      </c>
      <c r="I120" s="33">
        <f>'Monthly Data'!BT120</f>
        <v>30</v>
      </c>
      <c r="J120" s="13">
        <f>'Monthly Data'!AK120</f>
        <v>75.299999999999727</v>
      </c>
      <c r="L120" s="18">
        <f>'GS&gt;50 Predicted Monthly'!$X$10</f>
        <v>12654537.4440873</v>
      </c>
      <c r="M120" s="18">
        <f ca="1">E120*'GS&gt;50 Predicted Monthly'!$X$11</f>
        <v>2448148.023591056</v>
      </c>
      <c r="N120" s="18">
        <f ca="1">F120*'GS&gt;50 Predicted Monthly'!$X$12</f>
        <v>159969.37084450931</v>
      </c>
      <c r="O120" s="18">
        <f>G120*'GS&gt;50 Predicted Monthly'!$X$13</f>
        <v>-7916203.5643397951</v>
      </c>
      <c r="P120" s="18">
        <f>H120*'GS&gt;50 Predicted Monthly'!$X$14</f>
        <v>0</v>
      </c>
      <c r="Q120" s="18">
        <f>I120*'GS&gt;50 Predicted Monthly'!$X$15</f>
        <v>57165341.851978198</v>
      </c>
      <c r="R120" s="18">
        <f>J120*'GS&gt;50 Predicted Monthly'!$X$16</f>
        <v>527611.908268773</v>
      </c>
      <c r="S120" s="18">
        <f t="shared" ca="1" si="109"/>
        <v>65039405.034430042</v>
      </c>
      <c r="U120" s="18"/>
    </row>
    <row r="121" spans="1:21" x14ac:dyDescent="0.2">
      <c r="A121" s="9">
        <v>45627</v>
      </c>
      <c r="B121">
        <f t="shared" si="110"/>
        <v>2024</v>
      </c>
      <c r="C121">
        <f t="shared" si="111"/>
        <v>12</v>
      </c>
      <c r="D121" s="30">
        <f>'Monthly Data'!N121</f>
        <v>69388792.820808396</v>
      </c>
      <c r="E121" s="33">
        <f t="shared" ref="E121:F121" ca="1" si="117">E109</f>
        <v>262.99</v>
      </c>
      <c r="F121" s="33">
        <f t="shared" ca="1" si="117"/>
        <v>0</v>
      </c>
      <c r="G121" s="33">
        <f>'Monthly Data'!BS121</f>
        <v>120</v>
      </c>
      <c r="H121" s="33">
        <f>'Monthly Data'!BO121</f>
        <v>1</v>
      </c>
      <c r="I121" s="33">
        <f>'Monthly Data'!BT121</f>
        <v>31</v>
      </c>
      <c r="J121" s="13">
        <f>'Monthly Data'!AK121</f>
        <v>94.699999999999818</v>
      </c>
      <c r="L121" s="18">
        <f>'GS&gt;50 Predicted Monthly'!$X$10</f>
        <v>12654537.4440873</v>
      </c>
      <c r="M121" s="18">
        <f ca="1">E121*'GS&gt;50 Predicted Monthly'!$X$11</f>
        <v>4795817.1227129363</v>
      </c>
      <c r="N121" s="18">
        <f ca="1">F121*'GS&gt;50 Predicted Monthly'!$X$12</f>
        <v>0</v>
      </c>
      <c r="O121" s="18">
        <f>G121*'GS&gt;50 Predicted Monthly'!$X$13</f>
        <v>-7982726.2833678611</v>
      </c>
      <c r="P121" s="18">
        <f>H121*'GS&gt;50 Predicted Monthly'!$X$14</f>
        <v>-2455659.1490839599</v>
      </c>
      <c r="Q121" s="18">
        <f>I121*'GS&gt;50 Predicted Monthly'!$X$15</f>
        <v>59070853.247044139</v>
      </c>
      <c r="R121" s="18">
        <f>J121*'GS&gt;50 Predicted Monthly'!$X$16</f>
        <v>663543.79433005163</v>
      </c>
      <c r="S121" s="18">
        <f t="shared" ca="1" si="109"/>
        <v>66746366.175722606</v>
      </c>
      <c r="U121" s="18"/>
    </row>
    <row r="122" spans="1:21" x14ac:dyDescent="0.2">
      <c r="A122" s="9">
        <v>45658</v>
      </c>
      <c r="B122">
        <f t="shared" si="110"/>
        <v>2025</v>
      </c>
      <c r="C122">
        <f t="shared" si="111"/>
        <v>1</v>
      </c>
      <c r="D122" s="30"/>
      <c r="E122" s="33">
        <f t="shared" ref="E122:F122" ca="1" si="118">E110</f>
        <v>384.56000000000006</v>
      </c>
      <c r="F122" s="33">
        <f t="shared" ca="1" si="118"/>
        <v>0</v>
      </c>
      <c r="G122" s="33">
        <f t="shared" ref="G122:G145" si="119">G121+1</f>
        <v>121</v>
      </c>
      <c r="H122" s="358">
        <f t="shared" ref="H122:H145" si="120">H110</f>
        <v>0</v>
      </c>
      <c r="I122" s="358">
        <f t="shared" ref="I122:I145" si="121">I74</f>
        <v>31</v>
      </c>
      <c r="J122" s="13">
        <f>Economic!R196</f>
        <v>61.236666666666224</v>
      </c>
      <c r="L122" s="18">
        <f>'GS&gt;50 Predicted Monthly'!$X$10</f>
        <v>12654537.4440873</v>
      </c>
      <c r="M122" s="18">
        <f ca="1">E122*'GS&gt;50 Predicted Monthly'!$X$11</f>
        <v>7012735.9698486142</v>
      </c>
      <c r="N122" s="18">
        <f ca="1">F122*'GS&gt;50 Predicted Monthly'!$X$12</f>
        <v>0</v>
      </c>
      <c r="O122" s="18">
        <f>G122*'GS&gt;50 Predicted Monthly'!$X$13</f>
        <v>-8049249.002395926</v>
      </c>
      <c r="P122" s="18">
        <f>H122*'GS&gt;50 Predicted Monthly'!$X$14</f>
        <v>0</v>
      </c>
      <c r="Q122" s="18">
        <f>I122*'GS&gt;50 Predicted Monthly'!$X$15</f>
        <v>59070853.247044139</v>
      </c>
      <c r="R122" s="18">
        <f>J122*'GS&gt;50 Predicted Monthly'!$X$16</f>
        <v>429072.96887142956</v>
      </c>
      <c r="S122" s="18">
        <f t="shared" ca="1" si="63"/>
        <v>71117950.627455562</v>
      </c>
      <c r="U122" s="18"/>
    </row>
    <row r="123" spans="1:21" x14ac:dyDescent="0.2">
      <c r="A123" s="9">
        <v>45689</v>
      </c>
      <c r="B123">
        <f t="shared" si="110"/>
        <v>2025</v>
      </c>
      <c r="C123">
        <f t="shared" si="111"/>
        <v>2</v>
      </c>
      <c r="D123" s="30"/>
      <c r="E123" s="33">
        <f t="shared" ref="E123:F123" ca="1" si="122">E111</f>
        <v>338.02</v>
      </c>
      <c r="F123" s="33">
        <f t="shared" ca="1" si="122"/>
        <v>0</v>
      </c>
      <c r="G123" s="33">
        <f t="shared" si="119"/>
        <v>122</v>
      </c>
      <c r="H123" s="358">
        <f t="shared" si="120"/>
        <v>0</v>
      </c>
      <c r="I123" s="358">
        <f t="shared" si="121"/>
        <v>28</v>
      </c>
      <c r="J123" s="13">
        <f>Economic!R197</f>
        <v>61.236666666666224</v>
      </c>
      <c r="L123" s="18">
        <f>'GS&gt;50 Predicted Monthly'!$X$10</f>
        <v>12654537.4440873</v>
      </c>
      <c r="M123" s="18">
        <f ca="1">E123*'GS&gt;50 Predicted Monthly'!$X$11</f>
        <v>6164044.6550037134</v>
      </c>
      <c r="N123" s="18">
        <f ca="1">F123*'GS&gt;50 Predicted Monthly'!$X$12</f>
        <v>0</v>
      </c>
      <c r="O123" s="18">
        <f>G123*'GS&gt;50 Predicted Monthly'!$X$13</f>
        <v>-8115771.721423992</v>
      </c>
      <c r="P123" s="18">
        <f>H123*'GS&gt;50 Predicted Monthly'!$X$14</f>
        <v>0</v>
      </c>
      <c r="Q123" s="18">
        <f>I123*'GS&gt;50 Predicted Monthly'!$X$15</f>
        <v>53354319.061846316</v>
      </c>
      <c r="R123" s="18">
        <f>J123*'GS&gt;50 Predicted Monthly'!$X$16</f>
        <v>429072.96887142956</v>
      </c>
      <c r="S123" s="18">
        <f t="shared" ca="1" si="63"/>
        <v>64486202.40838477</v>
      </c>
      <c r="U123" s="18"/>
    </row>
    <row r="124" spans="1:21" x14ac:dyDescent="0.2">
      <c r="A124" s="9">
        <v>45717</v>
      </c>
      <c r="B124">
        <f t="shared" si="110"/>
        <v>2025</v>
      </c>
      <c r="C124">
        <f t="shared" si="111"/>
        <v>3</v>
      </c>
      <c r="D124" s="30"/>
      <c r="E124" s="33">
        <f t="shared" ref="E124:F124" ca="1" si="123">E112</f>
        <v>252.67</v>
      </c>
      <c r="F124" s="33">
        <f t="shared" ca="1" si="123"/>
        <v>0</v>
      </c>
      <c r="G124" s="33">
        <f t="shared" si="119"/>
        <v>123</v>
      </c>
      <c r="H124" s="358">
        <f t="shared" si="120"/>
        <v>0</v>
      </c>
      <c r="I124" s="358">
        <f t="shared" si="121"/>
        <v>31</v>
      </c>
      <c r="J124" s="13">
        <f>Economic!R198</f>
        <v>61.383333333333212</v>
      </c>
      <c r="L124" s="18">
        <f>'GS&gt;50 Predicted Monthly'!$X$10</f>
        <v>12654537.4440873</v>
      </c>
      <c r="M124" s="18">
        <f ca="1">E124*'GS&gt;50 Predicted Monthly'!$X$11</f>
        <v>4607624.2914022496</v>
      </c>
      <c r="N124" s="18">
        <f ca="1">F124*'GS&gt;50 Predicted Monthly'!$X$12</f>
        <v>0</v>
      </c>
      <c r="O124" s="18">
        <f>G124*'GS&gt;50 Predicted Monthly'!$X$13</f>
        <v>-8182294.4404520569</v>
      </c>
      <c r="P124" s="18">
        <f>H124*'GS&gt;50 Predicted Monthly'!$X$14</f>
        <v>0</v>
      </c>
      <c r="Q124" s="18">
        <f>I124*'GS&gt;50 Predicted Monthly'!$X$15</f>
        <v>59070853.247044139</v>
      </c>
      <c r="R124" s="18">
        <f>J124*'GS&gt;50 Predicted Monthly'!$X$16</f>
        <v>430100.63261485042</v>
      </c>
      <c r="S124" s="18">
        <f t="shared" ca="1" si="63"/>
        <v>68580821.174696475</v>
      </c>
      <c r="U124" s="18"/>
    </row>
    <row r="125" spans="1:21" x14ac:dyDescent="0.2">
      <c r="A125" s="9">
        <v>45748</v>
      </c>
      <c r="B125">
        <f t="shared" si="110"/>
        <v>2025</v>
      </c>
      <c r="C125">
        <f t="shared" si="111"/>
        <v>4</v>
      </c>
      <c r="D125" s="30"/>
      <c r="E125" s="33">
        <f t="shared" ref="E125:F125" ca="1" si="124">E113</f>
        <v>112.07000000000001</v>
      </c>
      <c r="F125" s="33">
        <f t="shared" ca="1" si="124"/>
        <v>2.6300000000000003</v>
      </c>
      <c r="G125" s="33">
        <f t="shared" si="119"/>
        <v>124</v>
      </c>
      <c r="H125" s="358">
        <f t="shared" si="120"/>
        <v>0</v>
      </c>
      <c r="I125" s="358">
        <f t="shared" si="121"/>
        <v>30</v>
      </c>
      <c r="J125" s="13">
        <f>Economic!R199</f>
        <v>61.646666666666533</v>
      </c>
      <c r="L125" s="18">
        <f>'GS&gt;50 Predicted Monthly'!$X$10</f>
        <v>12654537.4440873</v>
      </c>
      <c r="M125" s="18">
        <f ca="1">E125*'GS&gt;50 Predicted Monthly'!$X$11</f>
        <v>2043679.3221888239</v>
      </c>
      <c r="N125" s="18">
        <f ca="1">F125*'GS&gt;50 Predicted Monthly'!$X$12</f>
        <v>123378.13645778869</v>
      </c>
      <c r="O125" s="18">
        <f>G125*'GS&gt;50 Predicted Monthly'!$X$13</f>
        <v>-8248817.1594801228</v>
      </c>
      <c r="P125" s="18">
        <f>H125*'GS&gt;50 Predicted Monthly'!$X$14</f>
        <v>0</v>
      </c>
      <c r="Q125" s="18">
        <f>I125*'GS&gt;50 Predicted Monthly'!$X$15</f>
        <v>57165341.851978198</v>
      </c>
      <c r="R125" s="18">
        <f>J125*'GS&gt;50 Predicted Monthly'!$X$16</f>
        <v>431945.75615417003</v>
      </c>
      <c r="S125" s="18">
        <f t="shared" ca="1" si="63"/>
        <v>64170065.35138616</v>
      </c>
    </row>
    <row r="126" spans="1:21" x14ac:dyDescent="0.2">
      <c r="A126" s="9">
        <v>45778</v>
      </c>
      <c r="B126">
        <f t="shared" ref="B126:B145" si="125">YEAR(A126)</f>
        <v>2025</v>
      </c>
      <c r="C126">
        <f t="shared" ref="C126:C145" si="126">MONTH(A126)</f>
        <v>5</v>
      </c>
      <c r="D126" s="30"/>
      <c r="E126" s="33">
        <f t="shared" ref="E126:F126" ca="1" si="127">E114</f>
        <v>19.18</v>
      </c>
      <c r="F126" s="33">
        <f t="shared" ca="1" si="127"/>
        <v>50.489999999999995</v>
      </c>
      <c r="G126" s="33">
        <f t="shared" si="119"/>
        <v>125</v>
      </c>
      <c r="H126" s="358">
        <f t="shared" si="120"/>
        <v>0</v>
      </c>
      <c r="I126" s="358">
        <f t="shared" si="121"/>
        <v>31</v>
      </c>
      <c r="J126" s="13">
        <f>Economic!R200</f>
        <v>61.998333333332994</v>
      </c>
      <c r="L126" s="18">
        <f>'GS&gt;50 Predicted Monthly'!$X$10</f>
        <v>12654537.4440873</v>
      </c>
      <c r="M126" s="18">
        <f ca="1">E126*'GS&gt;50 Predicted Monthly'!$X$11</f>
        <v>349761.48299796233</v>
      </c>
      <c r="N126" s="18">
        <f ca="1">F126*'GS&gt;50 Predicted Monthly'!$X$12</f>
        <v>2368578.7489557983</v>
      </c>
      <c r="O126" s="18">
        <f>G126*'GS&gt;50 Predicted Monthly'!$X$13</f>
        <v>-8315339.8785081878</v>
      </c>
      <c r="P126" s="18">
        <f>H126*'GS&gt;50 Predicted Monthly'!$X$14</f>
        <v>0</v>
      </c>
      <c r="Q126" s="18">
        <f>I126*'GS&gt;50 Predicted Monthly'!$X$15</f>
        <v>59070853.247044139</v>
      </c>
      <c r="R126" s="18">
        <f>J126*'GS&gt;50 Predicted Monthly'!$X$16</f>
        <v>434409.8135389564</v>
      </c>
      <c r="S126" s="18">
        <f t="shared" ca="1" si="63"/>
        <v>66562800.858115971</v>
      </c>
    </row>
    <row r="127" spans="1:21" x14ac:dyDescent="0.2">
      <c r="A127" s="9">
        <v>45809</v>
      </c>
      <c r="B127">
        <f t="shared" si="125"/>
        <v>2025</v>
      </c>
      <c r="C127">
        <f t="shared" si="126"/>
        <v>6</v>
      </c>
      <c r="D127" s="30"/>
      <c r="E127" s="33">
        <f t="shared" ref="E127:F127" ca="1" si="128">E115</f>
        <v>0</v>
      </c>
      <c r="F127" s="33">
        <f t="shared" ca="1" si="128"/>
        <v>154.05000000000001</v>
      </c>
      <c r="G127" s="33">
        <f t="shared" si="119"/>
        <v>126</v>
      </c>
      <c r="H127" s="358">
        <f t="shared" si="120"/>
        <v>0</v>
      </c>
      <c r="I127" s="358">
        <f t="shared" si="121"/>
        <v>30</v>
      </c>
      <c r="J127" s="13">
        <f>Economic!R201</f>
        <v>62.204999999999927</v>
      </c>
      <c r="L127" s="18">
        <f>'GS&gt;50 Predicted Monthly'!$X$10</f>
        <v>12654537.4440873</v>
      </c>
      <c r="M127" s="18">
        <f ca="1">E127*'GS&gt;50 Predicted Monthly'!$X$11</f>
        <v>0</v>
      </c>
      <c r="N127" s="18">
        <f ca="1">F127*'GS&gt;50 Predicted Monthly'!$X$12</f>
        <v>7226768.7913773181</v>
      </c>
      <c r="O127" s="18">
        <f>G127*'GS&gt;50 Predicted Monthly'!$X$13</f>
        <v>-8381862.5975362537</v>
      </c>
      <c r="P127" s="18">
        <f>H127*'GS&gt;50 Predicted Monthly'!$X$14</f>
        <v>0</v>
      </c>
      <c r="Q127" s="18">
        <f>I127*'GS&gt;50 Predicted Monthly'!$X$15</f>
        <v>57165341.851978198</v>
      </c>
      <c r="R127" s="18">
        <f>J127*'GS&gt;50 Predicted Monthly'!$X$16</f>
        <v>435857.88517741172</v>
      </c>
      <c r="S127" s="18">
        <f t="shared" ca="1" si="63"/>
        <v>69100643.375083983</v>
      </c>
    </row>
    <row r="128" spans="1:21" x14ac:dyDescent="0.2">
      <c r="A128" s="9">
        <v>45839</v>
      </c>
      <c r="B128">
        <f t="shared" si="125"/>
        <v>2025</v>
      </c>
      <c r="C128">
        <f t="shared" si="126"/>
        <v>7</v>
      </c>
      <c r="D128" s="30"/>
      <c r="E128" s="33">
        <f t="shared" ref="E128:F128" ca="1" si="129">E116</f>
        <v>0</v>
      </c>
      <c r="F128" s="33">
        <f t="shared" ca="1" si="129"/>
        <v>267.66999999999996</v>
      </c>
      <c r="G128" s="33">
        <f t="shared" si="119"/>
        <v>127</v>
      </c>
      <c r="H128" s="358">
        <f t="shared" si="120"/>
        <v>0</v>
      </c>
      <c r="I128" s="358">
        <f t="shared" si="121"/>
        <v>31</v>
      </c>
      <c r="J128" s="13">
        <f>Economic!R202</f>
        <v>62.386666666666315</v>
      </c>
      <c r="L128" s="18">
        <f>'GS&gt;50 Predicted Monthly'!$X$10</f>
        <v>12654537.4440873</v>
      </c>
      <c r="M128" s="18">
        <f ca="1">E128*'GS&gt;50 Predicted Monthly'!$X$11</f>
        <v>0</v>
      </c>
      <c r="N128" s="18">
        <f ca="1">F128*'GS&gt;50 Predicted Monthly'!$X$12</f>
        <v>12556891.933709616</v>
      </c>
      <c r="O128" s="18">
        <f>G128*'GS&gt;50 Predicted Monthly'!$X$13</f>
        <v>-8448385.3165643197</v>
      </c>
      <c r="P128" s="18">
        <f>H128*'GS&gt;50 Predicted Monthly'!$X$14</f>
        <v>0</v>
      </c>
      <c r="Q128" s="18">
        <f>I128*'GS&gt;50 Predicted Monthly'!$X$15</f>
        <v>59070853.247044139</v>
      </c>
      <c r="R128" s="18">
        <f>J128*'GS&gt;50 Predicted Monthly'!$X$16</f>
        <v>437130.78685959871</v>
      </c>
      <c r="S128" s="18">
        <f t="shared" ca="1" si="63"/>
        <v>76271028.095136344</v>
      </c>
    </row>
    <row r="129" spans="1:19" x14ac:dyDescent="0.2">
      <c r="A129" s="9">
        <v>45870</v>
      </c>
      <c r="B129">
        <f t="shared" si="125"/>
        <v>2025</v>
      </c>
      <c r="C129">
        <f t="shared" si="126"/>
        <v>8</v>
      </c>
      <c r="D129" s="30"/>
      <c r="E129" s="33">
        <f t="shared" ref="E129:F129" ca="1" si="130">E117</f>
        <v>0</v>
      </c>
      <c r="F129" s="33">
        <f t="shared" ca="1" si="130"/>
        <v>246.315</v>
      </c>
      <c r="G129" s="33">
        <f t="shared" si="119"/>
        <v>128</v>
      </c>
      <c r="H129" s="358">
        <f t="shared" si="120"/>
        <v>0</v>
      </c>
      <c r="I129" s="358">
        <f t="shared" si="121"/>
        <v>31</v>
      </c>
      <c r="J129" s="13">
        <f>Economic!R203</f>
        <v>62.428333333333285</v>
      </c>
      <c r="L129" s="18">
        <f>'GS&gt;50 Predicted Monthly'!$X$10</f>
        <v>12654537.4440873</v>
      </c>
      <c r="M129" s="18">
        <f ca="1">E129*'GS&gt;50 Predicted Monthly'!$X$11</f>
        <v>0</v>
      </c>
      <c r="N129" s="18">
        <f ca="1">F129*'GS&gt;50 Predicted Monthly'!$X$12</f>
        <v>11555089.612775749</v>
      </c>
      <c r="O129" s="18">
        <f>G129*'GS&gt;50 Predicted Monthly'!$X$13</f>
        <v>-8514908.0355923846</v>
      </c>
      <c r="P129" s="18">
        <f>H129*'GS&gt;50 Predicted Monthly'!$X$14</f>
        <v>0</v>
      </c>
      <c r="Q129" s="18">
        <f>I129*'GS&gt;50 Predicted Monthly'!$X$15</f>
        <v>59070853.247044139</v>
      </c>
      <c r="R129" s="18">
        <f>J129*'GS&gt;50 Predicted Monthly'!$X$16</f>
        <v>437422.73678670841</v>
      </c>
      <c r="S129" s="18">
        <f t="shared" ca="1" si="63"/>
        <v>75202995.005101517</v>
      </c>
    </row>
    <row r="130" spans="1:19" x14ac:dyDescent="0.2">
      <c r="A130" s="9">
        <v>45901</v>
      </c>
      <c r="B130">
        <f t="shared" si="125"/>
        <v>2025</v>
      </c>
      <c r="C130">
        <f t="shared" si="126"/>
        <v>9</v>
      </c>
      <c r="D130" s="30"/>
      <c r="E130" s="33">
        <f t="shared" ref="E130:F130" ca="1" si="131">E118</f>
        <v>0</v>
      </c>
      <c r="F130" s="33">
        <f t="shared" ca="1" si="131"/>
        <v>146.80000000000001</v>
      </c>
      <c r="G130" s="33">
        <f t="shared" si="119"/>
        <v>129</v>
      </c>
      <c r="H130" s="358">
        <f t="shared" si="120"/>
        <v>0</v>
      </c>
      <c r="I130" s="358">
        <f t="shared" si="121"/>
        <v>30</v>
      </c>
      <c r="J130" s="13">
        <f>Economic!R204</f>
        <v>62.569999999999709</v>
      </c>
      <c r="L130" s="18">
        <f>'GS&gt;50 Predicted Monthly'!$X$10</f>
        <v>12654537.4440873</v>
      </c>
      <c r="M130" s="18">
        <f ca="1">E130*'GS&gt;50 Predicted Monthly'!$X$11</f>
        <v>0</v>
      </c>
      <c r="N130" s="18">
        <f ca="1">F130*'GS&gt;50 Predicted Monthly'!$X$12</f>
        <v>6886657.9589366456</v>
      </c>
      <c r="O130" s="18">
        <f>G130*'GS&gt;50 Predicted Monthly'!$X$13</f>
        <v>-8581430.7546204496</v>
      </c>
      <c r="P130" s="18">
        <f>H130*'GS&gt;50 Predicted Monthly'!$X$14</f>
        <v>0</v>
      </c>
      <c r="Q130" s="18">
        <f>I130*'GS&gt;50 Predicted Monthly'!$X$15</f>
        <v>57165341.851978198</v>
      </c>
      <c r="R130" s="18">
        <f>J130*'GS&gt;50 Predicted Monthly'!$X$16</f>
        <v>438415.36653887236</v>
      </c>
      <c r="S130" s="18">
        <f t="shared" ca="1" si="63"/>
        <v>68563521.866920561</v>
      </c>
    </row>
    <row r="131" spans="1:19" x14ac:dyDescent="0.2">
      <c r="A131" s="9">
        <v>45931</v>
      </c>
      <c r="B131">
        <f t="shared" si="125"/>
        <v>2025</v>
      </c>
      <c r="C131">
        <f t="shared" si="126"/>
        <v>10</v>
      </c>
      <c r="D131" s="30"/>
      <c r="E131" s="33">
        <f t="shared" ref="E131:F131" ca="1" si="132">E119</f>
        <v>23.589999999999996</v>
      </c>
      <c r="F131" s="33">
        <f t="shared" ca="1" si="132"/>
        <v>36.859999999999992</v>
      </c>
      <c r="G131" s="33">
        <f t="shared" si="119"/>
        <v>130</v>
      </c>
      <c r="H131" s="358">
        <f t="shared" si="120"/>
        <v>0</v>
      </c>
      <c r="I131" s="358">
        <f t="shared" si="121"/>
        <v>31</v>
      </c>
      <c r="J131" s="13">
        <f>Economic!R205</f>
        <v>62.70833333333303</v>
      </c>
      <c r="L131" s="18">
        <f>'GS&gt;50 Predicted Monthly'!$X$10</f>
        <v>12654537.4440873</v>
      </c>
      <c r="M131" s="18">
        <f ca="1">E131*'GS&gt;50 Predicted Monthly'!$X$11</f>
        <v>430181.09405223833</v>
      </c>
      <c r="N131" s="18">
        <f ca="1">F131*'GS&gt;50 Predicted Monthly'!$X$12</f>
        <v>1729170.3839673344</v>
      </c>
      <c r="O131" s="18">
        <f>G131*'GS&gt;50 Predicted Monthly'!$X$13</f>
        <v>-8647953.4736485165</v>
      </c>
      <c r="P131" s="18">
        <f>H131*'GS&gt;50 Predicted Monthly'!$X$14</f>
        <v>0</v>
      </c>
      <c r="Q131" s="18">
        <f>I131*'GS&gt;50 Predicted Monthly'!$X$15</f>
        <v>59070853.247044139</v>
      </c>
      <c r="R131" s="18">
        <f>J131*'GS&gt;50 Predicted Monthly'!$X$16</f>
        <v>439384.64029686939</v>
      </c>
      <c r="S131" s="18">
        <f t="shared" ca="1" si="63"/>
        <v>65676173.335799366</v>
      </c>
    </row>
    <row r="132" spans="1:19" x14ac:dyDescent="0.2">
      <c r="A132" s="9">
        <v>45962</v>
      </c>
      <c r="B132">
        <f t="shared" si="125"/>
        <v>2025</v>
      </c>
      <c r="C132">
        <f t="shared" si="126"/>
        <v>11</v>
      </c>
      <c r="D132" s="30"/>
      <c r="E132" s="33">
        <f t="shared" ref="E132:F132" ca="1" si="133">E120</f>
        <v>134.25000000000003</v>
      </c>
      <c r="F132" s="33">
        <f t="shared" ca="1" si="133"/>
        <v>3.410000000000001</v>
      </c>
      <c r="G132" s="33">
        <f t="shared" si="119"/>
        <v>131</v>
      </c>
      <c r="H132" s="358">
        <f t="shared" si="120"/>
        <v>0</v>
      </c>
      <c r="I132" s="358">
        <f t="shared" si="121"/>
        <v>30</v>
      </c>
      <c r="J132" s="13">
        <f>Economic!R206</f>
        <v>62.759999999999764</v>
      </c>
      <c r="L132" s="18">
        <f>'GS&gt;50 Predicted Monthly'!$X$10</f>
        <v>12654537.4440873</v>
      </c>
      <c r="M132" s="18">
        <f ca="1">E132*'GS&gt;50 Predicted Monthly'!$X$11</f>
        <v>2448148.023591056</v>
      </c>
      <c r="N132" s="18">
        <f ca="1">F132*'GS&gt;50 Predicted Monthly'!$X$12</f>
        <v>159969.37084450931</v>
      </c>
      <c r="O132" s="18">
        <f>G132*'GS&gt;50 Predicted Monthly'!$X$13</f>
        <v>-8714476.1926765814</v>
      </c>
      <c r="P132" s="18">
        <f>H132*'GS&gt;50 Predicted Monthly'!$X$14</f>
        <v>0</v>
      </c>
      <c r="Q132" s="18">
        <f>I132*'GS&gt;50 Predicted Monthly'!$X$15</f>
        <v>57165341.851978198</v>
      </c>
      <c r="R132" s="18">
        <f>J132*'GS&gt;50 Predicted Monthly'!$X$16</f>
        <v>439746.65820648323</v>
      </c>
      <c r="S132" s="18">
        <f t="shared" ca="1" si="63"/>
        <v>64153267.156030968</v>
      </c>
    </row>
    <row r="133" spans="1:19" x14ac:dyDescent="0.2">
      <c r="A133" s="9">
        <v>45992</v>
      </c>
      <c r="B133">
        <f t="shared" si="125"/>
        <v>2025</v>
      </c>
      <c r="C133">
        <f t="shared" si="126"/>
        <v>12</v>
      </c>
      <c r="D133" s="30"/>
      <c r="E133" s="33">
        <f t="shared" ref="E133:F133" ca="1" si="134">E121</f>
        <v>262.99</v>
      </c>
      <c r="F133" s="33">
        <f t="shared" ca="1" si="134"/>
        <v>0</v>
      </c>
      <c r="G133" s="33">
        <f t="shared" si="119"/>
        <v>132</v>
      </c>
      <c r="H133" s="358">
        <f t="shared" si="120"/>
        <v>1</v>
      </c>
      <c r="I133" s="358">
        <f t="shared" si="121"/>
        <v>31</v>
      </c>
      <c r="J133" s="13">
        <f>Economic!R207</f>
        <v>62.926666666666279</v>
      </c>
      <c r="L133" s="18">
        <f>'GS&gt;50 Predicted Monthly'!$X$10</f>
        <v>12654537.4440873</v>
      </c>
      <c r="M133" s="18">
        <f ca="1">E133*'GS&gt;50 Predicted Monthly'!$X$11</f>
        <v>4795817.1227129363</v>
      </c>
      <c r="N133" s="18">
        <f ca="1">F133*'GS&gt;50 Predicted Monthly'!$X$12</f>
        <v>0</v>
      </c>
      <c r="O133" s="18">
        <f>G133*'GS&gt;50 Predicted Monthly'!$X$13</f>
        <v>-8780998.9117046464</v>
      </c>
      <c r="P133" s="18">
        <f>H133*'GS&gt;50 Predicted Monthly'!$X$14</f>
        <v>-2455659.1490839599</v>
      </c>
      <c r="Q133" s="18">
        <f>I133*'GS&gt;50 Predicted Monthly'!$X$15</f>
        <v>59070853.247044139</v>
      </c>
      <c r="R133" s="18">
        <f>J133*'GS&gt;50 Predicted Monthly'!$X$16</f>
        <v>440914.45791491237</v>
      </c>
      <c r="S133" s="18">
        <f t="shared" ca="1" si="63"/>
        <v>65725464.210970677</v>
      </c>
    </row>
    <row r="134" spans="1:19" x14ac:dyDescent="0.2">
      <c r="A134" s="9">
        <v>46023</v>
      </c>
      <c r="B134">
        <f t="shared" si="125"/>
        <v>2026</v>
      </c>
      <c r="C134">
        <f t="shared" si="126"/>
        <v>1</v>
      </c>
      <c r="D134" s="30"/>
      <c r="E134" s="33">
        <f t="shared" ref="E134:F134" ca="1" si="135">E122</f>
        <v>384.56000000000006</v>
      </c>
      <c r="F134" s="33">
        <f t="shared" ca="1" si="135"/>
        <v>0</v>
      </c>
      <c r="G134" s="33">
        <f t="shared" si="119"/>
        <v>133</v>
      </c>
      <c r="H134" s="358">
        <f t="shared" si="120"/>
        <v>0</v>
      </c>
      <c r="I134" s="358">
        <f t="shared" si="121"/>
        <v>31</v>
      </c>
      <c r="J134" s="13">
        <f>Economic!R208</f>
        <v>41.089803333332839</v>
      </c>
      <c r="L134" s="18">
        <f>'GS&gt;50 Predicted Monthly'!$X$10</f>
        <v>12654537.4440873</v>
      </c>
      <c r="M134" s="18">
        <f ca="1">E134*'GS&gt;50 Predicted Monthly'!$X$11</f>
        <v>7012735.9698486142</v>
      </c>
      <c r="N134" s="18">
        <f ca="1">F134*'GS&gt;50 Predicted Monthly'!$X$12</f>
        <v>0</v>
      </c>
      <c r="O134" s="18">
        <f>G134*'GS&gt;50 Predicted Monthly'!$X$13</f>
        <v>-8847521.6307327114</v>
      </c>
      <c r="P134" s="18">
        <f>H134*'GS&gt;50 Predicted Monthly'!$X$14</f>
        <v>0</v>
      </c>
      <c r="Q134" s="18">
        <f>I134*'GS&gt;50 Predicted Monthly'!$X$15</f>
        <v>59070853.247044139</v>
      </c>
      <c r="R134" s="18">
        <f>J134*'GS&gt;50 Predicted Monthly'!$X$16</f>
        <v>287907.96211272781</v>
      </c>
      <c r="S134" s="18">
        <f t="shared" ref="S134:S145" ca="1" si="136">SUM(L134:R134)</f>
        <v>70178512.99236007</v>
      </c>
    </row>
    <row r="135" spans="1:19" x14ac:dyDescent="0.2">
      <c r="A135" s="9">
        <v>46054</v>
      </c>
      <c r="B135">
        <f t="shared" si="125"/>
        <v>2026</v>
      </c>
      <c r="C135">
        <f t="shared" si="126"/>
        <v>2</v>
      </c>
      <c r="D135" s="30"/>
      <c r="E135" s="33">
        <f t="shared" ref="E135:F135" ca="1" si="137">E123</f>
        <v>338.02</v>
      </c>
      <c r="F135" s="33">
        <f t="shared" ca="1" si="137"/>
        <v>0</v>
      </c>
      <c r="G135" s="33">
        <f t="shared" si="119"/>
        <v>134</v>
      </c>
      <c r="H135" s="358">
        <f t="shared" si="120"/>
        <v>0</v>
      </c>
      <c r="I135" s="358">
        <f t="shared" si="121"/>
        <v>28</v>
      </c>
      <c r="J135" s="13">
        <f>Economic!R209</f>
        <v>41.089803333332839</v>
      </c>
      <c r="L135" s="18">
        <f>'GS&gt;50 Predicted Monthly'!$X$10</f>
        <v>12654537.4440873</v>
      </c>
      <c r="M135" s="18">
        <f ca="1">E135*'GS&gt;50 Predicted Monthly'!$X$11</f>
        <v>6164044.6550037134</v>
      </c>
      <c r="N135" s="18">
        <f ca="1">F135*'GS&gt;50 Predicted Monthly'!$X$12</f>
        <v>0</v>
      </c>
      <c r="O135" s="18">
        <f>G135*'GS&gt;50 Predicted Monthly'!$X$13</f>
        <v>-8914044.3497607782</v>
      </c>
      <c r="P135" s="18">
        <f>H135*'GS&gt;50 Predicted Monthly'!$X$14</f>
        <v>0</v>
      </c>
      <c r="Q135" s="18">
        <f>I135*'GS&gt;50 Predicted Monthly'!$X$15</f>
        <v>53354319.061846316</v>
      </c>
      <c r="R135" s="18">
        <f>J135*'GS&gt;50 Predicted Monthly'!$X$16</f>
        <v>287907.96211272781</v>
      </c>
      <c r="S135" s="18">
        <f t="shared" ca="1" si="136"/>
        <v>63546764.773289278</v>
      </c>
    </row>
    <row r="136" spans="1:19" x14ac:dyDescent="0.2">
      <c r="A136" s="9">
        <v>46082</v>
      </c>
      <c r="B136">
        <f t="shared" si="125"/>
        <v>2026</v>
      </c>
      <c r="C136">
        <f t="shared" si="126"/>
        <v>3</v>
      </c>
      <c r="D136" s="30"/>
      <c r="E136" s="33">
        <f t="shared" ref="E136:F136" ca="1" si="138">E124</f>
        <v>252.67</v>
      </c>
      <c r="F136" s="33">
        <f t="shared" ca="1" si="138"/>
        <v>0</v>
      </c>
      <c r="G136" s="33">
        <f t="shared" si="119"/>
        <v>135</v>
      </c>
      <c r="H136" s="358">
        <f t="shared" si="120"/>
        <v>0</v>
      </c>
      <c r="I136" s="358">
        <f t="shared" si="121"/>
        <v>31</v>
      </c>
      <c r="J136" s="13">
        <f>Economic!R210</f>
        <v>41.188216666666449</v>
      </c>
      <c r="L136" s="18">
        <f>'GS&gt;50 Predicted Monthly'!$X$10</f>
        <v>12654537.4440873</v>
      </c>
      <c r="M136" s="18">
        <f ca="1">E136*'GS&gt;50 Predicted Monthly'!$X$11</f>
        <v>4607624.2914022496</v>
      </c>
      <c r="N136" s="18">
        <f ca="1">F136*'GS&gt;50 Predicted Monthly'!$X$12</f>
        <v>0</v>
      </c>
      <c r="O136" s="18">
        <f>G136*'GS&gt;50 Predicted Monthly'!$X$13</f>
        <v>-8980567.0687888432</v>
      </c>
      <c r="P136" s="18">
        <f>H136*'GS&gt;50 Predicted Monthly'!$X$14</f>
        <v>0</v>
      </c>
      <c r="Q136" s="18">
        <f>I136*'GS&gt;50 Predicted Monthly'!$X$15</f>
        <v>59070853.247044139</v>
      </c>
      <c r="R136" s="18">
        <f>J136*'GS&gt;50 Predicted Monthly'!$X$16</f>
        <v>288597.52448456368</v>
      </c>
      <c r="S136" s="18">
        <f t="shared" ca="1" si="136"/>
        <v>67641045.438229412</v>
      </c>
    </row>
    <row r="137" spans="1:19" x14ac:dyDescent="0.2">
      <c r="A137" s="9">
        <v>46113</v>
      </c>
      <c r="B137">
        <f t="shared" si="125"/>
        <v>2026</v>
      </c>
      <c r="C137">
        <f t="shared" si="126"/>
        <v>4</v>
      </c>
      <c r="D137" s="30"/>
      <c r="E137" s="33">
        <f t="shared" ref="E137:F137" ca="1" si="139">E125</f>
        <v>112.07000000000001</v>
      </c>
      <c r="F137" s="33">
        <f t="shared" ca="1" si="139"/>
        <v>2.6300000000000003</v>
      </c>
      <c r="G137" s="33">
        <f t="shared" si="119"/>
        <v>136</v>
      </c>
      <c r="H137" s="358">
        <f t="shared" si="120"/>
        <v>0</v>
      </c>
      <c r="I137" s="358">
        <f t="shared" si="121"/>
        <v>30</v>
      </c>
      <c r="J137" s="13">
        <f>Economic!R211</f>
        <v>41.364913333332879</v>
      </c>
      <c r="L137" s="18">
        <f>'GS&gt;50 Predicted Monthly'!$X$10</f>
        <v>12654537.4440873</v>
      </c>
      <c r="M137" s="18">
        <f ca="1">E137*'GS&gt;50 Predicted Monthly'!$X$11</f>
        <v>2043679.3221888239</v>
      </c>
      <c r="N137" s="18">
        <f ca="1">F137*'GS&gt;50 Predicted Monthly'!$X$12</f>
        <v>123378.13645778869</v>
      </c>
      <c r="O137" s="18">
        <f>G137*'GS&gt;50 Predicted Monthly'!$X$13</f>
        <v>-9047089.7878169082</v>
      </c>
      <c r="P137" s="18">
        <f>H137*'GS&gt;50 Predicted Monthly'!$X$14</f>
        <v>0</v>
      </c>
      <c r="Q137" s="18">
        <f>I137*'GS&gt;50 Predicted Monthly'!$X$15</f>
        <v>57165341.851978198</v>
      </c>
      <c r="R137" s="18">
        <f>J137*'GS&gt;50 Predicted Monthly'!$X$16</f>
        <v>289835.60237944557</v>
      </c>
      <c r="S137" s="18">
        <f t="shared" ca="1" si="136"/>
        <v>63229682.569274649</v>
      </c>
    </row>
    <row r="138" spans="1:19" x14ac:dyDescent="0.2">
      <c r="A138" s="9">
        <v>46143</v>
      </c>
      <c r="B138">
        <f t="shared" si="125"/>
        <v>2026</v>
      </c>
      <c r="C138">
        <f t="shared" si="126"/>
        <v>5</v>
      </c>
      <c r="D138" s="30"/>
      <c r="E138" s="33">
        <f t="shared" ref="E138:F138" ca="1" si="140">E126</f>
        <v>19.18</v>
      </c>
      <c r="F138" s="33">
        <f t="shared" ca="1" si="140"/>
        <v>50.489999999999995</v>
      </c>
      <c r="G138" s="33">
        <f t="shared" si="119"/>
        <v>137</v>
      </c>
      <c r="H138" s="358">
        <f t="shared" si="120"/>
        <v>0</v>
      </c>
      <c r="I138" s="358">
        <f t="shared" si="121"/>
        <v>31</v>
      </c>
      <c r="J138" s="13">
        <f>Economic!R212</f>
        <v>41.600881666666282</v>
      </c>
      <c r="L138" s="18">
        <f>'GS&gt;50 Predicted Monthly'!$X$10</f>
        <v>12654537.4440873</v>
      </c>
      <c r="M138" s="18">
        <f ca="1">E138*'GS&gt;50 Predicted Monthly'!$X$11</f>
        <v>349761.48299796233</v>
      </c>
      <c r="N138" s="18">
        <f ca="1">F138*'GS&gt;50 Predicted Monthly'!$X$12</f>
        <v>2368578.7489557983</v>
      </c>
      <c r="O138" s="18">
        <f>G138*'GS&gt;50 Predicted Monthly'!$X$13</f>
        <v>-9113612.5068449751</v>
      </c>
      <c r="P138" s="18">
        <f>H138*'GS&gt;50 Predicted Monthly'!$X$14</f>
        <v>0</v>
      </c>
      <c r="Q138" s="18">
        <f>I138*'GS&gt;50 Predicted Monthly'!$X$15</f>
        <v>59070853.247044139</v>
      </c>
      <c r="R138" s="18">
        <f>J138*'GS&gt;50 Predicted Monthly'!$X$16</f>
        <v>291488.98488463863</v>
      </c>
      <c r="S138" s="18">
        <f t="shared" ca="1" si="136"/>
        <v>65621607.401124872</v>
      </c>
    </row>
    <row r="139" spans="1:19" x14ac:dyDescent="0.2">
      <c r="A139" s="9">
        <v>46174</v>
      </c>
      <c r="B139">
        <f t="shared" si="125"/>
        <v>2026</v>
      </c>
      <c r="C139">
        <f t="shared" si="126"/>
        <v>6</v>
      </c>
      <c r="D139" s="30"/>
      <c r="E139" s="33">
        <f t="shared" ref="E139:F139" ca="1" si="141">E127</f>
        <v>0</v>
      </c>
      <c r="F139" s="33">
        <f t="shared" ca="1" si="141"/>
        <v>154.05000000000001</v>
      </c>
      <c r="G139" s="33">
        <f t="shared" si="119"/>
        <v>138</v>
      </c>
      <c r="H139" s="358">
        <f t="shared" si="120"/>
        <v>0</v>
      </c>
      <c r="I139" s="358">
        <f t="shared" si="121"/>
        <v>30</v>
      </c>
      <c r="J139" s="13">
        <f>Economic!R213</f>
        <v>41.739554999999655</v>
      </c>
      <c r="L139" s="18">
        <f>'GS&gt;50 Predicted Monthly'!$X$10</f>
        <v>12654537.4440873</v>
      </c>
      <c r="M139" s="18">
        <f ca="1">E139*'GS&gt;50 Predicted Monthly'!$X$11</f>
        <v>0</v>
      </c>
      <c r="N139" s="18">
        <f ca="1">F139*'GS&gt;50 Predicted Monthly'!$X$12</f>
        <v>7226768.7913773181</v>
      </c>
      <c r="O139" s="18">
        <f>G139*'GS&gt;50 Predicted Monthly'!$X$13</f>
        <v>-9180135.22587304</v>
      </c>
      <c r="P139" s="18">
        <f>H139*'GS&gt;50 Predicted Monthly'!$X$14</f>
        <v>0</v>
      </c>
      <c r="Q139" s="18">
        <f>I139*'GS&gt;50 Predicted Monthly'!$X$15</f>
        <v>57165341.851978198</v>
      </c>
      <c r="R139" s="18">
        <f>J139*'GS&gt;50 Predicted Monthly'!$X$16</f>
        <v>292460.64095404121</v>
      </c>
      <c r="S139" s="18">
        <f t="shared" ca="1" si="136"/>
        <v>68158973.502523825</v>
      </c>
    </row>
    <row r="140" spans="1:19" x14ac:dyDescent="0.2">
      <c r="A140" s="9">
        <v>46204</v>
      </c>
      <c r="B140">
        <f t="shared" si="125"/>
        <v>2026</v>
      </c>
      <c r="C140">
        <f t="shared" si="126"/>
        <v>7</v>
      </c>
      <c r="D140" s="30"/>
      <c r="E140" s="33">
        <f t="shared" ref="E140:F140" ca="1" si="142">E128</f>
        <v>0</v>
      </c>
      <c r="F140" s="33">
        <f t="shared" ca="1" si="142"/>
        <v>267.66999999999996</v>
      </c>
      <c r="G140" s="33">
        <f t="shared" si="119"/>
        <v>139</v>
      </c>
      <c r="H140" s="358">
        <f t="shared" si="120"/>
        <v>0</v>
      </c>
      <c r="I140" s="358">
        <f t="shared" si="121"/>
        <v>31</v>
      </c>
      <c r="J140" s="13">
        <f>Economic!R214</f>
        <v>41.861453333332975</v>
      </c>
      <c r="L140" s="18">
        <f>'GS&gt;50 Predicted Monthly'!$X$10</f>
        <v>12654537.4440873</v>
      </c>
      <c r="M140" s="18">
        <f ca="1">E140*'GS&gt;50 Predicted Monthly'!$X$11</f>
        <v>0</v>
      </c>
      <c r="N140" s="18">
        <f ca="1">F140*'GS&gt;50 Predicted Monthly'!$X$12</f>
        <v>12556891.933709616</v>
      </c>
      <c r="O140" s="18">
        <f>G140*'GS&gt;50 Predicted Monthly'!$X$13</f>
        <v>-9246657.944901105</v>
      </c>
      <c r="P140" s="18">
        <f>H140*'GS&gt;50 Predicted Monthly'!$X$14</f>
        <v>0</v>
      </c>
      <c r="Q140" s="18">
        <f>I140*'GS&gt;50 Predicted Monthly'!$X$15</f>
        <v>59070853.247044139</v>
      </c>
      <c r="R140" s="18">
        <f>J140*'GS&gt;50 Predicted Monthly'!$X$16</f>
        <v>293314.75798278989</v>
      </c>
      <c r="S140" s="18">
        <f t="shared" ca="1" si="136"/>
        <v>75328939.437922746</v>
      </c>
    </row>
    <row r="141" spans="1:19" x14ac:dyDescent="0.2">
      <c r="A141" s="9">
        <v>46235</v>
      </c>
      <c r="B141">
        <f t="shared" si="125"/>
        <v>2026</v>
      </c>
      <c r="C141">
        <f t="shared" si="126"/>
        <v>8</v>
      </c>
      <c r="D141" s="30"/>
      <c r="E141" s="33">
        <f t="shared" ref="E141:F141" ca="1" si="143">E129</f>
        <v>0</v>
      </c>
      <c r="F141" s="33">
        <f t="shared" ca="1" si="143"/>
        <v>246.315</v>
      </c>
      <c r="G141" s="33">
        <f t="shared" si="119"/>
        <v>140</v>
      </c>
      <c r="H141" s="358">
        <f t="shared" si="120"/>
        <v>0</v>
      </c>
      <c r="I141" s="358">
        <f t="shared" si="121"/>
        <v>31</v>
      </c>
      <c r="J141" s="13">
        <f>Economic!R215</f>
        <v>41.889411666666092</v>
      </c>
      <c r="L141" s="18">
        <f>'GS&gt;50 Predicted Monthly'!$X$10</f>
        <v>12654537.4440873</v>
      </c>
      <c r="M141" s="18">
        <f ca="1">E141*'GS&gt;50 Predicted Monthly'!$X$11</f>
        <v>0</v>
      </c>
      <c r="N141" s="18">
        <f ca="1">F141*'GS&gt;50 Predicted Monthly'!$X$12</f>
        <v>11555089.612775749</v>
      </c>
      <c r="O141" s="18">
        <f>G141*'GS&gt;50 Predicted Monthly'!$X$13</f>
        <v>-9313180.66392917</v>
      </c>
      <c r="P141" s="18">
        <f>H141*'GS&gt;50 Predicted Monthly'!$X$14</f>
        <v>0</v>
      </c>
      <c r="Q141" s="18">
        <f>I141*'GS&gt;50 Predicted Monthly'!$X$15</f>
        <v>59070853.247044139</v>
      </c>
      <c r="R141" s="18">
        <f>J141*'GS&gt;50 Predicted Monthly'!$X$16</f>
        <v>293510.65638387756</v>
      </c>
      <c r="S141" s="18">
        <f t="shared" ca="1" si="136"/>
        <v>74260810.296361893</v>
      </c>
    </row>
    <row r="142" spans="1:19" x14ac:dyDescent="0.2">
      <c r="A142" s="9">
        <v>46266</v>
      </c>
      <c r="B142">
        <f t="shared" si="125"/>
        <v>2026</v>
      </c>
      <c r="C142">
        <f t="shared" si="126"/>
        <v>9</v>
      </c>
      <c r="D142" s="30"/>
      <c r="E142" s="33">
        <f t="shared" ref="E142:F142" ca="1" si="144">E130</f>
        <v>0</v>
      </c>
      <c r="F142" s="33">
        <f t="shared" ca="1" si="144"/>
        <v>146.80000000000001</v>
      </c>
      <c r="G142" s="33">
        <f t="shared" si="119"/>
        <v>141</v>
      </c>
      <c r="H142" s="358">
        <f t="shared" si="120"/>
        <v>0</v>
      </c>
      <c r="I142" s="358">
        <f t="shared" si="121"/>
        <v>30</v>
      </c>
      <c r="J142" s="13">
        <f>Economic!R216</f>
        <v>41.984469999999419</v>
      </c>
      <c r="L142" s="18">
        <f>'GS&gt;50 Predicted Monthly'!$X$10</f>
        <v>12654537.4440873</v>
      </c>
      <c r="M142" s="18">
        <f ca="1">E142*'GS&gt;50 Predicted Monthly'!$X$11</f>
        <v>0</v>
      </c>
      <c r="N142" s="18">
        <f ca="1">F142*'GS&gt;50 Predicted Monthly'!$X$12</f>
        <v>6886657.9589366456</v>
      </c>
      <c r="O142" s="18">
        <f>G142*'GS&gt;50 Predicted Monthly'!$X$13</f>
        <v>-9379703.3829572368</v>
      </c>
      <c r="P142" s="18">
        <f>H142*'GS&gt;50 Predicted Monthly'!$X$14</f>
        <v>0</v>
      </c>
      <c r="Q142" s="18">
        <f>I142*'GS&gt;50 Predicted Monthly'!$X$15</f>
        <v>57165341.851978198</v>
      </c>
      <c r="R142" s="18">
        <f>J142*'GS&gt;50 Predicted Monthly'!$X$16</f>
        <v>294176.71094758069</v>
      </c>
      <c r="S142" s="18">
        <f t="shared" ca="1" si="136"/>
        <v>67621010.582992494</v>
      </c>
    </row>
    <row r="143" spans="1:19" x14ac:dyDescent="0.2">
      <c r="A143" s="9">
        <v>46296</v>
      </c>
      <c r="B143">
        <f t="shared" si="125"/>
        <v>2026</v>
      </c>
      <c r="C143">
        <f t="shared" si="126"/>
        <v>10</v>
      </c>
      <c r="D143" s="30"/>
      <c r="E143" s="33">
        <f t="shared" ref="E143:F143" ca="1" si="145">E131</f>
        <v>23.589999999999996</v>
      </c>
      <c r="F143" s="33">
        <f t="shared" ca="1" si="145"/>
        <v>36.859999999999992</v>
      </c>
      <c r="G143" s="33">
        <f t="shared" si="119"/>
        <v>142</v>
      </c>
      <c r="H143" s="358">
        <f t="shared" si="120"/>
        <v>0</v>
      </c>
      <c r="I143" s="358">
        <f t="shared" si="121"/>
        <v>31</v>
      </c>
      <c r="J143" s="13">
        <f>Economic!R217</f>
        <v>42.077291666666497</v>
      </c>
      <c r="L143" s="18">
        <f>'GS&gt;50 Predicted Monthly'!$X$10</f>
        <v>12654537.4440873</v>
      </c>
      <c r="M143" s="18">
        <f ca="1">E143*'GS&gt;50 Predicted Monthly'!$X$11</f>
        <v>430181.09405223833</v>
      </c>
      <c r="N143" s="18">
        <f ca="1">F143*'GS&gt;50 Predicted Monthly'!$X$12</f>
        <v>1729170.3839673344</v>
      </c>
      <c r="O143" s="18">
        <f>G143*'GS&gt;50 Predicted Monthly'!$X$13</f>
        <v>-9446226.1019853018</v>
      </c>
      <c r="P143" s="18">
        <f>H143*'GS&gt;50 Predicted Monthly'!$X$14</f>
        <v>0</v>
      </c>
      <c r="Q143" s="18">
        <f>I143*'GS&gt;50 Predicted Monthly'!$X$15</f>
        <v>59070853.247044139</v>
      </c>
      <c r="R143" s="18">
        <f>J143*'GS&gt;50 Predicted Monthly'!$X$16</f>
        <v>294827.09363919962</v>
      </c>
      <c r="S143" s="18">
        <f t="shared" ca="1" si="136"/>
        <v>64733343.160804912</v>
      </c>
    </row>
    <row r="144" spans="1:19" x14ac:dyDescent="0.2">
      <c r="A144" s="9">
        <v>46327</v>
      </c>
      <c r="B144">
        <f t="shared" si="125"/>
        <v>2026</v>
      </c>
      <c r="C144">
        <f t="shared" si="126"/>
        <v>11</v>
      </c>
      <c r="D144" s="30"/>
      <c r="E144" s="33">
        <f t="shared" ref="E144:F144" ca="1" si="146">E132</f>
        <v>134.25000000000003</v>
      </c>
      <c r="F144" s="33">
        <f t="shared" ca="1" si="146"/>
        <v>3.410000000000001</v>
      </c>
      <c r="G144" s="33">
        <f t="shared" si="119"/>
        <v>143</v>
      </c>
      <c r="H144" s="358">
        <f t="shared" si="120"/>
        <v>0</v>
      </c>
      <c r="I144" s="358">
        <f t="shared" si="121"/>
        <v>30</v>
      </c>
      <c r="J144" s="13">
        <f>Economic!R218</f>
        <v>42.111959999999726</v>
      </c>
      <c r="L144" s="18">
        <f>'GS&gt;50 Predicted Monthly'!$X$10</f>
        <v>12654537.4440873</v>
      </c>
      <c r="M144" s="18">
        <f ca="1">E144*'GS&gt;50 Predicted Monthly'!$X$11</f>
        <v>2448148.023591056</v>
      </c>
      <c r="N144" s="18">
        <f ca="1">F144*'GS&gt;50 Predicted Monthly'!$X$12</f>
        <v>159969.37084450931</v>
      </c>
      <c r="O144" s="18">
        <f>G144*'GS&gt;50 Predicted Monthly'!$X$13</f>
        <v>-9512748.8210133668</v>
      </c>
      <c r="P144" s="18">
        <f>H144*'GS&gt;50 Predicted Monthly'!$X$14</f>
        <v>0</v>
      </c>
      <c r="Q144" s="18">
        <f>I144*'GS&gt;50 Predicted Monthly'!$X$15</f>
        <v>57165341.851978198</v>
      </c>
      <c r="R144" s="18">
        <f>J144*'GS&gt;50 Predicted Monthly'!$X$16</f>
        <v>295070.00765654945</v>
      </c>
      <c r="S144" s="18">
        <f t="shared" ca="1" si="136"/>
        <v>63210317.877144247</v>
      </c>
    </row>
    <row r="145" spans="1:19" x14ac:dyDescent="0.2">
      <c r="A145" s="9">
        <v>46357</v>
      </c>
      <c r="B145">
        <f t="shared" si="125"/>
        <v>2026</v>
      </c>
      <c r="C145">
        <f t="shared" si="126"/>
        <v>12</v>
      </c>
      <c r="D145" s="30"/>
      <c r="E145" s="33">
        <f t="shared" ref="E145:F145" ca="1" si="147">E133</f>
        <v>262.99</v>
      </c>
      <c r="F145" s="33">
        <f t="shared" ca="1" si="147"/>
        <v>0</v>
      </c>
      <c r="G145" s="33">
        <f t="shared" si="119"/>
        <v>144</v>
      </c>
      <c r="H145" s="358">
        <f t="shared" si="120"/>
        <v>1</v>
      </c>
      <c r="I145" s="358">
        <f t="shared" si="121"/>
        <v>31</v>
      </c>
      <c r="J145" s="13">
        <f>Economic!R219</f>
        <v>42.223793333333106</v>
      </c>
      <c r="L145" s="18">
        <f>'GS&gt;50 Predicted Monthly'!$X$10</f>
        <v>12654537.4440873</v>
      </c>
      <c r="M145" s="18">
        <f ca="1">E145*'GS&gt;50 Predicted Monthly'!$X$11</f>
        <v>4795817.1227129363</v>
      </c>
      <c r="N145" s="18">
        <f ca="1">F145*'GS&gt;50 Predicted Monthly'!$X$12</f>
        <v>0</v>
      </c>
      <c r="O145" s="18">
        <f>G145*'GS&gt;50 Predicted Monthly'!$X$13</f>
        <v>-9579271.5400414318</v>
      </c>
      <c r="P145" s="18">
        <f>H145*'GS&gt;50 Predicted Monthly'!$X$14</f>
        <v>-2455659.1490839599</v>
      </c>
      <c r="Q145" s="18">
        <f>I145*'GS&gt;50 Predicted Monthly'!$X$15</f>
        <v>59070853.247044139</v>
      </c>
      <c r="R145" s="18">
        <f>J145*'GS&gt;50 Predicted Monthly'!$X$16</f>
        <v>295853.60126090643</v>
      </c>
      <c r="S145" s="18">
        <f t="shared" ca="1" si="136"/>
        <v>64782130.725979894</v>
      </c>
    </row>
    <row r="195" spans="7:22" x14ac:dyDescent="0.2">
      <c r="G195" s="18"/>
      <c r="H195" s="18"/>
      <c r="M195" s="18"/>
      <c r="N195" s="18"/>
      <c r="O195" s="18"/>
      <c r="P195" s="18"/>
      <c r="Q195" s="18"/>
      <c r="R195" s="18"/>
      <c r="S195" s="18"/>
      <c r="T195" s="18"/>
      <c r="U195" s="18"/>
      <c r="V195" s="18"/>
    </row>
    <row r="196" spans="7:22" x14ac:dyDescent="0.2">
      <c r="G196" s="18"/>
      <c r="H196" s="18"/>
      <c r="M196" s="18"/>
      <c r="N196" s="18"/>
      <c r="O196" s="18"/>
      <c r="P196" s="18"/>
      <c r="Q196" s="18"/>
      <c r="R196" s="18"/>
      <c r="S196" s="18"/>
      <c r="T196" s="18"/>
      <c r="U196" s="18"/>
      <c r="V196" s="18"/>
    </row>
    <row r="197" spans="7:22" x14ac:dyDescent="0.2">
      <c r="G197" s="18"/>
      <c r="H197" s="18"/>
      <c r="M197" s="18"/>
      <c r="N197" s="18"/>
      <c r="O197" s="18"/>
      <c r="P197" s="18"/>
      <c r="Q197" s="18"/>
      <c r="R197" s="18"/>
      <c r="S197" s="18"/>
      <c r="T197" s="18"/>
      <c r="U197" s="18"/>
      <c r="V197" s="18"/>
    </row>
    <row r="198" spans="7:22" x14ac:dyDescent="0.2">
      <c r="G198" s="18"/>
      <c r="H198" s="18"/>
      <c r="M198" s="18"/>
      <c r="N198" s="18"/>
      <c r="O198" s="18"/>
      <c r="P198" s="18"/>
      <c r="Q198" s="18"/>
      <c r="R198" s="18"/>
      <c r="S198" s="18"/>
      <c r="T198" s="18"/>
      <c r="U198" s="18"/>
      <c r="V198" s="18"/>
    </row>
    <row r="199" spans="7:22" x14ac:dyDescent="0.2">
      <c r="G199" s="18"/>
      <c r="H199" s="18"/>
      <c r="M199" s="18"/>
      <c r="N199" s="18"/>
      <c r="O199" s="18"/>
      <c r="P199" s="18"/>
      <c r="Q199" s="18"/>
      <c r="R199" s="18"/>
      <c r="S199" s="18"/>
      <c r="T199" s="18"/>
      <c r="U199" s="18"/>
      <c r="V199" s="18"/>
    </row>
    <row r="200" spans="7:22" x14ac:dyDescent="0.2">
      <c r="G200" s="18"/>
      <c r="H200" s="18"/>
      <c r="M200" s="18"/>
      <c r="N200" s="18"/>
      <c r="O200" s="18"/>
      <c r="P200" s="18"/>
      <c r="Q200" s="18"/>
      <c r="R200" s="18"/>
      <c r="S200" s="18"/>
      <c r="T200" s="18"/>
      <c r="U200" s="18"/>
      <c r="V200" s="18"/>
    </row>
    <row r="201" spans="7:22" x14ac:dyDescent="0.2">
      <c r="G201" s="18"/>
      <c r="H201" s="18"/>
      <c r="M201" s="18"/>
      <c r="N201" s="18"/>
      <c r="O201" s="18"/>
      <c r="P201" s="18"/>
      <c r="Q201" s="18"/>
      <c r="R201" s="18"/>
      <c r="S201" s="18"/>
      <c r="T201" s="18"/>
      <c r="U201" s="18"/>
      <c r="V201" s="18"/>
    </row>
    <row r="202" spans="7:22" x14ac:dyDescent="0.2">
      <c r="G202" s="18"/>
      <c r="H202" s="18"/>
      <c r="M202" s="18"/>
      <c r="N202" s="18"/>
      <c r="O202" s="18"/>
      <c r="P202" s="18"/>
      <c r="Q202" s="18"/>
      <c r="R202" s="18"/>
      <c r="S202" s="18"/>
      <c r="T202" s="18"/>
      <c r="U202" s="18"/>
      <c r="V202" s="18"/>
    </row>
    <row r="204" spans="7:22" x14ac:dyDescent="0.2">
      <c r="L204" s="31"/>
      <c r="M204" s="31"/>
      <c r="N204" s="31"/>
      <c r="O204" s="31"/>
      <c r="P204" s="31"/>
      <c r="Q204" s="31"/>
      <c r="R204" s="31"/>
      <c r="S204" s="31"/>
      <c r="T204" s="31"/>
      <c r="U204" s="31"/>
      <c r="V204" s="31"/>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9A1D7-E241-425C-89DE-65D17D4D5E2F}">
  <sheetPr codeName="Sheet7">
    <tabColor theme="6" tint="0.59999389629810485"/>
  </sheetPr>
  <dimension ref="A1:S205"/>
  <sheetViews>
    <sheetView workbookViewId="0">
      <pane xSplit="1" ySplit="1" topLeftCell="B104" activePane="bottomRight" state="frozen"/>
      <selection activeCell="AF24" sqref="AF24"/>
      <selection pane="topRight" activeCell="AF24" sqref="AF24"/>
      <selection pane="bottomLeft" activeCell="AF24" sqref="AF24"/>
      <selection pane="bottomRight" activeCell="S92" sqref="S92"/>
    </sheetView>
  </sheetViews>
  <sheetFormatPr defaultColWidth="9.33203125" defaultRowHeight="12.75" x14ac:dyDescent="0.2"/>
  <cols>
    <col min="1" max="1" width="10.5" bestFit="1" customWidth="1"/>
    <col min="4" max="4" width="14.6640625" bestFit="1" customWidth="1"/>
    <col min="9" max="9" width="11.33203125" bestFit="1" customWidth="1"/>
    <col min="11" max="11" width="12.5" bestFit="1" customWidth="1"/>
    <col min="12" max="12" width="11.83203125" bestFit="1" customWidth="1"/>
    <col min="13" max="13" width="12" bestFit="1" customWidth="1"/>
    <col min="14" max="14" width="12.83203125" bestFit="1" customWidth="1"/>
    <col min="15" max="15" width="13.83203125" bestFit="1" customWidth="1"/>
    <col min="16" max="16" width="14.33203125" bestFit="1" customWidth="1"/>
    <col min="17" max="17" width="13.6640625" bestFit="1" customWidth="1"/>
    <col min="18" max="18" width="11.1640625" bestFit="1" customWidth="1"/>
    <col min="19" max="19" width="16.1640625" customWidth="1"/>
    <col min="20" max="20" width="13.83203125" bestFit="1" customWidth="1"/>
    <col min="21" max="21" width="13" bestFit="1" customWidth="1"/>
    <col min="22" max="23" width="16" bestFit="1" customWidth="1"/>
  </cols>
  <sheetData>
    <row r="1" spans="1:19" x14ac:dyDescent="0.2">
      <c r="A1" s="373" t="str">
        <f>'Monthly Data'!A1</f>
        <v>Date</v>
      </c>
      <c r="B1" s="351" t="s">
        <v>0</v>
      </c>
      <c r="C1" s="351" t="s">
        <v>28</v>
      </c>
      <c r="D1" s="374" t="str">
        <f>'Monthly Data'!F1</f>
        <v>Res_NoCDM</v>
      </c>
      <c r="E1" s="375" t="str">
        <f>G1&amp;"Norm"</f>
        <v>HDD14Norm</v>
      </c>
      <c r="F1" s="375" t="str">
        <f>H1&amp;"Norm"</f>
        <v>CDD14Norm</v>
      </c>
      <c r="G1" s="375" t="str">
        <f>'Monthly Data'!AV1</f>
        <v>HDD14</v>
      </c>
      <c r="H1" s="375" t="str">
        <f>'Monthly Data'!AW1</f>
        <v>CDD14</v>
      </c>
      <c r="I1" s="376" t="str">
        <f>'Monthly Data'!Z1</f>
        <v>OEA_GDP</v>
      </c>
      <c r="J1" s="351" t="str">
        <f>'Monthly Data'!BR1</f>
        <v>Shoulder</v>
      </c>
      <c r="K1" s="375" t="str">
        <f>'Monthly Data'!BT1</f>
        <v>Month Days</v>
      </c>
      <c r="M1" s="351" t="s">
        <v>72</v>
      </c>
      <c r="N1" s="375" t="str">
        <f>E1</f>
        <v>HDD14Norm</v>
      </c>
      <c r="O1" s="375" t="str">
        <f>F1</f>
        <v>CDD14Norm</v>
      </c>
      <c r="P1" s="375" t="str">
        <f>I1</f>
        <v>OEA_GDP</v>
      </c>
      <c r="Q1" s="375" t="str">
        <f>J1</f>
        <v>Shoulder</v>
      </c>
      <c r="R1" s="375" t="str">
        <f>K1</f>
        <v>Month Days</v>
      </c>
      <c r="S1" s="351" t="s">
        <v>109</v>
      </c>
    </row>
    <row r="2" spans="1:19" x14ac:dyDescent="0.2">
      <c r="A2" s="9">
        <f>'Monthly Data'!A2</f>
        <v>42005</v>
      </c>
      <c r="B2">
        <f t="shared" ref="B2:B59" si="0">YEAR(A2)</f>
        <v>2015</v>
      </c>
      <c r="C2">
        <f t="shared" ref="C2:C59" si="1">MONTH(A2)</f>
        <v>1</v>
      </c>
      <c r="D2" s="30">
        <f>'Monthly Data'!F2</f>
        <v>49127092.146981061</v>
      </c>
      <c r="E2" s="33">
        <f ca="1">Weather!BR56</f>
        <v>508.54000000000008</v>
      </c>
      <c r="F2" s="33">
        <f ca="1">Weather!BS56</f>
        <v>0</v>
      </c>
      <c r="G2" s="33">
        <f>'Monthly Data'!AV2</f>
        <v>615.5999999999998</v>
      </c>
      <c r="H2" s="33">
        <f>'Monthly Data'!AW2</f>
        <v>0</v>
      </c>
      <c r="I2" s="18">
        <f>'Monthly Data'!Z2</f>
        <v>699057</v>
      </c>
      <c r="J2">
        <f>'Monthly Data'!BR2</f>
        <v>0</v>
      </c>
      <c r="K2" s="33">
        <f>'Monthly Data'!BT2</f>
        <v>31</v>
      </c>
      <c r="M2" s="18"/>
      <c r="N2" s="18">
        <f ca="1">(E2-G2)*'Res Predicted Monthly'!$V$10</f>
        <v>-1465212.3031096749</v>
      </c>
      <c r="O2" s="18">
        <f ca="1">(F2-H2)*'Res Predicted Monthly'!$V$11</f>
        <v>0</v>
      </c>
      <c r="P2" s="18"/>
      <c r="Q2" s="18"/>
      <c r="R2" s="18"/>
      <c r="S2" s="30">
        <f t="shared" ref="S2:S18" ca="1" si="2">D2+N2+O2</f>
        <v>47661879.843871385</v>
      </c>
    </row>
    <row r="3" spans="1:19" x14ac:dyDescent="0.2">
      <c r="A3" s="9">
        <f>'Monthly Data'!A3</f>
        <v>42036</v>
      </c>
      <c r="B3">
        <f t="shared" si="0"/>
        <v>2015</v>
      </c>
      <c r="C3">
        <f t="shared" si="1"/>
        <v>2</v>
      </c>
      <c r="D3" s="30">
        <f>'Monthly Data'!F3</f>
        <v>42235859.033245198</v>
      </c>
      <c r="E3" s="33">
        <f ca="1">Weather!BR57</f>
        <v>451.10999999999996</v>
      </c>
      <c r="F3" s="33">
        <f ca="1">Weather!BS57</f>
        <v>0</v>
      </c>
      <c r="G3" s="33">
        <f>'Monthly Data'!AV3</f>
        <v>703.89999999999986</v>
      </c>
      <c r="H3" s="33">
        <f>'Monthly Data'!AW3</f>
        <v>0</v>
      </c>
      <c r="I3" s="18">
        <f>'Monthly Data'!Z3</f>
        <v>699057</v>
      </c>
      <c r="J3">
        <f>'Monthly Data'!BR3</f>
        <v>0</v>
      </c>
      <c r="K3" s="33">
        <f>'Monthly Data'!BT3</f>
        <v>28</v>
      </c>
      <c r="M3" s="18"/>
      <c r="N3" s="18">
        <f ca="1">(E3-G3)*'Res Predicted Monthly'!$V$10</f>
        <v>-3459658.3047178737</v>
      </c>
      <c r="O3" s="18">
        <f ca="1">(F3-H3)*'Res Predicted Monthly'!$V$11</f>
        <v>0</v>
      </c>
      <c r="P3" s="18"/>
      <c r="Q3" s="18"/>
      <c r="R3" s="18"/>
      <c r="S3" s="30">
        <f t="shared" ca="1" si="2"/>
        <v>38776200.728527322</v>
      </c>
    </row>
    <row r="4" spans="1:19" x14ac:dyDescent="0.2">
      <c r="A4" s="9">
        <f>'Monthly Data'!A4</f>
        <v>42064</v>
      </c>
      <c r="B4">
        <f t="shared" si="0"/>
        <v>2015</v>
      </c>
      <c r="C4">
        <f t="shared" si="1"/>
        <v>3</v>
      </c>
      <c r="D4" s="30">
        <f>'Monthly Data'!F4</f>
        <v>42686019.919509344</v>
      </c>
      <c r="E4" s="33">
        <f ca="1">Weather!BR58</f>
        <v>374.74</v>
      </c>
      <c r="F4" s="33">
        <f ca="1">Weather!BS58</f>
        <v>0</v>
      </c>
      <c r="G4" s="33">
        <f>'Monthly Data'!AV4</f>
        <v>469.99999999999994</v>
      </c>
      <c r="H4" s="33">
        <f>'Monthly Data'!AW4</f>
        <v>0</v>
      </c>
      <c r="I4" s="18">
        <f>'Monthly Data'!Z4</f>
        <v>699057</v>
      </c>
      <c r="J4">
        <f>'Monthly Data'!BR4</f>
        <v>1</v>
      </c>
      <c r="K4" s="33">
        <f>'Monthly Data'!BT4</f>
        <v>31</v>
      </c>
      <c r="M4" s="18"/>
      <c r="N4" s="18">
        <f ca="1">(E4-G4)*'Res Predicted Monthly'!$V$10</f>
        <v>-1303718.6997405931</v>
      </c>
      <c r="O4" s="18">
        <f ca="1">(F4-H4)*'Res Predicted Monthly'!$V$11</f>
        <v>0</v>
      </c>
      <c r="P4" s="18"/>
      <c r="Q4" s="18"/>
      <c r="R4" s="18"/>
      <c r="S4" s="30">
        <f t="shared" ca="1" si="2"/>
        <v>41382301.219768748</v>
      </c>
    </row>
    <row r="5" spans="1:19" x14ac:dyDescent="0.2">
      <c r="A5" s="9">
        <f>'Monthly Data'!A5</f>
        <v>42095</v>
      </c>
      <c r="B5">
        <f t="shared" si="0"/>
        <v>2015</v>
      </c>
      <c r="C5">
        <f t="shared" si="1"/>
        <v>4</v>
      </c>
      <c r="D5" s="30">
        <f>'Monthly Data'!F5</f>
        <v>37892574.805773482</v>
      </c>
      <c r="E5" s="33">
        <f ca="1">Weather!BR59</f>
        <v>221.12999999999997</v>
      </c>
      <c r="F5" s="33">
        <f ca="1">Weather!BS59</f>
        <v>2.6300000000000003</v>
      </c>
      <c r="G5" s="33">
        <f>'Monthly Data'!AV5</f>
        <v>203.49999999999991</v>
      </c>
      <c r="H5" s="33">
        <f>'Monthly Data'!AW5</f>
        <v>1.5999999999999996</v>
      </c>
      <c r="I5" s="18">
        <f>'Monthly Data'!Z5</f>
        <v>705966</v>
      </c>
      <c r="J5">
        <f>'Monthly Data'!BR5</f>
        <v>1</v>
      </c>
      <c r="K5" s="33">
        <f>'Monthly Data'!BT5</f>
        <v>30</v>
      </c>
      <c r="M5" s="18"/>
      <c r="N5" s="18">
        <f ca="1">(E5-G5)*'Res Predicted Monthly'!$V$10</f>
        <v>241282.39215228576</v>
      </c>
      <c r="O5" s="18">
        <f ca="1">(F5-H5)*'Res Predicted Monthly'!$V$11</f>
        <v>82589.351478160039</v>
      </c>
      <c r="P5" s="18"/>
      <c r="Q5" s="18"/>
      <c r="R5" s="18"/>
      <c r="S5" s="30">
        <f t="shared" ca="1" si="2"/>
        <v>38216446.549403928</v>
      </c>
    </row>
    <row r="6" spans="1:19" x14ac:dyDescent="0.2">
      <c r="A6" s="9">
        <f>'Monthly Data'!A6</f>
        <v>42125</v>
      </c>
      <c r="B6">
        <f t="shared" si="0"/>
        <v>2015</v>
      </c>
      <c r="C6">
        <f t="shared" si="1"/>
        <v>5</v>
      </c>
      <c r="D6" s="30">
        <f>'Monthly Data'!F6</f>
        <v>40054347.692037627</v>
      </c>
      <c r="E6" s="33">
        <f ca="1">Weather!BR60</f>
        <v>74.8</v>
      </c>
      <c r="F6" s="33">
        <f ca="1">Weather!BS60</f>
        <v>50.489999999999995</v>
      </c>
      <c r="G6" s="33">
        <f>'Monthly Data'!AV6</f>
        <v>44.20000000000001</v>
      </c>
      <c r="H6" s="33">
        <f>'Monthly Data'!AW6</f>
        <v>60.8</v>
      </c>
      <c r="I6" s="18">
        <f>'Monthly Data'!Z6</f>
        <v>705966</v>
      </c>
      <c r="J6">
        <f>'Monthly Data'!BR6</f>
        <v>1</v>
      </c>
      <c r="K6" s="33">
        <f>'Monthly Data'!BT6</f>
        <v>31</v>
      </c>
      <c r="M6" s="18"/>
      <c r="N6" s="18">
        <f ca="1">(E6-G6)*'Res Predicted Monthly'!$V$10</f>
        <v>418788.49687237205</v>
      </c>
      <c r="O6" s="18">
        <f ca="1">(F6-H6)*'Res Predicted Monthly'!$V$11</f>
        <v>-826695.35314546572</v>
      </c>
      <c r="P6" s="18"/>
      <c r="Q6" s="18"/>
      <c r="R6" s="18"/>
      <c r="S6" s="30">
        <f t="shared" ca="1" si="2"/>
        <v>39646440.835764535</v>
      </c>
    </row>
    <row r="7" spans="1:19" x14ac:dyDescent="0.2">
      <c r="A7" s="9">
        <f>'Monthly Data'!A7</f>
        <v>42156</v>
      </c>
      <c r="B7">
        <f t="shared" si="0"/>
        <v>2015</v>
      </c>
      <c r="C7">
        <f t="shared" si="1"/>
        <v>6</v>
      </c>
      <c r="D7" s="30">
        <f>'Monthly Data'!F7</f>
        <v>45422610.578301765</v>
      </c>
      <c r="E7" s="33">
        <f ca="1">Weather!BR61</f>
        <v>2.15</v>
      </c>
      <c r="F7" s="33">
        <f ca="1">Weather!BS61</f>
        <v>154.05000000000001</v>
      </c>
      <c r="G7" s="33">
        <f>'Monthly Data'!AV7</f>
        <v>11.4</v>
      </c>
      <c r="H7" s="33">
        <f>'Monthly Data'!AW7</f>
        <v>98.000000000000028</v>
      </c>
      <c r="I7" s="18">
        <f>'Monthly Data'!Z7</f>
        <v>705966</v>
      </c>
      <c r="J7">
        <f>'Monthly Data'!BR7</f>
        <v>0</v>
      </c>
      <c r="K7" s="33">
        <f>'Monthly Data'!BT7</f>
        <v>30</v>
      </c>
      <c r="M7" s="18"/>
      <c r="N7" s="18">
        <f ca="1">(E7-G7)*'Res Predicted Monthly'!$V$10</f>
        <v>-126594.5619630537</v>
      </c>
      <c r="O7" s="18">
        <f ca="1">(F7-H7)*'Res Predicted Monthly'!$V$11</f>
        <v>4494304.02946686</v>
      </c>
      <c r="P7" s="18"/>
      <c r="Q7" s="18"/>
      <c r="R7" s="18"/>
      <c r="S7" s="30">
        <f t="shared" ca="1" si="2"/>
        <v>49790320.045805573</v>
      </c>
    </row>
    <row r="8" spans="1:19" x14ac:dyDescent="0.2">
      <c r="A8" s="9">
        <f>'Monthly Data'!A8</f>
        <v>42186</v>
      </c>
      <c r="B8">
        <f t="shared" si="0"/>
        <v>2015</v>
      </c>
      <c r="C8">
        <f t="shared" si="1"/>
        <v>7</v>
      </c>
      <c r="D8" s="30">
        <f>'Monthly Data'!F8</f>
        <v>53739568.464565903</v>
      </c>
      <c r="E8" s="33">
        <f ca="1">Weather!BR62</f>
        <v>0</v>
      </c>
      <c r="F8" s="33">
        <f ca="1">Weather!BS62</f>
        <v>267.66999999999996</v>
      </c>
      <c r="G8" s="33">
        <f>'Monthly Data'!AV8</f>
        <v>0</v>
      </c>
      <c r="H8" s="33">
        <f>'Monthly Data'!AW8</f>
        <v>244.9</v>
      </c>
      <c r="I8" s="18">
        <f>'Monthly Data'!Z8</f>
        <v>713152</v>
      </c>
      <c r="J8">
        <f>'Monthly Data'!BR8</f>
        <v>0</v>
      </c>
      <c r="K8" s="33">
        <f>'Monthly Data'!BT8</f>
        <v>31</v>
      </c>
      <c r="M8" s="18"/>
      <c r="N8" s="18">
        <f ca="1">(E8-G8)*'Res Predicted Monthly'!$V$10</f>
        <v>0</v>
      </c>
      <c r="O8" s="18">
        <f ca="1">(F8-H8)*'Res Predicted Monthly'!$V$11</f>
        <v>1825785.9545220379</v>
      </c>
      <c r="P8" s="18"/>
      <c r="Q8" s="18"/>
      <c r="R8" s="18"/>
      <c r="S8" s="30">
        <f t="shared" ca="1" si="2"/>
        <v>55565354.419087939</v>
      </c>
    </row>
    <row r="9" spans="1:19" x14ac:dyDescent="0.2">
      <c r="A9" s="9">
        <f>'Monthly Data'!A9</f>
        <v>42217</v>
      </c>
      <c r="B9">
        <f t="shared" si="0"/>
        <v>2015</v>
      </c>
      <c r="C9">
        <f t="shared" si="1"/>
        <v>8</v>
      </c>
      <c r="D9" s="30">
        <f>'Monthly Data'!F9</f>
        <v>54462241.350830048</v>
      </c>
      <c r="E9" s="33">
        <f ca="1">Weather!BR63</f>
        <v>0</v>
      </c>
      <c r="F9" s="33">
        <f ca="1">Weather!BS63</f>
        <v>246.315</v>
      </c>
      <c r="G9" s="33">
        <f>'Monthly Data'!AV9</f>
        <v>0</v>
      </c>
      <c r="H9" s="33">
        <f>'Monthly Data'!AW9</f>
        <v>210.70000000000002</v>
      </c>
      <c r="I9" s="18">
        <f>'Monthly Data'!Z9</f>
        <v>713152</v>
      </c>
      <c r="J9">
        <f>'Monthly Data'!BR9</f>
        <v>0</v>
      </c>
      <c r="K9" s="33">
        <f>'Monthly Data'!BT9</f>
        <v>31</v>
      </c>
      <c r="M9" s="18"/>
      <c r="N9" s="18">
        <f ca="1">(E9-G9)*'Res Predicted Monthly'!$V$10</f>
        <v>0</v>
      </c>
      <c r="O9" s="18">
        <f ca="1">(F9-H9)*'Res Predicted Monthly'!$V$11</f>
        <v>2855747.3329074429</v>
      </c>
      <c r="P9" s="18"/>
      <c r="Q9" s="18"/>
      <c r="R9" s="18"/>
      <c r="S9" s="30">
        <f t="shared" ca="1" si="2"/>
        <v>57317988.683737494</v>
      </c>
    </row>
    <row r="10" spans="1:19" x14ac:dyDescent="0.2">
      <c r="A10" s="9">
        <f>'Monthly Data'!A10</f>
        <v>42248</v>
      </c>
      <c r="B10">
        <f t="shared" si="0"/>
        <v>2015</v>
      </c>
      <c r="C10">
        <f t="shared" si="1"/>
        <v>9</v>
      </c>
      <c r="D10" s="30">
        <f>'Monthly Data'!F10</f>
        <v>47137858.237094186</v>
      </c>
      <c r="E10" s="33">
        <f ca="1">Weather!BR64</f>
        <v>2.2699999999999996</v>
      </c>
      <c r="F10" s="33">
        <f ca="1">Weather!BS64</f>
        <v>146.80000000000001</v>
      </c>
      <c r="G10" s="33">
        <f>'Monthly Data'!AV10</f>
        <v>9.9999999999999645E-2</v>
      </c>
      <c r="H10" s="33">
        <f>'Monthly Data'!AW10</f>
        <v>181</v>
      </c>
      <c r="I10" s="18">
        <f>'Monthly Data'!Z10</f>
        <v>713152</v>
      </c>
      <c r="J10">
        <f>'Monthly Data'!BR10</f>
        <v>1</v>
      </c>
      <c r="K10" s="33">
        <f>'Monthly Data'!BT10</f>
        <v>30</v>
      </c>
      <c r="M10" s="18"/>
      <c r="N10" s="18">
        <f ca="1">(E10-G10)*'Res Predicted Monthly'!$V$10</f>
        <v>29698.399941602867</v>
      </c>
      <c r="O10" s="18">
        <f ca="1">(F10-H10)*'Res Predicted Monthly'!$V$11</f>
        <v>-2742287.2044204571</v>
      </c>
      <c r="P10" s="18"/>
      <c r="Q10" s="18"/>
      <c r="R10" s="18"/>
      <c r="S10" s="30">
        <f t="shared" ca="1" si="2"/>
        <v>44425269.432615332</v>
      </c>
    </row>
    <row r="11" spans="1:19" x14ac:dyDescent="0.2">
      <c r="A11" s="9">
        <f>'Monthly Data'!A11</f>
        <v>42278</v>
      </c>
      <c r="B11">
        <f t="shared" si="0"/>
        <v>2015</v>
      </c>
      <c r="C11">
        <f t="shared" si="1"/>
        <v>10</v>
      </c>
      <c r="D11" s="30">
        <f>'Monthly Data'!F11</f>
        <v>41235519.123358332</v>
      </c>
      <c r="E11" s="33">
        <f ca="1">Weather!BR65</f>
        <v>83.800000000000011</v>
      </c>
      <c r="F11" s="33">
        <f ca="1">Weather!BS65</f>
        <v>36.859999999999992</v>
      </c>
      <c r="G11" s="33">
        <f>'Monthly Data'!AV11</f>
        <v>89.2</v>
      </c>
      <c r="H11" s="33">
        <f>'Monthly Data'!AW11</f>
        <v>14.399999999999997</v>
      </c>
      <c r="I11" s="18">
        <f>'Monthly Data'!Z11</f>
        <v>716976</v>
      </c>
      <c r="J11">
        <f>'Monthly Data'!BR11</f>
        <v>1</v>
      </c>
      <c r="K11" s="33">
        <f>'Monthly Data'!BT11</f>
        <v>31</v>
      </c>
      <c r="M11" s="18"/>
      <c r="N11" s="18">
        <f ca="1">(E11-G11)*'Res Predicted Monthly'!$V$10</f>
        <v>-73903.852389242049</v>
      </c>
      <c r="O11" s="18">
        <f ca="1">(F11-H11)*'Res Predicted Monthly'!$V$11</f>
        <v>1800928.9652422066</v>
      </c>
      <c r="P11" s="18"/>
      <c r="Q11" s="18"/>
      <c r="R11" s="18"/>
      <c r="S11" s="30">
        <f t="shared" ca="1" si="2"/>
        <v>42962544.2362113</v>
      </c>
    </row>
    <row r="12" spans="1:19" x14ac:dyDescent="0.2">
      <c r="A12" s="9">
        <f>'Monthly Data'!A12</f>
        <v>42309</v>
      </c>
      <c r="B12">
        <f t="shared" si="0"/>
        <v>2015</v>
      </c>
      <c r="C12">
        <f t="shared" si="1"/>
        <v>11</v>
      </c>
      <c r="D12" s="30">
        <f>'Monthly Data'!F12</f>
        <v>37717263.00962247</v>
      </c>
      <c r="E12" s="33">
        <f ca="1">Weather!BR66</f>
        <v>240.7</v>
      </c>
      <c r="F12" s="33">
        <f ca="1">Weather!BS66</f>
        <v>3.410000000000001</v>
      </c>
      <c r="G12" s="33">
        <f>'Monthly Data'!AV12</f>
        <v>185.10000000000002</v>
      </c>
      <c r="H12" s="33">
        <f>'Monthly Data'!AW12</f>
        <v>4.0000000000000018</v>
      </c>
      <c r="I12" s="18">
        <f>'Monthly Data'!Z12</f>
        <v>716976</v>
      </c>
      <c r="J12">
        <f>'Monthly Data'!BR12</f>
        <v>1</v>
      </c>
      <c r="K12" s="33">
        <f>'Monthly Data'!BT12</f>
        <v>30</v>
      </c>
      <c r="M12" s="18"/>
      <c r="N12" s="18">
        <f ca="1">(E12-G12)*'Res Predicted Monthly'!$V$10</f>
        <v>760935.96163738181</v>
      </c>
      <c r="O12" s="18">
        <f ca="1">(F12-H12)*'Res Predicted Monthly'!$V$11</f>
        <v>-47308.463468072288</v>
      </c>
      <c r="P12" s="18"/>
      <c r="Q12" s="18"/>
      <c r="R12" s="18"/>
      <c r="S12" s="30">
        <f t="shared" ca="1" si="2"/>
        <v>38430890.50779178</v>
      </c>
    </row>
    <row r="13" spans="1:19" x14ac:dyDescent="0.2">
      <c r="A13" s="9">
        <f>'Monthly Data'!A13</f>
        <v>42339</v>
      </c>
      <c r="B13">
        <f t="shared" si="0"/>
        <v>2015</v>
      </c>
      <c r="C13">
        <f t="shared" si="1"/>
        <v>12</v>
      </c>
      <c r="D13" s="30">
        <f>'Monthly Data'!F13</f>
        <v>41179905.895886615</v>
      </c>
      <c r="E13" s="33">
        <f ca="1">Weather!BR67</f>
        <v>386.61999999999995</v>
      </c>
      <c r="F13" s="33">
        <f ca="1">Weather!BS67</f>
        <v>0</v>
      </c>
      <c r="G13" s="33">
        <f>'Monthly Data'!AV13</f>
        <v>270.5</v>
      </c>
      <c r="H13" s="33">
        <f>'Monthly Data'!AW13</f>
        <v>0</v>
      </c>
      <c r="I13" s="18">
        <f>'Monthly Data'!Z13</f>
        <v>716976</v>
      </c>
      <c r="J13">
        <f>'Monthly Data'!BR13</f>
        <v>0</v>
      </c>
      <c r="K13" s="33">
        <f>'Monthly Data'!BT13</f>
        <v>31</v>
      </c>
      <c r="M13" s="18"/>
      <c r="N13" s="18">
        <f ca="1">(E13-G13)*'Res Predicted Monthly'!$V$10</f>
        <v>1589206.5443405178</v>
      </c>
      <c r="O13" s="18">
        <f ca="1">(F13-H13)*'Res Predicted Monthly'!$V$11</f>
        <v>0</v>
      </c>
      <c r="P13" s="18"/>
      <c r="Q13" s="18"/>
      <c r="R13" s="18"/>
      <c r="S13" s="30">
        <f t="shared" ca="1" si="2"/>
        <v>42769112.440227136</v>
      </c>
    </row>
    <row r="14" spans="1:19" x14ac:dyDescent="0.2">
      <c r="A14" s="9">
        <f>'Monthly Data'!A14</f>
        <v>42370</v>
      </c>
      <c r="B14">
        <f t="shared" si="0"/>
        <v>2016</v>
      </c>
      <c r="C14">
        <f t="shared" si="1"/>
        <v>1</v>
      </c>
      <c r="D14" s="30">
        <f>'Monthly Data'!F14</f>
        <v>45255473.713757403</v>
      </c>
      <c r="E14" s="33">
        <f ca="1">E2</f>
        <v>508.54000000000008</v>
      </c>
      <c r="F14" s="33">
        <f ca="1">F2</f>
        <v>0</v>
      </c>
      <c r="G14" s="33">
        <f>'Monthly Data'!AV14</f>
        <v>501</v>
      </c>
      <c r="H14" s="33">
        <f>'Monthly Data'!AW14</f>
        <v>0</v>
      </c>
      <c r="I14" s="18">
        <f>'Monthly Data'!Z14</f>
        <v>718587</v>
      </c>
      <c r="J14">
        <f>'Monthly Data'!BR14</f>
        <v>0</v>
      </c>
      <c r="K14" s="33">
        <f>'Monthly Data'!BT14</f>
        <v>31</v>
      </c>
      <c r="M14" s="18"/>
      <c r="N14" s="18">
        <f ca="1">(E14-G14)*'Res Predicted Monthly'!$V$10</f>
        <v>103191.67537312808</v>
      </c>
      <c r="O14" s="18">
        <f ca="1">(F14-H14)*'Res Predicted Monthly'!$V$11</f>
        <v>0</v>
      </c>
      <c r="P14" s="18"/>
      <c r="Q14" s="18"/>
      <c r="R14" s="18"/>
      <c r="S14" s="30">
        <f t="shared" ca="1" si="2"/>
        <v>45358665.389130533</v>
      </c>
    </row>
    <row r="15" spans="1:19" x14ac:dyDescent="0.2">
      <c r="A15" s="9">
        <f>'Monthly Data'!A15</f>
        <v>42401</v>
      </c>
      <c r="B15">
        <f t="shared" si="0"/>
        <v>2016</v>
      </c>
      <c r="C15">
        <f t="shared" si="1"/>
        <v>2</v>
      </c>
      <c r="D15" s="30">
        <f>'Monthly Data'!F15</f>
        <v>39790337.472733878</v>
      </c>
      <c r="E15" s="33">
        <f t="shared" ref="E15:F15" ca="1" si="3">E3</f>
        <v>451.10999999999996</v>
      </c>
      <c r="F15" s="33">
        <f t="shared" ca="1" si="3"/>
        <v>0</v>
      </c>
      <c r="G15" s="33">
        <f>'Monthly Data'!AV15</f>
        <v>428.29999999999995</v>
      </c>
      <c r="H15" s="33">
        <f>'Monthly Data'!AW15</f>
        <v>0</v>
      </c>
      <c r="I15" s="18">
        <f>'Monthly Data'!Z15</f>
        <v>718587</v>
      </c>
      <c r="J15">
        <f>'Monthly Data'!BR15</f>
        <v>0</v>
      </c>
      <c r="K15" s="33">
        <f>'Monthly Data'!BT15</f>
        <v>29</v>
      </c>
      <c r="M15" s="18"/>
      <c r="N15" s="18">
        <f ca="1">(E15-G15)*'Res Predicted Monthly'!$V$10</f>
        <v>312175.34685159515</v>
      </c>
      <c r="O15" s="18">
        <f ca="1">(F15-H15)*'Res Predicted Monthly'!$V$11</f>
        <v>0</v>
      </c>
      <c r="P15" s="18"/>
      <c r="Q15" s="18"/>
      <c r="R15" s="18"/>
      <c r="S15" s="30">
        <f t="shared" ca="1" si="2"/>
        <v>40102512.819585472</v>
      </c>
    </row>
    <row r="16" spans="1:19" x14ac:dyDescent="0.2">
      <c r="A16" s="9">
        <f>'Monthly Data'!A16</f>
        <v>42430</v>
      </c>
      <c r="B16">
        <f t="shared" si="0"/>
        <v>2016</v>
      </c>
      <c r="C16">
        <f t="shared" si="1"/>
        <v>3</v>
      </c>
      <c r="D16" s="30">
        <f>'Monthly Data'!F16</f>
        <v>39893155.231710352</v>
      </c>
      <c r="E16" s="33">
        <f t="shared" ref="E16:F16" ca="1" si="4">E4</f>
        <v>374.74</v>
      </c>
      <c r="F16" s="33">
        <f t="shared" ca="1" si="4"/>
        <v>0</v>
      </c>
      <c r="G16" s="33">
        <f>'Monthly Data'!AV16</f>
        <v>327.2</v>
      </c>
      <c r="H16" s="33">
        <f>'Monthly Data'!AW16</f>
        <v>0</v>
      </c>
      <c r="I16" s="18">
        <f>'Monthly Data'!Z16</f>
        <v>718587</v>
      </c>
      <c r="J16">
        <f>'Monthly Data'!BR16</f>
        <v>1</v>
      </c>
      <c r="K16" s="33">
        <f>'Monthly Data'!BT16</f>
        <v>31</v>
      </c>
      <c r="M16" s="18"/>
      <c r="N16" s="18">
        <f ca="1">(E16-G16)*'Res Predicted Monthly'!$V$10</f>
        <v>650627.61899714335</v>
      </c>
      <c r="O16" s="18">
        <f ca="1">(F16-H16)*'Res Predicted Monthly'!$V$11</f>
        <v>0</v>
      </c>
      <c r="P16" s="18"/>
      <c r="Q16" s="18"/>
      <c r="R16" s="18"/>
      <c r="S16" s="30">
        <f t="shared" ca="1" si="2"/>
        <v>40543782.850707494</v>
      </c>
    </row>
    <row r="17" spans="1:19" x14ac:dyDescent="0.2">
      <c r="A17" s="9">
        <f>'Monthly Data'!A17</f>
        <v>42461</v>
      </c>
      <c r="B17">
        <f t="shared" si="0"/>
        <v>2016</v>
      </c>
      <c r="C17">
        <f t="shared" si="1"/>
        <v>4</v>
      </c>
      <c r="D17" s="30">
        <f>'Monthly Data'!F17</f>
        <v>37464228.990686826</v>
      </c>
      <c r="E17" s="33">
        <f t="shared" ref="E17:F17" ca="1" si="5">E5</f>
        <v>221.12999999999997</v>
      </c>
      <c r="F17" s="33">
        <f t="shared" ca="1" si="5"/>
        <v>2.6300000000000003</v>
      </c>
      <c r="G17" s="33">
        <f>'Monthly Data'!AV17</f>
        <v>273.7999999999999</v>
      </c>
      <c r="H17" s="33">
        <f>'Monthly Data'!AW17</f>
        <v>2.8000000000000007</v>
      </c>
      <c r="I17" s="18">
        <f>'Monthly Data'!Z17</f>
        <v>723726</v>
      </c>
      <c r="J17">
        <f>'Monthly Data'!BR17</f>
        <v>1</v>
      </c>
      <c r="K17" s="33">
        <f>'Monthly Data'!BT17</f>
        <v>30</v>
      </c>
      <c r="M17" s="18"/>
      <c r="N17" s="18">
        <f ca="1">(E17-G17)*'Res Predicted Monthly'!$V$10</f>
        <v>-720836.27876692207</v>
      </c>
      <c r="O17" s="18">
        <f ca="1">(F17-H17)*'Res Predicted Monthly'!$V$11</f>
        <v>-13631.252185715757</v>
      </c>
      <c r="P17" s="18"/>
      <c r="Q17" s="18"/>
      <c r="R17" s="18"/>
      <c r="S17" s="30">
        <f t="shared" ca="1" si="2"/>
        <v>36729761.459734187</v>
      </c>
    </row>
    <row r="18" spans="1:19" x14ac:dyDescent="0.2">
      <c r="A18" s="9">
        <f>'Monthly Data'!A18</f>
        <v>42491</v>
      </c>
      <c r="B18">
        <f t="shared" si="0"/>
        <v>2016</v>
      </c>
      <c r="C18">
        <f t="shared" si="1"/>
        <v>5</v>
      </c>
      <c r="D18" s="30">
        <f>'Monthly Data'!F18</f>
        <v>41966514.749663308</v>
      </c>
      <c r="E18" s="33">
        <f t="shared" ref="E18:F18" ca="1" si="6">E6</f>
        <v>74.8</v>
      </c>
      <c r="F18" s="33">
        <f t="shared" ca="1" si="6"/>
        <v>50.489999999999995</v>
      </c>
      <c r="G18" s="33">
        <f>'Monthly Data'!AV18</f>
        <v>74.600000000000009</v>
      </c>
      <c r="H18" s="33">
        <f>'Monthly Data'!AW18</f>
        <v>70.599999999999994</v>
      </c>
      <c r="I18" s="18">
        <f>'Monthly Data'!Z18</f>
        <v>723726</v>
      </c>
      <c r="J18">
        <f>'Monthly Data'!BR18</f>
        <v>1</v>
      </c>
      <c r="K18" s="33">
        <f>'Monthly Data'!BT18</f>
        <v>31</v>
      </c>
      <c r="M18" s="18"/>
      <c r="N18" s="18">
        <f ca="1">(E18-G18)*'Res Predicted Monthly'!$V$10</f>
        <v>2737.1797181199245</v>
      </c>
      <c r="O18" s="18">
        <f ca="1">(F18-H18)*'Res Predicted Monthly'!$V$11</f>
        <v>-1612496.9497337837</v>
      </c>
      <c r="P18" s="18"/>
      <c r="Q18" s="18"/>
      <c r="R18" s="18"/>
      <c r="S18" s="30">
        <f t="shared" ca="1" si="2"/>
        <v>40356754.979647644</v>
      </c>
    </row>
    <row r="19" spans="1:19" x14ac:dyDescent="0.2">
      <c r="A19" s="9">
        <f>'Monthly Data'!A19</f>
        <v>42522</v>
      </c>
      <c r="B19">
        <f t="shared" si="0"/>
        <v>2016</v>
      </c>
      <c r="C19">
        <f t="shared" si="1"/>
        <v>6</v>
      </c>
      <c r="D19" s="30">
        <f>'Monthly Data'!F19</f>
        <v>51191605.508639783</v>
      </c>
      <c r="E19" s="33">
        <f t="shared" ref="E19:F19" ca="1" si="7">E7</f>
        <v>2.15</v>
      </c>
      <c r="F19" s="33">
        <f t="shared" ca="1" si="7"/>
        <v>154.05000000000001</v>
      </c>
      <c r="G19" s="33">
        <f>'Monthly Data'!AV19</f>
        <v>2</v>
      </c>
      <c r="H19" s="33">
        <f>'Monthly Data'!AW19</f>
        <v>163.6</v>
      </c>
      <c r="I19" s="18">
        <f>'Monthly Data'!Z19</f>
        <v>723726</v>
      </c>
      <c r="J19">
        <f>'Monthly Data'!BR19</f>
        <v>0</v>
      </c>
      <c r="K19" s="33">
        <f>'Monthly Data'!BT19</f>
        <v>30</v>
      </c>
      <c r="M19" s="18"/>
      <c r="N19" s="18">
        <f ca="1">(E19-G19)*'Res Predicted Monthly'!$V$10</f>
        <v>2052.8847885900586</v>
      </c>
      <c r="O19" s="18">
        <f ca="1">(F19-H19)*'Res Predicted Monthly'!$V$11</f>
        <v>-765755.63749167626</v>
      </c>
      <c r="P19" s="18"/>
      <c r="Q19" s="18"/>
      <c r="R19" s="18"/>
      <c r="S19" s="30">
        <f t="shared" ref="S19:S82" ca="1" si="8">D19+N19+O19</f>
        <v>50427902.755936697</v>
      </c>
    </row>
    <row r="20" spans="1:19" x14ac:dyDescent="0.2">
      <c r="A20" s="9">
        <f>'Monthly Data'!A20</f>
        <v>42552</v>
      </c>
      <c r="B20">
        <f t="shared" si="0"/>
        <v>2016</v>
      </c>
      <c r="C20">
        <f t="shared" si="1"/>
        <v>7</v>
      </c>
      <c r="D20" s="30">
        <f>'Monthly Data'!F20</f>
        <v>62342093.267616257</v>
      </c>
      <c r="E20" s="33">
        <f t="shared" ref="E20:F20" ca="1" si="9">E8</f>
        <v>0</v>
      </c>
      <c r="F20" s="33">
        <f t="shared" ca="1" si="9"/>
        <v>267.66999999999996</v>
      </c>
      <c r="G20" s="33">
        <f>'Monthly Data'!AV20</f>
        <v>0</v>
      </c>
      <c r="H20" s="33">
        <f>'Monthly Data'!AW20</f>
        <v>276.5</v>
      </c>
      <c r="I20" s="18">
        <f>'Monthly Data'!Z20</f>
        <v>730341</v>
      </c>
      <c r="J20">
        <f>'Monthly Data'!BR20</f>
        <v>0</v>
      </c>
      <c r="K20" s="33">
        <f>'Monthly Data'!BT20</f>
        <v>31</v>
      </c>
      <c r="M20" s="18"/>
      <c r="N20" s="18">
        <f ca="1">(E20-G20)*'Res Predicted Monthly'!$V$10</f>
        <v>0</v>
      </c>
      <c r="O20" s="18">
        <f ca="1">(F20-H20)*'Res Predicted Monthly'!$V$11</f>
        <v>-708023.27529335546</v>
      </c>
      <c r="P20" s="18"/>
      <c r="Q20" s="18"/>
      <c r="R20" s="18"/>
      <c r="S20" s="30">
        <f t="shared" ca="1" si="8"/>
        <v>61634069.992322899</v>
      </c>
    </row>
    <row r="21" spans="1:19" x14ac:dyDescent="0.2">
      <c r="A21" s="9">
        <f>'Monthly Data'!A21</f>
        <v>42583</v>
      </c>
      <c r="B21">
        <f t="shared" si="0"/>
        <v>2016</v>
      </c>
      <c r="C21">
        <f t="shared" si="1"/>
        <v>8</v>
      </c>
      <c r="D21" s="30">
        <f>'Monthly Data'!F21</f>
        <v>60905685.026592731</v>
      </c>
      <c r="E21" s="33">
        <f t="shared" ref="E21:F21" ca="1" si="10">E9</f>
        <v>0</v>
      </c>
      <c r="F21" s="33">
        <f t="shared" ca="1" si="10"/>
        <v>246.315</v>
      </c>
      <c r="G21" s="33">
        <f>'Monthly Data'!AV21</f>
        <v>0</v>
      </c>
      <c r="H21" s="33">
        <f>'Monthly Data'!AW21</f>
        <v>301.80000000000007</v>
      </c>
      <c r="I21" s="18">
        <f>'Monthly Data'!Z21</f>
        <v>730341</v>
      </c>
      <c r="J21">
        <f>'Monthly Data'!BR21</f>
        <v>0</v>
      </c>
      <c r="K21" s="33">
        <f>'Monthly Data'!BT21</f>
        <v>31</v>
      </c>
      <c r="M21" s="18"/>
      <c r="N21" s="18">
        <f ca="1">(E21-G21)*'Res Predicted Monthly'!$V$10</f>
        <v>0</v>
      </c>
      <c r="O21" s="18">
        <f ca="1">(F21-H21)*'Res Predicted Monthly'!$V$11</f>
        <v>-4449000.1619084589</v>
      </c>
      <c r="P21" s="18"/>
      <c r="Q21" s="18"/>
      <c r="R21" s="18"/>
      <c r="S21" s="30">
        <f t="shared" ca="1" si="8"/>
        <v>56456684.864684269</v>
      </c>
    </row>
    <row r="22" spans="1:19" x14ac:dyDescent="0.2">
      <c r="A22" s="9">
        <f>'Monthly Data'!A22</f>
        <v>42614</v>
      </c>
      <c r="B22">
        <f t="shared" si="0"/>
        <v>2016</v>
      </c>
      <c r="C22">
        <f t="shared" si="1"/>
        <v>9</v>
      </c>
      <c r="D22" s="30">
        <f>'Monthly Data'!F22</f>
        <v>50436740.785569206</v>
      </c>
      <c r="E22" s="33">
        <f t="shared" ref="E22:F22" ca="1" si="11">E10</f>
        <v>2.2699999999999996</v>
      </c>
      <c r="F22" s="33">
        <f t="shared" ca="1" si="11"/>
        <v>146.80000000000001</v>
      </c>
      <c r="G22" s="33">
        <f>'Monthly Data'!AV22</f>
        <v>9.9999999999999645E-2</v>
      </c>
      <c r="H22" s="33">
        <f>'Monthly Data'!AW22</f>
        <v>181</v>
      </c>
      <c r="I22" s="18">
        <f>'Monthly Data'!Z22</f>
        <v>730341</v>
      </c>
      <c r="J22">
        <f>'Monthly Data'!BR22</f>
        <v>1</v>
      </c>
      <c r="K22" s="33">
        <f>'Monthly Data'!BT22</f>
        <v>30</v>
      </c>
      <c r="M22" s="18"/>
      <c r="N22" s="18">
        <f ca="1">(E22-G22)*'Res Predicted Monthly'!$V$10</f>
        <v>29698.399941602867</v>
      </c>
      <c r="O22" s="18">
        <f ca="1">(F22-H22)*'Res Predicted Monthly'!$V$11</f>
        <v>-2742287.2044204571</v>
      </c>
      <c r="P22" s="18"/>
      <c r="Q22" s="18"/>
      <c r="R22" s="18"/>
      <c r="S22" s="30">
        <f t="shared" ca="1" si="8"/>
        <v>47724151.981090352</v>
      </c>
    </row>
    <row r="23" spans="1:19" x14ac:dyDescent="0.2">
      <c r="A23" s="9">
        <f>'Monthly Data'!A23</f>
        <v>42644</v>
      </c>
      <c r="B23">
        <f t="shared" si="0"/>
        <v>2016</v>
      </c>
      <c r="C23">
        <f t="shared" si="1"/>
        <v>10</v>
      </c>
      <c r="D23" s="30">
        <f>'Monthly Data'!F23</f>
        <v>41879541.544545688</v>
      </c>
      <c r="E23" s="33">
        <f t="shared" ref="E23:F23" ca="1" si="12">E11</f>
        <v>83.800000000000011</v>
      </c>
      <c r="F23" s="33">
        <f t="shared" ca="1" si="12"/>
        <v>36.859999999999992</v>
      </c>
      <c r="G23" s="33">
        <f>'Monthly Data'!AV23</f>
        <v>77.199999999999989</v>
      </c>
      <c r="H23" s="33">
        <f>'Monthly Data'!AW23</f>
        <v>52.699999999999989</v>
      </c>
      <c r="I23" s="18">
        <f>'Monthly Data'!Z23</f>
        <v>737784</v>
      </c>
      <c r="J23">
        <f>'Monthly Data'!BR23</f>
        <v>1</v>
      </c>
      <c r="K23" s="33">
        <f>'Monthly Data'!BT23</f>
        <v>31</v>
      </c>
      <c r="M23" s="18"/>
      <c r="N23" s="18">
        <f ca="1">(E23-G23)*'Res Predicted Monthly'!$V$10</f>
        <v>90326.930697962947</v>
      </c>
      <c r="O23" s="18">
        <f ca="1">(F23-H23)*'Res Predicted Monthly'!$V$11</f>
        <v>-1270111.9683631591</v>
      </c>
      <c r="P23" s="18"/>
      <c r="Q23" s="18"/>
      <c r="R23" s="18"/>
      <c r="S23" s="30">
        <f t="shared" ca="1" si="8"/>
        <v>40699756.506880492</v>
      </c>
    </row>
    <row r="24" spans="1:19" x14ac:dyDescent="0.2">
      <c r="A24" s="9">
        <f>'Monthly Data'!A24</f>
        <v>42675</v>
      </c>
      <c r="B24">
        <f t="shared" si="0"/>
        <v>2016</v>
      </c>
      <c r="C24">
        <f t="shared" si="1"/>
        <v>11</v>
      </c>
      <c r="D24" s="30">
        <f>'Monthly Data'!F24</f>
        <v>37972992.303522162</v>
      </c>
      <c r="E24" s="33">
        <f t="shared" ref="E24:F24" ca="1" si="13">E12</f>
        <v>240.7</v>
      </c>
      <c r="F24" s="33">
        <f t="shared" ca="1" si="13"/>
        <v>3.410000000000001</v>
      </c>
      <c r="G24" s="33">
        <f>'Monthly Data'!AV24</f>
        <v>174.8</v>
      </c>
      <c r="H24" s="33">
        <f>'Monthly Data'!AW24</f>
        <v>1.9000000000000004</v>
      </c>
      <c r="I24" s="18">
        <f>'Monthly Data'!Z24</f>
        <v>737784</v>
      </c>
      <c r="J24">
        <f>'Monthly Data'!BR24</f>
        <v>1</v>
      </c>
      <c r="K24" s="33">
        <f>'Monthly Data'!BT24</f>
        <v>30</v>
      </c>
      <c r="M24" s="18"/>
      <c r="N24" s="18">
        <f ca="1">(E24-G24)*'Res Predicted Monthly'!$V$10</f>
        <v>901900.71712056606</v>
      </c>
      <c r="O24" s="18">
        <f ca="1">(F24-H24)*'Res Predicted Monthly'!$V$11</f>
        <v>121077.59294371033</v>
      </c>
      <c r="P24" s="18"/>
      <c r="Q24" s="18"/>
      <c r="R24" s="18"/>
      <c r="S24" s="30">
        <f t="shared" ca="1" si="8"/>
        <v>38995970.613586441</v>
      </c>
    </row>
    <row r="25" spans="1:19" x14ac:dyDescent="0.2">
      <c r="A25" s="9">
        <f>'Monthly Data'!A25</f>
        <v>42705</v>
      </c>
      <c r="B25">
        <f t="shared" si="0"/>
        <v>2016</v>
      </c>
      <c r="C25">
        <f t="shared" si="1"/>
        <v>12</v>
      </c>
      <c r="D25" s="30">
        <f>'Monthly Data'!F25</f>
        <v>43646992.062498637</v>
      </c>
      <c r="E25" s="33">
        <f t="shared" ref="E25:F25" ca="1" si="14">E13</f>
        <v>386.61999999999995</v>
      </c>
      <c r="F25" s="33">
        <f t="shared" ca="1" si="14"/>
        <v>0</v>
      </c>
      <c r="G25" s="33">
        <f>'Monthly Data'!AV25</f>
        <v>435.00000000000006</v>
      </c>
      <c r="H25" s="33">
        <f>'Monthly Data'!AW25</f>
        <v>0</v>
      </c>
      <c r="I25" s="18">
        <f>'Monthly Data'!Z25</f>
        <v>737784</v>
      </c>
      <c r="J25">
        <f>'Monthly Data'!BR25</f>
        <v>0</v>
      </c>
      <c r="K25" s="33">
        <f>'Monthly Data'!BT25</f>
        <v>31</v>
      </c>
      <c r="M25" s="18"/>
      <c r="N25" s="18">
        <f ca="1">(E25-G25)*'Res Predicted Monthly'!$V$10</f>
        <v>-662123.77381324884</v>
      </c>
      <c r="O25" s="18">
        <f ca="1">(F25-H25)*'Res Predicted Monthly'!$V$11</f>
        <v>0</v>
      </c>
      <c r="P25" s="18"/>
      <c r="Q25" s="18"/>
      <c r="R25" s="18"/>
      <c r="S25" s="30">
        <f t="shared" ca="1" si="8"/>
        <v>42984868.288685389</v>
      </c>
    </row>
    <row r="26" spans="1:19" x14ac:dyDescent="0.2">
      <c r="A26" s="9">
        <f>'Monthly Data'!A26</f>
        <v>42736</v>
      </c>
      <c r="B26">
        <f t="shared" si="0"/>
        <v>2017</v>
      </c>
      <c r="C26">
        <f t="shared" si="1"/>
        <v>1</v>
      </c>
      <c r="D26" s="30">
        <f>'Monthly Data'!F26</f>
        <v>44428210.437605619</v>
      </c>
      <c r="E26" s="33">
        <f t="shared" ref="E26:F26" ca="1" si="15">E14</f>
        <v>508.54000000000008</v>
      </c>
      <c r="F26" s="33">
        <f t="shared" ca="1" si="15"/>
        <v>0</v>
      </c>
      <c r="G26" s="33">
        <f>'Monthly Data'!AV26</f>
        <v>444.60000000000008</v>
      </c>
      <c r="H26" s="33">
        <f>'Monthly Data'!AW26</f>
        <v>0</v>
      </c>
      <c r="I26" s="18">
        <f>'Monthly Data'!Z26</f>
        <v>743287</v>
      </c>
      <c r="J26">
        <f>'Monthly Data'!BR26</f>
        <v>0</v>
      </c>
      <c r="K26" s="33">
        <f>'Monthly Data'!BT26</f>
        <v>31</v>
      </c>
      <c r="M26" s="18"/>
      <c r="N26" s="18">
        <f ca="1">(E26-G26)*'Res Predicted Monthly'!$V$10</f>
        <v>875076.35588298959</v>
      </c>
      <c r="O26" s="18">
        <f ca="1">(F26-H26)*'Res Predicted Monthly'!$V$11</f>
        <v>0</v>
      </c>
      <c r="P26" s="18"/>
      <c r="Q26" s="18"/>
      <c r="R26" s="18"/>
      <c r="S26" s="30">
        <f t="shared" ca="1" si="8"/>
        <v>45303286.793488607</v>
      </c>
    </row>
    <row r="27" spans="1:19" x14ac:dyDescent="0.2">
      <c r="A27" s="9">
        <f>'Monthly Data'!A27</f>
        <v>42767</v>
      </c>
      <c r="B27">
        <f t="shared" si="0"/>
        <v>2017</v>
      </c>
      <c r="C27">
        <f t="shared" si="1"/>
        <v>2</v>
      </c>
      <c r="D27" s="30">
        <f>'Monthly Data'!F27</f>
        <v>38008250.644202635</v>
      </c>
      <c r="E27" s="33">
        <f t="shared" ref="E27:F27" ca="1" si="16">E15</f>
        <v>451.10999999999996</v>
      </c>
      <c r="F27" s="33">
        <f t="shared" ca="1" si="16"/>
        <v>0</v>
      </c>
      <c r="G27" s="33">
        <f>'Monthly Data'!AV27</f>
        <v>359.19999999999993</v>
      </c>
      <c r="H27" s="33">
        <f>'Monthly Data'!AW27</f>
        <v>0</v>
      </c>
      <c r="I27" s="18">
        <f>'Monthly Data'!Z27</f>
        <v>743287</v>
      </c>
      <c r="J27">
        <f>'Monthly Data'!BR27</f>
        <v>0</v>
      </c>
      <c r="K27" s="33">
        <f>'Monthly Data'!BT27</f>
        <v>28</v>
      </c>
      <c r="M27" s="18"/>
      <c r="N27" s="18">
        <f ca="1">(E27-G27)*'Res Predicted Monthly'!$V$10</f>
        <v>1257870.9394620832</v>
      </c>
      <c r="O27" s="18">
        <f ca="1">(F27-H27)*'Res Predicted Monthly'!$V$11</f>
        <v>0</v>
      </c>
      <c r="P27" s="18"/>
      <c r="Q27" s="18"/>
      <c r="R27" s="18"/>
      <c r="S27" s="30">
        <f t="shared" ca="1" si="8"/>
        <v>39266121.583664715</v>
      </c>
    </row>
    <row r="28" spans="1:19" x14ac:dyDescent="0.2">
      <c r="A28" s="9">
        <f>'Monthly Data'!A28</f>
        <v>42795</v>
      </c>
      <c r="B28">
        <f t="shared" si="0"/>
        <v>2017</v>
      </c>
      <c r="C28">
        <f t="shared" si="1"/>
        <v>3</v>
      </c>
      <c r="D28" s="30">
        <f>'Monthly Data'!F28</f>
        <v>39754350.85079965</v>
      </c>
      <c r="E28" s="33">
        <f t="shared" ref="E28:F28" ca="1" si="17">E16</f>
        <v>374.74</v>
      </c>
      <c r="F28" s="33">
        <f t="shared" ca="1" si="17"/>
        <v>0</v>
      </c>
      <c r="G28" s="33">
        <f>'Monthly Data'!AV28</f>
        <v>417.20000000000005</v>
      </c>
      <c r="H28" s="33">
        <f>'Monthly Data'!AW28</f>
        <v>0</v>
      </c>
      <c r="I28" s="18">
        <f>'Monthly Data'!Z28</f>
        <v>743287</v>
      </c>
      <c r="J28">
        <f>'Monthly Data'!BR28</f>
        <v>1</v>
      </c>
      <c r="K28" s="33">
        <f>'Monthly Data'!BT28</f>
        <v>31</v>
      </c>
      <c r="M28" s="18"/>
      <c r="N28" s="18">
        <f ca="1">(E28-G28)*'Res Predicted Monthly'!$V$10</f>
        <v>-581103.25415689347</v>
      </c>
      <c r="O28" s="18">
        <f ca="1">(F28-H28)*'Res Predicted Monthly'!$V$11</f>
        <v>0</v>
      </c>
      <c r="P28" s="18"/>
      <c r="Q28" s="18"/>
      <c r="R28" s="18"/>
      <c r="S28" s="30">
        <f t="shared" ca="1" si="8"/>
        <v>39173247.596642755</v>
      </c>
    </row>
    <row r="29" spans="1:19" x14ac:dyDescent="0.2">
      <c r="A29" s="9">
        <f>'Monthly Data'!A29</f>
        <v>42826</v>
      </c>
      <c r="B29">
        <f t="shared" si="0"/>
        <v>2017</v>
      </c>
      <c r="C29">
        <f t="shared" si="1"/>
        <v>4</v>
      </c>
      <c r="D29" s="30">
        <f>'Monthly Data'!F29</f>
        <v>35550881.057396658</v>
      </c>
      <c r="E29" s="33">
        <f t="shared" ref="E29:F29" ca="1" si="18">E17</f>
        <v>221.12999999999997</v>
      </c>
      <c r="F29" s="33">
        <f t="shared" ca="1" si="18"/>
        <v>2.6300000000000003</v>
      </c>
      <c r="G29" s="33">
        <f>'Monthly Data'!AV29</f>
        <v>156.79999999999998</v>
      </c>
      <c r="H29" s="33">
        <f>'Monthly Data'!AW29</f>
        <v>4.6999999999999993</v>
      </c>
      <c r="I29" s="18">
        <f>'Monthly Data'!Z29</f>
        <v>740632</v>
      </c>
      <c r="J29">
        <f>'Monthly Data'!BR29</f>
        <v>1</v>
      </c>
      <c r="K29" s="33">
        <f>'Monthly Data'!BT29</f>
        <v>30</v>
      </c>
      <c r="M29" s="18"/>
      <c r="N29" s="18">
        <f ca="1">(E29-G29)*'Res Predicted Monthly'!$V$10</f>
        <v>880413.85633332352</v>
      </c>
      <c r="O29" s="18">
        <f ca="1">(F29-H29)*'Res Predicted Monthly'!$V$11</f>
        <v>-165980.54132018553</v>
      </c>
      <c r="P29" s="18"/>
      <c r="Q29" s="18"/>
      <c r="R29" s="18"/>
      <c r="S29" s="30">
        <f t="shared" ca="1" si="8"/>
        <v>36265314.372409798</v>
      </c>
    </row>
    <row r="30" spans="1:19" x14ac:dyDescent="0.2">
      <c r="A30" s="9">
        <f>'Monthly Data'!A30</f>
        <v>42856</v>
      </c>
      <c r="B30">
        <f t="shared" si="0"/>
        <v>2017</v>
      </c>
      <c r="C30">
        <f t="shared" si="1"/>
        <v>5</v>
      </c>
      <c r="D30" s="30">
        <f>'Monthly Data'!F30</f>
        <v>38527675.263993673</v>
      </c>
      <c r="E30" s="33">
        <f t="shared" ref="E30:F30" ca="1" si="19">E18</f>
        <v>74.8</v>
      </c>
      <c r="F30" s="33">
        <f t="shared" ca="1" si="19"/>
        <v>50.489999999999995</v>
      </c>
      <c r="G30" s="33">
        <f>'Monthly Data'!AV30</f>
        <v>98.600000000000009</v>
      </c>
      <c r="H30" s="33">
        <f>'Monthly Data'!AW30</f>
        <v>29.9</v>
      </c>
      <c r="I30" s="18">
        <f>'Monthly Data'!Z30</f>
        <v>740632</v>
      </c>
      <c r="J30">
        <f>'Monthly Data'!BR30</f>
        <v>1</v>
      </c>
      <c r="K30" s="33">
        <f>'Monthly Data'!BT30</f>
        <v>31</v>
      </c>
      <c r="M30" s="18"/>
      <c r="N30" s="18">
        <f ca="1">(E30-G30)*'Res Predicted Monthly'!$V$10</f>
        <v>-325724.38645628968</v>
      </c>
      <c r="O30" s="18">
        <f ca="1">(F30-H30)*'Res Predicted Monthly'!$V$11</f>
        <v>1650985.1911993339</v>
      </c>
      <c r="P30" s="18"/>
      <c r="Q30" s="18"/>
      <c r="R30" s="18"/>
      <c r="S30" s="30">
        <f t="shared" ca="1" si="8"/>
        <v>39852936.068736717</v>
      </c>
    </row>
    <row r="31" spans="1:19" x14ac:dyDescent="0.2">
      <c r="A31" s="9">
        <f>'Monthly Data'!A31</f>
        <v>42887</v>
      </c>
      <c r="B31">
        <f t="shared" si="0"/>
        <v>2017</v>
      </c>
      <c r="C31">
        <f t="shared" si="1"/>
        <v>6</v>
      </c>
      <c r="D31" s="30">
        <f>'Monthly Data'!F31</f>
        <v>46993946.470590688</v>
      </c>
      <c r="E31" s="33">
        <f t="shared" ref="E31:F31" ca="1" si="20">E19</f>
        <v>2.15</v>
      </c>
      <c r="F31" s="33">
        <f t="shared" ca="1" si="20"/>
        <v>154.05000000000001</v>
      </c>
      <c r="G31" s="33">
        <f>'Monthly Data'!AV31</f>
        <v>0</v>
      </c>
      <c r="H31" s="33">
        <f>'Monthly Data'!AW31</f>
        <v>159.10000000000002</v>
      </c>
      <c r="I31" s="18">
        <f>'Monthly Data'!Z31</f>
        <v>740632</v>
      </c>
      <c r="J31">
        <f>'Monthly Data'!BR31</f>
        <v>0</v>
      </c>
      <c r="K31" s="33">
        <f>'Monthly Data'!BT31</f>
        <v>30</v>
      </c>
      <c r="M31" s="18"/>
      <c r="N31" s="18">
        <f ca="1">(E31-G31)*'Res Predicted Monthly'!$V$10</f>
        <v>29424.681969790858</v>
      </c>
      <c r="O31" s="18">
        <f ca="1">(F31-H31)*'Res Predicted Monthly'!$V$11</f>
        <v>-404928.37375214457</v>
      </c>
      <c r="P31" s="18"/>
      <c r="Q31" s="18"/>
      <c r="R31" s="18"/>
      <c r="S31" s="30">
        <f t="shared" ca="1" si="8"/>
        <v>46618442.778808333</v>
      </c>
    </row>
    <row r="32" spans="1:19" x14ac:dyDescent="0.2">
      <c r="A32" s="9">
        <f>'Monthly Data'!A32</f>
        <v>42917</v>
      </c>
      <c r="B32">
        <f t="shared" si="0"/>
        <v>2017</v>
      </c>
      <c r="C32">
        <f t="shared" si="1"/>
        <v>7</v>
      </c>
      <c r="D32" s="30">
        <f>'Monthly Data'!F32</f>
        <v>55250414.677187696</v>
      </c>
      <c r="E32" s="33">
        <f t="shared" ref="E32:F32" ca="1" si="21">E20</f>
        <v>0</v>
      </c>
      <c r="F32" s="33">
        <f t="shared" ca="1" si="21"/>
        <v>267.66999999999996</v>
      </c>
      <c r="G32" s="33">
        <f>'Monthly Data'!AV32</f>
        <v>0</v>
      </c>
      <c r="H32" s="33">
        <f>'Monthly Data'!AW32</f>
        <v>237.5</v>
      </c>
      <c r="I32" s="18">
        <f>'Monthly Data'!Z32</f>
        <v>746606</v>
      </c>
      <c r="J32">
        <f>'Monthly Data'!BR32</f>
        <v>0</v>
      </c>
      <c r="K32" s="33">
        <f>'Monthly Data'!BT32</f>
        <v>31</v>
      </c>
      <c r="M32" s="18"/>
      <c r="N32" s="18">
        <f ca="1">(E32-G32)*'Res Predicted Monthly'!$V$10</f>
        <v>0</v>
      </c>
      <c r="O32" s="18">
        <f ca="1">(F32-H32)*'Res Predicted Monthly'!$V$11</f>
        <v>2419146.3437826051</v>
      </c>
      <c r="P32" s="18"/>
      <c r="Q32" s="18"/>
      <c r="R32" s="18"/>
      <c r="S32" s="30">
        <f t="shared" ca="1" si="8"/>
        <v>57669561.0209703</v>
      </c>
    </row>
    <row r="33" spans="1:19" x14ac:dyDescent="0.2">
      <c r="A33" s="9">
        <f>'Monthly Data'!A33</f>
        <v>42948</v>
      </c>
      <c r="B33">
        <f t="shared" si="0"/>
        <v>2017</v>
      </c>
      <c r="C33">
        <f t="shared" si="1"/>
        <v>8</v>
      </c>
      <c r="D33" s="30">
        <f>'Monthly Data'!F33</f>
        <v>52000413.883784711</v>
      </c>
      <c r="E33" s="33">
        <f t="shared" ref="E33:F33" ca="1" si="22">E21</f>
        <v>0</v>
      </c>
      <c r="F33" s="33">
        <f t="shared" ca="1" si="22"/>
        <v>246.315</v>
      </c>
      <c r="G33" s="33">
        <f>'Monthly Data'!AV33</f>
        <v>0</v>
      </c>
      <c r="H33" s="33">
        <f>'Monthly Data'!AW33</f>
        <v>202.19999999999996</v>
      </c>
      <c r="I33" s="18">
        <f>'Monthly Data'!Z33</f>
        <v>746606</v>
      </c>
      <c r="J33">
        <f>'Monthly Data'!BR33</f>
        <v>0</v>
      </c>
      <c r="K33" s="33">
        <f>'Monthly Data'!BT33</f>
        <v>31</v>
      </c>
      <c r="M33" s="18"/>
      <c r="N33" s="18">
        <f ca="1">(E33-G33)*'Res Predicted Monthly'!$V$10</f>
        <v>0</v>
      </c>
      <c r="O33" s="18">
        <f ca="1">(F33-H33)*'Res Predicted Monthly'!$V$11</f>
        <v>3537309.9421932339</v>
      </c>
      <c r="P33" s="18"/>
      <c r="Q33" s="18"/>
      <c r="R33" s="18"/>
      <c r="S33" s="30">
        <f t="shared" ca="1" si="8"/>
        <v>55537723.825977944</v>
      </c>
    </row>
    <row r="34" spans="1:19" x14ac:dyDescent="0.2">
      <c r="A34" s="9">
        <f>'Monthly Data'!A34</f>
        <v>42979</v>
      </c>
      <c r="B34">
        <f t="shared" si="0"/>
        <v>2017</v>
      </c>
      <c r="C34">
        <f t="shared" si="1"/>
        <v>9</v>
      </c>
      <c r="D34" s="30">
        <f>'Monthly Data'!F34</f>
        <v>45504410.090381727</v>
      </c>
      <c r="E34" s="33">
        <f t="shared" ref="E34:F34" ca="1" si="23">E22</f>
        <v>2.2699999999999996</v>
      </c>
      <c r="F34" s="33">
        <f t="shared" ca="1" si="23"/>
        <v>146.80000000000001</v>
      </c>
      <c r="G34" s="33">
        <f>'Monthly Data'!AV34</f>
        <v>4.0999999999999996</v>
      </c>
      <c r="H34" s="33">
        <f>'Monthly Data'!AW34</f>
        <v>142.4</v>
      </c>
      <c r="I34" s="18">
        <f>'Monthly Data'!Z34</f>
        <v>746606</v>
      </c>
      <c r="J34">
        <f>'Monthly Data'!BR34</f>
        <v>1</v>
      </c>
      <c r="K34" s="33">
        <f>'Monthly Data'!BT34</f>
        <v>30</v>
      </c>
      <c r="M34" s="18"/>
      <c r="N34" s="18">
        <f ca="1">(E34-G34)*'Res Predicted Monthly'!$V$10</f>
        <v>-25045.194420798733</v>
      </c>
      <c r="O34" s="18">
        <f ca="1">(F34-H34)*'Res Predicted Monthly'!$V$11</f>
        <v>352808.88010087807</v>
      </c>
      <c r="P34" s="18"/>
      <c r="Q34" s="18"/>
      <c r="R34" s="18"/>
      <c r="S34" s="30">
        <f t="shared" ca="1" si="8"/>
        <v>45832173.776061803</v>
      </c>
    </row>
    <row r="35" spans="1:19" x14ac:dyDescent="0.2">
      <c r="A35" s="9">
        <f>'Monthly Data'!A35</f>
        <v>43009</v>
      </c>
      <c r="B35">
        <f t="shared" si="0"/>
        <v>2017</v>
      </c>
      <c r="C35">
        <f t="shared" si="1"/>
        <v>10</v>
      </c>
      <c r="D35" s="30">
        <f>'Monthly Data'!F35</f>
        <v>40966849.296978742</v>
      </c>
      <c r="E35" s="33">
        <f t="shared" ref="E35:F35" ca="1" si="24">E23</f>
        <v>83.800000000000011</v>
      </c>
      <c r="F35" s="33">
        <f t="shared" ca="1" si="24"/>
        <v>36.859999999999992</v>
      </c>
      <c r="G35" s="33">
        <f>'Monthly Data'!AV35</f>
        <v>47.5</v>
      </c>
      <c r="H35" s="33">
        <f>'Monthly Data'!AW35</f>
        <v>67.900000000000006</v>
      </c>
      <c r="I35" s="18">
        <f>'Monthly Data'!Z35</f>
        <v>745380</v>
      </c>
      <c r="J35">
        <f>'Monthly Data'!BR35</f>
        <v>1</v>
      </c>
      <c r="K35" s="33">
        <f>'Monthly Data'!BT35</f>
        <v>31</v>
      </c>
      <c r="M35" s="18"/>
      <c r="N35" s="18">
        <f ca="1">(E35-G35)*'Res Predicted Monthly'!$V$10</f>
        <v>496798.1188387947</v>
      </c>
      <c r="O35" s="18">
        <f ca="1">(F35-H35)*'Res Predicted Monthly'!$V$11</f>
        <v>-2488906.2814389197</v>
      </c>
      <c r="P35" s="18"/>
      <c r="Q35" s="18"/>
      <c r="R35" s="18"/>
      <c r="S35" s="30">
        <f t="shared" ca="1" si="8"/>
        <v>38974741.134378619</v>
      </c>
    </row>
    <row r="36" spans="1:19" x14ac:dyDescent="0.2">
      <c r="A36" s="9">
        <f>'Monthly Data'!A36</f>
        <v>43040</v>
      </c>
      <c r="B36">
        <f t="shared" si="0"/>
        <v>2017</v>
      </c>
      <c r="C36">
        <f t="shared" si="1"/>
        <v>11</v>
      </c>
      <c r="D36" s="30">
        <f>'Monthly Data'!F36</f>
        <v>39001404.503575757</v>
      </c>
      <c r="E36" s="33">
        <f t="shared" ref="E36:F36" ca="1" si="25">E24</f>
        <v>240.7</v>
      </c>
      <c r="F36" s="33">
        <f t="shared" ca="1" si="25"/>
        <v>3.410000000000001</v>
      </c>
      <c r="G36" s="33">
        <f>'Monthly Data'!AV36</f>
        <v>267.89999999999998</v>
      </c>
      <c r="H36" s="33">
        <f>'Monthly Data'!AW36</f>
        <v>0</v>
      </c>
      <c r="I36" s="18">
        <f>'Monthly Data'!Z36</f>
        <v>745380</v>
      </c>
      <c r="J36">
        <f>'Monthly Data'!BR36</f>
        <v>1</v>
      </c>
      <c r="K36" s="33">
        <f>'Monthly Data'!BT36</f>
        <v>30</v>
      </c>
      <c r="M36" s="18"/>
      <c r="N36" s="18">
        <f ca="1">(E36-G36)*'Res Predicted Monthly'!$V$10</f>
        <v>-372256.44166433072</v>
      </c>
      <c r="O36" s="18">
        <f ca="1">(F36-H36)*'Res Predicted Monthly'!$V$11</f>
        <v>273426.88207818026</v>
      </c>
      <c r="P36" s="18"/>
      <c r="Q36" s="18"/>
      <c r="R36" s="18"/>
      <c r="S36" s="30">
        <f t="shared" ca="1" si="8"/>
        <v>38902574.943989605</v>
      </c>
    </row>
    <row r="37" spans="1:19" x14ac:dyDescent="0.2">
      <c r="A37" s="9">
        <f>'Monthly Data'!A37</f>
        <v>43070</v>
      </c>
      <c r="B37">
        <f t="shared" si="0"/>
        <v>2017</v>
      </c>
      <c r="C37">
        <f t="shared" si="1"/>
        <v>12</v>
      </c>
      <c r="D37" s="30">
        <f>'Monthly Data'!F37</f>
        <v>47108304.710172765</v>
      </c>
      <c r="E37" s="33">
        <f t="shared" ref="E37:F37" ca="1" si="26">E25</f>
        <v>386.61999999999995</v>
      </c>
      <c r="F37" s="33">
        <f t="shared" ca="1" si="26"/>
        <v>0</v>
      </c>
      <c r="G37" s="33">
        <f>'Monthly Data'!AV37</f>
        <v>525.19999999999993</v>
      </c>
      <c r="H37" s="33">
        <f>'Monthly Data'!AW37</f>
        <v>0</v>
      </c>
      <c r="I37" s="18">
        <f>'Monthly Data'!Z37</f>
        <v>745380</v>
      </c>
      <c r="J37">
        <f>'Monthly Data'!BR37</f>
        <v>0</v>
      </c>
      <c r="K37" s="33">
        <f>'Monthly Data'!BT37</f>
        <v>31</v>
      </c>
      <c r="M37" s="18"/>
      <c r="N37" s="18">
        <f ca="1">(E37-G37)*'Res Predicted Monthly'!$V$10</f>
        <v>-1896591.8266854032</v>
      </c>
      <c r="O37" s="18">
        <f ca="1">(F37-H37)*'Res Predicted Monthly'!$V$11</f>
        <v>0</v>
      </c>
      <c r="P37" s="18"/>
      <c r="Q37" s="18"/>
      <c r="R37" s="18"/>
      <c r="S37" s="30">
        <f t="shared" ca="1" si="8"/>
        <v>45211712.883487359</v>
      </c>
    </row>
    <row r="38" spans="1:19" x14ac:dyDescent="0.2">
      <c r="A38" s="9">
        <f>'Monthly Data'!A38</f>
        <v>43101</v>
      </c>
      <c r="B38">
        <f t="shared" si="0"/>
        <v>2018</v>
      </c>
      <c r="C38">
        <f t="shared" si="1"/>
        <v>1</v>
      </c>
      <c r="D38" s="30">
        <f>'Monthly Data'!F38</f>
        <v>47709598.683987916</v>
      </c>
      <c r="E38" s="33">
        <f t="shared" ref="E38:F38" ca="1" si="27">E26</f>
        <v>508.54000000000008</v>
      </c>
      <c r="F38" s="33">
        <f t="shared" ca="1" si="27"/>
        <v>0</v>
      </c>
      <c r="G38" s="33">
        <f>'Monthly Data'!AV38</f>
        <v>556.29999999999995</v>
      </c>
      <c r="H38" s="33">
        <f>'Monthly Data'!AW38</f>
        <v>0</v>
      </c>
      <c r="I38" s="18">
        <f>'Monthly Data'!Z38</f>
        <v>756702</v>
      </c>
      <c r="J38">
        <f>'Monthly Data'!BR38</f>
        <v>0</v>
      </c>
      <c r="K38" s="33">
        <f>'Monthly Data'!BT38</f>
        <v>31</v>
      </c>
      <c r="M38" s="18"/>
      <c r="N38" s="18">
        <f ca="1">(E38-G38)*'Res Predicted Monthly'!$V$10</f>
        <v>-653638.5166870734</v>
      </c>
      <c r="O38" s="18">
        <f ca="1">(F38-H38)*'Res Predicted Monthly'!$V$11</f>
        <v>0</v>
      </c>
      <c r="P38" s="18"/>
      <c r="Q38" s="18"/>
      <c r="R38" s="18"/>
      <c r="S38" s="30">
        <f t="shared" ca="1" si="8"/>
        <v>47055960.167300843</v>
      </c>
    </row>
    <row r="39" spans="1:19" x14ac:dyDescent="0.2">
      <c r="A39" s="9">
        <f>'Monthly Data'!A39</f>
        <v>43132</v>
      </c>
      <c r="B39">
        <f t="shared" si="0"/>
        <v>2018</v>
      </c>
      <c r="C39">
        <f t="shared" si="1"/>
        <v>2</v>
      </c>
      <c r="D39" s="30">
        <f>'Monthly Data'!F39</f>
        <v>39687279.898667745</v>
      </c>
      <c r="E39" s="33">
        <f t="shared" ref="E39:F39" ca="1" si="28">E27</f>
        <v>451.10999999999996</v>
      </c>
      <c r="F39" s="33">
        <f t="shared" ca="1" si="28"/>
        <v>0</v>
      </c>
      <c r="G39" s="33">
        <f>'Monthly Data'!AV39</f>
        <v>400.1</v>
      </c>
      <c r="H39" s="33">
        <f>'Monthly Data'!AW39</f>
        <v>0</v>
      </c>
      <c r="I39" s="18">
        <f>'Monthly Data'!Z39</f>
        <v>756702</v>
      </c>
      <c r="J39">
        <f>'Monthly Data'!BR39</f>
        <v>0</v>
      </c>
      <c r="K39" s="33">
        <f>'Monthly Data'!BT39</f>
        <v>28</v>
      </c>
      <c r="M39" s="18"/>
      <c r="N39" s="18">
        <f ca="1">(E39-G39)*'Res Predicted Monthly'!$V$10</f>
        <v>698117.68710652553</v>
      </c>
      <c r="O39" s="18">
        <f ca="1">(F39-H39)*'Res Predicted Monthly'!$V$11</f>
        <v>0</v>
      </c>
      <c r="P39" s="18"/>
      <c r="Q39" s="18"/>
      <c r="R39" s="18"/>
      <c r="S39" s="30">
        <f t="shared" ca="1" si="8"/>
        <v>40385397.585774273</v>
      </c>
    </row>
    <row r="40" spans="1:19" x14ac:dyDescent="0.2">
      <c r="A40" s="9">
        <f>'Monthly Data'!A40</f>
        <v>43160</v>
      </c>
      <c r="B40">
        <f t="shared" si="0"/>
        <v>2018</v>
      </c>
      <c r="C40">
        <f t="shared" si="1"/>
        <v>3</v>
      </c>
      <c r="D40" s="30">
        <f>'Monthly Data'!F40</f>
        <v>41074250.113347575</v>
      </c>
      <c r="E40" s="33">
        <f t="shared" ref="E40:F40" ca="1" si="29">E28</f>
        <v>374.74</v>
      </c>
      <c r="F40" s="33">
        <f t="shared" ca="1" si="29"/>
        <v>0</v>
      </c>
      <c r="G40" s="33">
        <f>'Monthly Data'!AV40</f>
        <v>409.89999999999986</v>
      </c>
      <c r="H40" s="33">
        <f>'Monthly Data'!AW40</f>
        <v>0</v>
      </c>
      <c r="I40" s="18">
        <f>'Monthly Data'!Z40</f>
        <v>756702</v>
      </c>
      <c r="J40">
        <f>'Monthly Data'!BR40</f>
        <v>1</v>
      </c>
      <c r="K40" s="33">
        <f>'Monthly Data'!BT40</f>
        <v>31</v>
      </c>
      <c r="M40" s="18"/>
      <c r="N40" s="18">
        <f ca="1">(E40-G40)*'Res Predicted Monthly'!$V$10</f>
        <v>-481196.19444550807</v>
      </c>
      <c r="O40" s="18">
        <f ca="1">(F40-H40)*'Res Predicted Monthly'!$V$11</f>
        <v>0</v>
      </c>
      <c r="P40" s="18"/>
      <c r="Q40" s="18"/>
      <c r="R40" s="18"/>
      <c r="S40" s="30">
        <f t="shared" ca="1" si="8"/>
        <v>40593053.918902069</v>
      </c>
    </row>
    <row r="41" spans="1:19" x14ac:dyDescent="0.2">
      <c r="A41" s="9">
        <f>'Monthly Data'!A41</f>
        <v>43191</v>
      </c>
      <c r="B41">
        <f t="shared" si="0"/>
        <v>2018</v>
      </c>
      <c r="C41">
        <f t="shared" si="1"/>
        <v>4</v>
      </c>
      <c r="D41" s="30">
        <f>'Monthly Data'!F41</f>
        <v>38168978.328027405</v>
      </c>
      <c r="E41" s="33">
        <f t="shared" ref="E41:F41" ca="1" si="30">E29</f>
        <v>221.12999999999997</v>
      </c>
      <c r="F41" s="33">
        <f t="shared" ca="1" si="30"/>
        <v>2.6300000000000003</v>
      </c>
      <c r="G41" s="33">
        <f>'Monthly Data'!AV41</f>
        <v>299.3</v>
      </c>
      <c r="H41" s="33">
        <f>'Monthly Data'!AW41</f>
        <v>0</v>
      </c>
      <c r="I41" s="18">
        <f>'Monthly Data'!Z41</f>
        <v>764644</v>
      </c>
      <c r="J41">
        <f>'Monthly Data'!BR41</f>
        <v>1</v>
      </c>
      <c r="K41" s="33">
        <f>'Monthly Data'!BT41</f>
        <v>30</v>
      </c>
      <c r="M41" s="18"/>
      <c r="N41" s="18">
        <f ca="1">(E41-G41)*'Res Predicted Monthly'!$V$10</f>
        <v>-1069826.6928272338</v>
      </c>
      <c r="O41" s="18">
        <f ca="1">(F41-H41)*'Res Predicted Monthly'!$V$11</f>
        <v>210883.48969666098</v>
      </c>
      <c r="P41" s="18"/>
      <c r="Q41" s="18"/>
      <c r="R41" s="18"/>
      <c r="S41" s="30">
        <f t="shared" ca="1" si="8"/>
        <v>37310035.124896832</v>
      </c>
    </row>
    <row r="42" spans="1:19" x14ac:dyDescent="0.2">
      <c r="A42" s="9">
        <f>'Monthly Data'!A42</f>
        <v>43221</v>
      </c>
      <c r="B42">
        <f t="shared" si="0"/>
        <v>2018</v>
      </c>
      <c r="C42">
        <f t="shared" si="1"/>
        <v>5</v>
      </c>
      <c r="D42" s="30">
        <f>'Monthly Data'!F42</f>
        <v>41244600.542707235</v>
      </c>
      <c r="E42" s="33">
        <f t="shared" ref="E42:F42" ca="1" si="31">E30</f>
        <v>74.8</v>
      </c>
      <c r="F42" s="33">
        <f t="shared" ca="1" si="31"/>
        <v>50.489999999999995</v>
      </c>
      <c r="G42" s="33">
        <f>'Monthly Data'!AV42</f>
        <v>50.5</v>
      </c>
      <c r="H42" s="33">
        <f>'Monthly Data'!AW42</f>
        <v>74.999999999999986</v>
      </c>
      <c r="I42" s="18">
        <f>'Monthly Data'!Z42</f>
        <v>764644</v>
      </c>
      <c r="J42">
        <f>'Monthly Data'!BR42</f>
        <v>1</v>
      </c>
      <c r="K42" s="33">
        <f>'Monthly Data'!BT42</f>
        <v>31</v>
      </c>
      <c r="M42" s="18"/>
      <c r="N42" s="18">
        <f ca="1">(E42-G42)*'Res Predicted Monthly'!$V$10</f>
        <v>332567.33575158968</v>
      </c>
      <c r="O42" s="18">
        <f ca="1">(F42-H42)*'Res Predicted Monthly'!$V$11</f>
        <v>-1965305.8298346607</v>
      </c>
      <c r="P42" s="18"/>
      <c r="Q42" s="18"/>
      <c r="R42" s="18"/>
      <c r="S42" s="30">
        <f t="shared" ca="1" si="8"/>
        <v>39611862.048624165</v>
      </c>
    </row>
    <row r="43" spans="1:19" x14ac:dyDescent="0.2">
      <c r="A43" s="9">
        <f>'Monthly Data'!A43</f>
        <v>43252</v>
      </c>
      <c r="B43">
        <f t="shared" si="0"/>
        <v>2018</v>
      </c>
      <c r="C43">
        <f t="shared" si="1"/>
        <v>6</v>
      </c>
      <c r="D43" s="30">
        <f>'Monthly Data'!F43</f>
        <v>52144868.757387064</v>
      </c>
      <c r="E43" s="33">
        <f t="shared" ref="E43:F43" ca="1" si="32">E31</f>
        <v>2.15</v>
      </c>
      <c r="F43" s="33">
        <f t="shared" ca="1" si="32"/>
        <v>154.05000000000001</v>
      </c>
      <c r="G43" s="33">
        <f>'Monthly Data'!AV43</f>
        <v>0.60000000000000142</v>
      </c>
      <c r="H43" s="33">
        <f>'Monthly Data'!AW43</f>
        <v>151.49999999999997</v>
      </c>
      <c r="I43" s="18">
        <f>'Monthly Data'!Z43</f>
        <v>764644</v>
      </c>
      <c r="J43">
        <f>'Monthly Data'!BR43</f>
        <v>0</v>
      </c>
      <c r="K43" s="33">
        <f>'Monthly Data'!BT43</f>
        <v>30</v>
      </c>
      <c r="M43" s="18"/>
      <c r="N43" s="18">
        <f ca="1">(E43-G43)*'Res Predicted Monthly'!$V$10</f>
        <v>21213.142815430598</v>
      </c>
      <c r="O43" s="18">
        <f ca="1">(F43-H43)*'Res Predicted Monthly'!$V$11</f>
        <v>204468.78278573908</v>
      </c>
      <c r="P43" s="18"/>
      <c r="Q43" s="18"/>
      <c r="R43" s="18"/>
      <c r="S43" s="30">
        <f t="shared" ca="1" si="8"/>
        <v>52370550.682988234</v>
      </c>
    </row>
    <row r="44" spans="1:19" x14ac:dyDescent="0.2">
      <c r="A44" s="9">
        <f>'Monthly Data'!A44</f>
        <v>43282</v>
      </c>
      <c r="B44">
        <f t="shared" si="0"/>
        <v>2018</v>
      </c>
      <c r="C44">
        <f t="shared" si="1"/>
        <v>7</v>
      </c>
      <c r="D44" s="30">
        <f>'Monthly Data'!F44</f>
        <v>64966905.972066894</v>
      </c>
      <c r="E44" s="33">
        <f t="shared" ref="E44:F44" ca="1" si="33">E32</f>
        <v>0</v>
      </c>
      <c r="F44" s="33">
        <f t="shared" ca="1" si="33"/>
        <v>267.66999999999996</v>
      </c>
      <c r="G44" s="33">
        <f>'Monthly Data'!AV44</f>
        <v>0</v>
      </c>
      <c r="H44" s="33">
        <f>'Monthly Data'!AW44</f>
        <v>288.2</v>
      </c>
      <c r="I44" s="18">
        <f>'Monthly Data'!Z44</f>
        <v>765060</v>
      </c>
      <c r="J44">
        <f>'Monthly Data'!BR44</f>
        <v>0</v>
      </c>
      <c r="K44" s="33">
        <f>'Monthly Data'!BT44</f>
        <v>31</v>
      </c>
      <c r="M44" s="18"/>
      <c r="N44" s="18">
        <f ca="1">(E44-G44)*'Res Predicted Monthly'!$V$10</f>
        <v>0</v>
      </c>
      <c r="O44" s="18">
        <f ca="1">(F44-H44)*'Res Predicted Monthly'!$V$11</f>
        <v>-1646174.1610161427</v>
      </c>
      <c r="P44" s="18"/>
      <c r="Q44" s="18"/>
      <c r="R44" s="18"/>
      <c r="S44" s="30">
        <f t="shared" ca="1" si="8"/>
        <v>63320731.81105075</v>
      </c>
    </row>
    <row r="45" spans="1:19" x14ac:dyDescent="0.2">
      <c r="A45" s="9">
        <f>'Monthly Data'!A45</f>
        <v>43313</v>
      </c>
      <c r="B45">
        <f t="shared" si="0"/>
        <v>2018</v>
      </c>
      <c r="C45">
        <f t="shared" si="1"/>
        <v>8</v>
      </c>
      <c r="D45" s="30">
        <f>'Monthly Data'!F45</f>
        <v>63232261.186746724</v>
      </c>
      <c r="E45" s="33">
        <f t="shared" ref="E45:F45" ca="1" si="34">E33</f>
        <v>0</v>
      </c>
      <c r="F45" s="33">
        <f t="shared" ca="1" si="34"/>
        <v>246.315</v>
      </c>
      <c r="G45" s="33">
        <f>'Monthly Data'!AV45</f>
        <v>0</v>
      </c>
      <c r="H45" s="33">
        <f>'Monthly Data'!AW45</f>
        <v>287.79999999999995</v>
      </c>
      <c r="I45" s="18">
        <f>'Monthly Data'!Z45</f>
        <v>765060</v>
      </c>
      <c r="J45">
        <f>'Monthly Data'!BR45</f>
        <v>0</v>
      </c>
      <c r="K45" s="33">
        <f>'Monthly Data'!BT45</f>
        <v>31</v>
      </c>
      <c r="M45" s="18"/>
      <c r="N45" s="18">
        <f ca="1">(E45-G45)*'Res Predicted Monthly'!$V$10</f>
        <v>0</v>
      </c>
      <c r="O45" s="18">
        <f ca="1">(F45-H45)*'Res Predicted Monthly'!$V$11</f>
        <v>-3326426.4524965668</v>
      </c>
      <c r="P45" s="18"/>
      <c r="Q45" s="18"/>
      <c r="R45" s="18"/>
      <c r="S45" s="30">
        <f t="shared" ca="1" si="8"/>
        <v>59905834.734250158</v>
      </c>
    </row>
    <row r="46" spans="1:19" x14ac:dyDescent="0.2">
      <c r="A46" s="9">
        <f>'Monthly Data'!A46</f>
        <v>43344</v>
      </c>
      <c r="B46">
        <f t="shared" si="0"/>
        <v>2018</v>
      </c>
      <c r="C46">
        <f t="shared" si="1"/>
        <v>9</v>
      </c>
      <c r="D46" s="30">
        <f>'Monthly Data'!F46</f>
        <v>50855019.401426554</v>
      </c>
      <c r="E46" s="33">
        <f t="shared" ref="E46:F46" ca="1" si="35">E34</f>
        <v>2.2699999999999996</v>
      </c>
      <c r="F46" s="33">
        <f t="shared" ca="1" si="35"/>
        <v>146.80000000000001</v>
      </c>
      <c r="G46" s="33">
        <f>'Monthly Data'!AV46</f>
        <v>2.0000000000000018</v>
      </c>
      <c r="H46" s="33">
        <f>'Monthly Data'!AW46</f>
        <v>165.40000000000003</v>
      </c>
      <c r="I46" s="18">
        <f>'Monthly Data'!Z46</f>
        <v>765060</v>
      </c>
      <c r="J46">
        <f>'Monthly Data'!BR46</f>
        <v>1</v>
      </c>
      <c r="K46" s="33">
        <f>'Monthly Data'!BT46</f>
        <v>30</v>
      </c>
      <c r="M46" s="18"/>
      <c r="N46" s="18">
        <f ca="1">(E46-G46)*'Res Predicted Monthly'!$V$10</f>
        <v>3695.1926194620778</v>
      </c>
      <c r="O46" s="18">
        <f ca="1">(F46-H46)*'Res Predicted Monthly'!$V$11</f>
        <v>-1491419.3567900753</v>
      </c>
      <c r="P46" s="18"/>
      <c r="Q46" s="18"/>
      <c r="R46" s="18"/>
      <c r="S46" s="30">
        <f t="shared" ca="1" si="8"/>
        <v>49367295.237255946</v>
      </c>
    </row>
    <row r="47" spans="1:19" x14ac:dyDescent="0.2">
      <c r="A47" s="9">
        <f>'Monthly Data'!A47</f>
        <v>43374</v>
      </c>
      <c r="B47">
        <f t="shared" si="0"/>
        <v>2018</v>
      </c>
      <c r="C47">
        <f t="shared" si="1"/>
        <v>10</v>
      </c>
      <c r="D47" s="30">
        <f>'Monthly Data'!F47</f>
        <v>40650132.616106384</v>
      </c>
      <c r="E47" s="33">
        <f t="shared" ref="E47:F47" ca="1" si="36">E35</f>
        <v>83.800000000000011</v>
      </c>
      <c r="F47" s="33">
        <f t="shared" ca="1" si="36"/>
        <v>36.859999999999992</v>
      </c>
      <c r="G47" s="33">
        <f>'Monthly Data'!AV47</f>
        <v>132.70000000000002</v>
      </c>
      <c r="H47" s="33">
        <f>'Monthly Data'!AW47</f>
        <v>28.7</v>
      </c>
      <c r="I47" s="18">
        <f>'Monthly Data'!Z47</f>
        <v>771453</v>
      </c>
      <c r="J47">
        <f>'Monthly Data'!BR47</f>
        <v>1</v>
      </c>
      <c r="K47" s="33">
        <f>'Monthly Data'!BT47</f>
        <v>31</v>
      </c>
      <c r="M47" s="18"/>
      <c r="N47" s="18">
        <f ca="1">(E47-G47)*'Res Predicted Monthly'!$V$10</f>
        <v>-669240.44108035963</v>
      </c>
      <c r="O47" s="18">
        <f ca="1">(F47-H47)*'Res Predicted Monthly'!$V$11</f>
        <v>654300.10491435428</v>
      </c>
      <c r="P47" s="18"/>
      <c r="Q47" s="18"/>
      <c r="R47" s="18"/>
      <c r="S47" s="30">
        <f t="shared" ca="1" si="8"/>
        <v>40635192.279940374</v>
      </c>
    </row>
    <row r="48" spans="1:19" x14ac:dyDescent="0.2">
      <c r="A48" s="9">
        <f>'Monthly Data'!A48</f>
        <v>43405</v>
      </c>
      <c r="B48">
        <f t="shared" si="0"/>
        <v>2018</v>
      </c>
      <c r="C48">
        <f t="shared" si="1"/>
        <v>11</v>
      </c>
      <c r="D48" s="30">
        <f>'Monthly Data'!F48</f>
        <v>40817846.830786213</v>
      </c>
      <c r="E48" s="33">
        <f t="shared" ref="E48:F48" ca="1" si="37">E36</f>
        <v>240.7</v>
      </c>
      <c r="F48" s="33">
        <f t="shared" ca="1" si="37"/>
        <v>3.410000000000001</v>
      </c>
      <c r="G48" s="33">
        <f>'Monthly Data'!AV48</f>
        <v>332.40000000000003</v>
      </c>
      <c r="H48" s="33">
        <f>'Monthly Data'!AW48</f>
        <v>0</v>
      </c>
      <c r="I48" s="18">
        <f>'Monthly Data'!Z48</f>
        <v>771453</v>
      </c>
      <c r="J48">
        <f>'Monthly Data'!BR48</f>
        <v>1</v>
      </c>
      <c r="K48" s="33">
        <f>'Monthly Data'!BT48</f>
        <v>30</v>
      </c>
      <c r="M48" s="18"/>
      <c r="N48" s="18">
        <f ca="1">(E48-G48)*'Res Predicted Monthly'!$V$10</f>
        <v>-1254996.9007580574</v>
      </c>
      <c r="O48" s="18">
        <f ca="1">(F48-H48)*'Res Predicted Monthly'!$V$11</f>
        <v>273426.88207818026</v>
      </c>
      <c r="P48" s="18"/>
      <c r="Q48" s="18"/>
      <c r="R48" s="18"/>
      <c r="S48" s="30">
        <f t="shared" ca="1" si="8"/>
        <v>39836276.812106334</v>
      </c>
    </row>
    <row r="49" spans="1:19" x14ac:dyDescent="0.2">
      <c r="A49" s="9">
        <f>'Monthly Data'!A49</f>
        <v>43435</v>
      </c>
      <c r="B49">
        <f t="shared" si="0"/>
        <v>2018</v>
      </c>
      <c r="C49">
        <f t="shared" si="1"/>
        <v>12</v>
      </c>
      <c r="D49" s="30">
        <f>'Monthly Data'!F49</f>
        <v>45902493.045466043</v>
      </c>
      <c r="E49" s="33">
        <f t="shared" ref="E49:F49" ca="1" si="38">E37</f>
        <v>386.61999999999995</v>
      </c>
      <c r="F49" s="33">
        <f t="shared" ca="1" si="38"/>
        <v>0</v>
      </c>
      <c r="G49" s="33">
        <f>'Monthly Data'!AV49</f>
        <v>392.00000000000006</v>
      </c>
      <c r="H49" s="33">
        <f>'Monthly Data'!AW49</f>
        <v>0</v>
      </c>
      <c r="I49" s="18">
        <f>'Monthly Data'!Z49</f>
        <v>771453</v>
      </c>
      <c r="J49">
        <f>'Monthly Data'!BR49</f>
        <v>0</v>
      </c>
      <c r="K49" s="33">
        <f>'Monthly Data'!BT49</f>
        <v>31</v>
      </c>
      <c r="M49" s="18"/>
      <c r="N49" s="18">
        <f ca="1">(E49-G49)*'Res Predicted Monthly'!$V$10</f>
        <v>-73630.134417431647</v>
      </c>
      <c r="O49" s="18">
        <f ca="1">(F49-H49)*'Res Predicted Monthly'!$V$11</f>
        <v>0</v>
      </c>
      <c r="P49" s="18"/>
      <c r="Q49" s="18"/>
      <c r="R49" s="18"/>
      <c r="S49" s="30">
        <f t="shared" ca="1" si="8"/>
        <v>45828862.911048613</v>
      </c>
    </row>
    <row r="50" spans="1:19" x14ac:dyDescent="0.2">
      <c r="A50" s="9">
        <f>'Monthly Data'!A50</f>
        <v>43466</v>
      </c>
      <c r="B50">
        <f t="shared" si="0"/>
        <v>2019</v>
      </c>
      <c r="C50">
        <f t="shared" si="1"/>
        <v>1</v>
      </c>
      <c r="D50" s="30">
        <f>'Monthly Data'!F50</f>
        <v>47310902.790742546</v>
      </c>
      <c r="E50" s="33">
        <f t="shared" ref="E50:F50" ca="1" si="39">E38</f>
        <v>508.54000000000008</v>
      </c>
      <c r="F50" s="33">
        <f t="shared" ca="1" si="39"/>
        <v>0</v>
      </c>
      <c r="G50" s="33">
        <f>'Monthly Data'!AV50</f>
        <v>576</v>
      </c>
      <c r="H50" s="33">
        <f>'Monthly Data'!AW50</f>
        <v>0</v>
      </c>
      <c r="I50" s="18">
        <f>'Monthly Data'!Z50</f>
        <v>779459</v>
      </c>
      <c r="J50">
        <f>'Monthly Data'!BR50</f>
        <v>0</v>
      </c>
      <c r="K50" s="33">
        <f>'Monthly Data'!BT50</f>
        <v>31</v>
      </c>
      <c r="M50" s="18"/>
      <c r="N50" s="18">
        <f ca="1">(E50-G50)*'Res Predicted Monthly'!$V$10</f>
        <v>-923250.71892190189</v>
      </c>
      <c r="O50" s="18">
        <f ca="1">(F50-H50)*'Res Predicted Monthly'!$V$11</f>
        <v>0</v>
      </c>
      <c r="P50" s="18"/>
      <c r="Q50" s="18"/>
      <c r="R50" s="18"/>
      <c r="S50" s="30">
        <f t="shared" ca="1" si="8"/>
        <v>46387652.071820647</v>
      </c>
    </row>
    <row r="51" spans="1:19" x14ac:dyDescent="0.2">
      <c r="A51" s="9">
        <f>'Monthly Data'!A51</f>
        <v>43497</v>
      </c>
      <c r="B51">
        <f t="shared" si="0"/>
        <v>2019</v>
      </c>
      <c r="C51">
        <f t="shared" si="1"/>
        <v>2</v>
      </c>
      <c r="D51" s="30">
        <f>'Monthly Data'!F51</f>
        <v>42211303.114211284</v>
      </c>
      <c r="E51" s="33">
        <f t="shared" ref="E51:F51" ca="1" si="40">E39</f>
        <v>451.10999999999996</v>
      </c>
      <c r="F51" s="33">
        <f t="shared" ca="1" si="40"/>
        <v>0</v>
      </c>
      <c r="G51" s="33">
        <f>'Monthly Data'!AV51</f>
        <v>459.70000000000005</v>
      </c>
      <c r="H51" s="33">
        <f>'Monthly Data'!AW51</f>
        <v>0</v>
      </c>
      <c r="I51" s="18">
        <f>'Monthly Data'!Z51</f>
        <v>779459</v>
      </c>
      <c r="J51">
        <f>'Monthly Data'!BR51</f>
        <v>0</v>
      </c>
      <c r="K51" s="33">
        <f>'Monthly Data'!BT51</f>
        <v>28</v>
      </c>
      <c r="M51" s="18"/>
      <c r="N51" s="18">
        <f ca="1">(E51-G51)*'Res Predicted Monthly'!$V$10</f>
        <v>-117561.86889325865</v>
      </c>
      <c r="O51" s="18">
        <f ca="1">(F51-H51)*'Res Predicted Monthly'!$V$11</f>
        <v>0</v>
      </c>
      <c r="P51" s="18"/>
      <c r="Q51" s="18"/>
      <c r="R51" s="18"/>
      <c r="S51" s="30">
        <f t="shared" ca="1" si="8"/>
        <v>42093741.245318025</v>
      </c>
    </row>
    <row r="52" spans="1:19" x14ac:dyDescent="0.2">
      <c r="A52" s="9">
        <f>'Monthly Data'!A52</f>
        <v>43525</v>
      </c>
      <c r="B52">
        <f t="shared" si="0"/>
        <v>2019</v>
      </c>
      <c r="C52">
        <f t="shared" si="1"/>
        <v>3</v>
      </c>
      <c r="D52" s="30">
        <f>'Monthly Data'!F52</f>
        <v>42541593.437680028</v>
      </c>
      <c r="E52" s="33">
        <f t="shared" ref="E52:F52" ca="1" si="41">E40</f>
        <v>374.74</v>
      </c>
      <c r="F52" s="33">
        <f t="shared" ca="1" si="41"/>
        <v>0</v>
      </c>
      <c r="G52" s="33">
        <f>'Monthly Data'!AV52</f>
        <v>432.49999999999989</v>
      </c>
      <c r="H52" s="33">
        <f>'Monthly Data'!AW52</f>
        <v>0</v>
      </c>
      <c r="I52" s="18">
        <f>'Monthly Data'!Z52</f>
        <v>779459</v>
      </c>
      <c r="J52">
        <f>'Monthly Data'!BR52</f>
        <v>1</v>
      </c>
      <c r="K52" s="33">
        <f>'Monthly Data'!BT52</f>
        <v>31</v>
      </c>
      <c r="M52" s="18"/>
      <c r="N52" s="18">
        <f ca="1">(E52-G52)*'Res Predicted Monthly'!$V$10</f>
        <v>-790497.50259307737</v>
      </c>
      <c r="O52" s="18">
        <f ca="1">(F52-H52)*'Res Predicted Monthly'!$V$11</f>
        <v>0</v>
      </c>
      <c r="P52" s="18"/>
      <c r="Q52" s="18"/>
      <c r="R52" s="18"/>
      <c r="S52" s="30">
        <f t="shared" ca="1" si="8"/>
        <v>41751095.935086951</v>
      </c>
    </row>
    <row r="53" spans="1:19" x14ac:dyDescent="0.2">
      <c r="A53" s="9">
        <f>'Monthly Data'!A53</f>
        <v>43556</v>
      </c>
      <c r="B53">
        <f t="shared" si="0"/>
        <v>2019</v>
      </c>
      <c r="C53">
        <f t="shared" si="1"/>
        <v>4</v>
      </c>
      <c r="D53" s="30">
        <f>'Monthly Data'!F53</f>
        <v>37536349.761148773</v>
      </c>
      <c r="E53" s="33">
        <f t="shared" ref="E53:F53" ca="1" si="42">E41</f>
        <v>221.12999999999997</v>
      </c>
      <c r="F53" s="33">
        <f t="shared" ca="1" si="42"/>
        <v>2.6300000000000003</v>
      </c>
      <c r="G53" s="33">
        <f>'Monthly Data'!AV53</f>
        <v>231.89999999999995</v>
      </c>
      <c r="H53" s="33">
        <f>'Monthly Data'!AW53</f>
        <v>0</v>
      </c>
      <c r="I53" s="18">
        <f>'Monthly Data'!Z53</f>
        <v>784896</v>
      </c>
      <c r="J53">
        <f>'Monthly Data'!BR53</f>
        <v>1</v>
      </c>
      <c r="K53" s="33">
        <f>'Monthly Data'!BT53</f>
        <v>30</v>
      </c>
      <c r="M53" s="18"/>
      <c r="N53" s="18">
        <f ca="1">(E53-G53)*'Res Predicted Monthly'!$V$10</f>
        <v>-147397.12782076607</v>
      </c>
      <c r="O53" s="18">
        <f ca="1">(F53-H53)*'Res Predicted Monthly'!$V$11</f>
        <v>210883.48969666098</v>
      </c>
      <c r="P53" s="18"/>
      <c r="Q53" s="18"/>
      <c r="R53" s="18"/>
      <c r="S53" s="30">
        <f t="shared" ca="1" si="8"/>
        <v>37599836.123024665</v>
      </c>
    </row>
    <row r="54" spans="1:19" x14ac:dyDescent="0.2">
      <c r="A54" s="9">
        <f>'Monthly Data'!A54</f>
        <v>43586</v>
      </c>
      <c r="B54">
        <f t="shared" si="0"/>
        <v>2019</v>
      </c>
      <c r="C54">
        <f t="shared" si="1"/>
        <v>5</v>
      </c>
      <c r="D54" s="30">
        <f>'Monthly Data'!F54</f>
        <v>38099337.08461751</v>
      </c>
      <c r="E54" s="33">
        <f t="shared" ref="E54:F54" ca="1" si="43">E42</f>
        <v>74.8</v>
      </c>
      <c r="F54" s="33">
        <f t="shared" ca="1" si="43"/>
        <v>50.489999999999995</v>
      </c>
      <c r="G54" s="33">
        <f>'Monthly Data'!AV54</f>
        <v>105.80000000000003</v>
      </c>
      <c r="H54" s="33">
        <f>'Monthly Data'!AW54</f>
        <v>14.6</v>
      </c>
      <c r="I54" s="18">
        <f>'Monthly Data'!Z54</f>
        <v>784896</v>
      </c>
      <c r="J54">
        <f>'Monthly Data'!BR54</f>
        <v>1</v>
      </c>
      <c r="K54" s="33">
        <f>'Monthly Data'!BT54</f>
        <v>31</v>
      </c>
      <c r="M54" s="18"/>
      <c r="N54" s="18">
        <f ca="1">(E54-G54)*'Res Predicted Monthly'!$V$10</f>
        <v>-424262.8563086128</v>
      </c>
      <c r="O54" s="18">
        <f ca="1">(F54-H54)*'Res Predicted Monthly'!$V$11</f>
        <v>2877797.8879137491</v>
      </c>
      <c r="P54" s="18"/>
      <c r="Q54" s="18"/>
      <c r="R54" s="18"/>
      <c r="S54" s="30">
        <f t="shared" ca="1" si="8"/>
        <v>40552872.11622265</v>
      </c>
    </row>
    <row r="55" spans="1:19" x14ac:dyDescent="0.2">
      <c r="A55" s="9">
        <f>'Monthly Data'!A55</f>
        <v>43617</v>
      </c>
      <c r="B55">
        <f t="shared" si="0"/>
        <v>2019</v>
      </c>
      <c r="C55">
        <f t="shared" si="1"/>
        <v>6</v>
      </c>
      <c r="D55" s="30">
        <f>'Monthly Data'!F55</f>
        <v>45232822.408086255</v>
      </c>
      <c r="E55" s="33">
        <f t="shared" ref="E55:F55" ca="1" si="44">E43</f>
        <v>2.15</v>
      </c>
      <c r="F55" s="33">
        <f t="shared" ca="1" si="44"/>
        <v>154.05000000000001</v>
      </c>
      <c r="G55" s="33">
        <f>'Monthly Data'!AV55</f>
        <v>4.3999999999999986</v>
      </c>
      <c r="H55" s="33">
        <f>'Monthly Data'!AW55</f>
        <v>103.60000000000002</v>
      </c>
      <c r="I55" s="18">
        <f>'Monthly Data'!Z55</f>
        <v>784896</v>
      </c>
      <c r="J55">
        <f>'Monthly Data'!BR55</f>
        <v>0</v>
      </c>
      <c r="K55" s="33">
        <f>'Monthly Data'!BT55</f>
        <v>30</v>
      </c>
      <c r="M55" s="18"/>
      <c r="N55" s="18">
        <f ca="1">(E55-G55)*'Res Predicted Monthly'!$V$10</f>
        <v>-30793.27182885088</v>
      </c>
      <c r="O55" s="18">
        <f ca="1">(F55-H55)*'Res Predicted Monthly'!$V$11</f>
        <v>4045274.5457021073</v>
      </c>
      <c r="P55" s="18"/>
      <c r="Q55" s="18"/>
      <c r="R55" s="18"/>
      <c r="S55" s="30">
        <f t="shared" ca="1" si="8"/>
        <v>49247303.68195951</v>
      </c>
    </row>
    <row r="56" spans="1:19" x14ac:dyDescent="0.2">
      <c r="A56" s="9">
        <f>'Monthly Data'!A56</f>
        <v>43647</v>
      </c>
      <c r="B56">
        <f t="shared" si="0"/>
        <v>2019</v>
      </c>
      <c r="C56">
        <f t="shared" si="1"/>
        <v>7</v>
      </c>
      <c r="D56" s="30">
        <f>'Monthly Data'!F56</f>
        <v>63142023.731554992</v>
      </c>
      <c r="E56" s="33">
        <f t="shared" ref="E56:F56" ca="1" si="45">E44</f>
        <v>0</v>
      </c>
      <c r="F56" s="33">
        <f t="shared" ca="1" si="45"/>
        <v>267.66999999999996</v>
      </c>
      <c r="G56" s="33">
        <f>'Monthly Data'!AV56</f>
        <v>0</v>
      </c>
      <c r="H56" s="33">
        <f>'Monthly Data'!AW56</f>
        <v>276.59999999999997</v>
      </c>
      <c r="I56" s="18">
        <f>'Monthly Data'!Z56</f>
        <v>794140</v>
      </c>
      <c r="J56">
        <f>'Monthly Data'!BR56</f>
        <v>0</v>
      </c>
      <c r="K56" s="33">
        <f>'Monthly Data'!BT56</f>
        <v>31</v>
      </c>
      <c r="M56" s="18"/>
      <c r="N56" s="18">
        <f ca="1">(E56-G56)*'Res Predicted Monthly'!$V$10</f>
        <v>0</v>
      </c>
      <c r="O56" s="18">
        <f ca="1">(F56-H56)*'Res Predicted Monthly'!$V$11</f>
        <v>-716041.65893200901</v>
      </c>
      <c r="P56" s="18"/>
      <c r="Q56" s="18"/>
      <c r="R56" s="18"/>
      <c r="S56" s="30">
        <f t="shared" ca="1" si="8"/>
        <v>62425982.072622985</v>
      </c>
    </row>
    <row r="57" spans="1:19" x14ac:dyDescent="0.2">
      <c r="A57" s="9">
        <f>'Monthly Data'!A57</f>
        <v>43678</v>
      </c>
      <c r="B57">
        <f t="shared" si="0"/>
        <v>2019</v>
      </c>
      <c r="C57">
        <f t="shared" si="1"/>
        <v>8</v>
      </c>
      <c r="D57" s="30">
        <f>'Monthly Data'!F57</f>
        <v>58238131.055023737</v>
      </c>
      <c r="E57" s="33">
        <f t="shared" ref="E57:F57" ca="1" si="46">E45</f>
        <v>0</v>
      </c>
      <c r="F57" s="33">
        <f t="shared" ca="1" si="46"/>
        <v>246.315</v>
      </c>
      <c r="G57" s="33">
        <f>'Monthly Data'!AV57</f>
        <v>0</v>
      </c>
      <c r="H57" s="33">
        <f>'Monthly Data'!AW57</f>
        <v>225.29999999999998</v>
      </c>
      <c r="I57" s="18">
        <f>'Monthly Data'!Z57</f>
        <v>794140</v>
      </c>
      <c r="J57">
        <f>'Monthly Data'!BR57</f>
        <v>0</v>
      </c>
      <c r="K57" s="33">
        <f>'Monthly Data'!BT57</f>
        <v>31</v>
      </c>
      <c r="M57" s="18"/>
      <c r="N57" s="18">
        <f ca="1">(E57-G57)*'Res Predicted Monthly'!$V$10</f>
        <v>0</v>
      </c>
      <c r="O57" s="18">
        <f ca="1">(F57-H57)*'Res Predicted Monthly'!$V$11</f>
        <v>1685063.3216636246</v>
      </c>
      <c r="P57" s="18"/>
      <c r="Q57" s="18"/>
      <c r="R57" s="18"/>
      <c r="S57" s="30">
        <f t="shared" ca="1" si="8"/>
        <v>59923194.376687363</v>
      </c>
    </row>
    <row r="58" spans="1:19" x14ac:dyDescent="0.2">
      <c r="A58" s="9">
        <f>'Monthly Data'!A58</f>
        <v>43709</v>
      </c>
      <c r="B58">
        <f t="shared" si="0"/>
        <v>2019</v>
      </c>
      <c r="C58">
        <f t="shared" si="1"/>
        <v>9</v>
      </c>
      <c r="D58" s="30">
        <f>'Monthly Data'!F58</f>
        <v>44304376.378492482</v>
      </c>
      <c r="E58" s="33">
        <f t="shared" ref="E58:F58" ca="1" si="47">E46</f>
        <v>2.2699999999999996</v>
      </c>
      <c r="F58" s="33">
        <f t="shared" ca="1" si="47"/>
        <v>146.80000000000001</v>
      </c>
      <c r="G58" s="33">
        <f>'Monthly Data'!AV58</f>
        <v>0.30000000000000071</v>
      </c>
      <c r="H58" s="33">
        <f>'Monthly Data'!AW58</f>
        <v>133.90000000000003</v>
      </c>
      <c r="I58" s="18">
        <f>'Monthly Data'!Z58</f>
        <v>794140</v>
      </c>
      <c r="J58">
        <f>'Monthly Data'!BR58</f>
        <v>1</v>
      </c>
      <c r="K58" s="33">
        <f>'Monthly Data'!BT58</f>
        <v>30</v>
      </c>
      <c r="M58" s="18"/>
      <c r="N58" s="18">
        <f ca="1">(E58-G58)*'Res Predicted Monthly'!$V$10</f>
        <v>26961.220223482771</v>
      </c>
      <c r="O58" s="18">
        <f ca="1">(F58-H58)*'Res Predicted Monthly'!$V$11</f>
        <v>1034371.4893866621</v>
      </c>
      <c r="P58" s="18"/>
      <c r="Q58" s="18"/>
      <c r="R58" s="18"/>
      <c r="S58" s="30">
        <f t="shared" ca="1" si="8"/>
        <v>45365709.088102631</v>
      </c>
    </row>
    <row r="59" spans="1:19" x14ac:dyDescent="0.2">
      <c r="A59" s="9">
        <f>'Monthly Data'!A59</f>
        <v>43739</v>
      </c>
      <c r="B59">
        <f t="shared" si="0"/>
        <v>2019</v>
      </c>
      <c r="C59">
        <f t="shared" si="1"/>
        <v>10</v>
      </c>
      <c r="D59" s="30">
        <f>'Monthly Data'!F59</f>
        <v>39423259.701961219</v>
      </c>
      <c r="E59" s="33">
        <f t="shared" ref="E59:F59" ca="1" si="48">E47</f>
        <v>83.800000000000011</v>
      </c>
      <c r="F59" s="33">
        <f t="shared" ca="1" si="48"/>
        <v>36.859999999999992</v>
      </c>
      <c r="G59" s="33">
        <f>'Monthly Data'!AV59</f>
        <v>74.100000000000009</v>
      </c>
      <c r="H59" s="33">
        <f>'Monthly Data'!AW59</f>
        <v>15.999999999999998</v>
      </c>
      <c r="I59" s="18">
        <f>'Monthly Data'!Z59</f>
        <v>799632</v>
      </c>
      <c r="J59">
        <f>'Monthly Data'!BR59</f>
        <v>1</v>
      </c>
      <c r="K59" s="33">
        <f>'Monthly Data'!BT59</f>
        <v>31</v>
      </c>
      <c r="M59" s="18"/>
      <c r="N59" s="18">
        <f ca="1">(E59-G59)*'Res Predicted Monthly'!$V$10</f>
        <v>132753.21632882391</v>
      </c>
      <c r="O59" s="18">
        <f ca="1">(F59-H59)*'Res Predicted Monthly'!$V$11</f>
        <v>1672634.8270237055</v>
      </c>
      <c r="P59" s="18"/>
      <c r="Q59" s="18"/>
      <c r="R59" s="18"/>
      <c r="S59" s="30">
        <f t="shared" ca="1" si="8"/>
        <v>41228647.745313749</v>
      </c>
    </row>
    <row r="60" spans="1:19" x14ac:dyDescent="0.2">
      <c r="A60" s="9">
        <f>'Monthly Data'!A60</f>
        <v>43770</v>
      </c>
      <c r="B60">
        <f t="shared" ref="B60:B115" si="49">YEAR(A60)</f>
        <v>2019</v>
      </c>
      <c r="C60">
        <f t="shared" ref="C60:C115" si="50">MONTH(A60)</f>
        <v>11</v>
      </c>
      <c r="D60" s="30">
        <f>'Monthly Data'!F60</f>
        <v>40460397.025429964</v>
      </c>
      <c r="E60" s="33">
        <f t="shared" ref="E60:F60" ca="1" si="51">E48</f>
        <v>240.7</v>
      </c>
      <c r="F60" s="33">
        <f t="shared" ca="1" si="51"/>
        <v>3.410000000000001</v>
      </c>
      <c r="G60" s="33">
        <f>'Monthly Data'!AV60</f>
        <v>343.99999999999994</v>
      </c>
      <c r="H60" s="33">
        <f>'Monthly Data'!AW60</f>
        <v>0</v>
      </c>
      <c r="I60" s="18">
        <f>'Monthly Data'!Z60</f>
        <v>799632</v>
      </c>
      <c r="J60">
        <f>'Monthly Data'!BR60</f>
        <v>1</v>
      </c>
      <c r="K60" s="33">
        <f>'Monthly Data'!BT60</f>
        <v>30</v>
      </c>
      <c r="M60" s="18"/>
      <c r="N60" s="18">
        <f ca="1">(E60-G60)*'Res Predicted Monthly'!$V$10</f>
        <v>-1413753.3244090206</v>
      </c>
      <c r="O60" s="18">
        <f ca="1">(F60-H60)*'Res Predicted Monthly'!$V$11</f>
        <v>273426.88207818026</v>
      </c>
      <c r="P60" s="18"/>
      <c r="Q60" s="18"/>
      <c r="R60" s="18"/>
      <c r="S60" s="30">
        <f t="shared" ca="1" si="8"/>
        <v>39320070.583099119</v>
      </c>
    </row>
    <row r="61" spans="1:19" x14ac:dyDescent="0.2">
      <c r="A61" s="9">
        <f>'Monthly Data'!A61</f>
        <v>43800</v>
      </c>
      <c r="B61">
        <f t="shared" si="49"/>
        <v>2019</v>
      </c>
      <c r="C61">
        <f t="shared" si="50"/>
        <v>12</v>
      </c>
      <c r="D61" s="30">
        <f>'Monthly Data'!F61</f>
        <v>45553447.348898709</v>
      </c>
      <c r="E61" s="33">
        <f t="shared" ref="E61:F61" ca="1" si="52">E49</f>
        <v>386.61999999999995</v>
      </c>
      <c r="F61" s="33">
        <f t="shared" ca="1" si="52"/>
        <v>0</v>
      </c>
      <c r="G61" s="33">
        <f>'Monthly Data'!AV61</f>
        <v>396.4</v>
      </c>
      <c r="H61" s="33">
        <f>'Monthly Data'!AW61</f>
        <v>0</v>
      </c>
      <c r="I61" s="18">
        <f>'Monthly Data'!Z61</f>
        <v>799632</v>
      </c>
      <c r="J61">
        <f>'Monthly Data'!BR61</f>
        <v>0</v>
      </c>
      <c r="K61" s="33">
        <f>'Monthly Data'!BT61</f>
        <v>31</v>
      </c>
      <c r="M61" s="18"/>
      <c r="N61" s="18">
        <f ca="1">(E61-G61)*'Res Predicted Monthly'!$V$10</f>
        <v>-133848.08821607233</v>
      </c>
      <c r="O61" s="18">
        <f ca="1">(F61-H61)*'Res Predicted Monthly'!$V$11</f>
        <v>0</v>
      </c>
      <c r="P61" s="18"/>
      <c r="Q61" s="18"/>
      <c r="R61" s="18"/>
      <c r="S61" s="30">
        <f t="shared" ca="1" si="8"/>
        <v>45419599.260682635</v>
      </c>
    </row>
    <row r="62" spans="1:19" x14ac:dyDescent="0.2">
      <c r="A62" s="9">
        <f>'Monthly Data'!A62</f>
        <v>43831</v>
      </c>
      <c r="B62">
        <f t="shared" si="49"/>
        <v>2020</v>
      </c>
      <c r="C62">
        <f t="shared" si="50"/>
        <v>1</v>
      </c>
      <c r="D62" s="30">
        <f>'Monthly Data'!F62</f>
        <v>44911593.71344091</v>
      </c>
      <c r="E62" s="33">
        <f t="shared" ref="E62:F62" ca="1" si="53">E50</f>
        <v>508.54000000000008</v>
      </c>
      <c r="F62" s="33">
        <f t="shared" ca="1" si="53"/>
        <v>0</v>
      </c>
      <c r="G62" s="33">
        <f>'Monthly Data'!AV62</f>
        <v>427.8</v>
      </c>
      <c r="H62" s="33">
        <f>'Monthly Data'!AW62</f>
        <v>0</v>
      </c>
      <c r="I62" s="18">
        <f>'Monthly Data'!Z62</f>
        <v>800724</v>
      </c>
      <c r="J62">
        <f>'Monthly Data'!BR62</f>
        <v>0</v>
      </c>
      <c r="K62" s="33">
        <f>'Monthly Data'!BT62</f>
        <v>31</v>
      </c>
      <c r="M62" s="18"/>
      <c r="N62" s="18">
        <f ca="1">(E62-G62)*'Res Predicted Monthly'!$V$10</f>
        <v>1104999.4522050773</v>
      </c>
      <c r="O62" s="18">
        <f ca="1">(F62-H62)*'Res Predicted Monthly'!$V$11</f>
        <v>0</v>
      </c>
      <c r="P62" s="18"/>
      <c r="Q62" s="18"/>
      <c r="R62" s="18"/>
      <c r="S62" s="30">
        <f t="shared" ca="1" si="8"/>
        <v>46016593.165645987</v>
      </c>
    </row>
    <row r="63" spans="1:19" x14ac:dyDescent="0.2">
      <c r="A63" s="9">
        <f>'Monthly Data'!A63</f>
        <v>43862</v>
      </c>
      <c r="B63">
        <f t="shared" si="49"/>
        <v>2020</v>
      </c>
      <c r="C63">
        <f t="shared" si="50"/>
        <v>2</v>
      </c>
      <c r="D63" s="30">
        <f>'Monthly Data'!F63</f>
        <v>40905172.199256942</v>
      </c>
      <c r="E63" s="33">
        <f t="shared" ref="E63:F63" ca="1" si="54">E51</f>
        <v>451.10999999999996</v>
      </c>
      <c r="F63" s="33">
        <f t="shared" ca="1" si="54"/>
        <v>0</v>
      </c>
      <c r="G63" s="33">
        <f>'Monthly Data'!AV63</f>
        <v>445.2</v>
      </c>
      <c r="H63" s="33">
        <f>'Monthly Data'!AW63</f>
        <v>0</v>
      </c>
      <c r="I63" s="18">
        <f>'Monthly Data'!Z63</f>
        <v>800724</v>
      </c>
      <c r="J63">
        <f>'Monthly Data'!BR63</f>
        <v>0</v>
      </c>
      <c r="K63" s="33">
        <f>'Monthly Data'!BT63</f>
        <v>29</v>
      </c>
      <c r="M63" s="18"/>
      <c r="N63" s="18">
        <f ca="1">(E63-G63)*'Res Predicted Monthly'!$V$10</f>
        <v>80883.660670447935</v>
      </c>
      <c r="O63" s="18">
        <f ca="1">(F63-H63)*'Res Predicted Monthly'!$V$11</f>
        <v>0</v>
      </c>
      <c r="P63" s="18"/>
      <c r="Q63" s="18"/>
      <c r="R63" s="18"/>
      <c r="S63" s="30">
        <f t="shared" ca="1" si="8"/>
        <v>40986055.859927386</v>
      </c>
    </row>
    <row r="64" spans="1:19" x14ac:dyDescent="0.2">
      <c r="A64" s="9">
        <f>'Monthly Data'!A64</f>
        <v>43891</v>
      </c>
      <c r="B64">
        <f t="shared" si="49"/>
        <v>2020</v>
      </c>
      <c r="C64">
        <f t="shared" si="50"/>
        <v>3</v>
      </c>
      <c r="D64" s="30">
        <f>'Monthly Data'!F64</f>
        <v>42164842.685072981</v>
      </c>
      <c r="E64" s="33">
        <f t="shared" ref="E64:F64" ca="1" si="55">E52</f>
        <v>374.74</v>
      </c>
      <c r="F64" s="33">
        <f t="shared" ca="1" si="55"/>
        <v>0</v>
      </c>
      <c r="G64" s="33">
        <f>'Monthly Data'!AV64</f>
        <v>316</v>
      </c>
      <c r="H64" s="33">
        <f>'Monthly Data'!AW64</f>
        <v>0</v>
      </c>
      <c r="I64" s="18">
        <f>'Monthly Data'!Z64</f>
        <v>800724</v>
      </c>
      <c r="J64">
        <f>'Monthly Data'!BR64</f>
        <v>1</v>
      </c>
      <c r="K64" s="33">
        <f>'Monthly Data'!BT64</f>
        <v>31</v>
      </c>
      <c r="M64" s="18"/>
      <c r="N64" s="18">
        <f ca="1">(E64-G64)*'Res Predicted Monthly'!$V$10</f>
        <v>803909.68321186758</v>
      </c>
      <c r="O64" s="18">
        <f ca="1">(F64-H64)*'Res Predicted Monthly'!$V$11</f>
        <v>0</v>
      </c>
      <c r="P64" s="18"/>
      <c r="Q64" s="18"/>
      <c r="R64" s="18"/>
      <c r="S64" s="30">
        <f t="shared" ca="1" si="8"/>
        <v>42968752.368284851</v>
      </c>
    </row>
    <row r="65" spans="1:19" x14ac:dyDescent="0.2">
      <c r="A65" s="9">
        <f>'Monthly Data'!A65</f>
        <v>43922</v>
      </c>
      <c r="B65">
        <f t="shared" si="49"/>
        <v>2020</v>
      </c>
      <c r="C65">
        <f t="shared" si="50"/>
        <v>4</v>
      </c>
      <c r="D65" s="30">
        <f>'Monthly Data'!F65</f>
        <v>40550697.17088902</v>
      </c>
      <c r="E65" s="33">
        <f t="shared" ref="E65:F65" ca="1" si="56">E53</f>
        <v>221.12999999999997</v>
      </c>
      <c r="F65" s="33">
        <f t="shared" ca="1" si="56"/>
        <v>2.6300000000000003</v>
      </c>
      <c r="G65" s="33">
        <f>'Monthly Data'!AV65</f>
        <v>241.00000000000003</v>
      </c>
      <c r="H65" s="33">
        <f>'Monthly Data'!AW65</f>
        <v>0</v>
      </c>
      <c r="I65" s="18">
        <f>'Monthly Data'!Z65</f>
        <v>806630</v>
      </c>
      <c r="J65">
        <f>'Monthly Data'!BR65</f>
        <v>1</v>
      </c>
      <c r="K65" s="33">
        <f>'Monthly Data'!BT65</f>
        <v>30</v>
      </c>
      <c r="M65" s="18"/>
      <c r="N65" s="18">
        <f ca="1">(E65-G65)*'Res Predicted Monthly'!$V$10</f>
        <v>-271938.80499523081</v>
      </c>
      <c r="O65" s="18">
        <f ca="1">(F65-H65)*'Res Predicted Monthly'!$V$11</f>
        <v>210883.48969666098</v>
      </c>
      <c r="P65" s="18"/>
      <c r="Q65" s="18"/>
      <c r="R65" s="18"/>
      <c r="S65" s="30">
        <f t="shared" ca="1" si="8"/>
        <v>40489641.855590448</v>
      </c>
    </row>
    <row r="66" spans="1:19" x14ac:dyDescent="0.2">
      <c r="A66" s="9">
        <f>'Monthly Data'!A66</f>
        <v>43952</v>
      </c>
      <c r="B66">
        <f t="shared" si="49"/>
        <v>2020</v>
      </c>
      <c r="C66">
        <f t="shared" si="50"/>
        <v>5</v>
      </c>
      <c r="D66" s="30">
        <f>'Monthly Data'!F66</f>
        <v>45655296.656705059</v>
      </c>
      <c r="E66" s="33">
        <f t="shared" ref="E66:F66" ca="1" si="57">E54</f>
        <v>74.8</v>
      </c>
      <c r="F66" s="33">
        <f t="shared" ca="1" si="57"/>
        <v>50.489999999999995</v>
      </c>
      <c r="G66" s="33">
        <f>'Monthly Data'!AV66</f>
        <v>122.60000000000001</v>
      </c>
      <c r="H66" s="33">
        <f>'Monthly Data'!AW66</f>
        <v>35.1</v>
      </c>
      <c r="I66" s="18">
        <f>'Monthly Data'!Z66</f>
        <v>806630</v>
      </c>
      <c r="J66">
        <f>'Monthly Data'!BR66</f>
        <v>1</v>
      </c>
      <c r="K66" s="33">
        <f>'Monthly Data'!BT66</f>
        <v>31</v>
      </c>
      <c r="M66" s="18"/>
      <c r="N66" s="18">
        <f ca="1">(E66-G66)*'Res Predicted Monthly'!$V$10</f>
        <v>-654185.95263069926</v>
      </c>
      <c r="O66" s="18">
        <f ca="1">(F66-H66)*'Res Predicted Monthly'!$V$11</f>
        <v>1234029.2419892056</v>
      </c>
      <c r="P66" s="18"/>
      <c r="Q66" s="18"/>
      <c r="R66" s="18"/>
      <c r="S66" s="30">
        <f t="shared" ca="1" si="8"/>
        <v>46235139.946063563</v>
      </c>
    </row>
    <row r="67" spans="1:19" x14ac:dyDescent="0.2">
      <c r="A67" s="9">
        <f>'Monthly Data'!A67</f>
        <v>43983</v>
      </c>
      <c r="B67">
        <f t="shared" si="49"/>
        <v>2020</v>
      </c>
      <c r="C67">
        <f t="shared" si="50"/>
        <v>6</v>
      </c>
      <c r="D67" s="30">
        <f>'Monthly Data'!F67</f>
        <v>59532998.142521091</v>
      </c>
      <c r="E67" s="33">
        <f t="shared" ref="E67:F67" ca="1" si="58">E55</f>
        <v>2.15</v>
      </c>
      <c r="F67" s="33">
        <f t="shared" ca="1" si="58"/>
        <v>154.05000000000001</v>
      </c>
      <c r="G67" s="33">
        <f>'Monthly Data'!AV67</f>
        <v>3.0999999999999996</v>
      </c>
      <c r="H67" s="33">
        <f>'Monthly Data'!AW67</f>
        <v>182.39999999999995</v>
      </c>
      <c r="I67" s="18">
        <f>'Monthly Data'!Z67</f>
        <v>806630</v>
      </c>
      <c r="J67">
        <f>'Monthly Data'!BR67</f>
        <v>0</v>
      </c>
      <c r="K67" s="33">
        <f>'Monthly Data'!BT67</f>
        <v>30</v>
      </c>
      <c r="M67" s="18"/>
      <c r="N67" s="18">
        <f ca="1">(E67-G67)*'Res Predicted Monthly'!$V$10</f>
        <v>-13001.603661070376</v>
      </c>
      <c r="O67" s="18">
        <f ca="1">(F67-H67)*'Res Predicted Monthly'!$V$11</f>
        <v>-2273211.7615590589</v>
      </c>
      <c r="P67" s="18"/>
      <c r="Q67" s="18"/>
      <c r="R67" s="18"/>
      <c r="S67" s="30">
        <f t="shared" ca="1" si="8"/>
        <v>57246784.777300961</v>
      </c>
    </row>
    <row r="68" spans="1:19" x14ac:dyDescent="0.2">
      <c r="A68" s="9">
        <f>'Monthly Data'!A68</f>
        <v>44013</v>
      </c>
      <c r="B68">
        <f t="shared" si="49"/>
        <v>2020</v>
      </c>
      <c r="C68">
        <f t="shared" si="50"/>
        <v>7</v>
      </c>
      <c r="D68" s="30">
        <f>'Monthly Data'!F68</f>
        <v>72305754.62833713</v>
      </c>
      <c r="E68" s="33">
        <f t="shared" ref="E68:F68" ca="1" si="59">E56</f>
        <v>0</v>
      </c>
      <c r="F68" s="33">
        <f t="shared" ca="1" si="59"/>
        <v>267.66999999999996</v>
      </c>
      <c r="G68" s="33">
        <f>'Monthly Data'!AV68</f>
        <v>0</v>
      </c>
      <c r="H68" s="33">
        <f>'Monthly Data'!AW68</f>
        <v>326.5</v>
      </c>
      <c r="I68" s="18">
        <f>'Monthly Data'!Z68</f>
        <v>810347</v>
      </c>
      <c r="J68">
        <f>'Monthly Data'!BR68</f>
        <v>0</v>
      </c>
      <c r="K68" s="33">
        <f>'Monthly Data'!BT68</f>
        <v>31</v>
      </c>
      <c r="M68" s="18"/>
      <c r="N68" s="18">
        <f ca="1">(E68-G68)*'Res Predicted Monthly'!$V$10</f>
        <v>0</v>
      </c>
      <c r="O68" s="18">
        <f ca="1">(F68-H68)*'Res Predicted Monthly'!$V$11</f>
        <v>-4717215.0946215102</v>
      </c>
      <c r="P68" s="18"/>
      <c r="Q68" s="18"/>
      <c r="R68" s="18"/>
      <c r="S68" s="30">
        <f t="shared" ca="1" si="8"/>
        <v>67588539.533715621</v>
      </c>
    </row>
    <row r="69" spans="1:19" x14ac:dyDescent="0.2">
      <c r="A69" s="9">
        <f>'Monthly Data'!A69</f>
        <v>44044</v>
      </c>
      <c r="B69">
        <f t="shared" si="49"/>
        <v>2020</v>
      </c>
      <c r="C69">
        <f t="shared" si="50"/>
        <v>8</v>
      </c>
      <c r="D69" s="30">
        <f>'Monthly Data'!F69</f>
        <v>63879386.114153169</v>
      </c>
      <c r="E69" s="33">
        <f t="shared" ref="E69:F69" ca="1" si="60">E57</f>
        <v>0</v>
      </c>
      <c r="F69" s="33">
        <f t="shared" ca="1" si="60"/>
        <v>246.315</v>
      </c>
      <c r="G69" s="33">
        <f>'Monthly Data'!AV69</f>
        <v>0</v>
      </c>
      <c r="H69" s="33">
        <f>'Monthly Data'!AW69</f>
        <v>245.54999999999998</v>
      </c>
      <c r="I69" s="18">
        <f>'Monthly Data'!Z69</f>
        <v>810347</v>
      </c>
      <c r="J69">
        <f>'Monthly Data'!BR69</f>
        <v>0</v>
      </c>
      <c r="K69" s="33">
        <f>'Monthly Data'!BT69</f>
        <v>31</v>
      </c>
      <c r="M69" s="18"/>
      <c r="N69" s="18">
        <f ca="1">(E69-G69)*'Res Predicted Monthly'!$V$10</f>
        <v>0</v>
      </c>
      <c r="O69" s="18">
        <f ca="1">(F69-H69)*'Res Predicted Monthly'!$V$11</f>
        <v>61340.634835721954</v>
      </c>
      <c r="P69" s="18"/>
      <c r="Q69" s="18"/>
      <c r="R69" s="18"/>
      <c r="S69" s="30">
        <f t="shared" ca="1" si="8"/>
        <v>63940726.748988889</v>
      </c>
    </row>
    <row r="70" spans="1:19" x14ac:dyDescent="0.2">
      <c r="A70" s="9">
        <f>'Monthly Data'!A70</f>
        <v>44075</v>
      </c>
      <c r="B70">
        <f t="shared" si="49"/>
        <v>2020</v>
      </c>
      <c r="C70">
        <f t="shared" si="50"/>
        <v>9</v>
      </c>
      <c r="D70" s="30">
        <f>'Monthly Data'!F70</f>
        <v>46969020.599969208</v>
      </c>
      <c r="E70" s="33">
        <f t="shared" ref="E70:F70" ca="1" si="61">E58</f>
        <v>2.2699999999999996</v>
      </c>
      <c r="F70" s="33">
        <f t="shared" ca="1" si="61"/>
        <v>146.80000000000001</v>
      </c>
      <c r="G70" s="33">
        <f>'Monthly Data'!AV70</f>
        <v>6.7999999999999989</v>
      </c>
      <c r="H70" s="33">
        <f>'Monthly Data'!AW70</f>
        <v>108.09999999999998</v>
      </c>
      <c r="I70" s="18">
        <f>'Monthly Data'!Z70</f>
        <v>810347</v>
      </c>
      <c r="J70">
        <f>'Monthly Data'!BR70</f>
        <v>1</v>
      </c>
      <c r="K70" s="33">
        <f>'Monthly Data'!BT70</f>
        <v>30</v>
      </c>
      <c r="M70" s="18"/>
      <c r="N70" s="18">
        <f ca="1">(E70-G70)*'Res Predicted Monthly'!$V$10</f>
        <v>-61997.120615419801</v>
      </c>
      <c r="O70" s="18">
        <f ca="1">(F70-H70)*'Res Predicted Monthly'!$V$11</f>
        <v>3103114.4681599941</v>
      </c>
      <c r="P70" s="18"/>
      <c r="Q70" s="18"/>
      <c r="R70" s="18"/>
      <c r="S70" s="30">
        <f t="shared" ca="1" si="8"/>
        <v>50010137.947513781</v>
      </c>
    </row>
    <row r="71" spans="1:19" x14ac:dyDescent="0.2">
      <c r="A71" s="9">
        <f>'Monthly Data'!A71</f>
        <v>44105</v>
      </c>
      <c r="B71">
        <f t="shared" si="49"/>
        <v>2020</v>
      </c>
      <c r="C71">
        <f t="shared" si="50"/>
        <v>10</v>
      </c>
      <c r="D71" s="30">
        <f>'Monthly Data'!F71</f>
        <v>40798366.08578524</v>
      </c>
      <c r="E71" s="33">
        <f t="shared" ref="E71:F71" ca="1" si="62">E59</f>
        <v>83.800000000000011</v>
      </c>
      <c r="F71" s="33">
        <f t="shared" ca="1" si="62"/>
        <v>36.859999999999992</v>
      </c>
      <c r="G71" s="33">
        <f>'Monthly Data'!AV71</f>
        <v>116.69999999999999</v>
      </c>
      <c r="H71" s="33">
        <f>'Monthly Data'!AW71</f>
        <v>7.6999999999999993</v>
      </c>
      <c r="I71" s="18">
        <f>'Monthly Data'!Z71</f>
        <v>811397</v>
      </c>
      <c r="J71">
        <f>'Monthly Data'!BR71</f>
        <v>1</v>
      </c>
      <c r="K71" s="33">
        <f>'Monthly Data'!BT71</f>
        <v>31</v>
      </c>
      <c r="M71" s="18"/>
      <c r="N71" s="18">
        <f ca="1">(E71-G71)*'Res Predicted Monthly'!$V$10</f>
        <v>-450266.06363075285</v>
      </c>
      <c r="O71" s="18">
        <f ca="1">(F71-H71)*'Res Predicted Monthly'!$V$11</f>
        <v>2338160.6690321793</v>
      </c>
      <c r="P71" s="18"/>
      <c r="Q71" s="18"/>
      <c r="R71" s="18"/>
      <c r="S71" s="30">
        <f t="shared" ca="1" si="8"/>
        <v>42686260.691186666</v>
      </c>
    </row>
    <row r="72" spans="1:19" x14ac:dyDescent="0.2">
      <c r="A72" s="9">
        <f>'Monthly Data'!A72</f>
        <v>44136</v>
      </c>
      <c r="B72">
        <f t="shared" si="49"/>
        <v>2020</v>
      </c>
      <c r="C72">
        <f t="shared" si="50"/>
        <v>11</v>
      </c>
      <c r="D72" s="30">
        <f>'Monthly Data'!F72</f>
        <v>41142966.571601279</v>
      </c>
      <c r="E72" s="33">
        <f t="shared" ref="E72:F72" ca="1" si="63">E60</f>
        <v>240.7</v>
      </c>
      <c r="F72" s="33">
        <f t="shared" ca="1" si="63"/>
        <v>3.410000000000001</v>
      </c>
      <c r="G72" s="33">
        <f>'Monthly Data'!AV72</f>
        <v>184.59999999999997</v>
      </c>
      <c r="H72" s="33">
        <f>'Monthly Data'!AW72</f>
        <v>8.6999999999999993</v>
      </c>
      <c r="I72" s="18">
        <f>'Monthly Data'!Z72</f>
        <v>811397</v>
      </c>
      <c r="J72">
        <f>'Monthly Data'!BR72</f>
        <v>1</v>
      </c>
      <c r="K72" s="33">
        <f>'Monthly Data'!BT72</f>
        <v>30</v>
      </c>
      <c r="M72" s="18"/>
      <c r="N72" s="18">
        <f ca="1">(E72-G72)*'Res Predicted Monthly'!$V$10</f>
        <v>767778.9109326828</v>
      </c>
      <c r="O72" s="18">
        <f ca="1">(F72-H72)*'Res Predicted Monthly'!$V$11</f>
        <v>-424172.49448491866</v>
      </c>
      <c r="P72" s="18"/>
      <c r="Q72" s="18"/>
      <c r="R72" s="18"/>
      <c r="S72" s="30">
        <f t="shared" ca="1" si="8"/>
        <v>41486572.988049045</v>
      </c>
    </row>
    <row r="73" spans="1:19" x14ac:dyDescent="0.2">
      <c r="A73" s="9">
        <f>'Monthly Data'!A73</f>
        <v>44166</v>
      </c>
      <c r="B73">
        <f t="shared" si="49"/>
        <v>2020</v>
      </c>
      <c r="C73">
        <f t="shared" si="50"/>
        <v>12</v>
      </c>
      <c r="D73" s="30">
        <f>'Monthly Data'!F73</f>
        <v>47931193.057417318</v>
      </c>
      <c r="E73" s="33">
        <f t="shared" ref="E73:F73" ca="1" si="64">E61</f>
        <v>386.61999999999995</v>
      </c>
      <c r="F73" s="33">
        <f t="shared" ca="1" si="64"/>
        <v>0</v>
      </c>
      <c r="G73" s="33">
        <f>'Monthly Data'!AV73</f>
        <v>388.10000000000008</v>
      </c>
      <c r="H73" s="33">
        <f>'Monthly Data'!AW73</f>
        <v>0</v>
      </c>
      <c r="I73" s="18">
        <f>'Monthly Data'!Z73</f>
        <v>811397</v>
      </c>
      <c r="J73">
        <f>'Monthly Data'!BR73</f>
        <v>0</v>
      </c>
      <c r="K73" s="33">
        <f>'Monthly Data'!BT73</f>
        <v>31</v>
      </c>
      <c r="M73" s="18"/>
      <c r="N73" s="18">
        <f ca="1">(E73-G73)*'Res Predicted Monthly'!$V$10</f>
        <v>-20255.129914090398</v>
      </c>
      <c r="O73" s="18">
        <f ca="1">(F73-H73)*'Res Predicted Monthly'!$V$11</f>
        <v>0</v>
      </c>
      <c r="P73" s="18"/>
      <c r="Q73" s="18"/>
      <c r="R73" s="18"/>
      <c r="S73" s="30">
        <f t="shared" ca="1" si="8"/>
        <v>47910937.927503228</v>
      </c>
    </row>
    <row r="74" spans="1:19" x14ac:dyDescent="0.2">
      <c r="A74" s="9">
        <f>'Monthly Data'!A74</f>
        <v>44197</v>
      </c>
      <c r="B74">
        <f t="shared" si="49"/>
        <v>2021</v>
      </c>
      <c r="C74">
        <f t="shared" si="50"/>
        <v>1</v>
      </c>
      <c r="D74" s="30">
        <f>'Monthly Data'!F74</f>
        <v>49036599.020043381</v>
      </c>
      <c r="E74" s="33">
        <f t="shared" ref="E74:F74" ca="1" si="65">E62</f>
        <v>508.54000000000008</v>
      </c>
      <c r="F74" s="33">
        <f t="shared" ca="1" si="65"/>
        <v>0</v>
      </c>
      <c r="G74" s="33">
        <f>'Monthly Data'!AV74</f>
        <v>461.9</v>
      </c>
      <c r="H74" s="33">
        <f>'Monthly Data'!AW74</f>
        <v>0</v>
      </c>
      <c r="I74" s="18">
        <f>'Monthly Data'!Z74</f>
        <v>800126</v>
      </c>
      <c r="J74">
        <f>'Monthly Data'!BR74</f>
        <v>0</v>
      </c>
      <c r="K74" s="33">
        <f>'Monthly Data'!BT74</f>
        <v>31</v>
      </c>
      <c r="M74" s="18"/>
      <c r="N74" s="18">
        <f ca="1">(E74-G74)*'Res Predicted Monthly'!$V$10</f>
        <v>638310.31026560406</v>
      </c>
      <c r="O74" s="18">
        <f ca="1">(F74-H74)*'Res Predicted Monthly'!$V$11</f>
        <v>0</v>
      </c>
      <c r="P74" s="18"/>
      <c r="Q74" s="18"/>
      <c r="R74" s="18"/>
      <c r="S74" s="30">
        <f t="shared" ca="1" si="8"/>
        <v>49674909.330308981</v>
      </c>
    </row>
    <row r="75" spans="1:19" x14ac:dyDescent="0.2">
      <c r="A75" s="9">
        <f>'Monthly Data'!A75</f>
        <v>44228</v>
      </c>
      <c r="B75">
        <f t="shared" si="49"/>
        <v>2021</v>
      </c>
      <c r="C75">
        <f t="shared" si="50"/>
        <v>2</v>
      </c>
      <c r="D75" s="30">
        <f>'Monthly Data'!F75</f>
        <v>44239591.50465861</v>
      </c>
      <c r="E75" s="33">
        <f t="shared" ref="E75:F75" ca="1" si="66">E63</f>
        <v>451.10999999999996</v>
      </c>
      <c r="F75" s="33">
        <f t="shared" ca="1" si="66"/>
        <v>0</v>
      </c>
      <c r="G75" s="33">
        <f>'Monthly Data'!AV75</f>
        <v>496.99999999999994</v>
      </c>
      <c r="H75" s="33">
        <f>'Monthly Data'!AW75</f>
        <v>0</v>
      </c>
      <c r="I75" s="18">
        <f>'Monthly Data'!Z75</f>
        <v>800126</v>
      </c>
      <c r="J75">
        <f>'Monthly Data'!BR75</f>
        <v>0</v>
      </c>
      <c r="K75" s="33">
        <f>'Monthly Data'!BT75</f>
        <v>28</v>
      </c>
      <c r="M75" s="18"/>
      <c r="N75" s="18">
        <f ca="1">(E75-G75)*'Res Predicted Monthly'!$V$10</f>
        <v>-628045.88632265222</v>
      </c>
      <c r="O75" s="18">
        <f ca="1">(F75-H75)*'Res Predicted Monthly'!$V$11</f>
        <v>0</v>
      </c>
      <c r="P75" s="18"/>
      <c r="Q75" s="18"/>
      <c r="R75" s="18"/>
      <c r="S75" s="30">
        <f t="shared" ca="1" si="8"/>
        <v>43611545.618335955</v>
      </c>
    </row>
    <row r="76" spans="1:19" x14ac:dyDescent="0.2">
      <c r="A76" s="9">
        <f>'Monthly Data'!A76</f>
        <v>44256</v>
      </c>
      <c r="B76">
        <f t="shared" si="49"/>
        <v>2021</v>
      </c>
      <c r="C76">
        <f t="shared" si="50"/>
        <v>3</v>
      </c>
      <c r="D76" s="30">
        <f>'Monthly Data'!F76</f>
        <v>43218533.989273846</v>
      </c>
      <c r="E76" s="33">
        <f t="shared" ref="E76:F76" ca="1" si="67">E64</f>
        <v>374.74</v>
      </c>
      <c r="F76" s="33">
        <f t="shared" ca="1" si="67"/>
        <v>0</v>
      </c>
      <c r="G76" s="33">
        <f>'Monthly Data'!AV76</f>
        <v>325.00000000000006</v>
      </c>
      <c r="H76" s="33">
        <f>'Monthly Data'!AW76</f>
        <v>0</v>
      </c>
      <c r="I76" s="18">
        <f>'Monthly Data'!Z76</f>
        <v>800126</v>
      </c>
      <c r="J76">
        <f>'Monthly Data'!BR76</f>
        <v>1</v>
      </c>
      <c r="K76" s="33">
        <f>'Monthly Data'!BT76</f>
        <v>31</v>
      </c>
      <c r="M76" s="18"/>
      <c r="N76" s="18">
        <f ca="1">(E76-G76)*'Res Predicted Monthly'!$V$10</f>
        <v>680736.59589646326</v>
      </c>
      <c r="O76" s="18">
        <f ca="1">(F76-H76)*'Res Predicted Monthly'!$V$11</f>
        <v>0</v>
      </c>
      <c r="P76" s="18"/>
      <c r="Q76" s="18"/>
      <c r="R76" s="18"/>
      <c r="S76" s="30">
        <f t="shared" ca="1" si="8"/>
        <v>43899270.585170306</v>
      </c>
    </row>
    <row r="77" spans="1:19" x14ac:dyDescent="0.2">
      <c r="A77" s="9">
        <f>'Monthly Data'!A77</f>
        <v>44287</v>
      </c>
      <c r="B77">
        <f t="shared" si="49"/>
        <v>2021</v>
      </c>
      <c r="C77">
        <f t="shared" si="50"/>
        <v>4</v>
      </c>
      <c r="D77" s="30">
        <f>'Monthly Data'!F77</f>
        <v>39165169.473889083</v>
      </c>
      <c r="E77" s="33">
        <f t="shared" ref="E77:F77" ca="1" si="68">E65</f>
        <v>221.12999999999997</v>
      </c>
      <c r="F77" s="33">
        <f t="shared" ca="1" si="68"/>
        <v>2.6300000000000003</v>
      </c>
      <c r="G77" s="33">
        <f>'Monthly Data'!AV77</f>
        <v>216.7</v>
      </c>
      <c r="H77" s="33">
        <f>'Monthly Data'!AW77</f>
        <v>0</v>
      </c>
      <c r="I77" s="18">
        <f>'Monthly Data'!Z77</f>
        <v>706539</v>
      </c>
      <c r="J77">
        <f>'Monthly Data'!BR77</f>
        <v>1</v>
      </c>
      <c r="K77" s="33">
        <f>'Monthly Data'!BT77</f>
        <v>30</v>
      </c>
      <c r="M77" s="18"/>
      <c r="N77" s="18">
        <f ca="1">(E77-G77)*'Res Predicted Monthly'!$V$10</f>
        <v>60628.530756359476</v>
      </c>
      <c r="O77" s="18">
        <f ca="1">(F77-H77)*'Res Predicted Monthly'!$V$11</f>
        <v>210883.48969666098</v>
      </c>
      <c r="P77" s="18"/>
      <c r="Q77" s="18"/>
      <c r="R77" s="18"/>
      <c r="S77" s="30">
        <f t="shared" ca="1" si="8"/>
        <v>39436681.494342104</v>
      </c>
    </row>
    <row r="78" spans="1:19" x14ac:dyDescent="0.2">
      <c r="A78" s="9">
        <f>'Monthly Data'!A78</f>
        <v>44317</v>
      </c>
      <c r="B78">
        <f t="shared" si="49"/>
        <v>2021</v>
      </c>
      <c r="C78">
        <f t="shared" si="50"/>
        <v>5</v>
      </c>
      <c r="D78" s="30">
        <f>'Monthly Data'!F78</f>
        <v>47117065.958504319</v>
      </c>
      <c r="E78" s="33">
        <f t="shared" ref="E78:F78" ca="1" si="69">E66</f>
        <v>74.8</v>
      </c>
      <c r="F78" s="33">
        <f t="shared" ca="1" si="69"/>
        <v>50.489999999999995</v>
      </c>
      <c r="G78" s="33">
        <f>'Monthly Data'!AV78</f>
        <v>79.400000000000006</v>
      </c>
      <c r="H78" s="33">
        <f>'Monthly Data'!AW78</f>
        <v>53.6</v>
      </c>
      <c r="I78" s="18">
        <f>'Monthly Data'!Z78</f>
        <v>706539</v>
      </c>
      <c r="J78">
        <f>'Monthly Data'!BR78</f>
        <v>1</v>
      </c>
      <c r="K78" s="33">
        <f>'Monthly Data'!BT78</f>
        <v>31</v>
      </c>
      <c r="M78" s="18"/>
      <c r="N78" s="18">
        <f ca="1">(E78-G78)*'Res Predicted Monthly'!$V$10</f>
        <v>-62955.133516761955</v>
      </c>
      <c r="O78" s="18">
        <f ca="1">(F78-H78)*'Res Predicted Monthly'!$V$11</f>
        <v>-249371.73116221174</v>
      </c>
      <c r="P78" s="18"/>
      <c r="Q78" s="18"/>
      <c r="R78" s="18"/>
      <c r="S78" s="30">
        <f t="shared" ca="1" si="8"/>
        <v>46804739.093825348</v>
      </c>
    </row>
    <row r="79" spans="1:19" x14ac:dyDescent="0.2">
      <c r="A79" s="9">
        <f>'Monthly Data'!A79</f>
        <v>44348</v>
      </c>
      <c r="B79">
        <f t="shared" si="49"/>
        <v>2021</v>
      </c>
      <c r="C79">
        <f t="shared" si="50"/>
        <v>6</v>
      </c>
      <c r="D79" s="30">
        <f>'Monthly Data'!F79</f>
        <v>54507390.443119556</v>
      </c>
      <c r="E79" s="33">
        <f t="shared" ref="E79:F79" ca="1" si="70">E67</f>
        <v>2.15</v>
      </c>
      <c r="F79" s="33">
        <f t="shared" ca="1" si="70"/>
        <v>154.05000000000001</v>
      </c>
      <c r="G79" s="33">
        <f>'Monthly Data'!AV79</f>
        <v>0</v>
      </c>
      <c r="H79" s="33">
        <f>'Monthly Data'!AW79</f>
        <v>209.39999999999995</v>
      </c>
      <c r="I79" s="18">
        <f>'Monthly Data'!Z79</f>
        <v>706539</v>
      </c>
      <c r="J79">
        <f>'Monthly Data'!BR79</f>
        <v>0</v>
      </c>
      <c r="K79" s="33">
        <f>'Monthly Data'!BT79</f>
        <v>30</v>
      </c>
      <c r="M79" s="18"/>
      <c r="N79" s="18">
        <f ca="1">(E79-G79)*'Res Predicted Monthly'!$V$10</f>
        <v>29424.681969790858</v>
      </c>
      <c r="O79" s="18">
        <f ca="1">(F79-H79)*'Res Predicted Monthly'!$V$11</f>
        <v>-4438175.3439962622</v>
      </c>
      <c r="P79" s="18"/>
      <c r="Q79" s="18"/>
      <c r="R79" s="18"/>
      <c r="S79" s="30">
        <f t="shared" ca="1" si="8"/>
        <v>50098639.781093083</v>
      </c>
    </row>
    <row r="80" spans="1:19" x14ac:dyDescent="0.2">
      <c r="A80" s="9">
        <f>'Monthly Data'!A80</f>
        <v>44378</v>
      </c>
      <c r="B80">
        <f t="shared" si="49"/>
        <v>2021</v>
      </c>
      <c r="C80">
        <f t="shared" si="50"/>
        <v>7</v>
      </c>
      <c r="D80" s="30">
        <f>'Monthly Data'!F80</f>
        <v>61736270.927734792</v>
      </c>
      <c r="E80" s="33">
        <f t="shared" ref="E80:F80" ca="1" si="71">E68</f>
        <v>0</v>
      </c>
      <c r="F80" s="33">
        <f t="shared" ca="1" si="71"/>
        <v>267.66999999999996</v>
      </c>
      <c r="G80" s="33">
        <f>'Monthly Data'!AV80</f>
        <v>0</v>
      </c>
      <c r="H80" s="33">
        <f>'Monthly Data'!AW80</f>
        <v>234.5</v>
      </c>
      <c r="I80" s="18">
        <f>'Monthly Data'!Z80</f>
        <v>777225</v>
      </c>
      <c r="J80">
        <f>'Monthly Data'!BR80</f>
        <v>0</v>
      </c>
      <c r="K80" s="33">
        <f>'Monthly Data'!BT80</f>
        <v>31</v>
      </c>
      <c r="M80" s="18"/>
      <c r="N80" s="18">
        <f ca="1">(E80-G80)*'Res Predicted Monthly'!$V$10</f>
        <v>0</v>
      </c>
      <c r="O80" s="18">
        <f ca="1">(F80-H80)*'Res Predicted Monthly'!$V$11</f>
        <v>2659697.8529422944</v>
      </c>
      <c r="P80" s="18"/>
      <c r="Q80" s="18"/>
      <c r="R80" s="18"/>
      <c r="S80" s="30">
        <f t="shared" ca="1" si="8"/>
        <v>64395968.780677088</v>
      </c>
    </row>
    <row r="81" spans="1:19" x14ac:dyDescent="0.2">
      <c r="A81" s="9">
        <f>'Monthly Data'!A81</f>
        <v>44409</v>
      </c>
      <c r="B81">
        <f t="shared" si="49"/>
        <v>2021</v>
      </c>
      <c r="C81">
        <f t="shared" si="50"/>
        <v>8</v>
      </c>
      <c r="D81" s="30">
        <f>'Monthly Data'!F81</f>
        <v>64473872.412350029</v>
      </c>
      <c r="E81" s="33">
        <f t="shared" ref="E81:F81" ca="1" si="72">E69</f>
        <v>0</v>
      </c>
      <c r="F81" s="33">
        <f t="shared" ca="1" si="72"/>
        <v>246.315</v>
      </c>
      <c r="G81" s="33">
        <f>'Monthly Data'!AV81</f>
        <v>0</v>
      </c>
      <c r="H81" s="33">
        <f>'Monthly Data'!AW81</f>
        <v>299.2</v>
      </c>
      <c r="I81" s="18">
        <f>'Monthly Data'!Z81</f>
        <v>777225</v>
      </c>
      <c r="J81">
        <f>'Monthly Data'!BR81</f>
        <v>0</v>
      </c>
      <c r="K81" s="33">
        <f>'Monthly Data'!BT81</f>
        <v>31</v>
      </c>
      <c r="M81" s="18"/>
      <c r="N81" s="18">
        <f ca="1">(E81-G81)*'Res Predicted Monthly'!$V$10</f>
        <v>0</v>
      </c>
      <c r="O81" s="18">
        <f ca="1">(F81-H81)*'Res Predicted Monthly'!$V$11</f>
        <v>-4240522.1873033885</v>
      </c>
      <c r="P81" s="18"/>
      <c r="Q81" s="18"/>
      <c r="R81" s="18"/>
      <c r="S81" s="30">
        <f t="shared" ca="1" si="8"/>
        <v>60233350.225046642</v>
      </c>
    </row>
    <row r="82" spans="1:19" x14ac:dyDescent="0.2">
      <c r="A82" s="9">
        <f>'Monthly Data'!A82</f>
        <v>44440</v>
      </c>
      <c r="B82">
        <f t="shared" si="49"/>
        <v>2021</v>
      </c>
      <c r="C82">
        <f t="shared" si="50"/>
        <v>9</v>
      </c>
      <c r="D82" s="30">
        <f>'Monthly Data'!F82</f>
        <v>49910611.896965258</v>
      </c>
      <c r="E82" s="33">
        <f t="shared" ref="E82:F82" ca="1" si="73">E70</f>
        <v>2.2699999999999996</v>
      </c>
      <c r="F82" s="33">
        <f t="shared" ca="1" si="73"/>
        <v>146.80000000000001</v>
      </c>
      <c r="G82" s="33">
        <f>'Monthly Data'!AV82</f>
        <v>0.69999999999999929</v>
      </c>
      <c r="H82" s="33">
        <f>'Monthly Data'!AW82</f>
        <v>131.20000000000002</v>
      </c>
      <c r="I82" s="18">
        <f>'Monthly Data'!Z82</f>
        <v>777225</v>
      </c>
      <c r="J82">
        <f>'Monthly Data'!BR82</f>
        <v>1</v>
      </c>
      <c r="K82" s="33">
        <f>'Monthly Data'!BT82</f>
        <v>30</v>
      </c>
      <c r="M82" s="18"/>
      <c r="N82" s="18">
        <f ca="1">(E82-G82)*'Res Predicted Monthly'!$V$10</f>
        <v>21486.860787242633</v>
      </c>
      <c r="O82" s="18">
        <f ca="1">(F82-H82)*'Res Predicted Monthly'!$V$11</f>
        <v>1250867.8476303839</v>
      </c>
      <c r="P82" s="18"/>
      <c r="Q82" s="18"/>
      <c r="R82" s="18"/>
      <c r="S82" s="30">
        <f t="shared" ca="1" si="8"/>
        <v>51182966.605382882</v>
      </c>
    </row>
    <row r="83" spans="1:19" x14ac:dyDescent="0.2">
      <c r="A83" s="9">
        <f>'Monthly Data'!A83</f>
        <v>44470</v>
      </c>
      <c r="B83">
        <f t="shared" si="49"/>
        <v>2021</v>
      </c>
      <c r="C83">
        <f t="shared" si="50"/>
        <v>10</v>
      </c>
      <c r="D83" s="30">
        <f>'Monthly Data'!F83</f>
        <v>41149312.381580494</v>
      </c>
      <c r="E83" s="33">
        <f t="shared" ref="E83:F83" ca="1" si="74">E71</f>
        <v>83.800000000000011</v>
      </c>
      <c r="F83" s="33">
        <f t="shared" ca="1" si="74"/>
        <v>36.859999999999992</v>
      </c>
      <c r="G83" s="33">
        <f>'Monthly Data'!AV83</f>
        <v>47.79999999999999</v>
      </c>
      <c r="H83" s="33">
        <f>'Monthly Data'!AW83</f>
        <v>66.099999999999994</v>
      </c>
      <c r="I83" s="18">
        <f>'Monthly Data'!Z83</f>
        <v>795879</v>
      </c>
      <c r="J83">
        <f>'Monthly Data'!BR83</f>
        <v>1</v>
      </c>
      <c r="K83" s="33">
        <f>'Monthly Data'!BT83</f>
        <v>31</v>
      </c>
      <c r="M83" s="18"/>
      <c r="N83" s="18">
        <f ca="1">(E83-G83)*'Res Predicted Monthly'!$V$10</f>
        <v>492692.34926161467</v>
      </c>
      <c r="O83" s="18">
        <f ca="1">(F83-H83)*'Res Predicted Monthly'!$V$11</f>
        <v>-2344575.3759431052</v>
      </c>
      <c r="P83" s="18"/>
      <c r="Q83" s="18"/>
      <c r="R83" s="18"/>
      <c r="S83" s="30">
        <f t="shared" ref="S83:S114" ca="1" si="75">D83+N83+O83</f>
        <v>39297429.354899004</v>
      </c>
    </row>
    <row r="84" spans="1:19" x14ac:dyDescent="0.2">
      <c r="A84" s="9">
        <f>'Monthly Data'!A84</f>
        <v>44501</v>
      </c>
      <c r="B84">
        <f t="shared" si="49"/>
        <v>2021</v>
      </c>
      <c r="C84">
        <f t="shared" si="50"/>
        <v>11</v>
      </c>
      <c r="D84" s="30">
        <f>'Monthly Data'!F84</f>
        <v>40886298.866195731</v>
      </c>
      <c r="E84" s="33">
        <f t="shared" ref="E84:F84" ca="1" si="76">E72</f>
        <v>240.7</v>
      </c>
      <c r="F84" s="33">
        <f t="shared" ca="1" si="76"/>
        <v>3.410000000000001</v>
      </c>
      <c r="G84" s="33">
        <f>'Monthly Data'!AV84</f>
        <v>243.00000000000003</v>
      </c>
      <c r="H84" s="33">
        <f>'Monthly Data'!AW84</f>
        <v>0</v>
      </c>
      <c r="I84" s="18">
        <f>'Monthly Data'!Z84</f>
        <v>795879</v>
      </c>
      <c r="J84">
        <f>'Monthly Data'!BR84</f>
        <v>1</v>
      </c>
      <c r="K84" s="33">
        <f>'Monthly Data'!BT84</f>
        <v>30</v>
      </c>
      <c r="M84" s="18"/>
      <c r="N84" s="18">
        <f ca="1">(E84-G84)*'Res Predicted Monthly'!$V$10</f>
        <v>-31477.566758381465</v>
      </c>
      <c r="O84" s="18">
        <f ca="1">(F84-H84)*'Res Predicted Monthly'!$V$11</f>
        <v>273426.88207818026</v>
      </c>
      <c r="P84" s="18"/>
      <c r="Q84" s="18"/>
      <c r="R84" s="18"/>
      <c r="S84" s="30">
        <f t="shared" ca="1" si="75"/>
        <v>41128248.18151553</v>
      </c>
    </row>
    <row r="85" spans="1:19" x14ac:dyDescent="0.2">
      <c r="A85" s="9">
        <f>'Monthly Data'!A85</f>
        <v>44531</v>
      </c>
      <c r="B85">
        <f t="shared" si="49"/>
        <v>2021</v>
      </c>
      <c r="C85">
        <f t="shared" si="50"/>
        <v>12</v>
      </c>
      <c r="D85" s="30">
        <f>'Monthly Data'!F85</f>
        <v>46938659.350810967</v>
      </c>
      <c r="E85" s="33">
        <f t="shared" ref="E85:F85" ca="1" si="77">E73</f>
        <v>386.61999999999995</v>
      </c>
      <c r="F85" s="33">
        <f t="shared" ca="1" si="77"/>
        <v>0</v>
      </c>
      <c r="G85" s="33">
        <f>'Monthly Data'!AV85</f>
        <v>340.50000000000006</v>
      </c>
      <c r="H85" s="33">
        <f>'Monthly Data'!AW85</f>
        <v>0</v>
      </c>
      <c r="I85" s="18">
        <f>'Monthly Data'!Z85</f>
        <v>795879</v>
      </c>
      <c r="J85">
        <f>'Monthly Data'!BR85</f>
        <v>0</v>
      </c>
      <c r="K85" s="33">
        <f>'Monthly Data'!BT85</f>
        <v>31</v>
      </c>
      <c r="M85" s="18"/>
      <c r="N85" s="18">
        <f ca="1">(E85-G85)*'Res Predicted Monthly'!$V$10</f>
        <v>631193.64299848897</v>
      </c>
      <c r="O85" s="18">
        <f ca="1">(F85-H85)*'Res Predicted Monthly'!$V$11</f>
        <v>0</v>
      </c>
      <c r="P85" s="18"/>
      <c r="Q85" s="18"/>
      <c r="R85" s="18"/>
      <c r="S85" s="30">
        <f t="shared" ca="1" si="75"/>
        <v>47569852.993809454</v>
      </c>
    </row>
    <row r="86" spans="1:19" x14ac:dyDescent="0.2">
      <c r="A86" s="9">
        <f>'Monthly Data'!A86</f>
        <v>44562</v>
      </c>
      <c r="B86">
        <f t="shared" si="49"/>
        <v>2022</v>
      </c>
      <c r="C86">
        <f t="shared" si="50"/>
        <v>1</v>
      </c>
      <c r="D86" s="30">
        <f>'Monthly Data'!F86</f>
        <v>50264546.652802087</v>
      </c>
      <c r="E86" s="33">
        <f t="shared" ref="E86:F86" ca="1" si="78">E74</f>
        <v>508.54000000000008</v>
      </c>
      <c r="F86" s="33">
        <f t="shared" ca="1" si="78"/>
        <v>0</v>
      </c>
      <c r="G86" s="33">
        <f>'Monthly Data'!AV86</f>
        <v>624.19999999999993</v>
      </c>
      <c r="H86" s="33">
        <f>'Monthly Data'!AW86</f>
        <v>0</v>
      </c>
      <c r="I86" s="18">
        <f>'Monthly Data'!Z86</f>
        <v>808584</v>
      </c>
      <c r="J86">
        <f>'Monthly Data'!BR86</f>
        <v>0</v>
      </c>
      <c r="K86" s="33">
        <f>'Monthly Data'!BT86</f>
        <v>31</v>
      </c>
      <c r="M86" s="18"/>
      <c r="N86" s="18">
        <f ca="1">(E86-G86)*'Res Predicted Monthly'!$V$10</f>
        <v>-1582911.0309888404</v>
      </c>
      <c r="O86" s="18">
        <f ca="1">(F86-H86)*'Res Predicted Monthly'!$V$11</f>
        <v>0</v>
      </c>
      <c r="P86" s="18"/>
      <c r="Q86" s="18"/>
      <c r="R86" s="18"/>
      <c r="S86" s="30">
        <f t="shared" ca="1" si="75"/>
        <v>48681635.621813245</v>
      </c>
    </row>
    <row r="87" spans="1:19" x14ac:dyDescent="0.2">
      <c r="A87" s="9">
        <f>'Monthly Data'!A87</f>
        <v>44593</v>
      </c>
      <c r="B87">
        <f t="shared" si="49"/>
        <v>2022</v>
      </c>
      <c r="C87">
        <f t="shared" si="50"/>
        <v>2</v>
      </c>
      <c r="D87" s="30">
        <f>'Monthly Data'!F87</f>
        <v>43857792.181785412</v>
      </c>
      <c r="E87" s="33">
        <f t="shared" ref="E87:F87" ca="1" si="79">E75</f>
        <v>451.10999999999996</v>
      </c>
      <c r="F87" s="33">
        <f t="shared" ca="1" si="79"/>
        <v>0</v>
      </c>
      <c r="G87" s="33">
        <f>'Monthly Data'!AV87</f>
        <v>464.7</v>
      </c>
      <c r="H87" s="33">
        <f>'Monthly Data'!AW87</f>
        <v>0</v>
      </c>
      <c r="I87" s="18">
        <f>'Monthly Data'!Z87</f>
        <v>808584</v>
      </c>
      <c r="J87">
        <f>'Monthly Data'!BR87</f>
        <v>0</v>
      </c>
      <c r="K87" s="33">
        <f>'Monthly Data'!BT87</f>
        <v>28</v>
      </c>
      <c r="M87" s="18"/>
      <c r="N87" s="18">
        <f ca="1">(E87-G87)*'Res Predicted Monthly'!$V$10</f>
        <v>-185991.36184625988</v>
      </c>
      <c r="O87" s="18">
        <f ca="1">(F87-H87)*'Res Predicted Monthly'!$V$11</f>
        <v>0</v>
      </c>
      <c r="P87" s="18"/>
      <c r="Q87" s="18"/>
      <c r="R87" s="18"/>
      <c r="S87" s="30">
        <f t="shared" ca="1" si="75"/>
        <v>43671800.819939151</v>
      </c>
    </row>
    <row r="88" spans="1:19" x14ac:dyDescent="0.2">
      <c r="A88" s="9">
        <f>'Monthly Data'!A88</f>
        <v>44621</v>
      </c>
      <c r="B88">
        <f t="shared" si="49"/>
        <v>2022</v>
      </c>
      <c r="C88">
        <f t="shared" si="50"/>
        <v>3</v>
      </c>
      <c r="D88" s="30">
        <f>'Monthly Data'!F88</f>
        <v>43860485.710768737</v>
      </c>
      <c r="E88" s="33">
        <f t="shared" ref="E88:F88" ca="1" si="80">E76</f>
        <v>374.74</v>
      </c>
      <c r="F88" s="33">
        <f t="shared" ca="1" si="80"/>
        <v>0</v>
      </c>
      <c r="G88" s="33">
        <f>'Monthly Data'!AV88</f>
        <v>371.70000000000005</v>
      </c>
      <c r="H88" s="33">
        <f>'Monthly Data'!AW88</f>
        <v>0</v>
      </c>
      <c r="I88" s="18">
        <f>'Monthly Data'!Z88</f>
        <v>808584</v>
      </c>
      <c r="J88">
        <f>'Monthly Data'!BR88</f>
        <v>1</v>
      </c>
      <c r="K88" s="33">
        <f>'Monthly Data'!BT88</f>
        <v>31</v>
      </c>
      <c r="M88" s="18"/>
      <c r="N88" s="18">
        <f ca="1">(E88-G88)*'Res Predicted Monthly'!$V$10</f>
        <v>41605.131715424715</v>
      </c>
      <c r="O88" s="18">
        <f ca="1">(F88-H88)*'Res Predicted Monthly'!$V$11</f>
        <v>0</v>
      </c>
      <c r="P88" s="18"/>
      <c r="Q88" s="18"/>
      <c r="R88" s="18"/>
      <c r="S88" s="30">
        <f t="shared" ca="1" si="75"/>
        <v>43902090.842484161</v>
      </c>
    </row>
    <row r="89" spans="1:19" x14ac:dyDescent="0.2">
      <c r="A89" s="9">
        <f>'Monthly Data'!A89</f>
        <v>44652</v>
      </c>
      <c r="B89">
        <f t="shared" si="49"/>
        <v>2022</v>
      </c>
      <c r="C89">
        <f t="shared" si="50"/>
        <v>4</v>
      </c>
      <c r="D89" s="30">
        <f>'Monthly Data'!F89</f>
        <v>39331597.239752054</v>
      </c>
      <c r="E89" s="33">
        <f t="shared" ref="E89:F89" ca="1" si="81">E77</f>
        <v>221.12999999999997</v>
      </c>
      <c r="F89" s="33">
        <f t="shared" ca="1" si="81"/>
        <v>2.6300000000000003</v>
      </c>
      <c r="G89" s="33">
        <f>'Monthly Data'!AV89</f>
        <v>233.59999999999997</v>
      </c>
      <c r="H89" s="33">
        <f>'Monthly Data'!AW89</f>
        <v>0</v>
      </c>
      <c r="I89" s="18">
        <f>'Monthly Data'!Z89</f>
        <v>802518</v>
      </c>
      <c r="J89">
        <f>'Monthly Data'!BR89</f>
        <v>1</v>
      </c>
      <c r="K89" s="33">
        <f>'Monthly Data'!BT89</f>
        <v>30</v>
      </c>
      <c r="M89" s="18"/>
      <c r="N89" s="18">
        <f ca="1">(E89-G89)*'Res Predicted Monthly'!$V$10</f>
        <v>-170663.15542478696</v>
      </c>
      <c r="O89" s="18">
        <f ca="1">(F89-H89)*'Res Predicted Monthly'!$V$11</f>
        <v>210883.48969666098</v>
      </c>
      <c r="P89" s="18"/>
      <c r="Q89" s="18"/>
      <c r="R89" s="18"/>
      <c r="S89" s="30">
        <f t="shared" ca="1" si="75"/>
        <v>39371817.574023925</v>
      </c>
    </row>
    <row r="90" spans="1:19" x14ac:dyDescent="0.2">
      <c r="A90" s="9">
        <f>'Monthly Data'!A90</f>
        <v>44682</v>
      </c>
      <c r="B90">
        <f t="shared" si="49"/>
        <v>2022</v>
      </c>
      <c r="C90">
        <f t="shared" si="50"/>
        <v>5</v>
      </c>
      <c r="D90" s="30">
        <f>'Monthly Data'!F90</f>
        <v>43290007.768735379</v>
      </c>
      <c r="E90" s="33">
        <f t="shared" ref="E90:F90" ca="1" si="82">E78</f>
        <v>74.8</v>
      </c>
      <c r="F90" s="33">
        <f t="shared" ca="1" si="82"/>
        <v>50.489999999999995</v>
      </c>
      <c r="G90" s="33">
        <f>'Monthly Data'!AV90</f>
        <v>68.399999999999977</v>
      </c>
      <c r="H90" s="33">
        <f>'Monthly Data'!AW90</f>
        <v>60.3</v>
      </c>
      <c r="I90" s="18">
        <f>'Monthly Data'!Z90</f>
        <v>802518</v>
      </c>
      <c r="J90">
        <f>'Monthly Data'!BR90</f>
        <v>1</v>
      </c>
      <c r="K90" s="33">
        <f>'Monthly Data'!BT90</f>
        <v>31</v>
      </c>
      <c r="M90" s="18"/>
      <c r="N90" s="18">
        <f ca="1">(E90-G90)*'Res Predicted Monthly'!$V$10</f>
        <v>87589.750979842836</v>
      </c>
      <c r="O90" s="18">
        <f ca="1">(F90-H90)*'Res Predicted Monthly'!$V$11</f>
        <v>-786603.43495218421</v>
      </c>
      <c r="P90" s="18"/>
      <c r="Q90" s="18"/>
      <c r="R90" s="18"/>
      <c r="S90" s="30">
        <f t="shared" ca="1" si="75"/>
        <v>42590994.084763035</v>
      </c>
    </row>
    <row r="91" spans="1:19" x14ac:dyDescent="0.2">
      <c r="A91" s="9">
        <f>'Monthly Data'!A91</f>
        <v>44713</v>
      </c>
      <c r="B91">
        <f t="shared" si="49"/>
        <v>2022</v>
      </c>
      <c r="C91">
        <f t="shared" si="50"/>
        <v>6</v>
      </c>
      <c r="D91" s="30">
        <f>'Monthly Data'!F91</f>
        <v>52900848.297718704</v>
      </c>
      <c r="E91" s="33">
        <f t="shared" ref="E91:F91" ca="1" si="83">E79</f>
        <v>2.15</v>
      </c>
      <c r="F91" s="33">
        <f t="shared" ca="1" si="83"/>
        <v>154.05000000000001</v>
      </c>
      <c r="G91" s="33">
        <f>'Monthly Data'!AV91</f>
        <v>0</v>
      </c>
      <c r="H91" s="33">
        <f>'Monthly Data'!AW91</f>
        <v>154.49999999999994</v>
      </c>
      <c r="I91" s="18">
        <f>'Monthly Data'!Z91</f>
        <v>802518</v>
      </c>
      <c r="J91">
        <f>'Monthly Data'!BR91</f>
        <v>0</v>
      </c>
      <c r="K91" s="33">
        <f>'Monthly Data'!BT91</f>
        <v>30</v>
      </c>
      <c r="M91" s="18"/>
      <c r="N91" s="18">
        <f ca="1">(E91-G91)*'Res Predicted Monthly'!$V$10</f>
        <v>29424.681969790858</v>
      </c>
      <c r="O91" s="18">
        <f ca="1">(F91-H91)*'Res Predicted Monthly'!$V$11</f>
        <v>-36082.726373947924</v>
      </c>
      <c r="P91" s="18"/>
      <c r="Q91" s="18"/>
      <c r="R91" s="18"/>
      <c r="S91" s="30">
        <f t="shared" ca="1" si="75"/>
        <v>52894190.253314547</v>
      </c>
    </row>
    <row r="92" spans="1:19" x14ac:dyDescent="0.2">
      <c r="A92" s="9">
        <f>'Monthly Data'!A92</f>
        <v>44743</v>
      </c>
      <c r="B92">
        <f t="shared" si="49"/>
        <v>2022</v>
      </c>
      <c r="C92">
        <f t="shared" si="50"/>
        <v>7</v>
      </c>
      <c r="D92" s="30">
        <f>'Monthly Data'!F92</f>
        <v>63898027.826702021</v>
      </c>
      <c r="E92" s="33">
        <f t="shared" ref="E92:F92" ca="1" si="84">E80</f>
        <v>0</v>
      </c>
      <c r="F92" s="33">
        <f t="shared" ca="1" si="84"/>
        <v>267.66999999999996</v>
      </c>
      <c r="G92" s="33">
        <f>'Monthly Data'!AV92</f>
        <v>0</v>
      </c>
      <c r="H92" s="33">
        <f>'Monthly Data'!AW92</f>
        <v>260.7</v>
      </c>
      <c r="I92" s="18">
        <f>'Monthly Data'!Z92</f>
        <v>819564</v>
      </c>
      <c r="J92">
        <f>'Monthly Data'!BR92</f>
        <v>0</v>
      </c>
      <c r="K92" s="33">
        <f>'Monthly Data'!BT92</f>
        <v>31</v>
      </c>
      <c r="M92" s="18"/>
      <c r="N92" s="18">
        <f ca="1">(E92-G92)*'Res Predicted Monthly'!$V$10</f>
        <v>0</v>
      </c>
      <c r="O92" s="18">
        <f ca="1">(F92-H92)*'Res Predicted Monthly'!$V$11</f>
        <v>558881.33961434243</v>
      </c>
      <c r="P92" s="18"/>
      <c r="Q92" s="18"/>
      <c r="R92" s="18"/>
      <c r="S92" s="30">
        <f ca="1">D92+N92+O92</f>
        <v>64456909.16631636</v>
      </c>
    </row>
    <row r="93" spans="1:19" x14ac:dyDescent="0.2">
      <c r="A93" s="9">
        <f>'Monthly Data'!A93</f>
        <v>44774</v>
      </c>
      <c r="B93">
        <f t="shared" si="49"/>
        <v>2022</v>
      </c>
      <c r="C93">
        <f t="shared" si="50"/>
        <v>8</v>
      </c>
      <c r="D93" s="30">
        <f>'Monthly Data'!F93</f>
        <v>62500468.355685346</v>
      </c>
      <c r="E93" s="33">
        <f t="shared" ref="E93:F93" ca="1" si="85">E81</f>
        <v>0</v>
      </c>
      <c r="F93" s="33">
        <f t="shared" ca="1" si="85"/>
        <v>246.315</v>
      </c>
      <c r="G93" s="33">
        <f>'Monthly Data'!AV93</f>
        <v>0</v>
      </c>
      <c r="H93" s="33">
        <f>'Monthly Data'!AW93</f>
        <v>256.5</v>
      </c>
      <c r="I93" s="18">
        <f>'Monthly Data'!Z93</f>
        <v>819564</v>
      </c>
      <c r="J93">
        <f>'Monthly Data'!BR93</f>
        <v>0</v>
      </c>
      <c r="K93" s="33">
        <f>'Monthly Data'!BT93</f>
        <v>31</v>
      </c>
      <c r="M93" s="18"/>
      <c r="N93" s="18">
        <f ca="1">(E93-G93)*'Res Predicted Monthly'!$V$10</f>
        <v>0</v>
      </c>
      <c r="O93" s="18">
        <f ca="1">(F93-H93)*'Res Predicted Monthly'!$V$11</f>
        <v>-816672.37359714531</v>
      </c>
      <c r="P93" s="18"/>
      <c r="Q93" s="18"/>
      <c r="R93" s="18"/>
      <c r="S93" s="30">
        <f t="shared" ca="1" si="75"/>
        <v>61683795.982088201</v>
      </c>
    </row>
    <row r="94" spans="1:19" x14ac:dyDescent="0.2">
      <c r="A94" s="9">
        <f>'Monthly Data'!A94</f>
        <v>44805</v>
      </c>
      <c r="B94">
        <f t="shared" si="49"/>
        <v>2022</v>
      </c>
      <c r="C94">
        <f t="shared" si="50"/>
        <v>9</v>
      </c>
      <c r="D94" s="30">
        <f>'Monthly Data'!F94</f>
        <v>48263159.884668671</v>
      </c>
      <c r="E94" s="33">
        <f t="shared" ref="E94:F94" ca="1" si="86">E82</f>
        <v>2.2699999999999996</v>
      </c>
      <c r="F94" s="33">
        <f t="shared" ca="1" si="86"/>
        <v>146.80000000000001</v>
      </c>
      <c r="G94" s="33">
        <f>'Monthly Data'!AV94</f>
        <v>8.1999999999999993</v>
      </c>
      <c r="H94" s="33">
        <f>'Monthly Data'!AW94</f>
        <v>136.20000000000002</v>
      </c>
      <c r="I94" s="18">
        <f>'Monthly Data'!Z94</f>
        <v>819564</v>
      </c>
      <c r="J94">
        <f>'Monthly Data'!BR94</f>
        <v>1</v>
      </c>
      <c r="K94" s="33">
        <f>'Monthly Data'!BT94</f>
        <v>30</v>
      </c>
      <c r="M94" s="18"/>
      <c r="N94" s="18">
        <f ca="1">(E94-G94)*'Res Predicted Monthly'!$V$10</f>
        <v>-81157.378642260373</v>
      </c>
      <c r="O94" s="18">
        <f ca="1">(F94-H94)*'Res Predicted Monthly'!$V$11</f>
        <v>849948.66569756833</v>
      </c>
      <c r="P94" s="18"/>
      <c r="Q94" s="18"/>
      <c r="R94" s="18"/>
      <c r="S94" s="30">
        <f t="shared" ca="1" si="75"/>
        <v>49031951.171723977</v>
      </c>
    </row>
    <row r="95" spans="1:19" x14ac:dyDescent="0.2">
      <c r="A95" s="9">
        <f>'Monthly Data'!A95</f>
        <v>44835</v>
      </c>
      <c r="B95">
        <f t="shared" si="49"/>
        <v>2022</v>
      </c>
      <c r="C95">
        <f t="shared" si="50"/>
        <v>10</v>
      </c>
      <c r="D95" s="30">
        <f>'Monthly Data'!F95</f>
        <v>39368582.413651988</v>
      </c>
      <c r="E95" s="33">
        <f t="shared" ref="E95:F95" ca="1" si="87">E83</f>
        <v>83.800000000000011</v>
      </c>
      <c r="F95" s="33">
        <f t="shared" ca="1" si="87"/>
        <v>36.859999999999992</v>
      </c>
      <c r="G95" s="33">
        <f>'Monthly Data'!AV95</f>
        <v>119.99999999999999</v>
      </c>
      <c r="H95" s="33">
        <f>'Monthly Data'!AW95</f>
        <v>12.299999999999999</v>
      </c>
      <c r="I95" s="18">
        <f>'Monthly Data'!Z95</f>
        <v>838397</v>
      </c>
      <c r="J95">
        <f>'Monthly Data'!BR95</f>
        <v>1</v>
      </c>
      <c r="K95" s="33">
        <f>'Monthly Data'!BT95</f>
        <v>31</v>
      </c>
      <c r="M95" s="18"/>
      <c r="N95" s="18">
        <f ca="1">(E95-G95)*'Res Predicted Monthly'!$V$10</f>
        <v>-495429.52897973411</v>
      </c>
      <c r="O95" s="18">
        <f ca="1">(F95-H95)*'Res Predicted Monthly'!$V$11</f>
        <v>1969315.0216539893</v>
      </c>
      <c r="P95" s="18"/>
      <c r="Q95" s="18"/>
      <c r="R95" s="18"/>
      <c r="S95" s="30">
        <f t="shared" ca="1" si="75"/>
        <v>40842467.906326242</v>
      </c>
    </row>
    <row r="96" spans="1:19" x14ac:dyDescent="0.2">
      <c r="A96" s="9">
        <f>'Monthly Data'!A96</f>
        <v>44866</v>
      </c>
      <c r="B96">
        <f t="shared" si="49"/>
        <v>2022</v>
      </c>
      <c r="C96">
        <f t="shared" si="50"/>
        <v>11</v>
      </c>
      <c r="D96" s="30">
        <f>'Monthly Data'!F96</f>
        <v>40432823.942635313</v>
      </c>
      <c r="E96" s="33">
        <f t="shared" ref="E96:F96" ca="1" si="88">E84</f>
        <v>240.7</v>
      </c>
      <c r="F96" s="33">
        <f t="shared" ca="1" si="88"/>
        <v>3.410000000000001</v>
      </c>
      <c r="G96" s="33">
        <f>'Monthly Data'!AV96</f>
        <v>226.90000000000003</v>
      </c>
      <c r="H96" s="33">
        <f>'Monthly Data'!AW96</f>
        <v>9.6</v>
      </c>
      <c r="I96" s="18">
        <f>'Monthly Data'!Z96</f>
        <v>838397</v>
      </c>
      <c r="J96">
        <f>'Monthly Data'!BR96</f>
        <v>1</v>
      </c>
      <c r="K96" s="33">
        <f>'Monthly Data'!BT96</f>
        <v>30</v>
      </c>
      <c r="M96" s="18"/>
      <c r="N96" s="18">
        <f ca="1">(E96-G96)*'Res Predicted Monthly'!$V$10</f>
        <v>188865.40055028489</v>
      </c>
      <c r="O96" s="18">
        <f ca="1">(F96-H96)*'Res Predicted Monthly'!$V$11</f>
        <v>-496337.94723282545</v>
      </c>
      <c r="P96" s="18"/>
      <c r="Q96" s="18"/>
      <c r="R96" s="18"/>
      <c r="S96" s="30">
        <f t="shared" ca="1" si="75"/>
        <v>40125351.395952769</v>
      </c>
    </row>
    <row r="97" spans="1:19" x14ac:dyDescent="0.2">
      <c r="A97" s="9">
        <f>'Monthly Data'!A97</f>
        <v>44896</v>
      </c>
      <c r="B97">
        <f t="shared" si="49"/>
        <v>2022</v>
      </c>
      <c r="C97">
        <f t="shared" si="50"/>
        <v>12</v>
      </c>
      <c r="D97" s="30">
        <f>'Monthly Data'!F97</f>
        <v>46713356.471618637</v>
      </c>
      <c r="E97" s="33">
        <f t="shared" ref="E97:F97" ca="1" si="89">E85</f>
        <v>386.61999999999995</v>
      </c>
      <c r="F97" s="33">
        <f t="shared" ca="1" si="89"/>
        <v>0</v>
      </c>
      <c r="G97" s="33">
        <f>'Monthly Data'!AV97</f>
        <v>398.5</v>
      </c>
      <c r="H97" s="33">
        <f>'Monthly Data'!AW97</f>
        <v>0</v>
      </c>
      <c r="I97" s="18">
        <f>'Monthly Data'!Z97</f>
        <v>838397</v>
      </c>
      <c r="J97">
        <f>'Monthly Data'!BR97</f>
        <v>0</v>
      </c>
      <c r="K97" s="33">
        <f>'Monthly Data'!BT97</f>
        <v>31</v>
      </c>
      <c r="M97" s="18"/>
      <c r="N97" s="18">
        <f ca="1">(E97-G97)*'Res Predicted Monthly'!$V$10</f>
        <v>-162588.47525633348</v>
      </c>
      <c r="O97" s="18">
        <f ca="1">(F97-H97)*'Res Predicted Monthly'!$V$11</f>
        <v>0</v>
      </c>
      <c r="P97" s="18"/>
      <c r="Q97" s="18"/>
      <c r="R97" s="18"/>
      <c r="S97" s="30">
        <f t="shared" ca="1" si="75"/>
        <v>46550767.996362306</v>
      </c>
    </row>
    <row r="98" spans="1:19" x14ac:dyDescent="0.2">
      <c r="A98" s="9">
        <f>'Monthly Data'!A98</f>
        <v>44927</v>
      </c>
      <c r="B98">
        <f t="shared" si="49"/>
        <v>2023</v>
      </c>
      <c r="C98">
        <f t="shared" si="50"/>
        <v>1</v>
      </c>
      <c r="D98" s="30">
        <f>'Monthly Data'!F98</f>
        <v>46583116.519168116</v>
      </c>
      <c r="E98" s="33">
        <f t="shared" ref="E98:F98" ca="1" si="90">E86</f>
        <v>508.54000000000008</v>
      </c>
      <c r="F98" s="33">
        <f t="shared" ca="1" si="90"/>
        <v>0</v>
      </c>
      <c r="G98" s="33">
        <f>'Monthly Data'!AV98</f>
        <v>415.6</v>
      </c>
      <c r="H98" s="33">
        <f>'Monthly Data'!AW98</f>
        <v>0</v>
      </c>
      <c r="I98" s="18">
        <f>'Monthly Data'!Z98</f>
        <v>845218</v>
      </c>
      <c r="J98">
        <f>'Monthly Data'!BR98</f>
        <v>0</v>
      </c>
      <c r="K98" s="33">
        <f>'Monthly Data'!BT98</f>
        <v>31</v>
      </c>
      <c r="M98" s="18"/>
      <c r="N98" s="18">
        <f ca="1">(E98-G98)*'Res Predicted Monthly'!$V$10</f>
        <v>1271967.415010402</v>
      </c>
      <c r="O98" s="18">
        <f ca="1">(F98-H98)*'Res Predicted Monthly'!$V$11</f>
        <v>0</v>
      </c>
      <c r="P98" s="18"/>
      <c r="Q98" s="18"/>
      <c r="R98" s="18"/>
      <c r="S98" s="30">
        <f t="shared" ca="1" si="75"/>
        <v>47855083.934178516</v>
      </c>
    </row>
    <row r="99" spans="1:19" x14ac:dyDescent="0.2">
      <c r="A99" s="9">
        <f>'Monthly Data'!A99</f>
        <v>44958</v>
      </c>
      <c r="B99">
        <f t="shared" si="49"/>
        <v>2023</v>
      </c>
      <c r="C99">
        <f t="shared" si="50"/>
        <v>2</v>
      </c>
      <c r="D99" s="30">
        <f>'Monthly Data'!F99</f>
        <v>40876786.046762481</v>
      </c>
      <c r="E99" s="33">
        <f t="shared" ref="E99:F99" ca="1" si="91">E87</f>
        <v>451.10999999999996</v>
      </c>
      <c r="F99" s="33">
        <f t="shared" ca="1" si="91"/>
        <v>0</v>
      </c>
      <c r="G99" s="33">
        <f>'Monthly Data'!AV99</f>
        <v>379.9</v>
      </c>
      <c r="H99" s="33">
        <f>'Monthly Data'!AW99</f>
        <v>0</v>
      </c>
      <c r="I99" s="18">
        <f>'Monthly Data'!Z99</f>
        <v>845218</v>
      </c>
      <c r="J99">
        <f>'Monthly Data'!BR99</f>
        <v>0</v>
      </c>
      <c r="K99" s="33">
        <f>'Monthly Data'!BT99</f>
        <v>28</v>
      </c>
      <c r="M99" s="18"/>
      <c r="N99" s="18">
        <f ca="1">(E99-G99)*'Res Predicted Monthly'!$V$10</f>
        <v>974572.8386366542</v>
      </c>
      <c r="O99" s="18">
        <f ca="1">(F99-H99)*'Res Predicted Monthly'!$V$11</f>
        <v>0</v>
      </c>
      <c r="P99" s="18"/>
      <c r="Q99" s="18"/>
      <c r="R99" s="18"/>
      <c r="S99" s="30">
        <f t="shared" ca="1" si="75"/>
        <v>41851358.885399133</v>
      </c>
    </row>
    <row r="100" spans="1:19" x14ac:dyDescent="0.2">
      <c r="A100" s="9">
        <f>'Monthly Data'!A100</f>
        <v>44986</v>
      </c>
      <c r="B100">
        <f t="shared" si="49"/>
        <v>2023</v>
      </c>
      <c r="C100">
        <f t="shared" si="50"/>
        <v>3</v>
      </c>
      <c r="D100" s="30">
        <f>'Monthly Data'!F100</f>
        <v>42680536.574356854</v>
      </c>
      <c r="E100" s="33">
        <f t="shared" ref="E100:F100" ca="1" si="92">E88</f>
        <v>374.74</v>
      </c>
      <c r="F100" s="33">
        <f t="shared" ca="1" si="92"/>
        <v>0</v>
      </c>
      <c r="G100" s="33">
        <f>'Monthly Data'!AV100</f>
        <v>372.4</v>
      </c>
      <c r="H100" s="33">
        <f>'Monthly Data'!AW100</f>
        <v>0</v>
      </c>
      <c r="I100" s="18">
        <f>'Monthly Data'!Z100</f>
        <v>845218</v>
      </c>
      <c r="J100">
        <f>'Monthly Data'!BR100</f>
        <v>1</v>
      </c>
      <c r="K100" s="33">
        <f>'Monthly Data'!BT100</f>
        <v>31</v>
      </c>
      <c r="M100" s="18"/>
      <c r="N100" s="18">
        <f ca="1">(E100-G100)*'Res Predicted Monthly'!$V$10</f>
        <v>32025.002702005371</v>
      </c>
      <c r="O100" s="18">
        <f ca="1">(F100-H100)*'Res Predicted Monthly'!$V$11</f>
        <v>0</v>
      </c>
      <c r="P100" s="18"/>
      <c r="Q100" s="18"/>
      <c r="R100" s="18"/>
      <c r="S100" s="30">
        <f t="shared" ca="1" si="75"/>
        <v>42712561.577058859</v>
      </c>
    </row>
    <row r="101" spans="1:19" x14ac:dyDescent="0.2">
      <c r="A101" s="9">
        <f>'Monthly Data'!A101</f>
        <v>45017</v>
      </c>
      <c r="B101">
        <f t="shared" si="49"/>
        <v>2023</v>
      </c>
      <c r="C101">
        <f t="shared" si="50"/>
        <v>4</v>
      </c>
      <c r="D101" s="30">
        <f>'Monthly Data'!F101</f>
        <v>38703114.101951219</v>
      </c>
      <c r="E101" s="33">
        <f t="shared" ref="E101:F101" ca="1" si="93">E89</f>
        <v>221.12999999999997</v>
      </c>
      <c r="F101" s="33">
        <f t="shared" ca="1" si="93"/>
        <v>2.6300000000000003</v>
      </c>
      <c r="G101" s="33">
        <f>'Monthly Data'!AV101</f>
        <v>178.9</v>
      </c>
      <c r="H101" s="33">
        <f>'Monthly Data'!AW101</f>
        <v>16.100000000000001</v>
      </c>
      <c r="I101" s="18">
        <f>'Monthly Data'!Z101</f>
        <v>851621</v>
      </c>
      <c r="J101">
        <f>'Monthly Data'!BR101</f>
        <v>1</v>
      </c>
      <c r="K101" s="33">
        <f>'Monthly Data'!BT101</f>
        <v>30</v>
      </c>
      <c r="M101" s="18"/>
      <c r="N101" s="18">
        <f ca="1">(E101-G101)*'Res Predicted Monthly'!$V$10</f>
        <v>577955.49748105439</v>
      </c>
      <c r="O101" s="18">
        <f ca="1">(F101-H101)*'Res Predicted Monthly'!$V$11</f>
        <v>-1080076.276127005</v>
      </c>
      <c r="P101" s="18"/>
      <c r="Q101" s="18"/>
      <c r="R101" s="18"/>
      <c r="S101" s="30">
        <f t="shared" ca="1" si="75"/>
        <v>38200993.323305272</v>
      </c>
    </row>
    <row r="102" spans="1:19" x14ac:dyDescent="0.2">
      <c r="A102" s="9">
        <f>'Monthly Data'!A102</f>
        <v>45047</v>
      </c>
      <c r="B102">
        <f t="shared" si="49"/>
        <v>2023</v>
      </c>
      <c r="C102">
        <f t="shared" si="50"/>
        <v>5</v>
      </c>
      <c r="D102" s="30">
        <f>'Monthly Data'!F102</f>
        <v>41884572.629545584</v>
      </c>
      <c r="E102" s="33">
        <f t="shared" ref="E102:F102" ca="1" si="94">E90</f>
        <v>74.8</v>
      </c>
      <c r="F102" s="33">
        <f t="shared" ca="1" si="94"/>
        <v>50.489999999999995</v>
      </c>
      <c r="G102" s="33">
        <f>'Monthly Data'!AV102</f>
        <v>73.899999999999977</v>
      </c>
      <c r="H102" s="33">
        <f>'Monthly Data'!AW102</f>
        <v>45.999999999999993</v>
      </c>
      <c r="I102" s="18">
        <f>'Monthly Data'!Z102</f>
        <v>851621</v>
      </c>
      <c r="J102">
        <f>'Monthly Data'!BR102</f>
        <v>1</v>
      </c>
      <c r="K102" s="33">
        <f>'Monthly Data'!BT102</f>
        <v>31</v>
      </c>
      <c r="M102" s="18"/>
      <c r="N102" s="18">
        <f ca="1">(E102-G102)*'Res Predicted Monthly'!$V$10</f>
        <v>12317.308731540632</v>
      </c>
      <c r="O102" s="18">
        <f ca="1">(F102-H102)*'Res Predicted Monthly'!$V$11</f>
        <v>360025.42537566845</v>
      </c>
      <c r="P102" s="18"/>
      <c r="Q102" s="18"/>
      <c r="R102" s="18"/>
      <c r="S102" s="30">
        <f t="shared" ca="1" si="75"/>
        <v>42256915.363652796</v>
      </c>
    </row>
    <row r="103" spans="1:19" x14ac:dyDescent="0.2">
      <c r="A103" s="9">
        <f>'Monthly Data'!A103</f>
        <v>45078</v>
      </c>
      <c r="B103">
        <f t="shared" si="49"/>
        <v>2023</v>
      </c>
      <c r="C103">
        <f t="shared" si="50"/>
        <v>6</v>
      </c>
      <c r="D103" s="30">
        <f>'Monthly Data'!F103</f>
        <v>49966785.15713995</v>
      </c>
      <c r="E103" s="33">
        <f t="shared" ref="E103:F103" ca="1" si="95">E91</f>
        <v>2.15</v>
      </c>
      <c r="F103" s="33">
        <f t="shared" ca="1" si="95"/>
        <v>154.05000000000001</v>
      </c>
      <c r="G103" s="33">
        <f>'Monthly Data'!AV103</f>
        <v>0</v>
      </c>
      <c r="H103" s="33">
        <f>'Monthly Data'!AW103</f>
        <v>153.99999999999994</v>
      </c>
      <c r="I103" s="18">
        <f>'Monthly Data'!Z103</f>
        <v>851621</v>
      </c>
      <c r="J103">
        <f>'Monthly Data'!BR103</f>
        <v>0</v>
      </c>
      <c r="K103" s="33">
        <f>'Monthly Data'!BT103</f>
        <v>30</v>
      </c>
      <c r="M103" s="18"/>
      <c r="N103" s="18">
        <f ca="1">(E103-G103)*'Res Predicted Monthly'!$V$10</f>
        <v>29424.681969790858</v>
      </c>
      <c r="O103" s="18">
        <f ca="1">(F103-H103)*'Res Predicted Monthly'!$V$11</f>
        <v>4009.1918193336242</v>
      </c>
      <c r="P103" s="18"/>
      <c r="Q103" s="18"/>
      <c r="R103" s="18"/>
      <c r="S103" s="30">
        <f t="shared" ca="1" si="75"/>
        <v>50000219.030929074</v>
      </c>
    </row>
    <row r="104" spans="1:19" x14ac:dyDescent="0.2">
      <c r="A104" s="9">
        <f>'Monthly Data'!A104</f>
        <v>45108</v>
      </c>
      <c r="B104">
        <f t="shared" si="49"/>
        <v>2023</v>
      </c>
      <c r="C104">
        <f t="shared" si="50"/>
        <v>7</v>
      </c>
      <c r="D104" s="30">
        <f>'Monthly Data'!F104</f>
        <v>60709456.684734322</v>
      </c>
      <c r="E104" s="33">
        <f t="shared" ref="E104:F104" ca="1" si="96">E92</f>
        <v>0</v>
      </c>
      <c r="F104" s="33">
        <f t="shared" ca="1" si="96"/>
        <v>267.66999999999996</v>
      </c>
      <c r="G104" s="33">
        <f>'Monthly Data'!AV104</f>
        <v>0</v>
      </c>
      <c r="H104" s="33">
        <f>'Monthly Data'!AW104</f>
        <v>269.50000000000006</v>
      </c>
      <c r="I104" s="18">
        <f>'Monthly Data'!Z104</f>
        <v>852979</v>
      </c>
      <c r="J104">
        <f>'Monthly Data'!BR104</f>
        <v>0</v>
      </c>
      <c r="K104" s="33">
        <f>'Monthly Data'!BT104</f>
        <v>31</v>
      </c>
      <c r="M104" s="18"/>
      <c r="N104" s="18">
        <f ca="1">(E104-G104)*'Res Predicted Monthly'!$V$10</f>
        <v>0</v>
      </c>
      <c r="O104" s="18">
        <f ca="1">(F104-H104)*'Res Predicted Monthly'!$V$11</f>
        <v>-146736.42058741831</v>
      </c>
      <c r="P104" s="18"/>
      <c r="Q104" s="18"/>
      <c r="R104" s="18"/>
      <c r="S104" s="30">
        <f t="shared" ca="1" si="75"/>
        <v>60562720.264146902</v>
      </c>
    </row>
    <row r="105" spans="1:19" x14ac:dyDescent="0.2">
      <c r="A105" s="9">
        <f>'Monthly Data'!A105</f>
        <v>45139</v>
      </c>
      <c r="B105">
        <f t="shared" si="49"/>
        <v>2023</v>
      </c>
      <c r="C105">
        <f t="shared" si="50"/>
        <v>8</v>
      </c>
      <c r="D105" s="30">
        <f>'Monthly Data'!F105</f>
        <v>56519900.212328687</v>
      </c>
      <c r="E105" s="33">
        <f t="shared" ref="E105:F105" ca="1" si="97">E93</f>
        <v>0</v>
      </c>
      <c r="F105" s="33">
        <f t="shared" ca="1" si="97"/>
        <v>246.315</v>
      </c>
      <c r="G105" s="33">
        <f>'Monthly Data'!AV105</f>
        <v>0</v>
      </c>
      <c r="H105" s="33">
        <f>'Monthly Data'!AW105</f>
        <v>193.8</v>
      </c>
      <c r="I105" s="18">
        <f>'Monthly Data'!Z105</f>
        <v>852979</v>
      </c>
      <c r="J105">
        <f>'Monthly Data'!BR105</f>
        <v>0</v>
      </c>
      <c r="K105" s="33">
        <f>'Monthly Data'!BT105</f>
        <v>31</v>
      </c>
      <c r="M105" s="18"/>
      <c r="N105" s="18">
        <f ca="1">(E105-G105)*'Res Predicted Monthly'!$V$10</f>
        <v>0</v>
      </c>
      <c r="O105" s="18">
        <f ca="1">(F105-H105)*'Res Predicted Monthly'!$V$11</f>
        <v>4210854.1678403597</v>
      </c>
      <c r="P105" s="18"/>
      <c r="Q105" s="18"/>
      <c r="R105" s="18"/>
      <c r="S105" s="30">
        <f t="shared" ca="1" si="75"/>
        <v>60730754.380169049</v>
      </c>
    </row>
    <row r="106" spans="1:19" x14ac:dyDescent="0.2">
      <c r="A106" s="9">
        <f>'Monthly Data'!A106</f>
        <v>45170</v>
      </c>
      <c r="B106">
        <f t="shared" si="49"/>
        <v>2023</v>
      </c>
      <c r="C106">
        <f t="shared" si="50"/>
        <v>9</v>
      </c>
      <c r="D106" s="30">
        <f>'Monthly Data'!F106</f>
        <v>46714488.739923052</v>
      </c>
      <c r="E106" s="33">
        <f t="shared" ref="E106:F106" ca="1" si="98">E94</f>
        <v>2.2699999999999996</v>
      </c>
      <c r="F106" s="33">
        <f t="shared" ca="1" si="98"/>
        <v>146.80000000000001</v>
      </c>
      <c r="G106" s="33">
        <f>'Monthly Data'!AV106</f>
        <v>0</v>
      </c>
      <c r="H106" s="33">
        <f>'Monthly Data'!AW106</f>
        <v>140.60000000000002</v>
      </c>
      <c r="I106" s="18">
        <f>'Monthly Data'!Z106</f>
        <v>852979</v>
      </c>
      <c r="J106">
        <f>'Monthly Data'!BR106</f>
        <v>1</v>
      </c>
      <c r="K106" s="33">
        <f>'Monthly Data'!BT106</f>
        <v>30</v>
      </c>
      <c r="M106" s="18"/>
      <c r="N106" s="18">
        <f ca="1">(E106-G106)*'Res Predicted Monthly'!$V$10</f>
        <v>31066.989800662901</v>
      </c>
      <c r="O106" s="18">
        <f ca="1">(F106-H106)*'Res Predicted Monthly'!$V$11</f>
        <v>497139.78559669026</v>
      </c>
      <c r="P106" s="18"/>
      <c r="Q106" s="18"/>
      <c r="R106" s="18"/>
      <c r="S106" s="30">
        <f t="shared" ca="1" si="75"/>
        <v>47242695.515320405</v>
      </c>
    </row>
    <row r="107" spans="1:19" x14ac:dyDescent="0.2">
      <c r="A107" s="9">
        <f>'Monthly Data'!A107</f>
        <v>45200</v>
      </c>
      <c r="B107">
        <f t="shared" si="49"/>
        <v>2023</v>
      </c>
      <c r="C107">
        <f t="shared" si="50"/>
        <v>10</v>
      </c>
      <c r="D107" s="30">
        <f>'Monthly Data'!F107</f>
        <v>40824035.267517418</v>
      </c>
      <c r="E107" s="33">
        <f t="shared" ref="E107:F107" ca="1" si="99">E95</f>
        <v>83.800000000000011</v>
      </c>
      <c r="F107" s="33">
        <f t="shared" ca="1" si="99"/>
        <v>36.859999999999992</v>
      </c>
      <c r="G107" s="33">
        <f>'Monthly Data'!AV107</f>
        <v>77.599999999999994</v>
      </c>
      <c r="H107" s="33">
        <f>'Monthly Data'!AW107</f>
        <v>55.400000000000006</v>
      </c>
      <c r="I107" s="18">
        <f>'Monthly Data'!Z107</f>
        <v>852029</v>
      </c>
      <c r="J107">
        <f>'Monthly Data'!BR107</f>
        <v>1</v>
      </c>
      <c r="K107" s="33">
        <f>'Monthly Data'!BT107</f>
        <v>31</v>
      </c>
      <c r="M107" s="18"/>
      <c r="N107" s="18">
        <f ca="1">(E107-G107)*'Res Predicted Monthly'!$V$10</f>
        <v>84852.571261722711</v>
      </c>
      <c r="O107" s="18">
        <f ca="1">(F107-H107)*'Res Predicted Monthly'!$V$11</f>
        <v>-1486608.3266068809</v>
      </c>
      <c r="P107" s="18"/>
      <c r="Q107" s="18"/>
      <c r="R107" s="18"/>
      <c r="S107" s="30">
        <f t="shared" ca="1" si="75"/>
        <v>39422279.512172267</v>
      </c>
    </row>
    <row r="108" spans="1:19" x14ac:dyDescent="0.2">
      <c r="A108" s="9">
        <f>'Monthly Data'!A108</f>
        <v>45231</v>
      </c>
      <c r="B108">
        <f t="shared" si="49"/>
        <v>2023</v>
      </c>
      <c r="C108">
        <f t="shared" si="50"/>
        <v>11</v>
      </c>
      <c r="D108" s="30">
        <f>'Monthly Data'!F108</f>
        <v>40771078.79511179</v>
      </c>
      <c r="E108" s="33">
        <f t="shared" ref="E108:F108" ca="1" si="100">E96</f>
        <v>240.7</v>
      </c>
      <c r="F108" s="33">
        <f t="shared" ca="1" si="100"/>
        <v>3.410000000000001</v>
      </c>
      <c r="G108" s="33">
        <f>'Monthly Data'!AV108</f>
        <v>254.10000000000002</v>
      </c>
      <c r="H108" s="33">
        <f>'Monthly Data'!AW108</f>
        <v>0</v>
      </c>
      <c r="I108" s="18">
        <f>'Monthly Data'!Z108</f>
        <v>852029</v>
      </c>
      <c r="J108">
        <f>'Monthly Data'!BR108</f>
        <v>1</v>
      </c>
      <c r="K108" s="33">
        <f>'Monthly Data'!BT108</f>
        <v>30</v>
      </c>
      <c r="M108" s="18"/>
      <c r="N108" s="18">
        <f ca="1">(E108-G108)*'Res Predicted Monthly'!$V$10</f>
        <v>-183391.04111404583</v>
      </c>
      <c r="O108" s="18">
        <f ca="1">(F108-H108)*'Res Predicted Monthly'!$V$11</f>
        <v>273426.88207818026</v>
      </c>
      <c r="P108" s="18"/>
      <c r="Q108" s="18"/>
      <c r="R108" s="18"/>
      <c r="S108" s="30">
        <f t="shared" ca="1" si="75"/>
        <v>40861114.636075921</v>
      </c>
    </row>
    <row r="109" spans="1:19" x14ac:dyDescent="0.2">
      <c r="A109" s="9">
        <f>'Monthly Data'!A109</f>
        <v>45261</v>
      </c>
      <c r="B109">
        <f t="shared" si="49"/>
        <v>2023</v>
      </c>
      <c r="C109">
        <f t="shared" si="50"/>
        <v>12</v>
      </c>
      <c r="D109" s="30">
        <f>'Monthly Data'!F109</f>
        <v>46228650.322706155</v>
      </c>
      <c r="E109" s="33">
        <f t="shared" ref="E109:F109" ca="1" si="101">E97</f>
        <v>386.61999999999995</v>
      </c>
      <c r="F109" s="33">
        <f t="shared" ca="1" si="101"/>
        <v>0</v>
      </c>
      <c r="G109" s="33">
        <f>'Monthly Data'!AV109</f>
        <v>319.20000000000005</v>
      </c>
      <c r="H109" s="33">
        <f>'Monthly Data'!AW109</f>
        <v>0</v>
      </c>
      <c r="I109" s="18">
        <f>'Monthly Data'!Z109</f>
        <v>852029</v>
      </c>
      <c r="J109">
        <f>'Monthly Data'!BR109</f>
        <v>0</v>
      </c>
      <c r="K109" s="33">
        <f>'Monthly Data'!BT109</f>
        <v>31</v>
      </c>
      <c r="M109" s="18"/>
      <c r="N109" s="18">
        <f ca="1">(E109-G109)*'Res Predicted Monthly'!$V$10</f>
        <v>922703.28297827765</v>
      </c>
      <c r="O109" s="18">
        <f ca="1">(F109-H109)*'Res Predicted Monthly'!$V$11</f>
        <v>0</v>
      </c>
      <c r="P109" s="18"/>
      <c r="Q109" s="18"/>
      <c r="R109" s="18"/>
      <c r="S109" s="30">
        <f t="shared" ca="1" si="75"/>
        <v>47151353.605684429</v>
      </c>
    </row>
    <row r="110" spans="1:19" x14ac:dyDescent="0.2">
      <c r="A110" s="9">
        <f>'Monthly Data'!A110</f>
        <v>45292</v>
      </c>
      <c r="B110">
        <f t="shared" si="49"/>
        <v>2024</v>
      </c>
      <c r="C110">
        <f t="shared" si="50"/>
        <v>1</v>
      </c>
      <c r="D110" s="30">
        <f>'Monthly Data'!F110</f>
        <v>47520942.166132875</v>
      </c>
      <c r="E110" s="33">
        <f t="shared" ref="E110:F110" ca="1" si="102">E98</f>
        <v>508.54000000000008</v>
      </c>
      <c r="F110" s="33">
        <f t="shared" ca="1" si="102"/>
        <v>0</v>
      </c>
      <c r="G110" s="33">
        <f>'Monthly Data'!AV110</f>
        <v>462.39999999999992</v>
      </c>
      <c r="H110" s="33">
        <f>'Monthly Data'!AW110</f>
        <v>0</v>
      </c>
      <c r="I110" s="18">
        <f>'Monthly Data'!Z110</f>
        <v>860658</v>
      </c>
      <c r="J110">
        <f>'Monthly Data'!BR110</f>
        <v>0</v>
      </c>
      <c r="K110" s="33">
        <f>'Monthly Data'!BT110</f>
        <v>31</v>
      </c>
      <c r="M110" s="18"/>
      <c r="N110" s="18">
        <f ca="1">(E110-G110)*'Res Predicted Monthly'!$V$10</f>
        <v>631467.36097030458</v>
      </c>
      <c r="O110" s="18">
        <f ca="1">(F110-H110)*'Res Predicted Monthly'!$V$11</f>
        <v>0</v>
      </c>
      <c r="P110" s="18"/>
      <c r="Q110" s="18"/>
      <c r="R110" s="18"/>
      <c r="S110" s="30">
        <f t="shared" ca="1" si="75"/>
        <v>48152409.527103178</v>
      </c>
    </row>
    <row r="111" spans="1:19" x14ac:dyDescent="0.2">
      <c r="A111" s="9">
        <f>'Monthly Data'!A111</f>
        <v>45323</v>
      </c>
      <c r="B111">
        <f t="shared" si="49"/>
        <v>2024</v>
      </c>
      <c r="C111">
        <f t="shared" si="50"/>
        <v>2</v>
      </c>
      <c r="D111" s="30">
        <f>'Monthly Data'!F111</f>
        <v>42009232.734825648</v>
      </c>
      <c r="E111" s="33">
        <f t="shared" ref="E111:F111" ca="1" si="103">E99</f>
        <v>451.10999999999996</v>
      </c>
      <c r="F111" s="33">
        <f t="shared" ca="1" si="103"/>
        <v>0</v>
      </c>
      <c r="G111" s="33">
        <f>'Monthly Data'!AV111</f>
        <v>373.09999999999997</v>
      </c>
      <c r="H111" s="33">
        <f>'Monthly Data'!AW111</f>
        <v>0</v>
      </c>
      <c r="I111" s="18">
        <f>'Monthly Data'!Z111</f>
        <v>860658</v>
      </c>
      <c r="J111">
        <f>'Monthly Data'!BR111</f>
        <v>0</v>
      </c>
      <c r="K111" s="33">
        <f>'Monthly Data'!BT111</f>
        <v>29</v>
      </c>
      <c r="M111" s="18"/>
      <c r="N111" s="18">
        <f ca="1">(E111-G111)*'Res Predicted Monthly'!$V$10</f>
        <v>1067636.9490527371</v>
      </c>
      <c r="O111" s="18">
        <f ca="1">(F111-H111)*'Res Predicted Monthly'!$V$11</f>
        <v>0</v>
      </c>
      <c r="P111" s="18"/>
      <c r="Q111" s="18"/>
      <c r="R111" s="18"/>
      <c r="S111" s="30">
        <f t="shared" ca="1" si="75"/>
        <v>43076869.683878385</v>
      </c>
    </row>
    <row r="112" spans="1:19" x14ac:dyDescent="0.2">
      <c r="A112" s="9">
        <f>'Monthly Data'!A112</f>
        <v>45352</v>
      </c>
      <c r="B112">
        <f t="shared" si="49"/>
        <v>2024</v>
      </c>
      <c r="C112">
        <f t="shared" si="50"/>
        <v>3</v>
      </c>
      <c r="D112" s="30">
        <f>'Monthly Data'!F112</f>
        <v>42133800.273518406</v>
      </c>
      <c r="E112" s="33">
        <f t="shared" ref="E112:F112" ca="1" si="104">E100</f>
        <v>374.74</v>
      </c>
      <c r="F112" s="33">
        <f t="shared" ca="1" si="104"/>
        <v>0</v>
      </c>
      <c r="G112" s="33">
        <f>'Monthly Data'!AV112</f>
        <v>305.50000000000006</v>
      </c>
      <c r="H112" s="33">
        <f>'Monthly Data'!AW112</f>
        <v>0</v>
      </c>
      <c r="I112" s="18">
        <f>'Monthly Data'!Z112</f>
        <v>860658</v>
      </c>
      <c r="J112">
        <f>'Monthly Data'!BR112</f>
        <v>1</v>
      </c>
      <c r="K112" s="33">
        <f>'Monthly Data'!BT112</f>
        <v>31</v>
      </c>
      <c r="M112" s="18"/>
      <c r="N112" s="18">
        <f ca="1">(E112-G112)*'Res Predicted Monthly'!$V$10</f>
        <v>947611.61841317103</v>
      </c>
      <c r="O112" s="18">
        <f ca="1">(F112-H112)*'Res Predicted Monthly'!$V$11</f>
        <v>0</v>
      </c>
      <c r="P112" s="18"/>
      <c r="Q112" s="18"/>
      <c r="R112" s="18"/>
      <c r="S112" s="30">
        <f t="shared" ca="1" si="75"/>
        <v>43081411.891931579</v>
      </c>
    </row>
    <row r="113" spans="1:19" x14ac:dyDescent="0.2">
      <c r="A113" s="9">
        <f>'Monthly Data'!A113</f>
        <v>45383</v>
      </c>
      <c r="B113">
        <f t="shared" si="49"/>
        <v>2024</v>
      </c>
      <c r="C113">
        <f t="shared" si="50"/>
        <v>4</v>
      </c>
      <c r="D113" s="30">
        <f>'Monthly Data'!F113</f>
        <v>38836355.502211168</v>
      </c>
      <c r="E113" s="33">
        <f t="shared" ref="E113:F113" ca="1" si="105">E101</f>
        <v>221.12999999999997</v>
      </c>
      <c r="F113" s="33">
        <f t="shared" ca="1" si="105"/>
        <v>2.6300000000000003</v>
      </c>
      <c r="G113" s="33">
        <f>'Monthly Data'!AV113</f>
        <v>175.79999999999998</v>
      </c>
      <c r="H113" s="33">
        <f>'Monthly Data'!AW113</f>
        <v>1.0999999999999996</v>
      </c>
      <c r="I113" s="18">
        <f>'Monthly Data'!Z113</f>
        <v>865503</v>
      </c>
      <c r="J113">
        <f>'Monthly Data'!BR113</f>
        <v>1</v>
      </c>
      <c r="K113" s="33">
        <f>'Monthly Data'!BT113</f>
        <v>30</v>
      </c>
      <c r="M113" s="18"/>
      <c r="N113" s="18">
        <f ca="1">(E113-G113)*'Res Predicted Monthly'!$V$10</f>
        <v>620381.78311191592</v>
      </c>
      <c r="O113" s="18">
        <f ca="1">(F113-H113)*'Res Predicted Monthly'!$V$11</f>
        <v>122681.26967144159</v>
      </c>
      <c r="P113" s="18"/>
      <c r="Q113" s="18"/>
      <c r="R113" s="18"/>
      <c r="S113" s="30">
        <f t="shared" ca="1" si="75"/>
        <v>39579418.554994524</v>
      </c>
    </row>
    <row r="114" spans="1:19" x14ac:dyDescent="0.2">
      <c r="A114" s="9">
        <f>'Monthly Data'!A114</f>
        <v>45413</v>
      </c>
      <c r="B114">
        <f t="shared" si="49"/>
        <v>2024</v>
      </c>
      <c r="C114">
        <f t="shared" si="50"/>
        <v>5</v>
      </c>
      <c r="D114" s="30">
        <f>'Monthly Data'!F114</f>
        <v>43725998.02090393</v>
      </c>
      <c r="E114" s="33">
        <f t="shared" ref="E114:F114" ca="1" si="106">E102</f>
        <v>74.8</v>
      </c>
      <c r="F114" s="33">
        <f t="shared" ca="1" si="106"/>
        <v>50.489999999999995</v>
      </c>
      <c r="G114" s="33">
        <f>'Monthly Data'!AV114</f>
        <v>30</v>
      </c>
      <c r="H114" s="33">
        <f>'Monthly Data'!AW114</f>
        <v>59</v>
      </c>
      <c r="I114" s="18">
        <f>'Monthly Data'!Z114</f>
        <v>865503</v>
      </c>
      <c r="J114">
        <f>'Monthly Data'!BR114</f>
        <v>1</v>
      </c>
      <c r="K114" s="33">
        <f>'Monthly Data'!BT114</f>
        <v>31</v>
      </c>
      <c r="M114" s="18"/>
      <c r="N114" s="18">
        <f ca="1">(E114-G114)*'Res Predicted Monthly'!$V$10</f>
        <v>613128.25685889786</v>
      </c>
      <c r="O114" s="18">
        <f ca="1">(F114-H114)*'Res Predicted Monthly'!$V$11</f>
        <v>-682364.44764965237</v>
      </c>
      <c r="P114" s="18"/>
      <c r="Q114" s="18"/>
      <c r="R114" s="18"/>
      <c r="S114" s="30">
        <f t="shared" ca="1" si="75"/>
        <v>43656761.83011318</v>
      </c>
    </row>
    <row r="115" spans="1:19" x14ac:dyDescent="0.2">
      <c r="A115" s="9">
        <f>'Monthly Data'!A115</f>
        <v>45444</v>
      </c>
      <c r="B115">
        <f t="shared" si="49"/>
        <v>2024</v>
      </c>
      <c r="C115">
        <f t="shared" si="50"/>
        <v>6</v>
      </c>
      <c r="D115" s="30">
        <f>'Monthly Data'!F115</f>
        <v>54316624.359596707</v>
      </c>
      <c r="E115" s="33">
        <f t="shared" ref="E115:F115" ca="1" si="107">E103</f>
        <v>2.15</v>
      </c>
      <c r="F115" s="33">
        <f t="shared" ca="1" si="107"/>
        <v>154.05000000000001</v>
      </c>
      <c r="G115" s="33">
        <f>'Monthly Data'!AV115</f>
        <v>0</v>
      </c>
      <c r="H115" s="33">
        <f>'Monthly Data'!AW115</f>
        <v>164.40000000000006</v>
      </c>
      <c r="I115" s="18">
        <f>'Monthly Data'!Z115</f>
        <v>865503</v>
      </c>
      <c r="J115">
        <f>'Monthly Data'!BR115</f>
        <v>0</v>
      </c>
      <c r="K115" s="33">
        <f>'Monthly Data'!BT115</f>
        <v>30</v>
      </c>
      <c r="M115" s="18"/>
      <c r="N115" s="18">
        <f ca="1">(E115-G115)*'Res Predicted Monthly'!$V$10</f>
        <v>29424.681969790858</v>
      </c>
      <c r="O115" s="18">
        <f ca="1">(F115-H115)*'Res Predicted Monthly'!$V$11</f>
        <v>-829902.70660093217</v>
      </c>
      <c r="P115" s="18"/>
      <c r="Q115" s="18"/>
      <c r="R115" s="18"/>
      <c r="S115" s="30">
        <f ca="1">D115+N115+O115</f>
        <v>53516146.334965564</v>
      </c>
    </row>
    <row r="116" spans="1:19" x14ac:dyDescent="0.2">
      <c r="A116" s="9">
        <v>45474</v>
      </c>
      <c r="B116">
        <f t="shared" ref="B116:B133" si="108">YEAR(A116)</f>
        <v>2024</v>
      </c>
      <c r="C116">
        <f t="shared" ref="C116:C133" si="109">MONTH(A116)</f>
        <v>7</v>
      </c>
      <c r="D116" s="30">
        <f>'Monthly Data'!F116</f>
        <v>64592396.868289471</v>
      </c>
      <c r="E116" s="33">
        <f t="shared" ref="E116:F116" ca="1" si="110">E104</f>
        <v>0</v>
      </c>
      <c r="F116" s="33">
        <f t="shared" ca="1" si="110"/>
        <v>267.66999999999996</v>
      </c>
      <c r="G116" s="33">
        <f>'Monthly Data'!AV116</f>
        <v>0</v>
      </c>
      <c r="H116" s="33">
        <f>'Monthly Data'!AW116</f>
        <v>261.8</v>
      </c>
      <c r="I116" s="18">
        <f>'Monthly Data'!Z116</f>
        <v>867701</v>
      </c>
      <c r="J116">
        <f>'Monthly Data'!BR116</f>
        <v>0</v>
      </c>
      <c r="K116" s="33">
        <f>'Monthly Data'!BT116</f>
        <v>31</v>
      </c>
      <c r="M116" s="18"/>
      <c r="N116" s="18">
        <f ca="1">(E116-G116)*'Res Predicted Monthly'!$V$10</f>
        <v>0</v>
      </c>
      <c r="O116" s="18">
        <f ca="1">(F116-H116)*'Res Predicted Monthly'!$V$11</f>
        <v>470679.1195891212</v>
      </c>
      <c r="P116" s="18"/>
      <c r="Q116" s="18"/>
      <c r="R116" s="18"/>
      <c r="S116" s="30">
        <f t="shared" ref="S116:S121" ca="1" si="111">D116+N116+O116</f>
        <v>65063075.987878591</v>
      </c>
    </row>
    <row r="117" spans="1:19" x14ac:dyDescent="0.2">
      <c r="A117" s="9">
        <v>45505</v>
      </c>
      <c r="B117">
        <f t="shared" si="108"/>
        <v>2024</v>
      </c>
      <c r="C117">
        <f t="shared" si="109"/>
        <v>8</v>
      </c>
      <c r="D117" s="30">
        <f>'Monthly Data'!F117</f>
        <v>60459871.106982246</v>
      </c>
      <c r="E117" s="33">
        <f t="shared" ref="E117:F117" ca="1" si="112">E105</f>
        <v>0</v>
      </c>
      <c r="F117" s="33">
        <f t="shared" ca="1" si="112"/>
        <v>246.315</v>
      </c>
      <c r="G117" s="33">
        <f>'Monthly Data'!AV117</f>
        <v>0</v>
      </c>
      <c r="H117" s="33">
        <f>'Monthly Data'!AW117</f>
        <v>240.3</v>
      </c>
      <c r="I117" s="18">
        <f>'Monthly Data'!Z117</f>
        <v>867701</v>
      </c>
      <c r="J117">
        <f>'Monthly Data'!BR117</f>
        <v>0</v>
      </c>
      <c r="K117" s="33">
        <f>'Monthly Data'!BT117</f>
        <v>31</v>
      </c>
      <c r="M117" s="18"/>
      <c r="N117" s="18">
        <f ca="1">(E117-G117)*'Res Predicted Monthly'!$V$10</f>
        <v>0</v>
      </c>
      <c r="O117" s="18">
        <f ca="1">(F117-H117)*'Res Predicted Monthly'!$V$11</f>
        <v>482305.77586517594</v>
      </c>
      <c r="P117" s="18"/>
      <c r="Q117" s="18"/>
      <c r="R117" s="18"/>
      <c r="S117" s="30">
        <f t="shared" ca="1" si="111"/>
        <v>60942176.882847421</v>
      </c>
    </row>
    <row r="118" spans="1:19" x14ac:dyDescent="0.2">
      <c r="A118" s="9">
        <v>45536</v>
      </c>
      <c r="B118">
        <f t="shared" si="108"/>
        <v>2024</v>
      </c>
      <c r="C118">
        <f t="shared" si="109"/>
        <v>9</v>
      </c>
      <c r="D118" s="30">
        <f>'Monthly Data'!F118</f>
        <v>48481511.215674996</v>
      </c>
      <c r="E118" s="33">
        <f t="shared" ref="E118:F118" ca="1" si="113">E106</f>
        <v>2.2699999999999996</v>
      </c>
      <c r="F118" s="33">
        <f t="shared" ca="1" si="113"/>
        <v>146.80000000000001</v>
      </c>
      <c r="G118" s="33">
        <f>'Monthly Data'!AV118</f>
        <v>0.40000000000000036</v>
      </c>
      <c r="H118" s="33">
        <f>'Monthly Data'!AW118</f>
        <v>148.19999999999999</v>
      </c>
      <c r="I118" s="18">
        <f>'Monthly Data'!Z118</f>
        <v>867701</v>
      </c>
      <c r="J118">
        <f>'Monthly Data'!BR118</f>
        <v>1</v>
      </c>
      <c r="K118" s="33">
        <f>'Monthly Data'!BT118</f>
        <v>30</v>
      </c>
      <c r="M118" s="18"/>
      <c r="N118" s="18">
        <f ca="1">(E118-G118)*'Res Predicted Monthly'!$V$10</f>
        <v>25592.630364422737</v>
      </c>
      <c r="O118" s="18">
        <f ca="1">(F118-H118)*'Res Predicted Monthly'!$V$11</f>
        <v>-112257.37094118651</v>
      </c>
      <c r="P118" s="18"/>
      <c r="Q118" s="18"/>
      <c r="R118" s="18"/>
      <c r="S118" s="30">
        <f t="shared" ca="1" si="111"/>
        <v>48394846.475098237</v>
      </c>
    </row>
    <row r="119" spans="1:19" x14ac:dyDescent="0.2">
      <c r="A119" s="9">
        <v>45566</v>
      </c>
      <c r="B119">
        <f t="shared" si="108"/>
        <v>2024</v>
      </c>
      <c r="C119">
        <f t="shared" si="109"/>
        <v>10</v>
      </c>
      <c r="D119" s="30">
        <f>'Monthly Data'!F119</f>
        <v>41352177.60436777</v>
      </c>
      <c r="E119" s="33">
        <f t="shared" ref="E119:F119" ca="1" si="114">E107</f>
        <v>83.800000000000011</v>
      </c>
      <c r="F119" s="33">
        <f t="shared" ca="1" si="114"/>
        <v>36.859999999999992</v>
      </c>
      <c r="G119" s="33">
        <f>'Monthly Data'!AV119</f>
        <v>55.2</v>
      </c>
      <c r="H119" s="33">
        <f>'Monthly Data'!AW119</f>
        <v>47.400000000000006</v>
      </c>
      <c r="I119" s="18">
        <f>'Monthly Data'!Z119</f>
        <v>869576</v>
      </c>
      <c r="J119">
        <f>'Monthly Data'!BR119</f>
        <v>1</v>
      </c>
      <c r="K119" s="33">
        <f>'Monthly Data'!BT119</f>
        <v>31</v>
      </c>
      <c r="M119" s="18"/>
      <c r="N119" s="18">
        <f ca="1">(E119-G119)*'Res Predicted Monthly'!$V$10</f>
        <v>391416.69969117158</v>
      </c>
      <c r="O119" s="18">
        <f ca="1">(F119-H119)*'Res Predicted Monthly'!$V$11</f>
        <v>-845137.6355143761</v>
      </c>
      <c r="P119" s="18"/>
      <c r="Q119" s="18"/>
      <c r="R119" s="18"/>
      <c r="S119" s="30">
        <f t="shared" ca="1" si="111"/>
        <v>40898456.668544561</v>
      </c>
    </row>
    <row r="120" spans="1:19" x14ac:dyDescent="0.2">
      <c r="A120" s="9">
        <v>45597</v>
      </c>
      <c r="B120">
        <f t="shared" si="108"/>
        <v>2024</v>
      </c>
      <c r="C120">
        <f t="shared" si="109"/>
        <v>11</v>
      </c>
      <c r="D120" s="30">
        <f>'Monthly Data'!F120</f>
        <v>40782399.333060533</v>
      </c>
      <c r="E120" s="33">
        <f t="shared" ref="E120:F120" ca="1" si="115">E108</f>
        <v>240.7</v>
      </c>
      <c r="F120" s="33">
        <f t="shared" ca="1" si="115"/>
        <v>3.410000000000001</v>
      </c>
      <c r="G120" s="33">
        <f>'Monthly Data'!AV120</f>
        <v>194.20000000000002</v>
      </c>
      <c r="H120" s="33">
        <f>'Monthly Data'!AW120</f>
        <v>9.9000000000000021</v>
      </c>
      <c r="I120" s="18">
        <f>'Monthly Data'!Z120</f>
        <v>869576</v>
      </c>
      <c r="J120">
        <f>'Monthly Data'!BR120</f>
        <v>1</v>
      </c>
      <c r="K120" s="33">
        <f>'Monthly Data'!BT120</f>
        <v>30</v>
      </c>
      <c r="M120" s="18"/>
      <c r="N120" s="18">
        <f ca="1">(E120-G120)*'Res Predicted Monthly'!$V$10</f>
        <v>636394.28446291818</v>
      </c>
      <c r="O120" s="18">
        <f ca="1">(F120-H120)*'Res Predicted Monthly'!$V$11</f>
        <v>-520393.09814879461</v>
      </c>
      <c r="P120" s="18"/>
      <c r="Q120" s="18"/>
      <c r="R120" s="18"/>
      <c r="S120" s="30">
        <f t="shared" ca="1" si="111"/>
        <v>40898400.519374661</v>
      </c>
    </row>
    <row r="121" spans="1:19" x14ac:dyDescent="0.2">
      <c r="A121" s="9">
        <v>45627</v>
      </c>
      <c r="B121">
        <f t="shared" si="108"/>
        <v>2024</v>
      </c>
      <c r="C121">
        <f t="shared" si="109"/>
        <v>12</v>
      </c>
      <c r="D121" s="30">
        <f>'Monthly Data'!F121</f>
        <v>48660834.701753296</v>
      </c>
      <c r="E121" s="33">
        <f t="shared" ref="E121:F121" ca="1" si="116">E109</f>
        <v>386.61999999999995</v>
      </c>
      <c r="F121" s="33">
        <f t="shared" ca="1" si="116"/>
        <v>0</v>
      </c>
      <c r="G121" s="33">
        <f>'Monthly Data'!AV121</f>
        <v>400.7999999999999</v>
      </c>
      <c r="H121" s="33">
        <f>'Monthly Data'!AW121</f>
        <v>0</v>
      </c>
      <c r="I121" s="18">
        <f>'Monthly Data'!Z121</f>
        <v>869576</v>
      </c>
      <c r="J121">
        <f>'Monthly Data'!BR121</f>
        <v>0</v>
      </c>
      <c r="K121" s="33">
        <f>'Monthly Data'!BT121</f>
        <v>31</v>
      </c>
      <c r="M121" s="18"/>
      <c r="N121" s="18">
        <f ca="1">(E121-G121)*'Res Predicted Monthly'!$V$10</f>
        <v>-194066.04201471299</v>
      </c>
      <c r="O121" s="18">
        <f ca="1">(F121-H121)*'Res Predicted Monthly'!$V$11</f>
        <v>0</v>
      </c>
      <c r="P121" s="18"/>
      <c r="Q121" s="18"/>
      <c r="R121" s="18"/>
      <c r="S121" s="30">
        <f t="shared" ca="1" si="111"/>
        <v>48466768.659738585</v>
      </c>
    </row>
    <row r="122" spans="1:19" x14ac:dyDescent="0.2">
      <c r="A122" s="9">
        <v>45658</v>
      </c>
      <c r="B122">
        <f t="shared" si="108"/>
        <v>2025</v>
      </c>
      <c r="C122">
        <f t="shared" si="109"/>
        <v>1</v>
      </c>
      <c r="E122" s="358">
        <f t="shared" ref="E122:F130" ca="1" si="117">E110</f>
        <v>508.54000000000008</v>
      </c>
      <c r="F122" s="358">
        <f t="shared" ca="1" si="117"/>
        <v>0</v>
      </c>
      <c r="G122" s="33"/>
      <c r="H122" s="33"/>
      <c r="I122" s="359">
        <f>Economic!M196</f>
        <v>881397.21600000001</v>
      </c>
      <c r="J122" s="358">
        <f t="shared" ref="J122:J145" si="118">J110</f>
        <v>0</v>
      </c>
      <c r="K122" s="83">
        <f t="shared" ref="K122:K145" si="119">K74</f>
        <v>31</v>
      </c>
      <c r="M122" s="18">
        <f>'Res Predicted Monthly'!$V$9</f>
        <v>-23284736.647811599</v>
      </c>
      <c r="N122" s="18">
        <f ca="1">E122*'Res Predicted Monthly'!$V$10</f>
        <v>6959826.8692639284</v>
      </c>
      <c r="O122" s="18">
        <f ca="1">F122*'Res Predicted Monthly'!$V$11</f>
        <v>0</v>
      </c>
      <c r="P122" s="18">
        <f>I122*'Res Predicted Monthly'!$V$12</f>
        <v>16860297.932442151</v>
      </c>
      <c r="Q122" s="18">
        <f>J122*'Res Predicted Monthly'!$V$13</f>
        <v>0</v>
      </c>
      <c r="R122" s="18">
        <f>K122*'Res Predicted Monthly'!$V$14</f>
        <v>48424797.051816143</v>
      </c>
      <c r="S122" s="30">
        <f t="shared" ref="S122:S145" ca="1" si="120">SUM(M122:R122)</f>
        <v>48960185.20571062</v>
      </c>
    </row>
    <row r="123" spans="1:19" x14ac:dyDescent="0.2">
      <c r="A123" s="9">
        <v>45689</v>
      </c>
      <c r="B123">
        <f t="shared" si="108"/>
        <v>2025</v>
      </c>
      <c r="C123">
        <f t="shared" si="109"/>
        <v>2</v>
      </c>
      <c r="E123" s="358">
        <f t="shared" ca="1" si="117"/>
        <v>451.10999999999996</v>
      </c>
      <c r="F123" s="358">
        <f t="shared" ca="1" si="117"/>
        <v>0</v>
      </c>
      <c r="G123" s="33"/>
      <c r="H123" s="33"/>
      <c r="I123" s="359">
        <f>Economic!M197</f>
        <v>881397.21600000001</v>
      </c>
      <c r="J123" s="358">
        <f t="shared" si="118"/>
        <v>0</v>
      </c>
      <c r="K123" s="83">
        <f t="shared" si="119"/>
        <v>28</v>
      </c>
      <c r="M123" s="18">
        <f>'Res Predicted Monthly'!$V$9</f>
        <v>-23284736.647811599</v>
      </c>
      <c r="N123" s="18">
        <f ca="1">E123*'Res Predicted Monthly'!$V$10</f>
        <v>6173845.7132057454</v>
      </c>
      <c r="O123" s="18">
        <f ca="1">F123*'Res Predicted Monthly'!$V$11</f>
        <v>0</v>
      </c>
      <c r="P123" s="18">
        <f>I123*'Res Predicted Monthly'!$V$12</f>
        <v>16860297.932442151</v>
      </c>
      <c r="Q123" s="18">
        <f>J123*'Res Predicted Monthly'!$V$13</f>
        <v>0</v>
      </c>
      <c r="R123" s="18">
        <f>K123*'Res Predicted Monthly'!$V$14</f>
        <v>43738526.369382322</v>
      </c>
      <c r="S123" s="30">
        <f t="shared" ca="1" si="120"/>
        <v>43487933.367218621</v>
      </c>
    </row>
    <row r="124" spans="1:19" x14ac:dyDescent="0.2">
      <c r="A124" s="9">
        <v>45717</v>
      </c>
      <c r="B124">
        <f t="shared" si="108"/>
        <v>2025</v>
      </c>
      <c r="C124">
        <f t="shared" si="109"/>
        <v>3</v>
      </c>
      <c r="E124" s="358">
        <f t="shared" ca="1" si="117"/>
        <v>374.74</v>
      </c>
      <c r="F124" s="358">
        <f t="shared" ca="1" si="117"/>
        <v>0</v>
      </c>
      <c r="G124" s="33"/>
      <c r="H124" s="33"/>
      <c r="I124" s="359">
        <f>Economic!M198</f>
        <v>881397.21600000001</v>
      </c>
      <c r="J124" s="358">
        <f t="shared" si="118"/>
        <v>1</v>
      </c>
      <c r="K124" s="83">
        <f t="shared" si="119"/>
        <v>31</v>
      </c>
      <c r="M124" s="18">
        <f>'Res Predicted Monthly'!$V$9</f>
        <v>-23284736.647811599</v>
      </c>
      <c r="N124" s="18">
        <f ca="1">E124*'Res Predicted Monthly'!$V$10</f>
        <v>5128653.6378415944</v>
      </c>
      <c r="O124" s="18">
        <f ca="1">F124*'Res Predicted Monthly'!$V$11</f>
        <v>0</v>
      </c>
      <c r="P124" s="18">
        <f>I124*'Res Predicted Monthly'!$V$12</f>
        <v>16860297.932442151</v>
      </c>
      <c r="Q124" s="18">
        <f>J124*'Res Predicted Monthly'!$V$13</f>
        <v>-2837598.3252266399</v>
      </c>
      <c r="R124" s="18">
        <f>K124*'Res Predicted Monthly'!$V$14</f>
        <v>48424797.051816143</v>
      </c>
      <c r="S124" s="30">
        <f t="shared" ca="1" si="120"/>
        <v>44291413.64906165</v>
      </c>
    </row>
    <row r="125" spans="1:19" x14ac:dyDescent="0.2">
      <c r="A125" s="9">
        <v>45748</v>
      </c>
      <c r="B125">
        <f t="shared" si="108"/>
        <v>2025</v>
      </c>
      <c r="C125">
        <f t="shared" si="109"/>
        <v>4</v>
      </c>
      <c r="E125" s="358">
        <f t="shared" ca="1" si="117"/>
        <v>221.12999999999997</v>
      </c>
      <c r="F125" s="358">
        <f t="shared" ca="1" si="117"/>
        <v>2.6300000000000003</v>
      </c>
      <c r="G125" s="33"/>
      <c r="H125" s="33"/>
      <c r="I125" s="359">
        <f>Economic!M199</f>
        <v>884152.08</v>
      </c>
      <c r="J125" s="358">
        <f t="shared" si="118"/>
        <v>1</v>
      </c>
      <c r="K125" s="83">
        <f t="shared" si="119"/>
        <v>30</v>
      </c>
      <c r="M125" s="18">
        <f>'Res Predicted Monthly'!$V$9</f>
        <v>-23284736.647811599</v>
      </c>
      <c r="N125" s="18">
        <f ca="1">E125*'Res Predicted Monthly'!$V$10</f>
        <v>3026362.755339466</v>
      </c>
      <c r="O125" s="18">
        <f ca="1">F125*'Res Predicted Monthly'!$V$11</f>
        <v>210883.48969666098</v>
      </c>
      <c r="P125" s="18">
        <f>I125*'Res Predicted Monthly'!$V$12</f>
        <v>16912995.884012897</v>
      </c>
      <c r="Q125" s="18">
        <f>J125*'Res Predicted Monthly'!$V$13</f>
        <v>-2837598.3252266399</v>
      </c>
      <c r="R125" s="18">
        <f>K125*'Res Predicted Monthly'!$V$14</f>
        <v>46862706.824338198</v>
      </c>
      <c r="S125" s="30">
        <f t="shared" ca="1" si="120"/>
        <v>40890613.980348982</v>
      </c>
    </row>
    <row r="126" spans="1:19" x14ac:dyDescent="0.2">
      <c r="A126" s="9">
        <v>45778</v>
      </c>
      <c r="B126">
        <f t="shared" si="108"/>
        <v>2025</v>
      </c>
      <c r="C126">
        <f t="shared" si="109"/>
        <v>5</v>
      </c>
      <c r="E126" s="358">
        <f t="shared" ca="1" si="117"/>
        <v>74.8</v>
      </c>
      <c r="F126" s="358">
        <f t="shared" ca="1" si="117"/>
        <v>50.489999999999995</v>
      </c>
      <c r="G126" s="33"/>
      <c r="H126" s="33"/>
      <c r="I126" s="359">
        <f>Economic!M200</f>
        <v>884152.08</v>
      </c>
      <c r="J126" s="358">
        <f t="shared" si="118"/>
        <v>1</v>
      </c>
      <c r="K126" s="83">
        <f t="shared" si="119"/>
        <v>31</v>
      </c>
      <c r="M126" s="18">
        <f>'Res Predicted Monthly'!$V$9</f>
        <v>-23284736.647811599</v>
      </c>
      <c r="N126" s="18">
        <f ca="1">E126*'Res Predicted Monthly'!$V$10</f>
        <v>1023705.2145769099</v>
      </c>
      <c r="O126" s="18">
        <f ca="1">F126*'Res Predicted Monthly'!$V$11</f>
        <v>4048481.8991575702</v>
      </c>
      <c r="P126" s="18">
        <f>I126*'Res Predicted Monthly'!$V$12</f>
        <v>16912995.884012897</v>
      </c>
      <c r="Q126" s="18">
        <f>J126*'Res Predicted Monthly'!$V$13</f>
        <v>-2837598.3252266399</v>
      </c>
      <c r="R126" s="18">
        <f>K126*'Res Predicted Monthly'!$V$14</f>
        <v>48424797.051816143</v>
      </c>
      <c r="S126" s="30">
        <f t="shared" ca="1" si="120"/>
        <v>44287645.076525278</v>
      </c>
    </row>
    <row r="127" spans="1:19" x14ac:dyDescent="0.2">
      <c r="A127" s="9">
        <v>45809</v>
      </c>
      <c r="B127">
        <f t="shared" si="108"/>
        <v>2025</v>
      </c>
      <c r="C127">
        <f t="shared" si="109"/>
        <v>6</v>
      </c>
      <c r="E127" s="358">
        <f t="shared" ca="1" si="117"/>
        <v>2.15</v>
      </c>
      <c r="F127" s="358">
        <f t="shared" ca="1" si="117"/>
        <v>154.05000000000001</v>
      </c>
      <c r="G127" s="33"/>
      <c r="H127" s="33"/>
      <c r="I127" s="359">
        <f>Economic!M201</f>
        <v>884152.08</v>
      </c>
      <c r="J127" s="358">
        <f t="shared" si="118"/>
        <v>0</v>
      </c>
      <c r="K127" s="83">
        <f t="shared" si="119"/>
        <v>30</v>
      </c>
      <c r="M127" s="18">
        <f>'Res Predicted Monthly'!$V$9</f>
        <v>-23284736.647811599</v>
      </c>
      <c r="N127" s="18">
        <f ca="1">E127*'Res Predicted Monthly'!$V$10</f>
        <v>29424.681969790858</v>
      </c>
      <c r="O127" s="18">
        <f ca="1">F127*'Res Predicted Monthly'!$V$11</f>
        <v>12352319.995350046</v>
      </c>
      <c r="P127" s="18">
        <f>I127*'Res Predicted Monthly'!$V$12</f>
        <v>16912995.884012897</v>
      </c>
      <c r="Q127" s="18">
        <f>J127*'Res Predicted Monthly'!$V$13</f>
        <v>0</v>
      </c>
      <c r="R127" s="18">
        <f>K127*'Res Predicted Monthly'!$V$14</f>
        <v>46862706.824338198</v>
      </c>
      <c r="S127" s="30">
        <f t="shared" ca="1" si="120"/>
        <v>52872710.737859331</v>
      </c>
    </row>
    <row r="128" spans="1:19" x14ac:dyDescent="0.2">
      <c r="A128" s="9">
        <v>45839</v>
      </c>
      <c r="B128">
        <f t="shared" si="108"/>
        <v>2025</v>
      </c>
      <c r="C128">
        <f t="shared" si="109"/>
        <v>7</v>
      </c>
      <c r="E128" s="358">
        <f t="shared" ca="1" si="117"/>
        <v>0</v>
      </c>
      <c r="F128" s="358">
        <f t="shared" ca="1" si="117"/>
        <v>267.66999999999996</v>
      </c>
      <c r="G128" s="33"/>
      <c r="H128" s="33"/>
      <c r="I128" s="359">
        <f>Economic!M202</f>
        <v>884887.92</v>
      </c>
      <c r="J128" s="358">
        <f t="shared" si="118"/>
        <v>0</v>
      </c>
      <c r="K128" s="83">
        <f t="shared" si="119"/>
        <v>31</v>
      </c>
      <c r="M128" s="18">
        <f>'Res Predicted Monthly'!$V$9</f>
        <v>-23284736.647811599</v>
      </c>
      <c r="N128" s="18">
        <f ca="1">E128*'Res Predicted Monthly'!$V$10</f>
        <v>0</v>
      </c>
      <c r="O128" s="18">
        <f ca="1">F128*'Res Predicted Monthly'!$V$11</f>
        <v>21462807.485591341</v>
      </c>
      <c r="P128" s="18">
        <f>I128*'Res Predicted Monthly'!$V$12</f>
        <v>16927071.809606258</v>
      </c>
      <c r="Q128" s="18">
        <f>J128*'Res Predicted Monthly'!$V$13</f>
        <v>0</v>
      </c>
      <c r="R128" s="18">
        <f>K128*'Res Predicted Monthly'!$V$14</f>
        <v>48424797.051816143</v>
      </c>
      <c r="S128" s="30">
        <f t="shared" ca="1" si="120"/>
        <v>63529939.699202143</v>
      </c>
    </row>
    <row r="129" spans="1:19" x14ac:dyDescent="0.2">
      <c r="A129" s="9">
        <v>45870</v>
      </c>
      <c r="B129">
        <f t="shared" si="108"/>
        <v>2025</v>
      </c>
      <c r="C129">
        <f t="shared" si="109"/>
        <v>8</v>
      </c>
      <c r="E129" s="358">
        <f t="shared" ca="1" si="117"/>
        <v>0</v>
      </c>
      <c r="F129" s="358">
        <f t="shared" ca="1" si="117"/>
        <v>246.315</v>
      </c>
      <c r="G129" s="33"/>
      <c r="H129" s="33"/>
      <c r="I129" s="359">
        <f>Economic!M203</f>
        <v>884887.92</v>
      </c>
      <c r="J129" s="358">
        <f t="shared" si="118"/>
        <v>0</v>
      </c>
      <c r="K129" s="83">
        <f t="shared" si="119"/>
        <v>31</v>
      </c>
      <c r="M129" s="18">
        <f>'Res Predicted Monthly'!$V$9</f>
        <v>-23284736.647811599</v>
      </c>
      <c r="N129" s="18">
        <f ca="1">E129*'Res Predicted Monthly'!$V$10</f>
        <v>0</v>
      </c>
      <c r="O129" s="18">
        <f ca="1">F129*'Res Predicted Monthly'!$V$11</f>
        <v>19750481.659556288</v>
      </c>
      <c r="P129" s="18">
        <f>I129*'Res Predicted Monthly'!$V$12</f>
        <v>16927071.809606258</v>
      </c>
      <c r="Q129" s="18">
        <f>J129*'Res Predicted Monthly'!$V$13</f>
        <v>0</v>
      </c>
      <c r="R129" s="18">
        <f>K129*'Res Predicted Monthly'!$V$14</f>
        <v>48424797.051816143</v>
      </c>
      <c r="S129" s="30">
        <f t="shared" ca="1" si="120"/>
        <v>61817613.87316709</v>
      </c>
    </row>
    <row r="130" spans="1:19" x14ac:dyDescent="0.2">
      <c r="A130" s="9">
        <v>45901</v>
      </c>
      <c r="B130">
        <f t="shared" si="108"/>
        <v>2025</v>
      </c>
      <c r="C130">
        <f t="shared" si="109"/>
        <v>9</v>
      </c>
      <c r="E130" s="358">
        <f t="shared" ca="1" si="117"/>
        <v>2.2699999999999996</v>
      </c>
      <c r="F130" s="358">
        <f t="shared" ca="1" si="117"/>
        <v>146.80000000000001</v>
      </c>
      <c r="G130" s="33"/>
      <c r="H130" s="33"/>
      <c r="I130" s="359">
        <f>Economic!M204</f>
        <v>884887.92</v>
      </c>
      <c r="J130" s="358">
        <f t="shared" si="118"/>
        <v>1</v>
      </c>
      <c r="K130" s="83">
        <f t="shared" si="119"/>
        <v>30</v>
      </c>
      <c r="M130" s="18">
        <f>'Res Predicted Monthly'!$V$9</f>
        <v>-23284736.647811599</v>
      </c>
      <c r="N130" s="18">
        <f ca="1">E130*'Res Predicted Monthly'!$V$10</f>
        <v>31066.989800662901</v>
      </c>
      <c r="O130" s="18">
        <f ca="1">F130*'Res Predicted Monthly'!$V$11</f>
        <v>11770987.181547463</v>
      </c>
      <c r="P130" s="18">
        <f>I130*'Res Predicted Monthly'!$V$12</f>
        <v>16927071.809606258</v>
      </c>
      <c r="Q130" s="18">
        <f>J130*'Res Predicted Monthly'!$V$13</f>
        <v>-2837598.3252266399</v>
      </c>
      <c r="R130" s="18">
        <f>K130*'Res Predicted Monthly'!$V$14</f>
        <v>46862706.824338198</v>
      </c>
      <c r="S130" s="30">
        <f t="shared" ca="1" si="120"/>
        <v>49469497.832254343</v>
      </c>
    </row>
    <row r="131" spans="1:19" x14ac:dyDescent="0.2">
      <c r="A131" s="9">
        <v>45931</v>
      </c>
      <c r="B131">
        <f t="shared" si="108"/>
        <v>2025</v>
      </c>
      <c r="C131">
        <f t="shared" si="109"/>
        <v>10</v>
      </c>
      <c r="E131" s="358">
        <f t="shared" ref="E131:F145" ca="1" si="121">E119</f>
        <v>83.800000000000011</v>
      </c>
      <c r="F131" s="358">
        <f t="shared" ca="1" si="121"/>
        <v>36.859999999999992</v>
      </c>
      <c r="G131" s="33"/>
      <c r="H131" s="33"/>
      <c r="I131" s="359">
        <f>Economic!M205</f>
        <v>889096.24204799999</v>
      </c>
      <c r="J131" s="358">
        <f t="shared" si="118"/>
        <v>1</v>
      </c>
      <c r="K131" s="83">
        <f t="shared" si="119"/>
        <v>31</v>
      </c>
      <c r="M131" s="18">
        <f>'Res Predicted Monthly'!$V$9</f>
        <v>-23284736.647811599</v>
      </c>
      <c r="N131" s="18">
        <f ca="1">E131*'Res Predicted Monthly'!$V$10</f>
        <v>1146878.3018923136</v>
      </c>
      <c r="O131" s="18">
        <f ca="1">F131*'Res Predicted Monthly'!$V$11</f>
        <v>2955576.2092087152</v>
      </c>
      <c r="P131" s="18">
        <f>I131*'Res Predicted Monthly'!$V$12</f>
        <v>17007573.043598063</v>
      </c>
      <c r="Q131" s="18">
        <f>J131*'Res Predicted Monthly'!$V$13</f>
        <v>-2837598.3252266399</v>
      </c>
      <c r="R131" s="18">
        <f>K131*'Res Predicted Monthly'!$V$14</f>
        <v>48424797.051816143</v>
      </c>
      <c r="S131" s="30">
        <f t="shared" ca="1" si="120"/>
        <v>43412489.633476995</v>
      </c>
    </row>
    <row r="132" spans="1:19" x14ac:dyDescent="0.2">
      <c r="A132" s="9">
        <v>45962</v>
      </c>
      <c r="B132">
        <f t="shared" si="108"/>
        <v>2025</v>
      </c>
      <c r="C132">
        <f t="shared" si="109"/>
        <v>11</v>
      </c>
      <c r="E132" s="358">
        <f t="shared" ca="1" si="121"/>
        <v>240.7</v>
      </c>
      <c r="F132" s="358">
        <f t="shared" ca="1" si="121"/>
        <v>3.410000000000001</v>
      </c>
      <c r="G132" s="33"/>
      <c r="H132" s="33"/>
      <c r="I132" s="359">
        <f>Economic!M206</f>
        <v>889096.24204799999</v>
      </c>
      <c r="J132" s="358">
        <f t="shared" si="118"/>
        <v>1</v>
      </c>
      <c r="K132" s="83">
        <f t="shared" si="119"/>
        <v>30</v>
      </c>
      <c r="M132" s="18">
        <f>'Res Predicted Monthly'!$V$9</f>
        <v>-23284736.647811599</v>
      </c>
      <c r="N132" s="18">
        <f ca="1">E132*'Res Predicted Monthly'!$V$10</f>
        <v>3294195.7907575159</v>
      </c>
      <c r="O132" s="18">
        <f ca="1">F132*'Res Predicted Monthly'!$V$11</f>
        <v>273426.88207818026</v>
      </c>
      <c r="P132" s="18">
        <f>I132*'Res Predicted Monthly'!$V$12</f>
        <v>17007573.043598063</v>
      </c>
      <c r="Q132" s="18">
        <f>J132*'Res Predicted Monthly'!$V$13</f>
        <v>-2837598.3252266399</v>
      </c>
      <c r="R132" s="18">
        <f>K132*'Res Predicted Monthly'!$V$14</f>
        <v>46862706.824338198</v>
      </c>
      <c r="S132" s="30">
        <f t="shared" ca="1" si="120"/>
        <v>41315567.56773372</v>
      </c>
    </row>
    <row r="133" spans="1:19" x14ac:dyDescent="0.2">
      <c r="A133" s="9">
        <v>45992</v>
      </c>
      <c r="B133">
        <f t="shared" si="108"/>
        <v>2025</v>
      </c>
      <c r="C133">
        <f t="shared" si="109"/>
        <v>12</v>
      </c>
      <c r="E133" s="358">
        <f t="shared" ca="1" si="121"/>
        <v>386.61999999999995</v>
      </c>
      <c r="F133" s="358">
        <f t="shared" ca="1" si="121"/>
        <v>0</v>
      </c>
      <c r="G133" s="33"/>
      <c r="H133" s="33"/>
      <c r="I133" s="359">
        <f>Economic!M207</f>
        <v>889096.24204799999</v>
      </c>
      <c r="J133" s="358">
        <f t="shared" si="118"/>
        <v>0</v>
      </c>
      <c r="K133" s="83">
        <f t="shared" si="119"/>
        <v>31</v>
      </c>
      <c r="M133" s="18">
        <f>'Res Predicted Monthly'!$V$9</f>
        <v>-23284736.647811599</v>
      </c>
      <c r="N133" s="18">
        <f ca="1">E133*'Res Predicted Monthly'!$V$10</f>
        <v>5291242.1130979257</v>
      </c>
      <c r="O133" s="18">
        <f ca="1">F133*'Res Predicted Monthly'!$V$11</f>
        <v>0</v>
      </c>
      <c r="P133" s="18">
        <f>I133*'Res Predicted Monthly'!$V$12</f>
        <v>17007573.043598063</v>
      </c>
      <c r="Q133" s="18">
        <f>J133*'Res Predicted Monthly'!$V$13</f>
        <v>0</v>
      </c>
      <c r="R133" s="18">
        <f>K133*'Res Predicted Monthly'!$V$14</f>
        <v>48424797.051816143</v>
      </c>
      <c r="S133" s="30">
        <f t="shared" ca="1" si="120"/>
        <v>47438875.560700536</v>
      </c>
    </row>
    <row r="134" spans="1:19" x14ac:dyDescent="0.2">
      <c r="A134" s="9">
        <v>46023</v>
      </c>
      <c r="B134">
        <f t="shared" ref="B134:B145" si="122">YEAR(A134)</f>
        <v>2026</v>
      </c>
      <c r="C134">
        <f t="shared" ref="C134:C145" si="123">MONTH(A134)</f>
        <v>1</v>
      </c>
      <c r="E134" s="358">
        <f t="shared" ca="1" si="121"/>
        <v>508.54000000000008</v>
      </c>
      <c r="F134" s="358">
        <f t="shared" ca="1" si="121"/>
        <v>0</v>
      </c>
      <c r="G134" s="33"/>
      <c r="H134" s="33"/>
      <c r="I134" s="359">
        <f>Economic!M208</f>
        <v>888448.393728</v>
      </c>
      <c r="J134" s="358">
        <f t="shared" si="118"/>
        <v>0</v>
      </c>
      <c r="K134" s="83">
        <f t="shared" si="119"/>
        <v>31</v>
      </c>
      <c r="M134" s="18">
        <f>'Res Predicted Monthly'!$V$9</f>
        <v>-23284736.647811599</v>
      </c>
      <c r="N134" s="18">
        <f ca="1">E134*'Res Predicted Monthly'!$V$10</f>
        <v>6959826.8692639284</v>
      </c>
      <c r="O134" s="18">
        <f ca="1">F134*'Res Predicted Monthly'!$V$11</f>
        <v>0</v>
      </c>
      <c r="P134" s="18">
        <f>I134*'Res Predicted Monthly'!$V$12</f>
        <v>16995180.315901689</v>
      </c>
      <c r="Q134" s="18">
        <f>J134*'Res Predicted Monthly'!$V$13</f>
        <v>0</v>
      </c>
      <c r="R134" s="18">
        <f>K134*'Res Predicted Monthly'!$V$14</f>
        <v>48424797.051816143</v>
      </c>
      <c r="S134" s="30">
        <f t="shared" ca="1" si="120"/>
        <v>49095067.589170158</v>
      </c>
    </row>
    <row r="135" spans="1:19" x14ac:dyDescent="0.2">
      <c r="A135" s="9">
        <v>46054</v>
      </c>
      <c r="B135">
        <f t="shared" si="122"/>
        <v>2026</v>
      </c>
      <c r="C135">
        <f t="shared" si="123"/>
        <v>2</v>
      </c>
      <c r="E135" s="358">
        <f t="shared" ca="1" si="121"/>
        <v>451.10999999999996</v>
      </c>
      <c r="F135" s="358">
        <f t="shared" ca="1" si="121"/>
        <v>0</v>
      </c>
      <c r="G135" s="33"/>
      <c r="H135" s="33"/>
      <c r="I135" s="359">
        <f>Economic!M209</f>
        <v>888448.393728</v>
      </c>
      <c r="J135" s="358">
        <f t="shared" si="118"/>
        <v>0</v>
      </c>
      <c r="K135" s="83">
        <f t="shared" si="119"/>
        <v>28</v>
      </c>
      <c r="M135" s="18">
        <f>'Res Predicted Monthly'!$V$9</f>
        <v>-23284736.647811599</v>
      </c>
      <c r="N135" s="18">
        <f ca="1">E135*'Res Predicted Monthly'!$V$10</f>
        <v>6173845.7132057454</v>
      </c>
      <c r="O135" s="18">
        <f ca="1">F135*'Res Predicted Monthly'!$V$11</f>
        <v>0</v>
      </c>
      <c r="P135" s="18">
        <f>I135*'Res Predicted Monthly'!$V$12</f>
        <v>16995180.315901689</v>
      </c>
      <c r="Q135" s="18">
        <f>J135*'Res Predicted Monthly'!$V$13</f>
        <v>0</v>
      </c>
      <c r="R135" s="18">
        <f>K135*'Res Predicted Monthly'!$V$14</f>
        <v>43738526.369382322</v>
      </c>
      <c r="S135" s="30">
        <f t="shared" ca="1" si="120"/>
        <v>43622815.750678159</v>
      </c>
    </row>
    <row r="136" spans="1:19" x14ac:dyDescent="0.2">
      <c r="A136" s="9">
        <v>46082</v>
      </c>
      <c r="B136">
        <f t="shared" si="122"/>
        <v>2026</v>
      </c>
      <c r="C136">
        <f t="shared" si="123"/>
        <v>3</v>
      </c>
      <c r="E136" s="358">
        <f t="shared" ca="1" si="121"/>
        <v>374.74</v>
      </c>
      <c r="F136" s="358">
        <f t="shared" ca="1" si="121"/>
        <v>0</v>
      </c>
      <c r="G136" s="33"/>
      <c r="H136" s="33"/>
      <c r="I136" s="359">
        <f>Economic!M210</f>
        <v>888448.393728</v>
      </c>
      <c r="J136" s="358">
        <f t="shared" si="118"/>
        <v>1</v>
      </c>
      <c r="K136" s="83">
        <f t="shared" si="119"/>
        <v>31</v>
      </c>
      <c r="M136" s="18">
        <f>'Res Predicted Monthly'!$V$9</f>
        <v>-23284736.647811599</v>
      </c>
      <c r="N136" s="18">
        <f ca="1">E136*'Res Predicted Monthly'!$V$10</f>
        <v>5128653.6378415944</v>
      </c>
      <c r="O136" s="18">
        <f ca="1">F136*'Res Predicted Monthly'!$V$11</f>
        <v>0</v>
      </c>
      <c r="P136" s="18">
        <f>I136*'Res Predicted Monthly'!$V$12</f>
        <v>16995180.315901689</v>
      </c>
      <c r="Q136" s="18">
        <f>J136*'Res Predicted Monthly'!$V$13</f>
        <v>-2837598.3252266399</v>
      </c>
      <c r="R136" s="18">
        <f>K136*'Res Predicted Monthly'!$V$14</f>
        <v>48424797.051816143</v>
      </c>
      <c r="S136" s="30">
        <f t="shared" ca="1" si="120"/>
        <v>44426296.032521188</v>
      </c>
    </row>
    <row r="137" spans="1:19" x14ac:dyDescent="0.2">
      <c r="A137" s="9">
        <v>46113</v>
      </c>
      <c r="B137">
        <f t="shared" si="122"/>
        <v>2026</v>
      </c>
      <c r="C137">
        <f t="shared" si="123"/>
        <v>4</v>
      </c>
      <c r="E137" s="358">
        <f t="shared" ca="1" si="121"/>
        <v>221.12999999999997</v>
      </c>
      <c r="F137" s="358">
        <f t="shared" ca="1" si="121"/>
        <v>2.6300000000000003</v>
      </c>
      <c r="G137" s="33"/>
      <c r="H137" s="33"/>
      <c r="I137" s="359">
        <f>Economic!M211</f>
        <v>891225.29663999996</v>
      </c>
      <c r="J137" s="358">
        <f t="shared" si="118"/>
        <v>1</v>
      </c>
      <c r="K137" s="83">
        <f t="shared" si="119"/>
        <v>30</v>
      </c>
      <c r="M137" s="18">
        <f>'Res Predicted Monthly'!$V$9</f>
        <v>-23284736.647811599</v>
      </c>
      <c r="N137" s="18">
        <f ca="1">E137*'Res Predicted Monthly'!$V$10</f>
        <v>3026362.755339466</v>
      </c>
      <c r="O137" s="18">
        <f ca="1">F137*'Res Predicted Monthly'!$V$11</f>
        <v>210883.48969666098</v>
      </c>
      <c r="P137" s="18">
        <f>I137*'Res Predicted Monthly'!$V$12</f>
        <v>17048299.851085</v>
      </c>
      <c r="Q137" s="18">
        <f>J137*'Res Predicted Monthly'!$V$13</f>
        <v>-2837598.3252266399</v>
      </c>
      <c r="R137" s="18">
        <f>K137*'Res Predicted Monthly'!$V$14</f>
        <v>46862706.824338198</v>
      </c>
      <c r="S137" s="30">
        <f t="shared" ca="1" si="120"/>
        <v>41025917.947421081</v>
      </c>
    </row>
    <row r="138" spans="1:19" x14ac:dyDescent="0.2">
      <c r="A138" s="9">
        <v>46143</v>
      </c>
      <c r="B138">
        <f t="shared" si="122"/>
        <v>2026</v>
      </c>
      <c r="C138">
        <f t="shared" si="123"/>
        <v>5</v>
      </c>
      <c r="E138" s="358">
        <f t="shared" ca="1" si="121"/>
        <v>74.8</v>
      </c>
      <c r="F138" s="358">
        <f t="shared" ca="1" si="121"/>
        <v>50.489999999999995</v>
      </c>
      <c r="G138" s="33"/>
      <c r="H138" s="33"/>
      <c r="I138" s="359">
        <f>Economic!M212</f>
        <v>891225.29663999996</v>
      </c>
      <c r="J138" s="358">
        <f t="shared" si="118"/>
        <v>1</v>
      </c>
      <c r="K138" s="83">
        <f t="shared" si="119"/>
        <v>31</v>
      </c>
      <c r="M138" s="18">
        <f>'Res Predicted Monthly'!$V$9</f>
        <v>-23284736.647811599</v>
      </c>
      <c r="N138" s="18">
        <f ca="1">E138*'Res Predicted Monthly'!$V$10</f>
        <v>1023705.2145769099</v>
      </c>
      <c r="O138" s="18">
        <f ca="1">F138*'Res Predicted Monthly'!$V$11</f>
        <v>4048481.8991575702</v>
      </c>
      <c r="P138" s="18">
        <f>I138*'Res Predicted Monthly'!$V$12</f>
        <v>17048299.851085</v>
      </c>
      <c r="Q138" s="18">
        <f>J138*'Res Predicted Monthly'!$V$13</f>
        <v>-2837598.3252266399</v>
      </c>
      <c r="R138" s="18">
        <f>K138*'Res Predicted Monthly'!$V$14</f>
        <v>48424797.051816143</v>
      </c>
      <c r="S138" s="30">
        <f t="shared" ca="1" si="120"/>
        <v>44422949.043597385</v>
      </c>
    </row>
    <row r="139" spans="1:19" x14ac:dyDescent="0.2">
      <c r="A139" s="9">
        <v>46174</v>
      </c>
      <c r="B139">
        <f t="shared" si="122"/>
        <v>2026</v>
      </c>
      <c r="C139">
        <f t="shared" si="123"/>
        <v>6</v>
      </c>
      <c r="E139" s="358">
        <f t="shared" ca="1" si="121"/>
        <v>2.15</v>
      </c>
      <c r="F139" s="358">
        <f t="shared" ca="1" si="121"/>
        <v>154.05000000000001</v>
      </c>
      <c r="G139" s="33"/>
      <c r="H139" s="33"/>
      <c r="I139" s="359">
        <f>Economic!M213</f>
        <v>891225.29663999996</v>
      </c>
      <c r="J139" s="358">
        <f t="shared" si="118"/>
        <v>0</v>
      </c>
      <c r="K139" s="83">
        <f t="shared" si="119"/>
        <v>30</v>
      </c>
      <c r="M139" s="18">
        <f>'Res Predicted Monthly'!$V$9</f>
        <v>-23284736.647811599</v>
      </c>
      <c r="N139" s="18">
        <f ca="1">E139*'Res Predicted Monthly'!$V$10</f>
        <v>29424.681969790858</v>
      </c>
      <c r="O139" s="18">
        <f ca="1">F139*'Res Predicted Monthly'!$V$11</f>
        <v>12352319.995350046</v>
      </c>
      <c r="P139" s="18">
        <f>I139*'Res Predicted Monthly'!$V$12</f>
        <v>17048299.851085</v>
      </c>
      <c r="Q139" s="18">
        <f>J139*'Res Predicted Monthly'!$V$13</f>
        <v>0</v>
      </c>
      <c r="R139" s="18">
        <f>K139*'Res Predicted Monthly'!$V$14</f>
        <v>46862706.824338198</v>
      </c>
      <c r="S139" s="30">
        <f t="shared" ca="1" si="120"/>
        <v>53008014.704931438</v>
      </c>
    </row>
    <row r="140" spans="1:19" x14ac:dyDescent="0.2">
      <c r="A140" s="9">
        <v>46204</v>
      </c>
      <c r="B140">
        <f t="shared" si="122"/>
        <v>2026</v>
      </c>
      <c r="C140">
        <f t="shared" si="123"/>
        <v>7</v>
      </c>
      <c r="E140" s="358">
        <f t="shared" ca="1" si="121"/>
        <v>0</v>
      </c>
      <c r="F140" s="358">
        <f t="shared" ca="1" si="121"/>
        <v>267.66999999999996</v>
      </c>
      <c r="G140" s="33"/>
      <c r="H140" s="33"/>
      <c r="I140" s="359">
        <f>Economic!M214</f>
        <v>891967.02335999999</v>
      </c>
      <c r="J140" s="358">
        <f t="shared" si="118"/>
        <v>0</v>
      </c>
      <c r="K140" s="83">
        <f t="shared" si="119"/>
        <v>31</v>
      </c>
      <c r="M140" s="18">
        <f>'Res Predicted Monthly'!$V$9</f>
        <v>-23284736.647811599</v>
      </c>
      <c r="N140" s="18">
        <f ca="1">E140*'Res Predicted Monthly'!$V$10</f>
        <v>0</v>
      </c>
      <c r="O140" s="18">
        <f ca="1">F140*'Res Predicted Monthly'!$V$11</f>
        <v>21462807.485591341</v>
      </c>
      <c r="P140" s="18">
        <f>I140*'Res Predicted Monthly'!$V$12</f>
        <v>17062488.384083107</v>
      </c>
      <c r="Q140" s="18">
        <f>J140*'Res Predicted Monthly'!$V$13</f>
        <v>0</v>
      </c>
      <c r="R140" s="18">
        <f>K140*'Res Predicted Monthly'!$V$14</f>
        <v>48424797.051816143</v>
      </c>
      <c r="S140" s="30">
        <f t="shared" ca="1" si="120"/>
        <v>63665356.273678988</v>
      </c>
    </row>
    <row r="141" spans="1:19" x14ac:dyDescent="0.2">
      <c r="A141" s="9">
        <v>46235</v>
      </c>
      <c r="B141">
        <f t="shared" si="122"/>
        <v>2026</v>
      </c>
      <c r="C141">
        <f t="shared" si="123"/>
        <v>8</v>
      </c>
      <c r="E141" s="358">
        <f t="shared" ca="1" si="121"/>
        <v>0</v>
      </c>
      <c r="F141" s="358">
        <f t="shared" ca="1" si="121"/>
        <v>246.315</v>
      </c>
      <c r="G141" s="33"/>
      <c r="H141" s="33"/>
      <c r="I141" s="359">
        <f>Economic!M215</f>
        <v>891967.02335999999</v>
      </c>
      <c r="J141" s="358">
        <f t="shared" si="118"/>
        <v>0</v>
      </c>
      <c r="K141" s="83">
        <f t="shared" si="119"/>
        <v>31</v>
      </c>
      <c r="M141" s="18">
        <f>'Res Predicted Monthly'!$V$9</f>
        <v>-23284736.647811599</v>
      </c>
      <c r="N141" s="18">
        <f ca="1">E141*'Res Predicted Monthly'!$V$10</f>
        <v>0</v>
      </c>
      <c r="O141" s="18">
        <f ca="1">F141*'Res Predicted Monthly'!$V$11</f>
        <v>19750481.659556288</v>
      </c>
      <c r="P141" s="18">
        <f>I141*'Res Predicted Monthly'!$V$12</f>
        <v>17062488.384083107</v>
      </c>
      <c r="Q141" s="18">
        <f>J141*'Res Predicted Monthly'!$V$13</f>
        <v>0</v>
      </c>
      <c r="R141" s="18">
        <f>K141*'Res Predicted Monthly'!$V$14</f>
        <v>48424797.051816143</v>
      </c>
      <c r="S141" s="30">
        <f t="shared" ca="1" si="120"/>
        <v>61953030.447643936</v>
      </c>
    </row>
    <row r="142" spans="1:19" x14ac:dyDescent="0.2">
      <c r="A142" s="9">
        <v>46266</v>
      </c>
      <c r="B142">
        <f t="shared" si="122"/>
        <v>2026</v>
      </c>
      <c r="C142">
        <f t="shared" si="123"/>
        <v>9</v>
      </c>
      <c r="E142" s="358">
        <f t="shared" ca="1" si="121"/>
        <v>2.2699999999999996</v>
      </c>
      <c r="F142" s="358">
        <f t="shared" ca="1" si="121"/>
        <v>146.80000000000001</v>
      </c>
      <c r="G142" s="33"/>
      <c r="H142" s="33"/>
      <c r="I142" s="359">
        <f>Economic!M216</f>
        <v>891967.02335999999</v>
      </c>
      <c r="J142" s="358">
        <f t="shared" si="118"/>
        <v>1</v>
      </c>
      <c r="K142" s="83">
        <f t="shared" si="119"/>
        <v>30</v>
      </c>
      <c r="M142" s="18">
        <f>'Res Predicted Monthly'!$V$9</f>
        <v>-23284736.647811599</v>
      </c>
      <c r="N142" s="18">
        <f ca="1">E142*'Res Predicted Monthly'!$V$10</f>
        <v>31066.989800662901</v>
      </c>
      <c r="O142" s="18">
        <f ca="1">F142*'Res Predicted Monthly'!$V$11</f>
        <v>11770987.181547463</v>
      </c>
      <c r="P142" s="18">
        <f>I142*'Res Predicted Monthly'!$V$12</f>
        <v>17062488.384083107</v>
      </c>
      <c r="Q142" s="18">
        <f>J142*'Res Predicted Monthly'!$V$13</f>
        <v>-2837598.3252266399</v>
      </c>
      <c r="R142" s="18">
        <f>K142*'Res Predicted Monthly'!$V$14</f>
        <v>46862706.824338198</v>
      </c>
      <c r="S142" s="30">
        <f t="shared" ca="1" si="120"/>
        <v>49604914.406731188</v>
      </c>
    </row>
    <row r="143" spans="1:19" x14ac:dyDescent="0.2">
      <c r="A143" s="9">
        <v>46296</v>
      </c>
      <c r="B143">
        <f t="shared" si="122"/>
        <v>2026</v>
      </c>
      <c r="C143">
        <f t="shared" si="123"/>
        <v>10</v>
      </c>
      <c r="E143" s="358">
        <f t="shared" ca="1" si="121"/>
        <v>83.800000000000011</v>
      </c>
      <c r="F143" s="358">
        <f t="shared" ca="1" si="121"/>
        <v>36.859999999999992</v>
      </c>
      <c r="G143" s="33"/>
      <c r="H143" s="33"/>
      <c r="I143" s="359">
        <f>Economic!M217</f>
        <v>896209.01198438404</v>
      </c>
      <c r="J143" s="358">
        <f t="shared" si="118"/>
        <v>1</v>
      </c>
      <c r="K143" s="83">
        <f t="shared" si="119"/>
        <v>31</v>
      </c>
      <c r="M143" s="18">
        <f>'Res Predicted Monthly'!$V$9</f>
        <v>-23284736.647811599</v>
      </c>
      <c r="N143" s="18">
        <f ca="1">E143*'Res Predicted Monthly'!$V$10</f>
        <v>1146878.3018923136</v>
      </c>
      <c r="O143" s="18">
        <f ca="1">F143*'Res Predicted Monthly'!$V$11</f>
        <v>2955576.2092087152</v>
      </c>
      <c r="P143" s="18">
        <f>I143*'Res Predicted Monthly'!$V$12</f>
        <v>17143633.62794685</v>
      </c>
      <c r="Q143" s="18">
        <f>J143*'Res Predicted Monthly'!$V$13</f>
        <v>-2837598.3252266399</v>
      </c>
      <c r="R143" s="18">
        <f>K143*'Res Predicted Monthly'!$V$14</f>
        <v>48424797.051816143</v>
      </c>
      <c r="S143" s="30">
        <f t="shared" ca="1" si="120"/>
        <v>43548550.217825785</v>
      </c>
    </row>
    <row r="144" spans="1:19" x14ac:dyDescent="0.2">
      <c r="A144" s="9">
        <v>46327</v>
      </c>
      <c r="B144">
        <f t="shared" si="122"/>
        <v>2026</v>
      </c>
      <c r="C144">
        <f t="shared" si="123"/>
        <v>11</v>
      </c>
      <c r="E144" s="358">
        <f t="shared" ca="1" si="121"/>
        <v>240.7</v>
      </c>
      <c r="F144" s="358">
        <f t="shared" ca="1" si="121"/>
        <v>3.410000000000001</v>
      </c>
      <c r="G144" s="33"/>
      <c r="H144" s="33"/>
      <c r="I144" s="359">
        <f>Economic!M218</f>
        <v>896209.01198438404</v>
      </c>
      <c r="J144" s="358">
        <f t="shared" si="118"/>
        <v>1</v>
      </c>
      <c r="K144" s="83">
        <f t="shared" si="119"/>
        <v>30</v>
      </c>
      <c r="M144" s="18">
        <f>'Res Predicted Monthly'!$V$9</f>
        <v>-23284736.647811599</v>
      </c>
      <c r="N144" s="18">
        <f ca="1">E144*'Res Predicted Monthly'!$V$10</f>
        <v>3294195.7907575159</v>
      </c>
      <c r="O144" s="18">
        <f ca="1">F144*'Res Predicted Monthly'!$V$11</f>
        <v>273426.88207818026</v>
      </c>
      <c r="P144" s="18">
        <f>I144*'Res Predicted Monthly'!$V$12</f>
        <v>17143633.62794685</v>
      </c>
      <c r="Q144" s="18">
        <f>J144*'Res Predicted Monthly'!$V$13</f>
        <v>-2837598.3252266399</v>
      </c>
      <c r="R144" s="18">
        <f>K144*'Res Predicted Monthly'!$V$14</f>
        <v>46862706.824338198</v>
      </c>
      <c r="S144" s="30">
        <f t="shared" ca="1" si="120"/>
        <v>41451628.152082503</v>
      </c>
    </row>
    <row r="145" spans="1:19" x14ac:dyDescent="0.2">
      <c r="A145" s="9">
        <v>46357</v>
      </c>
      <c r="B145">
        <f t="shared" si="122"/>
        <v>2026</v>
      </c>
      <c r="C145">
        <f t="shared" si="123"/>
        <v>12</v>
      </c>
      <c r="E145" s="358">
        <f t="shared" ca="1" si="121"/>
        <v>386.61999999999995</v>
      </c>
      <c r="F145" s="358">
        <f t="shared" ca="1" si="121"/>
        <v>0</v>
      </c>
      <c r="G145" s="33"/>
      <c r="H145" s="33"/>
      <c r="I145" s="359">
        <f>Economic!M219</f>
        <v>896209.01198438404</v>
      </c>
      <c r="J145" s="358">
        <f t="shared" si="118"/>
        <v>0</v>
      </c>
      <c r="K145" s="83">
        <f t="shared" si="119"/>
        <v>31</v>
      </c>
      <c r="M145" s="18">
        <f>'Res Predicted Monthly'!$V$9</f>
        <v>-23284736.647811599</v>
      </c>
      <c r="N145" s="18">
        <f ca="1">E145*'Res Predicted Monthly'!$V$10</f>
        <v>5291242.1130979257</v>
      </c>
      <c r="O145" s="18">
        <f ca="1">F145*'Res Predicted Monthly'!$V$11</f>
        <v>0</v>
      </c>
      <c r="P145" s="18">
        <f>I145*'Res Predicted Monthly'!$V$12</f>
        <v>17143633.62794685</v>
      </c>
      <c r="Q145" s="18">
        <f>J145*'Res Predicted Monthly'!$V$13</f>
        <v>0</v>
      </c>
      <c r="R145" s="18">
        <f>K145*'Res Predicted Monthly'!$V$14</f>
        <v>48424797.051816143</v>
      </c>
      <c r="S145" s="30">
        <f t="shared" ca="1" si="120"/>
        <v>47574936.145049319</v>
      </c>
    </row>
    <row r="194" spans="1:19" x14ac:dyDescent="0.2">
      <c r="A194" s="9"/>
      <c r="E194" s="33"/>
      <c r="F194" s="33"/>
      <c r="G194" s="33"/>
      <c r="H194" s="33"/>
      <c r="I194" s="18"/>
      <c r="K194" s="33"/>
      <c r="P194" s="32"/>
      <c r="R194" s="32"/>
      <c r="S194" s="30"/>
    </row>
    <row r="196" spans="1:19" x14ac:dyDescent="0.2">
      <c r="I196" s="18"/>
      <c r="N196" s="18"/>
      <c r="O196" s="18"/>
      <c r="P196" s="18"/>
      <c r="Q196" s="18"/>
      <c r="R196" s="18"/>
      <c r="S196" s="18"/>
    </row>
    <row r="197" spans="1:19" x14ac:dyDescent="0.2">
      <c r="I197" s="18"/>
      <c r="N197" s="18"/>
      <c r="O197" s="18"/>
      <c r="P197" s="18"/>
      <c r="Q197" s="18"/>
      <c r="R197" s="18"/>
      <c r="S197" s="18"/>
    </row>
    <row r="198" spans="1:19" x14ac:dyDescent="0.2">
      <c r="I198" s="18"/>
      <c r="N198" s="18"/>
      <c r="O198" s="18"/>
      <c r="P198" s="18"/>
      <c r="Q198" s="18"/>
      <c r="R198" s="18"/>
      <c r="S198" s="18"/>
    </row>
    <row r="199" spans="1:19" x14ac:dyDescent="0.2">
      <c r="I199" s="18"/>
      <c r="N199" s="18"/>
      <c r="O199" s="18"/>
      <c r="P199" s="18"/>
      <c r="Q199" s="18"/>
      <c r="R199" s="18"/>
      <c r="S199" s="18"/>
    </row>
    <row r="200" spans="1:19" x14ac:dyDescent="0.2">
      <c r="I200" s="18"/>
      <c r="N200" s="18"/>
      <c r="O200" s="18"/>
      <c r="P200" s="18"/>
      <c r="Q200" s="18"/>
      <c r="R200" s="18"/>
      <c r="S200" s="18"/>
    </row>
    <row r="201" spans="1:19" x14ac:dyDescent="0.2">
      <c r="I201" s="18"/>
      <c r="N201" s="18"/>
      <c r="O201" s="18"/>
      <c r="P201" s="18"/>
      <c r="Q201" s="18"/>
      <c r="R201" s="18"/>
      <c r="S201" s="18"/>
    </row>
    <row r="202" spans="1:19" x14ac:dyDescent="0.2">
      <c r="I202" s="18"/>
      <c r="N202" s="18"/>
      <c r="O202" s="18"/>
      <c r="P202" s="18"/>
      <c r="Q202" s="18"/>
      <c r="R202" s="18"/>
      <c r="S202" s="18"/>
    </row>
    <row r="203" spans="1:19" x14ac:dyDescent="0.2">
      <c r="I203" s="18"/>
      <c r="N203" s="18"/>
      <c r="O203" s="18"/>
      <c r="P203" s="18"/>
      <c r="Q203" s="18"/>
      <c r="R203" s="18"/>
      <c r="S203" s="18"/>
    </row>
    <row r="205" spans="1:19" x14ac:dyDescent="0.2">
      <c r="M205" s="31"/>
      <c r="N205" s="31"/>
      <c r="O205" s="31"/>
      <c r="P205" s="31"/>
      <c r="Q205" s="31"/>
      <c r="R205" s="31"/>
      <c r="S205" s="31"/>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4C954-9394-43E6-BA36-E8D48A6E3C9E}">
  <sheetPr codeName="Sheet8">
    <tabColor theme="6" tint="0.59999389629810485"/>
  </sheetPr>
  <dimension ref="A1:Y204"/>
  <sheetViews>
    <sheetView topLeftCell="O1" workbookViewId="0">
      <selection activeCell="S25" sqref="S25"/>
    </sheetView>
  </sheetViews>
  <sheetFormatPr defaultColWidth="9.33203125" defaultRowHeight="12.75" x14ac:dyDescent="0.2"/>
  <cols>
    <col min="4" max="4" width="17.5" customWidth="1"/>
    <col min="9" max="9" width="9.33203125" style="18"/>
    <col min="10" max="10" width="10.6640625" customWidth="1"/>
    <col min="12" max="12" width="12.5" customWidth="1"/>
    <col min="14" max="14" width="14.6640625" bestFit="1" customWidth="1"/>
    <col min="15" max="16" width="12.83203125" bestFit="1" customWidth="1"/>
    <col min="17" max="17" width="12.5" customWidth="1"/>
    <col min="18" max="18" width="15.5" customWidth="1"/>
    <col min="19" max="20" width="16.1640625" customWidth="1"/>
    <col min="21" max="21" width="14.1640625" bestFit="1" customWidth="1"/>
    <col min="23" max="23" width="13.83203125" bestFit="1" customWidth="1"/>
    <col min="24" max="24" width="14.83203125" bestFit="1" customWidth="1"/>
  </cols>
  <sheetData>
    <row r="1" spans="1:21" x14ac:dyDescent="0.2">
      <c r="A1" s="373" t="str">
        <f>'Monthly Data'!A1</f>
        <v>Date</v>
      </c>
      <c r="B1" s="351" t="s">
        <v>0</v>
      </c>
      <c r="C1" s="351" t="s">
        <v>28</v>
      </c>
      <c r="D1" s="374" t="str">
        <f>'Monthly Data'!J1</f>
        <v>GS_lt_50_NoCDM</v>
      </c>
      <c r="E1" s="375" t="str">
        <f>G1&amp;"Norm"</f>
        <v>HDD14Norm</v>
      </c>
      <c r="F1" s="375" t="str">
        <f>H1&amp;"Norm"</f>
        <v>CDD14Norm</v>
      </c>
      <c r="G1" s="375" t="str">
        <f>'Monthly Data'!AV1</f>
        <v>HDD14</v>
      </c>
      <c r="H1" s="375" t="str">
        <f>'Monthly Data'!AW1</f>
        <v>CDD14</v>
      </c>
      <c r="I1" s="376" t="str">
        <f>'Monthly Data'!AN1</f>
        <v>OEA_GDPChange</v>
      </c>
      <c r="J1" s="375" t="str">
        <f>'Monthly Data'!K1</f>
        <v>GS_lt_50_Customers</v>
      </c>
      <c r="K1" s="374" t="str">
        <f>'Monthly Data'!BR1</f>
        <v>Shoulder</v>
      </c>
      <c r="L1" s="375" t="str">
        <f>'Monthly Data'!BT1</f>
        <v>Month Days</v>
      </c>
      <c r="N1" s="375" t="s">
        <v>72</v>
      </c>
      <c r="O1" s="375" t="str">
        <f>E1</f>
        <v>HDD14Norm</v>
      </c>
      <c r="P1" s="375" t="str">
        <f>F1</f>
        <v>CDD14Norm</v>
      </c>
      <c r="Q1" s="375" t="str">
        <f>I1</f>
        <v>OEA_GDPChange</v>
      </c>
      <c r="R1" s="375" t="str">
        <f>J1</f>
        <v>GS_lt_50_Customers</v>
      </c>
      <c r="S1" s="375" t="str">
        <f>K1</f>
        <v>Shoulder</v>
      </c>
      <c r="T1" s="375" t="str">
        <f>L1</f>
        <v>Month Days</v>
      </c>
      <c r="U1" s="351" t="s">
        <v>109</v>
      </c>
    </row>
    <row r="2" spans="1:21" x14ac:dyDescent="0.2">
      <c r="A2" s="9">
        <f>'Monthly Data'!A2</f>
        <v>42005</v>
      </c>
      <c r="B2">
        <f t="shared" ref="B2:B55" si="0">YEAR(A2)</f>
        <v>2015</v>
      </c>
      <c r="C2">
        <f t="shared" ref="C2:C55" si="1">MONTH(A2)</f>
        <v>1</v>
      </c>
      <c r="D2" s="30">
        <f>'Monthly Data'!J2</f>
        <v>15817525.215486044</v>
      </c>
      <c r="E2" s="33">
        <f ca="1">Weather!BR56</f>
        <v>508.54000000000008</v>
      </c>
      <c r="F2" s="33">
        <f ca="1">Weather!BS56</f>
        <v>0</v>
      </c>
      <c r="G2" s="33">
        <f>'Monthly Data'!AV2</f>
        <v>615.5999999999998</v>
      </c>
      <c r="H2" s="33">
        <f>'Monthly Data'!AW2</f>
        <v>0</v>
      </c>
      <c r="I2" s="18">
        <f>'Monthly Data'!AN2</f>
        <v>1611</v>
      </c>
      <c r="J2" s="8">
        <f>'Monthly Data'!K2</f>
        <v>5230</v>
      </c>
      <c r="K2" s="30">
        <f>'Monthly Data'!BR2</f>
        <v>0</v>
      </c>
      <c r="L2" s="30">
        <f>'Monthly Data'!BT2</f>
        <v>31</v>
      </c>
      <c r="N2" s="18"/>
      <c r="O2" s="18">
        <f ca="1">(E2-G2)*'GS&lt;50 Predicted Monthly'!$X$9</f>
        <v>-504451.70485642675</v>
      </c>
      <c r="P2" s="18">
        <f ca="1">(F2-H2)*'GS&lt;50 Predicted Monthly'!$X$10</f>
        <v>0</v>
      </c>
      <c r="Q2" s="18"/>
      <c r="R2" s="18"/>
      <c r="S2" s="18"/>
      <c r="T2" s="18"/>
      <c r="U2" s="20">
        <f t="shared" ref="U2:U5" ca="1" si="2">D2+O2+P2</f>
        <v>15313073.510629617</v>
      </c>
    </row>
    <row r="3" spans="1:21" x14ac:dyDescent="0.2">
      <c r="A3" s="9">
        <f>'Monthly Data'!A3</f>
        <v>42036</v>
      </c>
      <c r="B3">
        <f t="shared" si="0"/>
        <v>2015</v>
      </c>
      <c r="C3">
        <f t="shared" si="1"/>
        <v>2</v>
      </c>
      <c r="D3" s="30">
        <f>'Monthly Data'!J3</f>
        <v>14777649.244217517</v>
      </c>
      <c r="E3" s="33">
        <f ca="1">Weather!BR57</f>
        <v>451.10999999999996</v>
      </c>
      <c r="F3" s="33">
        <f ca="1">Weather!BS57</f>
        <v>0</v>
      </c>
      <c r="G3" s="33">
        <f>'Monthly Data'!AV3</f>
        <v>703.89999999999986</v>
      </c>
      <c r="H3" s="33">
        <f>'Monthly Data'!AW3</f>
        <v>0</v>
      </c>
      <c r="I3" s="18">
        <f>'Monthly Data'!AN3</f>
        <v>1611</v>
      </c>
      <c r="J3" s="8">
        <f>'Monthly Data'!K3</f>
        <v>5234</v>
      </c>
      <c r="K3" s="30">
        <f>'Monthly Data'!BR3</f>
        <v>0</v>
      </c>
      <c r="L3" s="30">
        <f>'Monthly Data'!BT3</f>
        <v>28</v>
      </c>
      <c r="N3" s="18"/>
      <c r="O3" s="18">
        <f ca="1">(E3-G3)*'GS&lt;50 Predicted Monthly'!$X$9</f>
        <v>-1191111.0262530956</v>
      </c>
      <c r="P3" s="18">
        <f ca="1">(F3-H3)*'GS&lt;50 Predicted Monthly'!$X$10</f>
        <v>0</v>
      </c>
      <c r="Q3" s="18"/>
      <c r="R3" s="18"/>
      <c r="S3" s="18"/>
      <c r="T3" s="18"/>
      <c r="U3" s="20">
        <f t="shared" ca="1" si="2"/>
        <v>13586538.217964422</v>
      </c>
    </row>
    <row r="4" spans="1:21" x14ac:dyDescent="0.2">
      <c r="A4" s="9">
        <f>'Monthly Data'!A4</f>
        <v>42064</v>
      </c>
      <c r="B4">
        <f t="shared" si="0"/>
        <v>2015</v>
      </c>
      <c r="C4">
        <f t="shared" si="1"/>
        <v>3</v>
      </c>
      <c r="D4" s="30">
        <f>'Monthly Data'!J4</f>
        <v>15200272.27294899</v>
      </c>
      <c r="E4" s="33">
        <f ca="1">Weather!BR58</f>
        <v>374.74</v>
      </c>
      <c r="F4" s="33">
        <f ca="1">Weather!BS58</f>
        <v>0</v>
      </c>
      <c r="G4" s="33">
        <f>'Monthly Data'!AV4</f>
        <v>469.99999999999994</v>
      </c>
      <c r="H4" s="33">
        <f>'Monthly Data'!AW4</f>
        <v>0</v>
      </c>
      <c r="I4" s="18">
        <f>'Monthly Data'!AN4</f>
        <v>1611</v>
      </c>
      <c r="J4" s="8">
        <f>'Monthly Data'!K4</f>
        <v>5236</v>
      </c>
      <c r="K4" s="30">
        <f>'Monthly Data'!BR4</f>
        <v>1</v>
      </c>
      <c r="L4" s="30">
        <f>'Monthly Data'!BT4</f>
        <v>31</v>
      </c>
      <c r="N4" s="18"/>
      <c r="O4" s="18">
        <f ca="1">(E4-G4)*'GS&lt;50 Predicted Monthly'!$X$9</f>
        <v>-448851.75980406598</v>
      </c>
      <c r="P4" s="18">
        <f ca="1">(F4-H4)*'GS&lt;50 Predicted Monthly'!$X$10</f>
        <v>0</v>
      </c>
      <c r="Q4" s="18"/>
      <c r="R4" s="18"/>
      <c r="S4" s="18"/>
      <c r="T4" s="18"/>
      <c r="U4" s="20">
        <f t="shared" ca="1" si="2"/>
        <v>14751420.513144923</v>
      </c>
    </row>
    <row r="5" spans="1:21" x14ac:dyDescent="0.2">
      <c r="A5" s="9">
        <f>'Monthly Data'!A5</f>
        <v>42095</v>
      </c>
      <c r="B5">
        <f t="shared" si="0"/>
        <v>2015</v>
      </c>
      <c r="C5">
        <f t="shared" si="1"/>
        <v>4</v>
      </c>
      <c r="D5" s="30">
        <f>'Monthly Data'!J5</f>
        <v>13384863.301680462</v>
      </c>
      <c r="E5" s="33">
        <f ca="1">Weather!BR59</f>
        <v>221.12999999999997</v>
      </c>
      <c r="F5" s="33">
        <f ca="1">Weather!BS59</f>
        <v>2.6300000000000003</v>
      </c>
      <c r="G5" s="33">
        <f>'Monthly Data'!AV5</f>
        <v>203.49999999999991</v>
      </c>
      <c r="H5" s="33">
        <f>'Monthly Data'!AW5</f>
        <v>1.5999999999999996</v>
      </c>
      <c r="I5" s="18">
        <f>'Monthly Data'!AN5</f>
        <v>5139</v>
      </c>
      <c r="J5" s="8">
        <f>'Monthly Data'!K5</f>
        <v>5236</v>
      </c>
      <c r="K5" s="30">
        <f>'Monthly Data'!BR5</f>
        <v>1</v>
      </c>
      <c r="L5" s="30">
        <f>'Monthly Data'!BT5</f>
        <v>30</v>
      </c>
      <c r="N5" s="18"/>
      <c r="O5" s="18">
        <f ca="1">(E5-G5)*'GS&lt;50 Predicted Monthly'!$X$9</f>
        <v>83070.087396028903</v>
      </c>
      <c r="P5" s="18">
        <f ca="1">(F5-H5)*'GS&lt;50 Predicted Monthly'!$X$10</f>
        <v>11900.937035797358</v>
      </c>
      <c r="Q5" s="18"/>
      <c r="R5" s="18"/>
      <c r="S5" s="18"/>
      <c r="T5" s="18"/>
      <c r="U5" s="20">
        <f t="shared" ca="1" si="2"/>
        <v>13479834.326112289</v>
      </c>
    </row>
    <row r="6" spans="1:21" x14ac:dyDescent="0.2">
      <c r="A6" s="9">
        <f>'Monthly Data'!A6</f>
        <v>42125</v>
      </c>
      <c r="B6">
        <f t="shared" si="0"/>
        <v>2015</v>
      </c>
      <c r="C6">
        <f t="shared" si="1"/>
        <v>5</v>
      </c>
      <c r="D6" s="30">
        <f>'Monthly Data'!J6</f>
        <v>13530179.330411935</v>
      </c>
      <c r="E6" s="33">
        <f ca="1">Weather!BR60</f>
        <v>74.8</v>
      </c>
      <c r="F6" s="33">
        <f ca="1">Weather!BS60</f>
        <v>50.489999999999995</v>
      </c>
      <c r="G6" s="33">
        <f>'Monthly Data'!AV6</f>
        <v>44.20000000000001</v>
      </c>
      <c r="H6" s="33">
        <f>'Monthly Data'!AW6</f>
        <v>60.8</v>
      </c>
      <c r="I6" s="18">
        <f>'Monthly Data'!AN6</f>
        <v>5139</v>
      </c>
      <c r="J6" s="8">
        <f>'Monthly Data'!K6</f>
        <v>5250</v>
      </c>
      <c r="K6" s="30">
        <f>'Monthly Data'!BR6</f>
        <v>1</v>
      </c>
      <c r="L6" s="30">
        <f>'Monthly Data'!BT6</f>
        <v>31</v>
      </c>
      <c r="N6" s="18"/>
      <c r="O6" s="18">
        <f ca="1">(E6-G6)*'GS&lt;50 Predicted Monthly'!$X$9</f>
        <v>144182.90835612454</v>
      </c>
      <c r="P6" s="18">
        <f ca="1">(F6-H6)*'GS&lt;50 Predicted Monthly'!$X$10</f>
        <v>-119124.91343599098</v>
      </c>
      <c r="Q6" s="18"/>
      <c r="R6" s="18"/>
      <c r="S6" s="18"/>
      <c r="T6" s="18"/>
      <c r="U6" s="20">
        <f t="shared" ref="U6:U37" ca="1" si="3">D6+O6+P6</f>
        <v>13555237.325332068</v>
      </c>
    </row>
    <row r="7" spans="1:21" x14ac:dyDescent="0.2">
      <c r="A7" s="9">
        <f>'Monthly Data'!A7</f>
        <v>42156</v>
      </c>
      <c r="B7">
        <f t="shared" si="0"/>
        <v>2015</v>
      </c>
      <c r="C7">
        <f t="shared" si="1"/>
        <v>6</v>
      </c>
      <c r="D7" s="30">
        <f>'Monthly Data'!J7</f>
        <v>13858885.359143406</v>
      </c>
      <c r="E7" s="33">
        <f ca="1">Weather!BR61</f>
        <v>2.15</v>
      </c>
      <c r="F7" s="33">
        <f ca="1">Weather!BS61</f>
        <v>154.05000000000001</v>
      </c>
      <c r="G7" s="33">
        <f>'Monthly Data'!AV7</f>
        <v>11.4</v>
      </c>
      <c r="H7" s="33">
        <f>'Monthly Data'!AW7</f>
        <v>98.000000000000028</v>
      </c>
      <c r="I7" s="18">
        <f>'Monthly Data'!AN7</f>
        <v>5139</v>
      </c>
      <c r="J7" s="8">
        <f>'Monthly Data'!K7</f>
        <v>5241</v>
      </c>
      <c r="K7" s="30">
        <f>'Monthly Data'!BR7</f>
        <v>0</v>
      </c>
      <c r="L7" s="30">
        <f>'Monthly Data'!BT7</f>
        <v>30</v>
      </c>
      <c r="N7" s="18"/>
      <c r="O7" s="18">
        <f ca="1">(E7-G7)*'GS&lt;50 Predicted Monthly'!$X$9</f>
        <v>-43584.70268935139</v>
      </c>
      <c r="P7" s="18">
        <f ca="1">(F7-H7)*'GS&lt;50 Predicted Monthly'!$X$10</f>
        <v>647618.95228780713</v>
      </c>
      <c r="Q7" s="18"/>
      <c r="R7" s="18"/>
      <c r="S7" s="18"/>
      <c r="T7" s="18"/>
      <c r="U7" s="20">
        <f t="shared" ca="1" si="3"/>
        <v>14462919.608741861</v>
      </c>
    </row>
    <row r="8" spans="1:21" x14ac:dyDescent="0.2">
      <c r="A8" s="9">
        <f>'Monthly Data'!A8</f>
        <v>42186</v>
      </c>
      <c r="B8">
        <f t="shared" si="0"/>
        <v>2015</v>
      </c>
      <c r="C8">
        <f t="shared" si="1"/>
        <v>7</v>
      </c>
      <c r="D8" s="30">
        <f>'Monthly Data'!J8</f>
        <v>15331961.387874879</v>
      </c>
      <c r="E8" s="33">
        <f ca="1">Weather!BR62</f>
        <v>0</v>
      </c>
      <c r="F8" s="33">
        <f ca="1">Weather!BS62</f>
        <v>267.66999999999996</v>
      </c>
      <c r="G8" s="33">
        <f>'Monthly Data'!AV8</f>
        <v>0</v>
      </c>
      <c r="H8" s="33">
        <f>'Monthly Data'!AW8</f>
        <v>244.9</v>
      </c>
      <c r="I8" s="18">
        <f>'Monthly Data'!AN8</f>
        <v>6615</v>
      </c>
      <c r="J8" s="8">
        <f>'Monthly Data'!K8</f>
        <v>5240</v>
      </c>
      <c r="K8" s="30">
        <f>'Monthly Data'!BR8</f>
        <v>0</v>
      </c>
      <c r="L8" s="30">
        <f>'Monthly Data'!BT8</f>
        <v>31</v>
      </c>
      <c r="N8" s="18"/>
      <c r="O8" s="18">
        <f ca="1">(E8-G8)*'GS&lt;50 Predicted Monthly'!$X$9</f>
        <v>0</v>
      </c>
      <c r="P8" s="18">
        <f ca="1">(F8-H8)*'GS&lt;50 Predicted Monthly'!$X$10</f>
        <v>263091.58864573314</v>
      </c>
      <c r="Q8" s="18"/>
      <c r="R8" s="18"/>
      <c r="S8" s="18"/>
      <c r="T8" s="18"/>
      <c r="U8" s="20">
        <f t="shared" ca="1" si="3"/>
        <v>15595052.976520613</v>
      </c>
    </row>
    <row r="9" spans="1:21" x14ac:dyDescent="0.2">
      <c r="A9" s="9">
        <f>'Monthly Data'!A9</f>
        <v>42217</v>
      </c>
      <c r="B9">
        <f t="shared" si="0"/>
        <v>2015</v>
      </c>
      <c r="C9">
        <f t="shared" si="1"/>
        <v>8</v>
      </c>
      <c r="D9" s="30">
        <f>'Monthly Data'!J9</f>
        <v>15575294.416606352</v>
      </c>
      <c r="E9" s="33">
        <f ca="1">Weather!BR63</f>
        <v>0</v>
      </c>
      <c r="F9" s="33">
        <f ca="1">Weather!BS63</f>
        <v>246.315</v>
      </c>
      <c r="G9" s="33">
        <f>'Monthly Data'!AV9</f>
        <v>0</v>
      </c>
      <c r="H9" s="33">
        <f>'Monthly Data'!AW9</f>
        <v>210.70000000000002</v>
      </c>
      <c r="I9" s="18">
        <f>'Monthly Data'!AN9</f>
        <v>6615</v>
      </c>
      <c r="J9" s="8">
        <f>'Monthly Data'!K9</f>
        <v>5244</v>
      </c>
      <c r="K9" s="30">
        <f>'Monthly Data'!BR9</f>
        <v>0</v>
      </c>
      <c r="L9" s="30">
        <f>'Monthly Data'!BT9</f>
        <v>31</v>
      </c>
      <c r="N9" s="18"/>
      <c r="O9" s="18">
        <f ca="1">(E9-G9)*'GS&lt;50 Predicted Monthly'!$X$9</f>
        <v>0</v>
      </c>
      <c r="P9" s="18">
        <f ca="1">(F9-H9)*'GS&lt;50 Predicted Monthly'!$X$10</f>
        <v>411506.67235914798</v>
      </c>
      <c r="Q9" s="18"/>
      <c r="R9" s="18"/>
      <c r="S9" s="18"/>
      <c r="T9" s="18"/>
      <c r="U9" s="20">
        <f t="shared" ca="1" si="3"/>
        <v>15986801.0889655</v>
      </c>
    </row>
    <row r="10" spans="1:21" x14ac:dyDescent="0.2">
      <c r="A10" s="9">
        <f>'Monthly Data'!A10</f>
        <v>42248</v>
      </c>
      <c r="B10">
        <f t="shared" si="0"/>
        <v>2015</v>
      </c>
      <c r="C10">
        <f t="shared" si="1"/>
        <v>9</v>
      </c>
      <c r="D10" s="30">
        <f>'Monthly Data'!J10</f>
        <v>14205506.445337825</v>
      </c>
      <c r="E10" s="33">
        <f ca="1">Weather!BR64</f>
        <v>2.2699999999999996</v>
      </c>
      <c r="F10" s="33">
        <f ca="1">Weather!BS64</f>
        <v>146.80000000000001</v>
      </c>
      <c r="G10" s="33">
        <f>'Monthly Data'!AV10</f>
        <v>9.9999999999999645E-2</v>
      </c>
      <c r="H10" s="33">
        <f>'Monthly Data'!AW10</f>
        <v>181</v>
      </c>
      <c r="I10" s="18">
        <f>'Monthly Data'!AN10</f>
        <v>6615</v>
      </c>
      <c r="J10" s="8">
        <f>'Monthly Data'!K10</f>
        <v>5237</v>
      </c>
      <c r="K10" s="30">
        <f>'Monthly Data'!BR10</f>
        <v>1</v>
      </c>
      <c r="L10" s="30">
        <f>'Monthly Data'!BT10</f>
        <v>30</v>
      </c>
      <c r="N10" s="18"/>
      <c r="O10" s="18">
        <f ca="1">(E10-G10)*'GS&lt;50 Predicted Monthly'!$X$9</f>
        <v>10224.735657934325</v>
      </c>
      <c r="P10" s="18">
        <f ca="1">(F10-H10)*'GS&lt;50 Predicted Monthly'!$X$10</f>
        <v>-395157.32681967888</v>
      </c>
      <c r="Q10" s="18"/>
      <c r="R10" s="18"/>
      <c r="S10" s="18"/>
      <c r="T10" s="18"/>
      <c r="U10" s="20">
        <f t="shared" ca="1" si="3"/>
        <v>13820573.85417608</v>
      </c>
    </row>
    <row r="11" spans="1:21" x14ac:dyDescent="0.2">
      <c r="A11" s="9">
        <f>'Monthly Data'!A11</f>
        <v>42278</v>
      </c>
      <c r="B11">
        <f t="shared" si="0"/>
        <v>2015</v>
      </c>
      <c r="C11">
        <f t="shared" si="1"/>
        <v>10</v>
      </c>
      <c r="D11" s="30">
        <f>'Monthly Data'!J11</f>
        <v>13170519.474069297</v>
      </c>
      <c r="E11" s="33">
        <f ca="1">Weather!BR65</f>
        <v>83.800000000000011</v>
      </c>
      <c r="F11" s="33">
        <f ca="1">Weather!BS65</f>
        <v>36.859999999999992</v>
      </c>
      <c r="G11" s="33">
        <f>'Monthly Data'!AV11</f>
        <v>89.2</v>
      </c>
      <c r="H11" s="33">
        <f>'Monthly Data'!AW11</f>
        <v>14.399999999999997</v>
      </c>
      <c r="I11" s="18">
        <f>'Monthly Data'!AN11</f>
        <v>7443</v>
      </c>
      <c r="J11" s="8">
        <f>'Monthly Data'!K11</f>
        <v>5242</v>
      </c>
      <c r="K11" s="30">
        <f>'Monthly Data'!BR11</f>
        <v>1</v>
      </c>
      <c r="L11" s="30">
        <f>'Monthly Data'!BT11</f>
        <v>31</v>
      </c>
      <c r="N11" s="18"/>
      <c r="O11" s="18">
        <f ca="1">(E11-G11)*'GS&lt;50 Predicted Monthly'!$X$9</f>
        <v>-25444.04265108077</v>
      </c>
      <c r="P11" s="18">
        <f ca="1">(F11-H11)*'GS&lt;50 Predicted Monthly'!$X$10</f>
        <v>259509.75322719265</v>
      </c>
      <c r="Q11" s="18"/>
      <c r="R11" s="18"/>
      <c r="S11" s="18"/>
      <c r="T11" s="18"/>
      <c r="U11" s="20">
        <f t="shared" ca="1" si="3"/>
        <v>13404585.184645409</v>
      </c>
    </row>
    <row r="12" spans="1:21" x14ac:dyDescent="0.2">
      <c r="A12" s="9">
        <f>'Monthly Data'!A12</f>
        <v>42309</v>
      </c>
      <c r="B12">
        <f t="shared" si="0"/>
        <v>2015</v>
      </c>
      <c r="C12">
        <f t="shared" si="1"/>
        <v>11</v>
      </c>
      <c r="D12" s="30">
        <f>'Monthly Data'!J12</f>
        <v>13225827.50280077</v>
      </c>
      <c r="E12" s="33">
        <f ca="1">Weather!BR66</f>
        <v>240.7</v>
      </c>
      <c r="F12" s="33">
        <f ca="1">Weather!BS66</f>
        <v>3.410000000000001</v>
      </c>
      <c r="G12" s="33">
        <f>'Monthly Data'!AV12</f>
        <v>185.10000000000002</v>
      </c>
      <c r="H12" s="33">
        <f>'Monthly Data'!AW12</f>
        <v>4.0000000000000018</v>
      </c>
      <c r="I12" s="18">
        <f>'Monthly Data'!AN12</f>
        <v>7443</v>
      </c>
      <c r="J12" s="8">
        <f>'Monthly Data'!K12</f>
        <v>5234</v>
      </c>
      <c r="K12" s="30">
        <f>'Monthly Data'!BR12</f>
        <v>1</v>
      </c>
      <c r="L12" s="30">
        <f>'Monthly Data'!BT12</f>
        <v>30</v>
      </c>
      <c r="N12" s="18"/>
      <c r="O12" s="18">
        <f ca="1">(E12-G12)*'GS&lt;50 Predicted Monthly'!$X$9</f>
        <v>261979.40211112821</v>
      </c>
      <c r="P12" s="18">
        <f ca="1">(F12-H12)*'GS&lt;50 Predicted Monthly'!$X$10</f>
        <v>-6817.0416030295592</v>
      </c>
      <c r="Q12" s="18"/>
      <c r="R12" s="18"/>
      <c r="S12" s="18"/>
      <c r="T12" s="18"/>
      <c r="U12" s="20">
        <f t="shared" ca="1" si="3"/>
        <v>13480989.863308869</v>
      </c>
    </row>
    <row r="13" spans="1:21" x14ac:dyDescent="0.2">
      <c r="A13" s="9">
        <f>'Monthly Data'!A13</f>
        <v>42339</v>
      </c>
      <c r="B13">
        <f t="shared" si="0"/>
        <v>2015</v>
      </c>
      <c r="C13">
        <f t="shared" si="1"/>
        <v>12</v>
      </c>
      <c r="D13" s="30">
        <f>'Monthly Data'!J13</f>
        <v>14139805.531532243</v>
      </c>
      <c r="E13" s="33">
        <f ca="1">Weather!BR67</f>
        <v>386.61999999999995</v>
      </c>
      <c r="F13" s="33">
        <f ca="1">Weather!BS67</f>
        <v>0</v>
      </c>
      <c r="G13" s="33">
        <f>'Monthly Data'!AV13</f>
        <v>270.5</v>
      </c>
      <c r="H13" s="33">
        <f>'Monthly Data'!AW13</f>
        <v>0</v>
      </c>
      <c r="I13" s="18">
        <f>'Monthly Data'!AN13</f>
        <v>7443</v>
      </c>
      <c r="J13" s="8">
        <f>'Monthly Data'!K13</f>
        <v>5238</v>
      </c>
      <c r="K13" s="30">
        <f>'Monthly Data'!BR13</f>
        <v>0</v>
      </c>
      <c r="L13" s="30">
        <f>'Monthly Data'!BT13</f>
        <v>31</v>
      </c>
      <c r="N13" s="18"/>
      <c r="O13" s="18">
        <f ca="1">(E13-G13)*'GS&lt;50 Predicted Monthly'!$X$9</f>
        <v>547141.15419324115</v>
      </c>
      <c r="P13" s="18">
        <f ca="1">(F13-H13)*'GS&lt;50 Predicted Monthly'!$X$10</f>
        <v>0</v>
      </c>
      <c r="Q13" s="18"/>
      <c r="R13" s="18"/>
      <c r="S13" s="18"/>
      <c r="T13" s="18"/>
      <c r="U13" s="20">
        <f t="shared" ca="1" si="3"/>
        <v>14686946.685725484</v>
      </c>
    </row>
    <row r="14" spans="1:21" x14ac:dyDescent="0.2">
      <c r="A14" s="9">
        <f>'Monthly Data'!A14</f>
        <v>42370</v>
      </c>
      <c r="B14">
        <f t="shared" si="0"/>
        <v>2016</v>
      </c>
      <c r="C14">
        <f t="shared" si="1"/>
        <v>1</v>
      </c>
      <c r="D14" s="30">
        <f>'Monthly Data'!J14</f>
        <v>15123271.889639981</v>
      </c>
      <c r="E14" s="33">
        <f ca="1">E2</f>
        <v>508.54000000000008</v>
      </c>
      <c r="F14" s="33">
        <f ca="1">F2</f>
        <v>0</v>
      </c>
      <c r="G14" s="33">
        <f>'Monthly Data'!AV14</f>
        <v>501</v>
      </c>
      <c r="H14" s="33">
        <f>'Monthly Data'!AW14</f>
        <v>0</v>
      </c>
      <c r="I14" s="18">
        <f>'Monthly Data'!AN14</f>
        <v>5503</v>
      </c>
      <c r="J14" s="8">
        <f>'Monthly Data'!K14</f>
        <v>5246</v>
      </c>
      <c r="K14" s="30">
        <f>'Monthly Data'!BR14</f>
        <v>0</v>
      </c>
      <c r="L14" s="30">
        <f>'Monthly Data'!BT14</f>
        <v>31</v>
      </c>
      <c r="N14" s="18"/>
      <c r="O14" s="18">
        <f ca="1">(E14-G14)*'GS&lt;50 Predicted Monthly'!$X$9</f>
        <v>35527.422516509498</v>
      </c>
      <c r="P14" s="18">
        <f ca="1">(F14-H14)*'GS&lt;50 Predicted Monthly'!$X$10</f>
        <v>0</v>
      </c>
      <c r="Q14" s="18"/>
      <c r="R14" s="18"/>
      <c r="S14" s="18"/>
      <c r="T14" s="18"/>
      <c r="U14" s="20">
        <f t="shared" ca="1" si="3"/>
        <v>15158799.312156491</v>
      </c>
    </row>
    <row r="15" spans="1:21" x14ac:dyDescent="0.2">
      <c r="A15" s="9">
        <f>'Monthly Data'!A15</f>
        <v>42401</v>
      </c>
      <c r="B15">
        <f t="shared" si="0"/>
        <v>2016</v>
      </c>
      <c r="C15">
        <f t="shared" si="1"/>
        <v>2</v>
      </c>
      <c r="D15" s="30">
        <f>'Monthly Data'!J15</f>
        <v>14350816.425124092</v>
      </c>
      <c r="E15" s="33">
        <f t="shared" ref="E15:F15" ca="1" si="4">E3</f>
        <v>451.10999999999996</v>
      </c>
      <c r="F15" s="33">
        <f t="shared" ca="1" si="4"/>
        <v>0</v>
      </c>
      <c r="G15" s="33">
        <f>'Monthly Data'!AV15</f>
        <v>428.29999999999995</v>
      </c>
      <c r="H15" s="33">
        <f>'Monthly Data'!AW15</f>
        <v>0</v>
      </c>
      <c r="I15" s="18">
        <f>'Monthly Data'!AN15</f>
        <v>5503</v>
      </c>
      <c r="J15" s="8">
        <f>'Monthly Data'!K15</f>
        <v>5267</v>
      </c>
      <c r="K15" s="30">
        <f>'Monthly Data'!BR15</f>
        <v>0</v>
      </c>
      <c r="L15" s="30">
        <f>'Monthly Data'!BT15</f>
        <v>29</v>
      </c>
      <c r="N15" s="18"/>
      <c r="O15" s="18">
        <f ca="1">(E15-G15)*'GS&lt;50 Predicted Monthly'!$X$9</f>
        <v>107477.52090206544</v>
      </c>
      <c r="P15" s="18">
        <f ca="1">(F15-H15)*'GS&lt;50 Predicted Monthly'!$X$10</f>
        <v>0</v>
      </c>
      <c r="Q15" s="18"/>
      <c r="R15" s="18"/>
      <c r="S15" s="18"/>
      <c r="T15" s="18"/>
      <c r="U15" s="20">
        <f t="shared" ca="1" si="3"/>
        <v>14458293.946026158</v>
      </c>
    </row>
    <row r="16" spans="1:21" x14ac:dyDescent="0.2">
      <c r="A16" s="9">
        <f>'Monthly Data'!A16</f>
        <v>42430</v>
      </c>
      <c r="B16">
        <f t="shared" si="0"/>
        <v>2016</v>
      </c>
      <c r="C16">
        <f t="shared" si="1"/>
        <v>3</v>
      </c>
      <c r="D16" s="30">
        <f>'Monthly Data'!J16</f>
        <v>14493124.960608203</v>
      </c>
      <c r="E16" s="33">
        <f t="shared" ref="E16:F16" ca="1" si="5">E4</f>
        <v>374.74</v>
      </c>
      <c r="F16" s="33">
        <f t="shared" ca="1" si="5"/>
        <v>0</v>
      </c>
      <c r="G16" s="33">
        <f>'Monthly Data'!AV16</f>
        <v>327.2</v>
      </c>
      <c r="H16" s="33">
        <f>'Monthly Data'!AW16</f>
        <v>0</v>
      </c>
      <c r="I16" s="18">
        <f>'Monthly Data'!AN16</f>
        <v>5503</v>
      </c>
      <c r="J16" s="8">
        <f>'Monthly Data'!K16</f>
        <v>5268</v>
      </c>
      <c r="K16" s="30">
        <f>'Monthly Data'!BR16</f>
        <v>1</v>
      </c>
      <c r="L16" s="30">
        <f>'Monthly Data'!BT16</f>
        <v>31</v>
      </c>
      <c r="N16" s="18"/>
      <c r="O16" s="18">
        <f ca="1">(E16-G16)*'GS&lt;50 Predicted Monthly'!$X$9</f>
        <v>224001.81252451523</v>
      </c>
      <c r="P16" s="18">
        <f ca="1">(F16-H16)*'GS&lt;50 Predicted Monthly'!$X$10</f>
        <v>0</v>
      </c>
      <c r="Q16" s="18"/>
      <c r="R16" s="18"/>
      <c r="S16" s="18"/>
      <c r="T16" s="18"/>
      <c r="U16" s="20">
        <f t="shared" ca="1" si="3"/>
        <v>14717126.773132719</v>
      </c>
    </row>
    <row r="17" spans="1:21" x14ac:dyDescent="0.2">
      <c r="A17" s="9">
        <f>'Monthly Data'!A17</f>
        <v>42461</v>
      </c>
      <c r="B17">
        <f t="shared" si="0"/>
        <v>2016</v>
      </c>
      <c r="C17">
        <f t="shared" si="1"/>
        <v>4</v>
      </c>
      <c r="D17" s="30">
        <f>'Monthly Data'!J17</f>
        <v>13407795.496092316</v>
      </c>
      <c r="E17" s="33">
        <f t="shared" ref="E17:F17" ca="1" si="6">E5</f>
        <v>221.12999999999997</v>
      </c>
      <c r="F17" s="33">
        <f t="shared" ca="1" si="6"/>
        <v>2.6300000000000003</v>
      </c>
      <c r="G17" s="33">
        <f>'Monthly Data'!AV17</f>
        <v>273.7999999999999</v>
      </c>
      <c r="H17" s="33">
        <f>'Monthly Data'!AW17</f>
        <v>2.8000000000000007</v>
      </c>
      <c r="I17" s="18">
        <f>'Monthly Data'!AN17</f>
        <v>-2655</v>
      </c>
      <c r="J17" s="8">
        <f>'Monthly Data'!K17</f>
        <v>5267</v>
      </c>
      <c r="K17" s="30">
        <f>'Monthly Data'!BR17</f>
        <v>1</v>
      </c>
      <c r="L17" s="30">
        <f>'Monthly Data'!BT17</f>
        <v>30</v>
      </c>
      <c r="N17" s="18"/>
      <c r="O17" s="18">
        <f ca="1">(E17-G17)*'GS&lt;50 Predicted Monthly'!$X$9</f>
        <v>-248173.65304304159</v>
      </c>
      <c r="P17" s="18">
        <f ca="1">(F17-H17)*'GS&lt;50 Predicted Monthly'!$X$10</f>
        <v>-1964.2323262966545</v>
      </c>
      <c r="Q17" s="18"/>
      <c r="R17" s="18"/>
      <c r="S17" s="18"/>
      <c r="T17" s="18"/>
      <c r="U17" s="20">
        <f t="shared" ca="1" si="3"/>
        <v>13157657.610722978</v>
      </c>
    </row>
    <row r="18" spans="1:21" x14ac:dyDescent="0.2">
      <c r="A18" s="9">
        <f>'Monthly Data'!A18</f>
        <v>42491</v>
      </c>
      <c r="B18">
        <f t="shared" si="0"/>
        <v>2016</v>
      </c>
      <c r="C18">
        <f t="shared" si="1"/>
        <v>5</v>
      </c>
      <c r="D18" s="30">
        <f>'Monthly Data'!J18</f>
        <v>13731027.031576427</v>
      </c>
      <c r="E18" s="33">
        <f t="shared" ref="E18:F18" ca="1" si="7">E6</f>
        <v>74.8</v>
      </c>
      <c r="F18" s="33">
        <f t="shared" ca="1" si="7"/>
        <v>50.489999999999995</v>
      </c>
      <c r="G18" s="33">
        <f>'Monthly Data'!AV18</f>
        <v>74.600000000000009</v>
      </c>
      <c r="H18" s="33">
        <f>'Monthly Data'!AW18</f>
        <v>70.599999999999994</v>
      </c>
      <c r="I18" s="18">
        <f>'Monthly Data'!AN18</f>
        <v>-2655</v>
      </c>
      <c r="J18" s="8">
        <f>'Monthly Data'!K18</f>
        <v>5294</v>
      </c>
      <c r="K18" s="30">
        <f>'Monthly Data'!BR18</f>
        <v>1</v>
      </c>
      <c r="L18" s="30">
        <f>'Monthly Data'!BT18</f>
        <v>31</v>
      </c>
      <c r="N18" s="18"/>
      <c r="O18" s="18">
        <f ca="1">(E18-G18)*'GS&lt;50 Predicted Monthly'!$X$9</f>
        <v>942.37195003997647</v>
      </c>
      <c r="P18" s="18">
        <f ca="1">(F18-H18)*'GS&lt;50 Predicted Monthly'!$X$10</f>
        <v>-232357.12989309194</v>
      </c>
      <c r="Q18" s="18"/>
      <c r="R18" s="18"/>
      <c r="S18" s="18"/>
      <c r="T18" s="18"/>
      <c r="U18" s="20">
        <f t="shared" ca="1" si="3"/>
        <v>13499612.273633374</v>
      </c>
    </row>
    <row r="19" spans="1:21" x14ac:dyDescent="0.2">
      <c r="A19" s="9">
        <f>'Monthly Data'!A19</f>
        <v>42522</v>
      </c>
      <c r="B19">
        <f t="shared" si="0"/>
        <v>2016</v>
      </c>
      <c r="C19">
        <f t="shared" si="1"/>
        <v>6</v>
      </c>
      <c r="D19" s="30">
        <f>'Monthly Data'!J19</f>
        <v>14550745.567060538</v>
      </c>
      <c r="E19" s="33">
        <f t="shared" ref="E19:F19" ca="1" si="8">E7</f>
        <v>2.15</v>
      </c>
      <c r="F19" s="33">
        <f t="shared" ca="1" si="8"/>
        <v>154.05000000000001</v>
      </c>
      <c r="G19" s="33">
        <f>'Monthly Data'!AV19</f>
        <v>2</v>
      </c>
      <c r="H19" s="33">
        <f>'Monthly Data'!AW19</f>
        <v>163.6</v>
      </c>
      <c r="I19" s="18">
        <f>'Monthly Data'!AN19</f>
        <v>-2655</v>
      </c>
      <c r="J19" s="8">
        <f>'Monthly Data'!K19</f>
        <v>5264</v>
      </c>
      <c r="K19" s="30">
        <f>'Monthly Data'!BR19</f>
        <v>0</v>
      </c>
      <c r="L19" s="30">
        <f>'Monthly Data'!BT19</f>
        <v>30</v>
      </c>
      <c r="N19" s="18"/>
      <c r="O19" s="18">
        <f ca="1">(E19-G19)*'GS&lt;50 Predicted Monthly'!$X$9</f>
        <v>706.77896253002211</v>
      </c>
      <c r="P19" s="18">
        <f ca="1">(F19-H19)*'GS&lt;50 Predicted Monthly'!$X$10</f>
        <v>-110343.63950666456</v>
      </c>
      <c r="Q19" s="18"/>
      <c r="R19" s="18"/>
      <c r="S19" s="18"/>
      <c r="T19" s="18"/>
      <c r="U19" s="20">
        <f t="shared" ca="1" si="3"/>
        <v>14441108.706516404</v>
      </c>
    </row>
    <row r="20" spans="1:21" x14ac:dyDescent="0.2">
      <c r="A20" s="9">
        <f>'Monthly Data'!A20</f>
        <v>42552</v>
      </c>
      <c r="B20">
        <f t="shared" si="0"/>
        <v>2016</v>
      </c>
      <c r="C20">
        <f t="shared" si="1"/>
        <v>7</v>
      </c>
      <c r="D20" s="30">
        <f>'Monthly Data'!J20</f>
        <v>16348284.10254465</v>
      </c>
      <c r="E20" s="33">
        <f t="shared" ref="E20:F20" ca="1" si="9">E8</f>
        <v>0</v>
      </c>
      <c r="F20" s="33">
        <f t="shared" ca="1" si="9"/>
        <v>267.66999999999996</v>
      </c>
      <c r="G20" s="33">
        <f>'Monthly Data'!AV20</f>
        <v>0</v>
      </c>
      <c r="H20" s="33">
        <f>'Monthly Data'!AW20</f>
        <v>276.5</v>
      </c>
      <c r="I20" s="18">
        <f>'Monthly Data'!AN20</f>
        <v>5974</v>
      </c>
      <c r="J20" s="8">
        <f>'Monthly Data'!K20</f>
        <v>5262</v>
      </c>
      <c r="K20" s="30">
        <f>'Monthly Data'!BR20</f>
        <v>0</v>
      </c>
      <c r="L20" s="30">
        <f>'Monthly Data'!BT20</f>
        <v>31</v>
      </c>
      <c r="N20" s="18"/>
      <c r="O20" s="18">
        <f ca="1">(E20-G20)*'GS&lt;50 Predicted Monthly'!$X$9</f>
        <v>0</v>
      </c>
      <c r="P20" s="18">
        <f ca="1">(F20-H20)*'GS&lt;50 Predicted Monthly'!$X$10</f>
        <v>-102024.53788940884</v>
      </c>
      <c r="Q20" s="18"/>
      <c r="R20" s="18"/>
      <c r="S20" s="18"/>
      <c r="T20" s="18"/>
      <c r="U20" s="20">
        <f t="shared" ca="1" si="3"/>
        <v>16246259.564655242</v>
      </c>
    </row>
    <row r="21" spans="1:21" x14ac:dyDescent="0.2">
      <c r="A21" s="9">
        <f>'Monthly Data'!A21</f>
        <v>42583</v>
      </c>
      <c r="B21">
        <f t="shared" si="0"/>
        <v>2016</v>
      </c>
      <c r="C21">
        <f t="shared" si="1"/>
        <v>8</v>
      </c>
      <c r="D21" s="30">
        <f>'Monthly Data'!J21</f>
        <v>16739654.638028761</v>
      </c>
      <c r="E21" s="33">
        <f t="shared" ref="E21:F21" ca="1" si="10">E9</f>
        <v>0</v>
      </c>
      <c r="F21" s="33">
        <f t="shared" ca="1" si="10"/>
        <v>246.315</v>
      </c>
      <c r="G21" s="33">
        <f>'Monthly Data'!AV21</f>
        <v>0</v>
      </c>
      <c r="H21" s="33">
        <f>'Monthly Data'!AW21</f>
        <v>301.80000000000007</v>
      </c>
      <c r="I21" s="18">
        <f>'Monthly Data'!AN21</f>
        <v>5974</v>
      </c>
      <c r="J21" s="8">
        <f>'Monthly Data'!K21</f>
        <v>5260</v>
      </c>
      <c r="K21" s="30">
        <f>'Monthly Data'!BR21</f>
        <v>0</v>
      </c>
      <c r="L21" s="30">
        <f>'Monthly Data'!BT21</f>
        <v>31</v>
      </c>
      <c r="N21" s="18"/>
      <c r="O21" s="18">
        <f ca="1">(E21-G21)*'GS&lt;50 Predicted Monthly'!$X$9</f>
        <v>0</v>
      </c>
      <c r="P21" s="18">
        <f ca="1">(F21-H21)*'GS&lt;50 Predicted Monthly'!$X$10</f>
        <v>-641090.76837982214</v>
      </c>
      <c r="Q21" s="18"/>
      <c r="R21" s="18"/>
      <c r="S21" s="18"/>
      <c r="T21" s="18"/>
      <c r="U21" s="20">
        <f t="shared" ca="1" si="3"/>
        <v>16098563.869648939</v>
      </c>
    </row>
    <row r="22" spans="1:21" x14ac:dyDescent="0.2">
      <c r="A22" s="9">
        <f>'Monthly Data'!A22</f>
        <v>42614</v>
      </c>
      <c r="B22">
        <f t="shared" si="0"/>
        <v>2016</v>
      </c>
      <c r="C22">
        <f t="shared" si="1"/>
        <v>9</v>
      </c>
      <c r="D22" s="30">
        <f>'Monthly Data'!J22</f>
        <v>14440145.173512874</v>
      </c>
      <c r="E22" s="33">
        <f t="shared" ref="E22:F22" ca="1" si="11">E10</f>
        <v>2.2699999999999996</v>
      </c>
      <c r="F22" s="33">
        <f t="shared" ca="1" si="11"/>
        <v>146.80000000000001</v>
      </c>
      <c r="G22" s="33">
        <f>'Monthly Data'!AV22</f>
        <v>9.9999999999999645E-2</v>
      </c>
      <c r="H22" s="33">
        <f>'Monthly Data'!AW22</f>
        <v>181</v>
      </c>
      <c r="I22" s="18">
        <f>'Monthly Data'!AN22</f>
        <v>5974</v>
      </c>
      <c r="J22" s="8">
        <f>'Monthly Data'!K22</f>
        <v>5273</v>
      </c>
      <c r="K22" s="30">
        <f>'Monthly Data'!BR22</f>
        <v>1</v>
      </c>
      <c r="L22" s="30">
        <f>'Monthly Data'!BT22</f>
        <v>30</v>
      </c>
      <c r="N22" s="18"/>
      <c r="O22" s="18">
        <f ca="1">(E22-G22)*'GS&lt;50 Predicted Monthly'!$X$9</f>
        <v>10224.735657934325</v>
      </c>
      <c r="P22" s="18">
        <f ca="1">(F22-H22)*'GS&lt;50 Predicted Monthly'!$X$10</f>
        <v>-395157.32681967888</v>
      </c>
      <c r="Q22" s="18"/>
      <c r="R22" s="18"/>
      <c r="S22" s="18"/>
      <c r="T22" s="18"/>
      <c r="U22" s="20">
        <f t="shared" ca="1" si="3"/>
        <v>14055212.58235113</v>
      </c>
    </row>
    <row r="23" spans="1:21" x14ac:dyDescent="0.2">
      <c r="A23" s="9">
        <f>'Monthly Data'!A23</f>
        <v>42644</v>
      </c>
      <c r="B23">
        <f t="shared" si="0"/>
        <v>2016</v>
      </c>
      <c r="C23">
        <f t="shared" si="1"/>
        <v>10</v>
      </c>
      <c r="D23" s="30">
        <f>'Monthly Data'!J23</f>
        <v>13350527.708996985</v>
      </c>
      <c r="E23" s="33">
        <f t="shared" ref="E23:F23" ca="1" si="12">E11</f>
        <v>83.800000000000011</v>
      </c>
      <c r="F23" s="33">
        <f t="shared" ca="1" si="12"/>
        <v>36.859999999999992</v>
      </c>
      <c r="G23" s="33">
        <f>'Monthly Data'!AV23</f>
        <v>77.199999999999989</v>
      </c>
      <c r="H23" s="33">
        <f>'Monthly Data'!AW23</f>
        <v>52.699999999999989</v>
      </c>
      <c r="I23" s="18">
        <f>'Monthly Data'!AN23</f>
        <v>-1226</v>
      </c>
      <c r="J23" s="8">
        <f>'Monthly Data'!K23</f>
        <v>5278</v>
      </c>
      <c r="K23" s="30">
        <f>'Monthly Data'!BR23</f>
        <v>1</v>
      </c>
      <c r="L23" s="30">
        <f>'Monthly Data'!BT23</f>
        <v>31</v>
      </c>
      <c r="N23" s="18"/>
      <c r="O23" s="18">
        <f ca="1">(E23-G23)*'GS&lt;50 Predicted Monthly'!$X$9</f>
        <v>31098.274351321099</v>
      </c>
      <c r="P23" s="18">
        <f ca="1">(F23-H23)*'GS&lt;50 Predicted Monthly'!$X$10</f>
        <v>-183020.23557964078</v>
      </c>
      <c r="Q23" s="18"/>
      <c r="R23" s="18"/>
      <c r="S23" s="18"/>
      <c r="T23" s="18"/>
      <c r="U23" s="20">
        <f t="shared" ca="1" si="3"/>
        <v>13198605.747768665</v>
      </c>
    </row>
    <row r="24" spans="1:21" x14ac:dyDescent="0.2">
      <c r="A24" s="9">
        <f>'Monthly Data'!A24</f>
        <v>42675</v>
      </c>
      <c r="B24">
        <f t="shared" si="0"/>
        <v>2016</v>
      </c>
      <c r="C24">
        <f t="shared" si="1"/>
        <v>11</v>
      </c>
      <c r="D24" s="30">
        <f>'Monthly Data'!J24</f>
        <v>13437723.244481096</v>
      </c>
      <c r="E24" s="33">
        <f t="shared" ref="E24:F24" ca="1" si="13">E12</f>
        <v>240.7</v>
      </c>
      <c r="F24" s="33">
        <f t="shared" ca="1" si="13"/>
        <v>3.410000000000001</v>
      </c>
      <c r="G24" s="33">
        <f>'Monthly Data'!AV24</f>
        <v>174.8</v>
      </c>
      <c r="H24" s="33">
        <f>'Monthly Data'!AW24</f>
        <v>1.9000000000000004</v>
      </c>
      <c r="I24" s="18">
        <f>'Monthly Data'!AN24</f>
        <v>-1226</v>
      </c>
      <c r="J24" s="8">
        <f>'Monthly Data'!K24</f>
        <v>5298</v>
      </c>
      <c r="K24" s="30">
        <f>'Monthly Data'!BR24</f>
        <v>1</v>
      </c>
      <c r="L24" s="30">
        <f>'Monthly Data'!BT24</f>
        <v>30</v>
      </c>
      <c r="N24" s="18"/>
      <c r="O24" s="18">
        <f ca="1">(E24-G24)*'GS&lt;50 Predicted Monthly'!$X$9</f>
        <v>310511.55753818981</v>
      </c>
      <c r="P24" s="18">
        <f ca="1">(F24-H24)*'GS&lt;50 Predicted Monthly'!$X$10</f>
        <v>17447.004780634958</v>
      </c>
      <c r="Q24" s="18"/>
      <c r="R24" s="18"/>
      <c r="S24" s="18"/>
      <c r="T24" s="18"/>
      <c r="U24" s="20">
        <f t="shared" ca="1" si="3"/>
        <v>13765681.80679992</v>
      </c>
    </row>
    <row r="25" spans="1:21" x14ac:dyDescent="0.2">
      <c r="A25" s="9">
        <f>'Monthly Data'!A25</f>
        <v>42705</v>
      </c>
      <c r="B25">
        <f t="shared" si="0"/>
        <v>2016</v>
      </c>
      <c r="C25">
        <f t="shared" si="1"/>
        <v>12</v>
      </c>
      <c r="D25" s="30">
        <f>'Monthly Data'!J25</f>
        <v>14912204.779965209</v>
      </c>
      <c r="E25" s="33">
        <f t="shared" ref="E25:F25" ca="1" si="14">E13</f>
        <v>386.61999999999995</v>
      </c>
      <c r="F25" s="33">
        <f t="shared" ca="1" si="14"/>
        <v>0</v>
      </c>
      <c r="G25" s="33">
        <f>'Monthly Data'!AV25</f>
        <v>435.00000000000006</v>
      </c>
      <c r="H25" s="33">
        <f>'Monthly Data'!AW25</f>
        <v>0</v>
      </c>
      <c r="I25" s="18">
        <f>'Monthly Data'!AN25</f>
        <v>-1226</v>
      </c>
      <c r="J25" s="8">
        <f>'Monthly Data'!K25</f>
        <v>5297</v>
      </c>
      <c r="K25" s="30">
        <f>'Monthly Data'!BR25</f>
        <v>0</v>
      </c>
      <c r="L25" s="30">
        <f>'Monthly Data'!BT25</f>
        <v>31</v>
      </c>
      <c r="N25" s="18"/>
      <c r="O25" s="18">
        <f ca="1">(E25-G25)*'GS&lt;50 Predicted Monthly'!$X$9</f>
        <v>-227959.77471468379</v>
      </c>
      <c r="P25" s="18">
        <f ca="1">(F25-H25)*'GS&lt;50 Predicted Monthly'!$X$10</f>
        <v>0</v>
      </c>
      <c r="Q25" s="18"/>
      <c r="R25" s="18"/>
      <c r="S25" s="18"/>
      <c r="T25" s="18"/>
      <c r="U25" s="20">
        <f t="shared" ca="1" si="3"/>
        <v>14684245.005250525</v>
      </c>
    </row>
    <row r="26" spans="1:21" x14ac:dyDescent="0.2">
      <c r="A26" s="9">
        <f>'Monthly Data'!A26</f>
        <v>42736</v>
      </c>
      <c r="B26">
        <f t="shared" si="0"/>
        <v>2017</v>
      </c>
      <c r="C26">
        <f t="shared" si="1"/>
        <v>1</v>
      </c>
      <c r="D26" s="30">
        <f>'Monthly Data'!J26</f>
        <v>15552205.778870873</v>
      </c>
      <c r="E26" s="33">
        <f t="shared" ref="E26:F33" ca="1" si="15">E14</f>
        <v>508.54000000000008</v>
      </c>
      <c r="F26" s="33">
        <f t="shared" ca="1" si="15"/>
        <v>0</v>
      </c>
      <c r="G26" s="33">
        <f>'Monthly Data'!AV26</f>
        <v>444.60000000000008</v>
      </c>
      <c r="H26" s="33">
        <f>'Monthly Data'!AW26</f>
        <v>0</v>
      </c>
      <c r="I26" s="18">
        <f>'Monthly Data'!AN26</f>
        <v>11322</v>
      </c>
      <c r="J26" s="8">
        <f>'Monthly Data'!K26</f>
        <v>5303</v>
      </c>
      <c r="K26" s="30">
        <f>'Monthly Data'!BR26</f>
        <v>0</v>
      </c>
      <c r="L26" s="30">
        <f>'Monthly Data'!BT26</f>
        <v>31</v>
      </c>
      <c r="N26" s="18"/>
      <c r="O26" s="18">
        <f ca="1">(E26-G26)*'GS&lt;50 Predicted Monthly'!$X$9</f>
        <v>301276.31242779759</v>
      </c>
      <c r="P26" s="18">
        <f ca="1">(F26-H26)*'GS&lt;50 Predicted Monthly'!$X$10</f>
        <v>0</v>
      </c>
      <c r="Q26" s="18"/>
      <c r="R26" s="18"/>
      <c r="S26" s="18"/>
      <c r="T26" s="18"/>
      <c r="U26" s="20">
        <f t="shared" ca="1" si="3"/>
        <v>15853482.091298671</v>
      </c>
    </row>
    <row r="27" spans="1:21" x14ac:dyDescent="0.2">
      <c r="A27" s="9">
        <f>'Monthly Data'!A27</f>
        <v>42767</v>
      </c>
      <c r="B27">
        <f t="shared" si="0"/>
        <v>2017</v>
      </c>
      <c r="C27">
        <f t="shared" si="1"/>
        <v>2</v>
      </c>
      <c r="D27" s="30">
        <f>'Monthly Data'!J27</f>
        <v>13871440.371413311</v>
      </c>
      <c r="E27" s="33">
        <f t="shared" ca="1" si="15"/>
        <v>451.10999999999996</v>
      </c>
      <c r="F27" s="33">
        <f t="shared" ca="1" si="15"/>
        <v>0</v>
      </c>
      <c r="G27" s="33">
        <f>'Monthly Data'!AV27</f>
        <v>359.19999999999993</v>
      </c>
      <c r="H27" s="33">
        <f>'Monthly Data'!AW27</f>
        <v>0</v>
      </c>
      <c r="I27" s="18">
        <f>'Monthly Data'!AN27</f>
        <v>11322</v>
      </c>
      <c r="J27" s="8">
        <f>'Monthly Data'!K27</f>
        <v>5341</v>
      </c>
      <c r="K27" s="30">
        <f>'Monthly Data'!BR27</f>
        <v>0</v>
      </c>
      <c r="L27" s="30">
        <f>'Monthly Data'!BT27</f>
        <v>28</v>
      </c>
      <c r="N27" s="18"/>
      <c r="O27" s="18">
        <f ca="1">(E27-G27)*'GS&lt;50 Predicted Monthly'!$X$9</f>
        <v>433067.02964089595</v>
      </c>
      <c r="P27" s="18">
        <f ca="1">(F27-H27)*'GS&lt;50 Predicted Monthly'!$X$10</f>
        <v>0</v>
      </c>
      <c r="Q27" s="18"/>
      <c r="R27" s="18"/>
      <c r="S27" s="18"/>
      <c r="T27" s="18"/>
      <c r="U27" s="20">
        <f t="shared" ca="1" si="3"/>
        <v>14304507.401054207</v>
      </c>
    </row>
    <row r="28" spans="1:21" x14ac:dyDescent="0.2">
      <c r="A28" s="9">
        <f>'Monthly Data'!A28</f>
        <v>42795</v>
      </c>
      <c r="B28">
        <f t="shared" si="0"/>
        <v>2017</v>
      </c>
      <c r="C28">
        <f t="shared" si="1"/>
        <v>3</v>
      </c>
      <c r="D28" s="30">
        <f>'Monthly Data'!J28</f>
        <v>14837407.963955749</v>
      </c>
      <c r="E28" s="33">
        <f t="shared" ca="1" si="15"/>
        <v>374.74</v>
      </c>
      <c r="F28" s="33">
        <f t="shared" ca="1" si="15"/>
        <v>0</v>
      </c>
      <c r="G28" s="33">
        <f>'Monthly Data'!AV28</f>
        <v>417.20000000000005</v>
      </c>
      <c r="H28" s="33">
        <f>'Monthly Data'!AW28</f>
        <v>0</v>
      </c>
      <c r="I28" s="18">
        <f>'Monthly Data'!AN28</f>
        <v>11322</v>
      </c>
      <c r="J28" s="8">
        <f>'Monthly Data'!K28</f>
        <v>5342</v>
      </c>
      <c r="K28" s="30">
        <f>'Monthly Data'!BR28</f>
        <v>1</v>
      </c>
      <c r="L28" s="30">
        <f>'Monthly Data'!BT28</f>
        <v>31</v>
      </c>
      <c r="N28" s="18"/>
      <c r="O28" s="18">
        <f ca="1">(E28-G28)*'GS&lt;50 Predicted Monthly'!$X$9</f>
        <v>-200065.56499349856</v>
      </c>
      <c r="P28" s="18">
        <f ca="1">(F28-H28)*'GS&lt;50 Predicted Monthly'!$X$10</f>
        <v>0</v>
      </c>
      <c r="Q28" s="18"/>
      <c r="R28" s="18"/>
      <c r="S28" s="18"/>
      <c r="T28" s="18"/>
      <c r="U28" s="20">
        <f t="shared" ca="1" si="3"/>
        <v>14637342.39896225</v>
      </c>
    </row>
    <row r="29" spans="1:21" x14ac:dyDescent="0.2">
      <c r="A29" s="9">
        <f>'Monthly Data'!A29</f>
        <v>42826</v>
      </c>
      <c r="B29">
        <f t="shared" si="0"/>
        <v>2017</v>
      </c>
      <c r="C29">
        <f t="shared" si="1"/>
        <v>4</v>
      </c>
      <c r="D29" s="30">
        <f>'Monthly Data'!J29</f>
        <v>13390657.556498185</v>
      </c>
      <c r="E29" s="33">
        <f t="shared" ca="1" si="15"/>
        <v>221.12999999999997</v>
      </c>
      <c r="F29" s="33">
        <f t="shared" ca="1" si="15"/>
        <v>2.6300000000000003</v>
      </c>
      <c r="G29" s="33">
        <f>'Monthly Data'!AV29</f>
        <v>156.79999999999998</v>
      </c>
      <c r="H29" s="33">
        <f>'Monthly Data'!AW29</f>
        <v>4.6999999999999993</v>
      </c>
      <c r="I29" s="18">
        <f>'Monthly Data'!AN29</f>
        <v>7942</v>
      </c>
      <c r="J29" s="8">
        <f>'Monthly Data'!K29</f>
        <v>5344</v>
      </c>
      <c r="K29" s="30">
        <f>'Monthly Data'!BR29</f>
        <v>1</v>
      </c>
      <c r="L29" s="30">
        <f>'Monthly Data'!BT29</f>
        <v>30</v>
      </c>
      <c r="N29" s="18"/>
      <c r="O29" s="18">
        <f ca="1">(E29-G29)*'GS&lt;50 Predicted Monthly'!$X$9</f>
        <v>303113.93773037562</v>
      </c>
      <c r="P29" s="18">
        <f ca="1">(F29-H29)*'GS&lt;50 Predicted Monthly'!$X$10</f>
        <v>-23917.417149612138</v>
      </c>
      <c r="Q29" s="18"/>
      <c r="R29" s="18"/>
      <c r="S29" s="18"/>
      <c r="T29" s="18"/>
      <c r="U29" s="20">
        <f t="shared" ca="1" si="3"/>
        <v>13669854.077078948</v>
      </c>
    </row>
    <row r="30" spans="1:21" x14ac:dyDescent="0.2">
      <c r="A30" s="9">
        <f>'Monthly Data'!A30</f>
        <v>42856</v>
      </c>
      <c r="B30">
        <f t="shared" si="0"/>
        <v>2017</v>
      </c>
      <c r="C30">
        <f t="shared" si="1"/>
        <v>5</v>
      </c>
      <c r="D30" s="30">
        <f>'Monthly Data'!J30</f>
        <v>13605380.149040623</v>
      </c>
      <c r="E30" s="33">
        <f t="shared" ca="1" si="15"/>
        <v>74.8</v>
      </c>
      <c r="F30" s="33">
        <f t="shared" ca="1" si="15"/>
        <v>50.489999999999995</v>
      </c>
      <c r="G30" s="33">
        <f>'Monthly Data'!AV30</f>
        <v>98.600000000000009</v>
      </c>
      <c r="H30" s="33">
        <f>'Monthly Data'!AW30</f>
        <v>29.9</v>
      </c>
      <c r="I30" s="18">
        <f>'Monthly Data'!AN30</f>
        <v>7942</v>
      </c>
      <c r="J30" s="8">
        <f>'Monthly Data'!K30</f>
        <v>5341</v>
      </c>
      <c r="K30" s="30">
        <f>'Monthly Data'!BR30</f>
        <v>1</v>
      </c>
      <c r="L30" s="30">
        <f>'Monthly Data'!BT30</f>
        <v>31</v>
      </c>
      <c r="N30" s="18"/>
      <c r="O30" s="18">
        <f ca="1">(E30-G30)*'GS&lt;50 Predicted Monthly'!$X$9</f>
        <v>-112142.26205476363</v>
      </c>
      <c r="P30" s="18">
        <f ca="1">(F30-H30)*'GS&lt;50 Predicted Monthly'!$X$10</f>
        <v>237903.19763792952</v>
      </c>
      <c r="Q30" s="18"/>
      <c r="R30" s="18"/>
      <c r="S30" s="18"/>
      <c r="T30" s="18"/>
      <c r="U30" s="20">
        <f t="shared" ca="1" si="3"/>
        <v>13731141.084623788</v>
      </c>
    </row>
    <row r="31" spans="1:21" x14ac:dyDescent="0.2">
      <c r="A31" s="9">
        <f>'Monthly Data'!A31</f>
        <v>42887</v>
      </c>
      <c r="B31">
        <f t="shared" si="0"/>
        <v>2017</v>
      </c>
      <c r="C31">
        <f t="shared" si="1"/>
        <v>6</v>
      </c>
      <c r="D31" s="30">
        <f>'Monthly Data'!J31</f>
        <v>14207511.74158306</v>
      </c>
      <c r="E31" s="33">
        <f t="shared" ca="1" si="15"/>
        <v>2.15</v>
      </c>
      <c r="F31" s="33">
        <f t="shared" ca="1" si="15"/>
        <v>154.05000000000001</v>
      </c>
      <c r="G31" s="33">
        <f>'Monthly Data'!AV31</f>
        <v>0</v>
      </c>
      <c r="H31" s="33">
        <f>'Monthly Data'!AW31</f>
        <v>159.10000000000002</v>
      </c>
      <c r="I31" s="18">
        <f>'Monthly Data'!AN31</f>
        <v>7942</v>
      </c>
      <c r="J31" s="8">
        <f>'Monthly Data'!K31</f>
        <v>5339</v>
      </c>
      <c r="K31" s="30">
        <f>'Monthly Data'!BR31</f>
        <v>0</v>
      </c>
      <c r="L31" s="30">
        <f>'Monthly Data'!BT31</f>
        <v>30</v>
      </c>
      <c r="N31" s="18"/>
      <c r="O31" s="18">
        <f ca="1">(E31-G31)*'GS&lt;50 Predicted Monthly'!$X$9</f>
        <v>10130.498462930324</v>
      </c>
      <c r="P31" s="18">
        <f ca="1">(F31-H31)*'GS&lt;50 Predicted Monthly'!$X$10</f>
        <v>-58349.254398812387</v>
      </c>
      <c r="Q31" s="18"/>
      <c r="R31" s="18"/>
      <c r="S31" s="18"/>
      <c r="T31" s="18"/>
      <c r="U31" s="20">
        <f t="shared" ca="1" si="3"/>
        <v>14159292.985647179</v>
      </c>
    </row>
    <row r="32" spans="1:21" x14ac:dyDescent="0.2">
      <c r="A32" s="9">
        <f>'Monthly Data'!A32</f>
        <v>42917</v>
      </c>
      <c r="B32">
        <f t="shared" si="0"/>
        <v>2017</v>
      </c>
      <c r="C32">
        <f t="shared" si="1"/>
        <v>7</v>
      </c>
      <c r="D32" s="30">
        <f>'Monthly Data'!J32</f>
        <v>15533752.334125496</v>
      </c>
      <c r="E32" s="33">
        <f t="shared" ca="1" si="15"/>
        <v>0</v>
      </c>
      <c r="F32" s="33">
        <f t="shared" ca="1" si="15"/>
        <v>267.66999999999996</v>
      </c>
      <c r="G32" s="33">
        <f>'Monthly Data'!AV32</f>
        <v>0</v>
      </c>
      <c r="H32" s="33">
        <f>'Monthly Data'!AW32</f>
        <v>237.5</v>
      </c>
      <c r="I32" s="18">
        <f>'Monthly Data'!AN32</f>
        <v>416</v>
      </c>
      <c r="J32" s="8">
        <f>'Monthly Data'!K32</f>
        <v>5337</v>
      </c>
      <c r="K32" s="30">
        <f>'Monthly Data'!BR32</f>
        <v>0</v>
      </c>
      <c r="L32" s="30">
        <f>'Monthly Data'!BT32</f>
        <v>31</v>
      </c>
      <c r="N32" s="18"/>
      <c r="O32" s="18">
        <f ca="1">(E32-G32)*'GS&lt;50 Predicted Monthly'!$X$9</f>
        <v>0</v>
      </c>
      <c r="P32" s="18">
        <f ca="1">(F32-H32)*'GS&lt;50 Predicted Monthly'!$X$10</f>
        <v>348593.4663786462</v>
      </c>
      <c r="Q32" s="18"/>
      <c r="R32" s="18"/>
      <c r="S32" s="18"/>
      <c r="T32" s="18"/>
      <c r="U32" s="20">
        <f t="shared" ca="1" si="3"/>
        <v>15882345.800504142</v>
      </c>
    </row>
    <row r="33" spans="1:21" x14ac:dyDescent="0.2">
      <c r="A33" s="9">
        <f>'Monthly Data'!A33</f>
        <v>42948</v>
      </c>
      <c r="B33">
        <f t="shared" si="0"/>
        <v>2017</v>
      </c>
      <c r="C33">
        <f t="shared" si="1"/>
        <v>8</v>
      </c>
      <c r="D33" s="30">
        <f>'Monthly Data'!J33</f>
        <v>15160539.926667934</v>
      </c>
      <c r="E33" s="33">
        <f t="shared" ca="1" si="15"/>
        <v>0</v>
      </c>
      <c r="F33" s="33">
        <f t="shared" ca="1" si="15"/>
        <v>246.315</v>
      </c>
      <c r="G33" s="33">
        <f>'Monthly Data'!AV33</f>
        <v>0</v>
      </c>
      <c r="H33" s="33">
        <f>'Monthly Data'!AW33</f>
        <v>202.19999999999996</v>
      </c>
      <c r="I33" s="18">
        <f>'Monthly Data'!AN33</f>
        <v>416</v>
      </c>
      <c r="J33" s="8">
        <f>'Monthly Data'!K33</f>
        <v>5344</v>
      </c>
      <c r="K33" s="30">
        <f>'Monthly Data'!BR33</f>
        <v>0</v>
      </c>
      <c r="L33" s="30">
        <f>'Monthly Data'!BT33</f>
        <v>31</v>
      </c>
      <c r="N33" s="18"/>
      <c r="O33" s="18">
        <f ca="1">(E33-G33)*'GS&lt;50 Predicted Monthly'!$X$9</f>
        <v>0</v>
      </c>
      <c r="P33" s="18">
        <f ca="1">(F33-H33)*'GS&lt;50 Predicted Monthly'!$X$10</f>
        <v>509718.28867398115</v>
      </c>
      <c r="Q33" s="18"/>
      <c r="R33" s="18"/>
      <c r="S33" s="18"/>
      <c r="T33" s="18"/>
      <c r="U33" s="20">
        <f t="shared" ca="1" si="3"/>
        <v>15670258.215341916</v>
      </c>
    </row>
    <row r="34" spans="1:21" x14ac:dyDescent="0.2">
      <c r="A34" s="9">
        <f>'Monthly Data'!A34</f>
        <v>42979</v>
      </c>
      <c r="B34">
        <f t="shared" si="0"/>
        <v>2017</v>
      </c>
      <c r="C34">
        <f t="shared" si="1"/>
        <v>9</v>
      </c>
      <c r="D34" s="30">
        <f>'Monthly Data'!J34</f>
        <v>14204164.519210372</v>
      </c>
      <c r="E34" s="33">
        <f t="shared" ref="E34:F49" ca="1" si="16">E22</f>
        <v>2.2699999999999996</v>
      </c>
      <c r="F34" s="33">
        <f t="shared" ca="1" si="16"/>
        <v>146.80000000000001</v>
      </c>
      <c r="G34" s="33">
        <f>'Monthly Data'!AV34</f>
        <v>4.0999999999999996</v>
      </c>
      <c r="H34" s="33">
        <f>'Monthly Data'!AW34</f>
        <v>142.4</v>
      </c>
      <c r="I34" s="18">
        <f>'Monthly Data'!AN34</f>
        <v>416</v>
      </c>
      <c r="J34" s="8">
        <f>'Monthly Data'!K34</f>
        <v>5350</v>
      </c>
      <c r="K34" s="30">
        <f>'Monthly Data'!BR34</f>
        <v>1</v>
      </c>
      <c r="L34" s="30">
        <f>'Monthly Data'!BT34</f>
        <v>30</v>
      </c>
      <c r="N34" s="18"/>
      <c r="O34" s="18">
        <f ca="1">(E34-G34)*'GS&lt;50 Predicted Monthly'!$X$9</f>
        <v>-8622.7033428662762</v>
      </c>
      <c r="P34" s="18">
        <f ca="1">(F34-H34)*'GS&lt;50 Predicted Monthly'!$X$10</f>
        <v>50838.954327678068</v>
      </c>
      <c r="Q34" s="18"/>
      <c r="R34" s="18"/>
      <c r="S34" s="18"/>
      <c r="T34" s="18"/>
      <c r="U34" s="20">
        <f t="shared" ca="1" si="3"/>
        <v>14246380.770195184</v>
      </c>
    </row>
    <row r="35" spans="1:21" x14ac:dyDescent="0.2">
      <c r="A35" s="9">
        <f>'Monthly Data'!A35</f>
        <v>43009</v>
      </c>
      <c r="B35">
        <f t="shared" si="0"/>
        <v>2017</v>
      </c>
      <c r="C35">
        <f t="shared" si="1"/>
        <v>10</v>
      </c>
      <c r="D35" s="30">
        <f>'Monthly Data'!J35</f>
        <v>13926867.111752808</v>
      </c>
      <c r="E35" s="33">
        <f t="shared" ca="1" si="16"/>
        <v>83.800000000000011</v>
      </c>
      <c r="F35" s="33">
        <f t="shared" ca="1" si="16"/>
        <v>36.859999999999992</v>
      </c>
      <c r="G35" s="33">
        <f>'Monthly Data'!AV35</f>
        <v>47.5</v>
      </c>
      <c r="H35" s="33">
        <f>'Monthly Data'!AW35</f>
        <v>67.900000000000006</v>
      </c>
      <c r="I35" s="18">
        <f>'Monthly Data'!AN35</f>
        <v>6393</v>
      </c>
      <c r="J35" s="8">
        <f>'Monthly Data'!K35</f>
        <v>5350</v>
      </c>
      <c r="K35" s="30">
        <f>'Monthly Data'!BR35</f>
        <v>1</v>
      </c>
      <c r="L35" s="30">
        <f>'Monthly Data'!BT35</f>
        <v>31</v>
      </c>
      <c r="N35" s="18"/>
      <c r="O35" s="18">
        <f ca="1">(E35-G35)*'GS&lt;50 Predicted Monthly'!$X$9</f>
        <v>171040.50893226551</v>
      </c>
      <c r="P35" s="18">
        <f ca="1">(F35-H35)*'GS&lt;50 Predicted Monthly'!$X$10</f>
        <v>-358645.71416616498</v>
      </c>
      <c r="Q35" s="18"/>
      <c r="R35" s="18"/>
      <c r="S35" s="18"/>
      <c r="T35" s="18"/>
      <c r="U35" s="20">
        <f t="shared" ca="1" si="3"/>
        <v>13739261.90651891</v>
      </c>
    </row>
    <row r="36" spans="1:21" x14ac:dyDescent="0.2">
      <c r="A36" s="9">
        <f>'Monthly Data'!A36</f>
        <v>43040</v>
      </c>
      <c r="B36">
        <f t="shared" si="0"/>
        <v>2017</v>
      </c>
      <c r="C36">
        <f t="shared" si="1"/>
        <v>11</v>
      </c>
      <c r="D36" s="30">
        <f>'Monthly Data'!J36</f>
        <v>13988763.704295246</v>
      </c>
      <c r="E36" s="33">
        <f t="shared" ca="1" si="16"/>
        <v>240.7</v>
      </c>
      <c r="F36" s="33">
        <f t="shared" ca="1" si="16"/>
        <v>3.410000000000001</v>
      </c>
      <c r="G36" s="33">
        <f>'Monthly Data'!AV36</f>
        <v>267.89999999999998</v>
      </c>
      <c r="H36" s="33">
        <f>'Monthly Data'!AW36</f>
        <v>0</v>
      </c>
      <c r="I36" s="18">
        <f>'Monthly Data'!AN36</f>
        <v>6393</v>
      </c>
      <c r="J36" s="8">
        <f>'Monthly Data'!K36</f>
        <v>5353</v>
      </c>
      <c r="K36" s="30">
        <f>'Monthly Data'!BR36</f>
        <v>1</v>
      </c>
      <c r="L36" s="30">
        <f>'Monthly Data'!BT36</f>
        <v>30</v>
      </c>
      <c r="N36" s="18"/>
      <c r="O36" s="18">
        <f ca="1">(E36-G36)*'GS&lt;50 Predicted Monthly'!$X$9</f>
        <v>-128162.58520544403</v>
      </c>
      <c r="P36" s="18">
        <f ca="1">(F36-H36)*'GS&lt;50 Predicted Monthly'!$X$10</f>
        <v>39400.189603950465</v>
      </c>
      <c r="Q36" s="18"/>
      <c r="R36" s="18"/>
      <c r="S36" s="18"/>
      <c r="T36" s="18"/>
      <c r="U36" s="20">
        <f t="shared" ca="1" si="3"/>
        <v>13900001.308693754</v>
      </c>
    </row>
    <row r="37" spans="1:21" x14ac:dyDescent="0.2">
      <c r="A37" s="9">
        <f>'Monthly Data'!A37</f>
        <v>43070</v>
      </c>
      <c r="B37">
        <f t="shared" si="0"/>
        <v>2017</v>
      </c>
      <c r="C37">
        <f t="shared" si="1"/>
        <v>12</v>
      </c>
      <c r="D37" s="30">
        <f>'Monthly Data'!J37</f>
        <v>15562822.296837684</v>
      </c>
      <c r="E37" s="33">
        <f t="shared" ca="1" si="16"/>
        <v>386.61999999999995</v>
      </c>
      <c r="F37" s="33">
        <f t="shared" ca="1" si="16"/>
        <v>0</v>
      </c>
      <c r="G37" s="33">
        <f>'Monthly Data'!AV37</f>
        <v>525.19999999999993</v>
      </c>
      <c r="H37" s="33">
        <f>'Monthly Data'!AW37</f>
        <v>0</v>
      </c>
      <c r="I37" s="18">
        <f>'Monthly Data'!AN37</f>
        <v>6393</v>
      </c>
      <c r="J37" s="8">
        <f>'Monthly Data'!K37</f>
        <v>5356</v>
      </c>
      <c r="K37" s="30">
        <f>'Monthly Data'!BR37</f>
        <v>0</v>
      </c>
      <c r="L37" s="30">
        <f>'Monthly Data'!BT37</f>
        <v>31</v>
      </c>
      <c r="N37" s="18"/>
      <c r="O37" s="18">
        <f ca="1">(E37-G37)*'GS&lt;50 Predicted Monthly'!$X$9</f>
        <v>-652969.52418273676</v>
      </c>
      <c r="P37" s="18">
        <f ca="1">(F37-H37)*'GS&lt;50 Predicted Monthly'!$X$10</f>
        <v>0</v>
      </c>
      <c r="Q37" s="18"/>
      <c r="R37" s="18"/>
      <c r="S37" s="18"/>
      <c r="T37" s="18"/>
      <c r="U37" s="20">
        <f t="shared" ca="1" si="3"/>
        <v>14909852.772654947</v>
      </c>
    </row>
    <row r="38" spans="1:21" x14ac:dyDescent="0.2">
      <c r="A38" s="9">
        <f>'Monthly Data'!A38</f>
        <v>43101</v>
      </c>
      <c r="B38">
        <f t="shared" si="0"/>
        <v>2018</v>
      </c>
      <c r="C38">
        <f t="shared" si="1"/>
        <v>1</v>
      </c>
      <c r="D38" s="30">
        <f>'Monthly Data'!J38</f>
        <v>16341548.767871764</v>
      </c>
      <c r="E38" s="33">
        <f t="shared" ca="1" si="16"/>
        <v>508.54000000000008</v>
      </c>
      <c r="F38" s="33">
        <f t="shared" ca="1" si="16"/>
        <v>0</v>
      </c>
      <c r="G38" s="33">
        <f>'Monthly Data'!AV38</f>
        <v>556.29999999999995</v>
      </c>
      <c r="H38" s="33">
        <f>'Monthly Data'!AW38</f>
        <v>0</v>
      </c>
      <c r="I38" s="18">
        <f>'Monthly Data'!AN38</f>
        <v>8006</v>
      </c>
      <c r="J38" s="8">
        <f>'Monthly Data'!K38</f>
        <v>5365</v>
      </c>
      <c r="K38" s="30">
        <f>'Monthly Data'!BR38</f>
        <v>0</v>
      </c>
      <c r="L38" s="30">
        <f>'Monthly Data'!BT38</f>
        <v>31</v>
      </c>
      <c r="N38" s="18"/>
      <c r="O38" s="18">
        <f ca="1">(E38-G38)*'GS&lt;50 Predicted Monthly'!$X$9</f>
        <v>-225038.42166955859</v>
      </c>
      <c r="P38" s="18">
        <f ca="1">(F38-H38)*'GS&lt;50 Predicted Monthly'!$X$10</f>
        <v>0</v>
      </c>
      <c r="Q38" s="18"/>
      <c r="R38" s="18"/>
      <c r="S38" s="18"/>
      <c r="T38" s="18"/>
      <c r="U38" s="20">
        <f t="shared" ref="U38:U69" ca="1" si="17">D38+O38+P38</f>
        <v>16116510.346202206</v>
      </c>
    </row>
    <row r="39" spans="1:21" x14ac:dyDescent="0.2">
      <c r="A39" s="9">
        <f>'Monthly Data'!A39</f>
        <v>43132</v>
      </c>
      <c r="B39">
        <f t="shared" si="0"/>
        <v>2018</v>
      </c>
      <c r="C39">
        <f t="shared" si="1"/>
        <v>2</v>
      </c>
      <c r="D39" s="30">
        <f>'Monthly Data'!J39</f>
        <v>14352800.598540761</v>
      </c>
      <c r="E39" s="33">
        <f t="shared" ca="1" si="16"/>
        <v>451.10999999999996</v>
      </c>
      <c r="F39" s="33">
        <f t="shared" ca="1" si="16"/>
        <v>0</v>
      </c>
      <c r="G39" s="33">
        <f>'Monthly Data'!AV39</f>
        <v>400.1</v>
      </c>
      <c r="H39" s="33">
        <f>'Monthly Data'!AW39</f>
        <v>0</v>
      </c>
      <c r="I39" s="18">
        <f>'Monthly Data'!AN39</f>
        <v>8006</v>
      </c>
      <c r="J39" s="8">
        <f>'Monthly Data'!K39</f>
        <v>5367</v>
      </c>
      <c r="K39" s="30">
        <f>'Monthly Data'!BR39</f>
        <v>0</v>
      </c>
      <c r="L39" s="30">
        <f>'Monthly Data'!BT39</f>
        <v>28</v>
      </c>
      <c r="N39" s="18"/>
      <c r="O39" s="18">
        <f ca="1">(E39-G39)*'GS&lt;50 Predicted Monthly'!$X$9</f>
        <v>240351.96585770935</v>
      </c>
      <c r="P39" s="18">
        <f ca="1">(F39-H39)*'GS&lt;50 Predicted Monthly'!$X$10</f>
        <v>0</v>
      </c>
      <c r="Q39" s="18"/>
      <c r="R39" s="18"/>
      <c r="S39" s="18"/>
      <c r="T39" s="18"/>
      <c r="U39" s="20">
        <f t="shared" ca="1" si="17"/>
        <v>14593152.564398469</v>
      </c>
    </row>
    <row r="40" spans="1:21" x14ac:dyDescent="0.2">
      <c r="A40" s="9">
        <f>'Monthly Data'!A40</f>
        <v>43160</v>
      </c>
      <c r="B40">
        <f t="shared" si="0"/>
        <v>2018</v>
      </c>
      <c r="C40">
        <f t="shared" si="1"/>
        <v>3</v>
      </c>
      <c r="D40" s="30">
        <f>'Monthly Data'!J40</f>
        <v>15228033.429209759</v>
      </c>
      <c r="E40" s="33">
        <f t="shared" ca="1" si="16"/>
        <v>374.74</v>
      </c>
      <c r="F40" s="33">
        <f t="shared" ca="1" si="16"/>
        <v>0</v>
      </c>
      <c r="G40" s="33">
        <f>'Monthly Data'!AV40</f>
        <v>409.89999999999986</v>
      </c>
      <c r="H40" s="33">
        <f>'Monthly Data'!AW40</f>
        <v>0</v>
      </c>
      <c r="I40" s="18">
        <f>'Monthly Data'!AN40</f>
        <v>8006</v>
      </c>
      <c r="J40" s="8">
        <f>'Monthly Data'!K40</f>
        <v>5382</v>
      </c>
      <c r="K40" s="30">
        <f>'Monthly Data'!BR40</f>
        <v>1</v>
      </c>
      <c r="L40" s="30">
        <f>'Monthly Data'!BT40</f>
        <v>31</v>
      </c>
      <c r="N40" s="18"/>
      <c r="O40" s="18">
        <f ca="1">(E40-G40)*'GS&lt;50 Predicted Monthly'!$X$9</f>
        <v>-165668.98881703659</v>
      </c>
      <c r="P40" s="18">
        <f ca="1">(F40-H40)*'GS&lt;50 Predicted Monthly'!$X$10</f>
        <v>0</v>
      </c>
      <c r="Q40" s="18"/>
      <c r="R40" s="18"/>
      <c r="S40" s="18"/>
      <c r="T40" s="18"/>
      <c r="U40" s="20">
        <f t="shared" ca="1" si="17"/>
        <v>15062364.440392723</v>
      </c>
    </row>
    <row r="41" spans="1:21" x14ac:dyDescent="0.2">
      <c r="A41" s="9">
        <f>'Monthly Data'!A41</f>
        <v>43191</v>
      </c>
      <c r="B41">
        <f t="shared" si="0"/>
        <v>2018</v>
      </c>
      <c r="C41">
        <f t="shared" si="1"/>
        <v>4</v>
      </c>
      <c r="D41" s="30">
        <f>'Monthly Data'!J41</f>
        <v>14186658.259878756</v>
      </c>
      <c r="E41" s="33">
        <f t="shared" ca="1" si="16"/>
        <v>221.12999999999997</v>
      </c>
      <c r="F41" s="33">
        <f t="shared" ca="1" si="16"/>
        <v>2.6300000000000003</v>
      </c>
      <c r="G41" s="33">
        <f>'Monthly Data'!AV41</f>
        <v>299.3</v>
      </c>
      <c r="H41" s="33">
        <f>'Monthly Data'!AW41</f>
        <v>0</v>
      </c>
      <c r="I41" s="18">
        <f>'Monthly Data'!AN41</f>
        <v>5437</v>
      </c>
      <c r="J41" s="8">
        <f>'Monthly Data'!K41</f>
        <v>5377</v>
      </c>
      <c r="K41" s="30">
        <f>'Monthly Data'!BR41</f>
        <v>1</v>
      </c>
      <c r="L41" s="30">
        <f>'Monthly Data'!BT41</f>
        <v>30</v>
      </c>
      <c r="N41" s="18"/>
      <c r="O41" s="18">
        <f ca="1">(E41-G41)*'GS&lt;50 Predicted Monthly'!$X$9</f>
        <v>-368326.07667314593</v>
      </c>
      <c r="P41" s="18">
        <f ca="1">(F41-H41)*'GS&lt;50 Predicted Monthly'!$X$10</f>
        <v>30387.829518589355</v>
      </c>
      <c r="Q41" s="18"/>
      <c r="R41" s="18"/>
      <c r="S41" s="18"/>
      <c r="T41" s="18"/>
      <c r="U41" s="20">
        <f t="shared" ca="1" si="17"/>
        <v>13848720.0127242</v>
      </c>
    </row>
    <row r="42" spans="1:21" x14ac:dyDescent="0.2">
      <c r="A42" s="9">
        <f>'Monthly Data'!A42</f>
        <v>43221</v>
      </c>
      <c r="B42">
        <f t="shared" si="0"/>
        <v>2018</v>
      </c>
      <c r="C42">
        <f t="shared" si="1"/>
        <v>5</v>
      </c>
      <c r="D42" s="30">
        <f>'Monthly Data'!J42</f>
        <v>14557839.090547755</v>
      </c>
      <c r="E42" s="33">
        <f t="shared" ca="1" si="16"/>
        <v>74.8</v>
      </c>
      <c r="F42" s="33">
        <f t="shared" ca="1" si="16"/>
        <v>50.489999999999995</v>
      </c>
      <c r="G42" s="33">
        <f>'Monthly Data'!AV42</f>
        <v>50.5</v>
      </c>
      <c r="H42" s="33">
        <f>'Monthly Data'!AW42</f>
        <v>74.999999999999986</v>
      </c>
      <c r="I42" s="18">
        <f>'Monthly Data'!AN42</f>
        <v>5437</v>
      </c>
      <c r="J42" s="8">
        <f>'Monthly Data'!K42</f>
        <v>5371</v>
      </c>
      <c r="K42" s="30">
        <f>'Monthly Data'!BR42</f>
        <v>1</v>
      </c>
      <c r="L42" s="30">
        <f>'Monthly Data'!BT42</f>
        <v>31</v>
      </c>
      <c r="N42" s="18"/>
      <c r="O42" s="18">
        <f ca="1">(E42-G42)*'GS&lt;50 Predicted Monthly'!$X$9</f>
        <v>114498.19192986363</v>
      </c>
      <c r="P42" s="18">
        <f ca="1">(F42-H42)*'GS&lt;50 Predicted Monthly'!$X$10</f>
        <v>-283196.08422076987</v>
      </c>
      <c r="Q42" s="18"/>
      <c r="R42" s="18"/>
      <c r="S42" s="18"/>
      <c r="T42" s="18"/>
      <c r="U42" s="20">
        <f t="shared" ca="1" si="17"/>
        <v>14389141.198256848</v>
      </c>
    </row>
    <row r="43" spans="1:21" x14ac:dyDescent="0.2">
      <c r="A43" s="9">
        <f>'Monthly Data'!A43</f>
        <v>43252</v>
      </c>
      <c r="B43">
        <f t="shared" si="0"/>
        <v>2018</v>
      </c>
      <c r="C43">
        <f t="shared" si="1"/>
        <v>6</v>
      </c>
      <c r="D43" s="30">
        <f>'Monthly Data'!J43</f>
        <v>15372235.921216752</v>
      </c>
      <c r="E43" s="33">
        <f t="shared" ca="1" si="16"/>
        <v>2.15</v>
      </c>
      <c r="F43" s="33">
        <f t="shared" ca="1" si="16"/>
        <v>154.05000000000001</v>
      </c>
      <c r="G43" s="33">
        <f>'Monthly Data'!AV43</f>
        <v>0.60000000000000142</v>
      </c>
      <c r="H43" s="33">
        <f>'Monthly Data'!AW43</f>
        <v>151.49999999999997</v>
      </c>
      <c r="I43" s="18">
        <f>'Monthly Data'!AN43</f>
        <v>5437</v>
      </c>
      <c r="J43" s="8">
        <f>'Monthly Data'!K43</f>
        <v>5437</v>
      </c>
      <c r="K43" s="30">
        <f>'Monthly Data'!BR43</f>
        <v>0</v>
      </c>
      <c r="L43" s="30">
        <f>'Monthly Data'!BT43</f>
        <v>30</v>
      </c>
      <c r="N43" s="18"/>
      <c r="O43" s="18">
        <f ca="1">(E43-G43)*'GS&lt;50 Predicted Monthly'!$X$9</f>
        <v>7303.3826128102255</v>
      </c>
      <c r="P43" s="18">
        <f ca="1">(F43-H43)*'GS&lt;50 Predicted Monthly'!$X$10</f>
        <v>29463.484894450212</v>
      </c>
      <c r="Q43" s="18"/>
      <c r="R43" s="18"/>
      <c r="S43" s="18"/>
      <c r="T43" s="18"/>
      <c r="U43" s="20">
        <f t="shared" ca="1" si="17"/>
        <v>15409002.788724013</v>
      </c>
    </row>
    <row r="44" spans="1:21" x14ac:dyDescent="0.2">
      <c r="A44" s="9">
        <f>'Monthly Data'!A44</f>
        <v>43282</v>
      </c>
      <c r="B44">
        <f t="shared" si="0"/>
        <v>2018</v>
      </c>
      <c r="C44">
        <f t="shared" si="1"/>
        <v>7</v>
      </c>
      <c r="D44" s="30">
        <f>'Monthly Data'!J44</f>
        <v>17119387.751885749</v>
      </c>
      <c r="E44" s="33">
        <f t="shared" ca="1" si="16"/>
        <v>0</v>
      </c>
      <c r="F44" s="33">
        <f t="shared" ca="1" si="16"/>
        <v>267.66999999999996</v>
      </c>
      <c r="G44" s="33">
        <f>'Monthly Data'!AV44</f>
        <v>0</v>
      </c>
      <c r="H44" s="33">
        <f>'Monthly Data'!AW44</f>
        <v>288.2</v>
      </c>
      <c r="I44" s="18">
        <f>'Monthly Data'!AN44</f>
        <v>9244</v>
      </c>
      <c r="J44" s="8">
        <f>'Monthly Data'!K44</f>
        <v>5443</v>
      </c>
      <c r="K44" s="30">
        <f>'Monthly Data'!BR44</f>
        <v>0</v>
      </c>
      <c r="L44" s="30">
        <f>'Monthly Data'!BT44</f>
        <v>31</v>
      </c>
      <c r="N44" s="18"/>
      <c r="O44" s="18">
        <f ca="1">(E44-G44)*'GS&lt;50 Predicted Monthly'!$X$9</f>
        <v>0</v>
      </c>
      <c r="P44" s="18">
        <f ca="1">(F44-H44)*'GS&lt;50 Predicted Monthly'!$X$10</f>
        <v>-237209.9391698252</v>
      </c>
      <c r="Q44" s="18"/>
      <c r="R44" s="18"/>
      <c r="S44" s="18"/>
      <c r="T44" s="18"/>
      <c r="U44" s="20">
        <f t="shared" ca="1" si="17"/>
        <v>16882177.812715925</v>
      </c>
    </row>
    <row r="45" spans="1:21" x14ac:dyDescent="0.2">
      <c r="A45" s="9">
        <f>'Monthly Data'!A45</f>
        <v>43313</v>
      </c>
      <c r="B45">
        <f t="shared" si="0"/>
        <v>2018</v>
      </c>
      <c r="C45">
        <f t="shared" si="1"/>
        <v>8</v>
      </c>
      <c r="D45" s="30">
        <f>'Monthly Data'!J45</f>
        <v>16940976.582554746</v>
      </c>
      <c r="E45" s="33">
        <f t="shared" ca="1" si="16"/>
        <v>0</v>
      </c>
      <c r="F45" s="33">
        <f t="shared" ca="1" si="16"/>
        <v>246.315</v>
      </c>
      <c r="G45" s="33">
        <f>'Monthly Data'!AV45</f>
        <v>0</v>
      </c>
      <c r="H45" s="33">
        <f>'Monthly Data'!AW45</f>
        <v>287.79999999999995</v>
      </c>
      <c r="I45" s="18">
        <f>'Monthly Data'!AN45</f>
        <v>9244</v>
      </c>
      <c r="J45" s="8">
        <f>'Monthly Data'!K45</f>
        <v>5466</v>
      </c>
      <c r="K45" s="30">
        <f>'Monthly Data'!BR45</f>
        <v>0</v>
      </c>
      <c r="L45" s="30">
        <f>'Monthly Data'!BT45</f>
        <v>31</v>
      </c>
      <c r="N45" s="18"/>
      <c r="O45" s="18">
        <f ca="1">(E45-G45)*'GS&lt;50 Predicted Monthly'!$X$9</f>
        <v>0</v>
      </c>
      <c r="P45" s="18">
        <f ca="1">(F45-H45)*'GS&lt;50 Predicted Monthly'!$X$10</f>
        <v>-479330.45915539085</v>
      </c>
      <c r="Q45" s="18"/>
      <c r="R45" s="18"/>
      <c r="S45" s="18"/>
      <c r="T45" s="18"/>
      <c r="U45" s="20">
        <f t="shared" ca="1" si="17"/>
        <v>16461646.123399356</v>
      </c>
    </row>
    <row r="46" spans="1:21" x14ac:dyDescent="0.2">
      <c r="A46" s="9">
        <f>'Monthly Data'!A46</f>
        <v>43344</v>
      </c>
      <c r="B46">
        <f t="shared" si="0"/>
        <v>2018</v>
      </c>
      <c r="C46">
        <f t="shared" si="1"/>
        <v>9</v>
      </c>
      <c r="D46" s="30">
        <f>'Monthly Data'!J46</f>
        <v>15120534.413223745</v>
      </c>
      <c r="E46" s="33">
        <f t="shared" ca="1" si="16"/>
        <v>2.2699999999999996</v>
      </c>
      <c r="F46" s="33">
        <f t="shared" ca="1" si="16"/>
        <v>146.80000000000001</v>
      </c>
      <c r="G46" s="33">
        <f>'Monthly Data'!AV46</f>
        <v>2.0000000000000018</v>
      </c>
      <c r="H46" s="33">
        <f>'Monthly Data'!AW46</f>
        <v>165.40000000000003</v>
      </c>
      <c r="I46" s="18">
        <f>'Monthly Data'!AN46</f>
        <v>9244</v>
      </c>
      <c r="J46" s="8">
        <f>'Monthly Data'!K46</f>
        <v>5466</v>
      </c>
      <c r="K46" s="30">
        <f>'Monthly Data'!BR46</f>
        <v>1</v>
      </c>
      <c r="L46" s="30">
        <f>'Monthly Data'!BT46</f>
        <v>30</v>
      </c>
      <c r="N46" s="18"/>
      <c r="O46" s="18">
        <f ca="1">(E46-G46)*'GS&lt;50 Predicted Monthly'!$X$9</f>
        <v>1272.2021325540302</v>
      </c>
      <c r="P46" s="18">
        <f ca="1">(F46-H46)*'GS&lt;50 Predicted Monthly'!$X$10</f>
        <v>-214910.12511245729</v>
      </c>
      <c r="Q46" s="18"/>
      <c r="R46" s="18"/>
      <c r="S46" s="18"/>
      <c r="T46" s="18"/>
      <c r="U46" s="20">
        <f t="shared" ca="1" si="17"/>
        <v>14906896.490243843</v>
      </c>
    </row>
    <row r="47" spans="1:21" x14ac:dyDescent="0.2">
      <c r="A47" s="9">
        <f>'Monthly Data'!A47</f>
        <v>43374</v>
      </c>
      <c r="B47">
        <f t="shared" si="0"/>
        <v>2018</v>
      </c>
      <c r="C47">
        <f t="shared" si="1"/>
        <v>10</v>
      </c>
      <c r="D47" s="30">
        <f>'Monthly Data'!J47</f>
        <v>14207629.243892744</v>
      </c>
      <c r="E47" s="33">
        <f t="shared" ca="1" si="16"/>
        <v>83.800000000000011</v>
      </c>
      <c r="F47" s="33">
        <f t="shared" ca="1" si="16"/>
        <v>36.859999999999992</v>
      </c>
      <c r="G47" s="33">
        <f>'Monthly Data'!AV47</f>
        <v>132.70000000000002</v>
      </c>
      <c r="H47" s="33">
        <f>'Monthly Data'!AW47</f>
        <v>28.7</v>
      </c>
      <c r="I47" s="18">
        <f>'Monthly Data'!AN47</f>
        <v>5492</v>
      </c>
      <c r="J47" s="8">
        <f>'Monthly Data'!K47</f>
        <v>5469</v>
      </c>
      <c r="K47" s="30">
        <f>'Monthly Data'!BR47</f>
        <v>1</v>
      </c>
      <c r="L47" s="30">
        <f>'Monthly Data'!BT47</f>
        <v>31</v>
      </c>
      <c r="N47" s="18"/>
      <c r="O47" s="18">
        <f ca="1">(E47-G47)*'GS&lt;50 Predicted Monthly'!$X$9</f>
        <v>-230409.94178478737</v>
      </c>
      <c r="P47" s="18">
        <f ca="1">(F47-H47)*'GS&lt;50 Predicted Monthly'!$X$10</f>
        <v>94283.151662239121</v>
      </c>
      <c r="Q47" s="18"/>
      <c r="R47" s="18"/>
      <c r="S47" s="18"/>
      <c r="T47" s="18"/>
      <c r="U47" s="20">
        <f t="shared" ca="1" si="17"/>
        <v>14071502.453770196</v>
      </c>
    </row>
    <row r="48" spans="1:21" x14ac:dyDescent="0.2">
      <c r="A48" s="9">
        <f>'Monthly Data'!A48</f>
        <v>43405</v>
      </c>
      <c r="B48">
        <f t="shared" si="0"/>
        <v>2018</v>
      </c>
      <c r="C48">
        <f t="shared" si="1"/>
        <v>11</v>
      </c>
      <c r="D48" s="30">
        <f>'Monthly Data'!J48</f>
        <v>14691641.074561741</v>
      </c>
      <c r="E48" s="33">
        <f t="shared" ca="1" si="16"/>
        <v>240.7</v>
      </c>
      <c r="F48" s="33">
        <f t="shared" ca="1" si="16"/>
        <v>3.410000000000001</v>
      </c>
      <c r="G48" s="33">
        <f>'Monthly Data'!AV48</f>
        <v>332.40000000000003</v>
      </c>
      <c r="H48" s="33">
        <f>'Monthly Data'!AW48</f>
        <v>0</v>
      </c>
      <c r="I48" s="18">
        <f>'Monthly Data'!AN48</f>
        <v>5492</v>
      </c>
      <c r="J48" s="8">
        <f>'Monthly Data'!K48</f>
        <v>5496</v>
      </c>
      <c r="K48" s="30">
        <f>'Monthly Data'!BR48</f>
        <v>1</v>
      </c>
      <c r="L48" s="30">
        <f>'Monthly Data'!BT48</f>
        <v>30</v>
      </c>
      <c r="N48" s="18"/>
      <c r="O48" s="18">
        <f ca="1">(E48-G48)*'GS&lt;50 Predicted Monthly'!$X$9</f>
        <v>-432077.53909335402</v>
      </c>
      <c r="P48" s="18">
        <f ca="1">(F48-H48)*'GS&lt;50 Predicted Monthly'!$X$10</f>
        <v>39400.189603950465</v>
      </c>
      <c r="Q48" s="18"/>
      <c r="R48" s="18"/>
      <c r="S48" s="18"/>
      <c r="T48" s="18"/>
      <c r="U48" s="20">
        <f t="shared" ca="1" si="17"/>
        <v>14298963.725072337</v>
      </c>
    </row>
    <row r="49" spans="1:21" x14ac:dyDescent="0.2">
      <c r="A49" s="9">
        <f>'Monthly Data'!A49</f>
        <v>43435</v>
      </c>
      <c r="B49">
        <f t="shared" si="0"/>
        <v>2018</v>
      </c>
      <c r="C49">
        <f t="shared" si="1"/>
        <v>12</v>
      </c>
      <c r="D49" s="30">
        <f>'Monthly Data'!J49</f>
        <v>15557414.90523074</v>
      </c>
      <c r="E49" s="33">
        <f t="shared" ca="1" si="16"/>
        <v>386.61999999999995</v>
      </c>
      <c r="F49" s="33">
        <f t="shared" ca="1" si="16"/>
        <v>0</v>
      </c>
      <c r="G49" s="33">
        <f>'Monthly Data'!AV49</f>
        <v>392.00000000000006</v>
      </c>
      <c r="H49" s="33">
        <f>'Monthly Data'!AW49</f>
        <v>0</v>
      </c>
      <c r="I49" s="18">
        <f>'Monthly Data'!AN49</f>
        <v>5492</v>
      </c>
      <c r="J49" s="8">
        <f>'Monthly Data'!K49</f>
        <v>5494</v>
      </c>
      <c r="K49" s="30">
        <f>'Monthly Data'!BR49</f>
        <v>0</v>
      </c>
      <c r="L49" s="30">
        <f>'Monthly Data'!BT49</f>
        <v>31</v>
      </c>
      <c r="N49" s="18"/>
      <c r="O49" s="18">
        <f ca="1">(E49-G49)*'GS&lt;50 Predicted Monthly'!$X$9</f>
        <v>-25349.805456077323</v>
      </c>
      <c r="P49" s="18">
        <f ca="1">(F49-H49)*'GS&lt;50 Predicted Monthly'!$X$10</f>
        <v>0</v>
      </c>
      <c r="Q49" s="18"/>
      <c r="R49" s="18"/>
      <c r="S49" s="18"/>
      <c r="T49" s="18"/>
      <c r="U49" s="20">
        <f t="shared" ca="1" si="17"/>
        <v>15532065.099774662</v>
      </c>
    </row>
    <row r="50" spans="1:21" x14ac:dyDescent="0.2">
      <c r="A50" s="9">
        <f>'Monthly Data'!A50</f>
        <v>43466</v>
      </c>
      <c r="B50">
        <f t="shared" si="0"/>
        <v>2019</v>
      </c>
      <c r="C50">
        <f t="shared" si="1"/>
        <v>1</v>
      </c>
      <c r="D50" s="30">
        <f>'Monthly Data'!J50</f>
        <v>16535161.594954573</v>
      </c>
      <c r="E50" s="33">
        <f t="shared" ref="E50:F65" ca="1" si="18">E38</f>
        <v>508.54000000000008</v>
      </c>
      <c r="F50" s="33">
        <f t="shared" ca="1" si="18"/>
        <v>0</v>
      </c>
      <c r="G50" s="33">
        <f>'Monthly Data'!AV50</f>
        <v>576</v>
      </c>
      <c r="H50" s="33">
        <f>'Monthly Data'!AW50</f>
        <v>0</v>
      </c>
      <c r="I50" s="18">
        <f>'Monthly Data'!AN50</f>
        <v>1092</v>
      </c>
      <c r="J50" s="8">
        <f>'Monthly Data'!K50</f>
        <v>5499</v>
      </c>
      <c r="K50" s="30">
        <f>'Monthly Data'!BR50</f>
        <v>0</v>
      </c>
      <c r="L50" s="30">
        <f>'Monthly Data'!BT50</f>
        <v>31</v>
      </c>
      <c r="N50" s="18"/>
      <c r="O50" s="18">
        <f ca="1">(E50-G50)*'GS&lt;50 Predicted Monthly'!$X$9</f>
        <v>-317862.05874850176</v>
      </c>
      <c r="P50" s="18">
        <f ca="1">(F50-H50)*'GS&lt;50 Predicted Monthly'!$X$10</f>
        <v>0</v>
      </c>
      <c r="Q50" s="18"/>
      <c r="R50" s="18"/>
      <c r="S50" s="18"/>
      <c r="T50" s="18"/>
      <c r="U50" s="20">
        <f t="shared" ca="1" si="17"/>
        <v>16217299.53620607</v>
      </c>
    </row>
    <row r="51" spans="1:21" x14ac:dyDescent="0.2">
      <c r="A51" s="9">
        <f>'Monthly Data'!A51</f>
        <v>43497</v>
      </c>
      <c r="B51">
        <f t="shared" si="0"/>
        <v>2019</v>
      </c>
      <c r="C51">
        <f t="shared" si="1"/>
        <v>2</v>
      </c>
      <c r="D51" s="30">
        <f>'Monthly Data'!J51</f>
        <v>15287128.896075014</v>
      </c>
      <c r="E51" s="33">
        <f t="shared" ca="1" si="18"/>
        <v>451.10999999999996</v>
      </c>
      <c r="F51" s="33">
        <f t="shared" ca="1" si="18"/>
        <v>0</v>
      </c>
      <c r="G51" s="33">
        <f>'Monthly Data'!AV51</f>
        <v>459.70000000000005</v>
      </c>
      <c r="H51" s="33">
        <f>'Monthly Data'!AW51</f>
        <v>0</v>
      </c>
      <c r="I51" s="18">
        <f>'Monthly Data'!AN51</f>
        <v>1092</v>
      </c>
      <c r="J51" s="8">
        <f>'Monthly Data'!K51</f>
        <v>5507</v>
      </c>
      <c r="K51" s="30">
        <f>'Monthly Data'!BR51</f>
        <v>0</v>
      </c>
      <c r="L51" s="30">
        <f>'Monthly Data'!BT51</f>
        <v>28</v>
      </c>
      <c r="N51" s="18"/>
      <c r="O51" s="18">
        <f ca="1">(E51-G51)*'GS&lt;50 Predicted Monthly'!$X$9</f>
        <v>-40474.875254219711</v>
      </c>
      <c r="P51" s="18">
        <f ca="1">(F51-H51)*'GS&lt;50 Predicted Monthly'!$X$10</f>
        <v>0</v>
      </c>
      <c r="Q51" s="18"/>
      <c r="R51" s="18"/>
      <c r="S51" s="18"/>
      <c r="T51" s="18"/>
      <c r="U51" s="20">
        <f t="shared" ca="1" si="17"/>
        <v>15246654.020820795</v>
      </c>
    </row>
    <row r="52" spans="1:21" x14ac:dyDescent="0.2">
      <c r="A52" s="9">
        <f>'Monthly Data'!A52</f>
        <v>43525</v>
      </c>
      <c r="B52">
        <f t="shared" si="0"/>
        <v>2019</v>
      </c>
      <c r="C52">
        <f t="shared" si="1"/>
        <v>3</v>
      </c>
      <c r="D52" s="30">
        <f>'Monthly Data'!J52</f>
        <v>16050310.197195457</v>
      </c>
      <c r="E52" s="33">
        <f t="shared" ca="1" si="18"/>
        <v>374.74</v>
      </c>
      <c r="F52" s="33">
        <f t="shared" ca="1" si="18"/>
        <v>0</v>
      </c>
      <c r="G52" s="33">
        <f>'Monthly Data'!AV52</f>
        <v>432.49999999999989</v>
      </c>
      <c r="H52" s="33">
        <f>'Monthly Data'!AW52</f>
        <v>0</v>
      </c>
      <c r="I52" s="18">
        <f>'Monthly Data'!AN52</f>
        <v>1092</v>
      </c>
      <c r="J52" s="8">
        <f>'Monthly Data'!K52</f>
        <v>5500</v>
      </c>
      <c r="K52" s="30">
        <f>'Monthly Data'!BR52</f>
        <v>1</v>
      </c>
      <c r="L52" s="30">
        <f>'Monthly Data'!BT52</f>
        <v>31</v>
      </c>
      <c r="N52" s="18"/>
      <c r="O52" s="18">
        <f ca="1">(E52-G52)*'GS&lt;50 Predicted Monthly'!$X$9</f>
        <v>-272157.01917156012</v>
      </c>
      <c r="P52" s="18">
        <f ca="1">(F52-H52)*'GS&lt;50 Predicted Monthly'!$X$10</f>
        <v>0</v>
      </c>
      <c r="Q52" s="18"/>
      <c r="R52" s="18"/>
      <c r="S52" s="18"/>
      <c r="T52" s="18"/>
      <c r="U52" s="20">
        <f t="shared" ca="1" si="17"/>
        <v>15778153.178023897</v>
      </c>
    </row>
    <row r="53" spans="1:21" x14ac:dyDescent="0.2">
      <c r="A53" s="9">
        <f>'Monthly Data'!A53</f>
        <v>43556</v>
      </c>
      <c r="B53">
        <f t="shared" si="0"/>
        <v>2019</v>
      </c>
      <c r="C53">
        <f t="shared" si="1"/>
        <v>4</v>
      </c>
      <c r="D53" s="30">
        <f>'Monthly Data'!J53</f>
        <v>14274222.498315901</v>
      </c>
      <c r="E53" s="33">
        <f t="shared" ca="1" si="18"/>
        <v>221.12999999999997</v>
      </c>
      <c r="F53" s="33">
        <f t="shared" ca="1" si="18"/>
        <v>2.6300000000000003</v>
      </c>
      <c r="G53" s="33">
        <f>'Monthly Data'!AV53</f>
        <v>231.89999999999995</v>
      </c>
      <c r="H53" s="33">
        <f>'Monthly Data'!AW53</f>
        <v>0</v>
      </c>
      <c r="I53" s="18">
        <f>'Monthly Data'!AN53</f>
        <v>5906</v>
      </c>
      <c r="J53" s="8">
        <f>'Monthly Data'!K53</f>
        <v>5496</v>
      </c>
      <c r="K53" s="30">
        <f>'Monthly Data'!BR53</f>
        <v>1</v>
      </c>
      <c r="L53" s="30">
        <f>'Monthly Data'!BT53</f>
        <v>30</v>
      </c>
      <c r="N53" s="18"/>
      <c r="O53" s="18">
        <f ca="1">(E53-G53)*'GS&lt;50 Predicted Monthly'!$X$9</f>
        <v>-50746.729509655532</v>
      </c>
      <c r="P53" s="18">
        <f ca="1">(F53-H53)*'GS&lt;50 Predicted Monthly'!$X$10</f>
        <v>30387.829518589355</v>
      </c>
      <c r="Q53" s="18"/>
      <c r="R53" s="18"/>
      <c r="S53" s="18"/>
      <c r="T53" s="18"/>
      <c r="U53" s="20">
        <f t="shared" ca="1" si="17"/>
        <v>14253863.598324835</v>
      </c>
    </row>
    <row r="54" spans="1:21" x14ac:dyDescent="0.2">
      <c r="A54" s="9">
        <f>'Monthly Data'!A54</f>
        <v>43586</v>
      </c>
      <c r="B54">
        <f t="shared" si="0"/>
        <v>2019</v>
      </c>
      <c r="C54">
        <f t="shared" si="1"/>
        <v>5</v>
      </c>
      <c r="D54" s="30">
        <f>'Monthly Data'!J54</f>
        <v>14029473.799436344</v>
      </c>
      <c r="E54" s="33">
        <f t="shared" ca="1" si="18"/>
        <v>74.8</v>
      </c>
      <c r="F54" s="33">
        <f t="shared" ca="1" si="18"/>
        <v>50.489999999999995</v>
      </c>
      <c r="G54" s="33">
        <f>'Monthly Data'!AV54</f>
        <v>105.80000000000003</v>
      </c>
      <c r="H54" s="33">
        <f>'Monthly Data'!AW54</f>
        <v>14.6</v>
      </c>
      <c r="I54" s="18">
        <f>'Monthly Data'!AN54</f>
        <v>5906</v>
      </c>
      <c r="J54" s="8">
        <f>'Monthly Data'!K54</f>
        <v>5489</v>
      </c>
      <c r="K54" s="30">
        <f>'Monthly Data'!BR54</f>
        <v>1</v>
      </c>
      <c r="L54" s="30">
        <f>'Monthly Data'!BT54</f>
        <v>31</v>
      </c>
      <c r="N54" s="18"/>
      <c r="O54" s="18">
        <f ca="1">(E54-G54)*'GS&lt;50 Predicted Monthly'!$X$9</f>
        <v>-146067.6522562048</v>
      </c>
      <c r="P54" s="18">
        <f ca="1">(F54-H54)*'GS&lt;50 Predicted Monthly'!$X$10</f>
        <v>414684.10700462799</v>
      </c>
      <c r="Q54" s="18"/>
      <c r="R54" s="18"/>
      <c r="S54" s="18"/>
      <c r="T54" s="18"/>
      <c r="U54" s="20">
        <f t="shared" ca="1" si="17"/>
        <v>14298090.254184766</v>
      </c>
    </row>
    <row r="55" spans="1:21" x14ac:dyDescent="0.2">
      <c r="A55" s="9">
        <f>'Monthly Data'!A55</f>
        <v>43617</v>
      </c>
      <c r="B55">
        <f t="shared" si="0"/>
        <v>2019</v>
      </c>
      <c r="C55">
        <f t="shared" si="1"/>
        <v>6</v>
      </c>
      <c r="D55" s="30">
        <f>'Monthly Data'!J55</f>
        <v>14575779.100556785</v>
      </c>
      <c r="E55" s="33">
        <f t="shared" ca="1" si="18"/>
        <v>2.15</v>
      </c>
      <c r="F55" s="33">
        <f t="shared" ca="1" si="18"/>
        <v>154.05000000000001</v>
      </c>
      <c r="G55" s="33">
        <f>'Monthly Data'!AV55</f>
        <v>4.3999999999999986</v>
      </c>
      <c r="H55" s="33">
        <f>'Monthly Data'!AW55</f>
        <v>103.60000000000002</v>
      </c>
      <c r="I55" s="18">
        <f>'Monthly Data'!AN55</f>
        <v>5906</v>
      </c>
      <c r="J55" s="8">
        <f>'Monthly Data'!K55</f>
        <v>5489</v>
      </c>
      <c r="K55" s="30">
        <f>'Monthly Data'!BR55</f>
        <v>0</v>
      </c>
      <c r="L55" s="30">
        <f>'Monthly Data'!BT55</f>
        <v>30</v>
      </c>
      <c r="N55" s="18"/>
      <c r="O55" s="18">
        <f ca="1">(E55-G55)*'GS&lt;50 Predicted Monthly'!$X$9</f>
        <v>-10601.684437950333</v>
      </c>
      <c r="P55" s="18">
        <f ca="1">(F55-H55)*'GS&lt;50 Predicted Monthly'!$X$10</f>
        <v>582914.82859803515</v>
      </c>
      <c r="Q55" s="18"/>
      <c r="R55" s="18"/>
      <c r="S55" s="18"/>
      <c r="T55" s="18"/>
      <c r="U55" s="20">
        <f t="shared" ca="1" si="17"/>
        <v>15148092.24471687</v>
      </c>
    </row>
    <row r="56" spans="1:21" x14ac:dyDescent="0.2">
      <c r="A56" s="9">
        <f>'Monthly Data'!A56</f>
        <v>43647</v>
      </c>
      <c r="B56">
        <f t="shared" ref="B56:B115" si="19">YEAR(A56)</f>
        <v>2019</v>
      </c>
      <c r="C56">
        <f t="shared" ref="C56:C115" si="20">MONTH(A56)</f>
        <v>7</v>
      </c>
      <c r="D56" s="30">
        <f>'Monthly Data'!J56</f>
        <v>17103909.401677229</v>
      </c>
      <c r="E56" s="33">
        <f t="shared" ca="1" si="18"/>
        <v>0</v>
      </c>
      <c r="F56" s="33">
        <f t="shared" ca="1" si="18"/>
        <v>267.66999999999996</v>
      </c>
      <c r="G56" s="33">
        <f>'Monthly Data'!AV56</f>
        <v>0</v>
      </c>
      <c r="H56" s="33">
        <f>'Monthly Data'!AW56</f>
        <v>276.59999999999997</v>
      </c>
      <c r="I56" s="18">
        <f>'Monthly Data'!AN56</f>
        <v>3717</v>
      </c>
      <c r="J56" s="8">
        <f>'Monthly Data'!K56</f>
        <v>5495</v>
      </c>
      <c r="K56" s="30">
        <f>'Monthly Data'!BR56</f>
        <v>0</v>
      </c>
      <c r="L56" s="30">
        <f>'Monthly Data'!BT56</f>
        <v>31</v>
      </c>
      <c r="N56" s="18"/>
      <c r="O56" s="18">
        <f ca="1">(E56-G56)*'GS&lt;50 Predicted Monthly'!$X$9</f>
        <v>0</v>
      </c>
      <c r="P56" s="18">
        <f ca="1">(F56-H56)*'GS&lt;50 Predicted Monthly'!$X$10</f>
        <v>-103179.96866958293</v>
      </c>
      <c r="Q56" s="18"/>
      <c r="R56" s="18"/>
      <c r="S56" s="18"/>
      <c r="T56" s="18"/>
      <c r="U56" s="20">
        <f t="shared" ca="1" si="17"/>
        <v>17000729.433007646</v>
      </c>
    </row>
    <row r="57" spans="1:21" x14ac:dyDescent="0.2">
      <c r="A57" s="9">
        <f>'Monthly Data'!A57</f>
        <v>43678</v>
      </c>
      <c r="B57">
        <f t="shared" si="19"/>
        <v>2019</v>
      </c>
      <c r="C57">
        <f t="shared" si="20"/>
        <v>8</v>
      </c>
      <c r="D57" s="30">
        <f>'Monthly Data'!J57</f>
        <v>16383214.702797672</v>
      </c>
      <c r="E57" s="33">
        <f t="shared" ca="1" si="18"/>
        <v>0</v>
      </c>
      <c r="F57" s="33">
        <f t="shared" ca="1" si="18"/>
        <v>246.315</v>
      </c>
      <c r="G57" s="33">
        <f>'Monthly Data'!AV57</f>
        <v>0</v>
      </c>
      <c r="H57" s="33">
        <f>'Monthly Data'!AW57</f>
        <v>225.29999999999998</v>
      </c>
      <c r="I57" s="18">
        <f>'Monthly Data'!AN57</f>
        <v>3717</v>
      </c>
      <c r="J57" s="8">
        <f>'Monthly Data'!K57</f>
        <v>5492</v>
      </c>
      <c r="K57" s="30">
        <f>'Monthly Data'!BR57</f>
        <v>0</v>
      </c>
      <c r="L57" s="30">
        <f>'Monthly Data'!BT57</f>
        <v>31</v>
      </c>
      <c r="N57" s="18"/>
      <c r="O57" s="18">
        <f ca="1">(E57-G57)*'GS&lt;50 Predicted Monthly'!$X$9</f>
        <v>0</v>
      </c>
      <c r="P57" s="18">
        <f ca="1">(F57-H57)*'GS&lt;50 Predicted Monthly'!$X$10</f>
        <v>242813.77845367137</v>
      </c>
      <c r="Q57" s="18"/>
      <c r="R57" s="18"/>
      <c r="S57" s="18"/>
      <c r="T57" s="18"/>
      <c r="U57" s="20">
        <f t="shared" ca="1" si="17"/>
        <v>16626028.481251344</v>
      </c>
    </row>
    <row r="58" spans="1:21" x14ac:dyDescent="0.2">
      <c r="A58" s="9">
        <f>'Monthly Data'!A58</f>
        <v>43709</v>
      </c>
      <c r="B58">
        <f t="shared" si="19"/>
        <v>2019</v>
      </c>
      <c r="C58">
        <f t="shared" si="20"/>
        <v>9</v>
      </c>
      <c r="D58" s="30">
        <f>'Monthly Data'!J58</f>
        <v>14536936.003918113</v>
      </c>
      <c r="E58" s="33">
        <f t="shared" ca="1" si="18"/>
        <v>2.2699999999999996</v>
      </c>
      <c r="F58" s="33">
        <f t="shared" ca="1" si="18"/>
        <v>146.80000000000001</v>
      </c>
      <c r="G58" s="33">
        <f>'Monthly Data'!AV58</f>
        <v>0.30000000000000071</v>
      </c>
      <c r="H58" s="33">
        <f>'Monthly Data'!AW58</f>
        <v>133.90000000000003</v>
      </c>
      <c r="I58" s="18">
        <f>'Monthly Data'!AN58</f>
        <v>3717</v>
      </c>
      <c r="J58" s="8">
        <f>'Monthly Data'!K58</f>
        <v>5496</v>
      </c>
      <c r="K58" s="30">
        <f>'Monthly Data'!BR58</f>
        <v>1</v>
      </c>
      <c r="L58" s="30">
        <f>'Monthly Data'!BT58</f>
        <v>30</v>
      </c>
      <c r="N58" s="18"/>
      <c r="O58" s="18">
        <f ca="1">(E58-G58)*'GS&lt;50 Predicted Monthly'!$X$9</f>
        <v>9282.3637078942902</v>
      </c>
      <c r="P58" s="18">
        <f ca="1">(F58-H58)*'GS&lt;50 Predicted Monthly'!$X$10</f>
        <v>149050.57064251025</v>
      </c>
      <c r="Q58" s="18"/>
      <c r="R58" s="18"/>
      <c r="S58" s="18"/>
      <c r="T58" s="18"/>
      <c r="U58" s="20">
        <f t="shared" ca="1" si="17"/>
        <v>14695268.938268518</v>
      </c>
    </row>
    <row r="59" spans="1:21" x14ac:dyDescent="0.2">
      <c r="A59" s="9">
        <f>'Monthly Data'!A59</f>
        <v>43739</v>
      </c>
      <c r="B59">
        <f t="shared" si="19"/>
        <v>2019</v>
      </c>
      <c r="C59">
        <f t="shared" si="20"/>
        <v>10</v>
      </c>
      <c r="D59" s="30">
        <f>'Monthly Data'!J59</f>
        <v>13867496.305038556</v>
      </c>
      <c r="E59" s="33">
        <f t="shared" ca="1" si="18"/>
        <v>83.800000000000011</v>
      </c>
      <c r="F59" s="33">
        <f t="shared" ca="1" si="18"/>
        <v>36.859999999999992</v>
      </c>
      <c r="G59" s="33">
        <f>'Monthly Data'!AV59</f>
        <v>74.100000000000009</v>
      </c>
      <c r="H59" s="33">
        <f>'Monthly Data'!AW59</f>
        <v>15.999999999999998</v>
      </c>
      <c r="I59" s="18">
        <f>'Monthly Data'!AN59</f>
        <v>1050</v>
      </c>
      <c r="J59" s="8">
        <f>'Monthly Data'!K59</f>
        <v>5495</v>
      </c>
      <c r="K59" s="30">
        <f>'Monthly Data'!BR59</f>
        <v>1</v>
      </c>
      <c r="L59" s="30">
        <f>'Monthly Data'!BT59</f>
        <v>31</v>
      </c>
      <c r="N59" s="18"/>
      <c r="O59" s="18">
        <f ca="1">(E59-G59)*'GS&lt;50 Predicted Monthly'!$X$9</f>
        <v>45705.039576941468</v>
      </c>
      <c r="P59" s="18">
        <f ca="1">(F59-H59)*'GS&lt;50 Predicted Monthly'!$X$10</f>
        <v>241022.86074440062</v>
      </c>
      <c r="Q59" s="18"/>
      <c r="R59" s="18"/>
      <c r="S59" s="18"/>
      <c r="T59" s="18"/>
      <c r="U59" s="20">
        <f t="shared" ca="1" si="17"/>
        <v>14154224.205359899</v>
      </c>
    </row>
    <row r="60" spans="1:21" x14ac:dyDescent="0.2">
      <c r="A60" s="9">
        <f>'Monthly Data'!A60</f>
        <v>43770</v>
      </c>
      <c r="B60">
        <f t="shared" si="19"/>
        <v>2019</v>
      </c>
      <c r="C60">
        <f t="shared" si="20"/>
        <v>11</v>
      </c>
      <c r="D60" s="30">
        <f>'Monthly Data'!J60</f>
        <v>14353293.606159</v>
      </c>
      <c r="E60" s="33">
        <f t="shared" ca="1" si="18"/>
        <v>240.7</v>
      </c>
      <c r="F60" s="33">
        <f t="shared" ca="1" si="18"/>
        <v>3.410000000000001</v>
      </c>
      <c r="G60" s="33">
        <f>'Monthly Data'!AV60</f>
        <v>343.99999999999994</v>
      </c>
      <c r="H60" s="33">
        <f>'Monthly Data'!AW60</f>
        <v>0</v>
      </c>
      <c r="I60" s="18">
        <f>'Monthly Data'!AN60</f>
        <v>1050</v>
      </c>
      <c r="J60" s="8">
        <f>'Monthly Data'!K60</f>
        <v>5456</v>
      </c>
      <c r="K60" s="30">
        <f>'Monthly Data'!BR60</f>
        <v>1</v>
      </c>
      <c r="L60" s="30">
        <f>'Monthly Data'!BT60</f>
        <v>30</v>
      </c>
      <c r="N60" s="18"/>
      <c r="O60" s="18">
        <f ca="1">(E60-G60)*'GS&lt;50 Predicted Monthly'!$X$9</f>
        <v>-486735.11219567532</v>
      </c>
      <c r="P60" s="18">
        <f ca="1">(F60-H60)*'GS&lt;50 Predicted Monthly'!$X$10</f>
        <v>39400.189603950465</v>
      </c>
      <c r="Q60" s="18"/>
      <c r="R60" s="18"/>
      <c r="S60" s="18"/>
      <c r="T60" s="18"/>
      <c r="U60" s="20">
        <f t="shared" ca="1" si="17"/>
        <v>13905958.683567274</v>
      </c>
    </row>
    <row r="61" spans="1:21" x14ac:dyDescent="0.2">
      <c r="A61" s="9">
        <f>'Monthly Data'!A61</f>
        <v>43800</v>
      </c>
      <c r="B61">
        <f t="shared" si="19"/>
        <v>2019</v>
      </c>
      <c r="C61">
        <f t="shared" si="20"/>
        <v>12</v>
      </c>
      <c r="D61" s="30">
        <f>'Monthly Data'!J61</f>
        <v>15207078.907279443</v>
      </c>
      <c r="E61" s="33">
        <f t="shared" ca="1" si="18"/>
        <v>386.61999999999995</v>
      </c>
      <c r="F61" s="33">
        <f t="shared" ca="1" si="18"/>
        <v>0</v>
      </c>
      <c r="G61" s="33">
        <f>'Monthly Data'!AV61</f>
        <v>396.4</v>
      </c>
      <c r="H61" s="33">
        <f>'Monthly Data'!AW61</f>
        <v>0</v>
      </c>
      <c r="I61" s="18">
        <f>'Monthly Data'!AN61</f>
        <v>1050</v>
      </c>
      <c r="J61" s="8">
        <f>'Monthly Data'!K61</f>
        <v>5460</v>
      </c>
      <c r="K61" s="30">
        <f>'Monthly Data'!BR61</f>
        <v>0</v>
      </c>
      <c r="L61" s="30">
        <f>'Monthly Data'!BT61</f>
        <v>31</v>
      </c>
      <c r="N61" s="18"/>
      <c r="O61" s="18">
        <f ca="1">(E61-G61)*'GS&lt;50 Predicted Monthly'!$X$9</f>
        <v>-46081.988356957612</v>
      </c>
      <c r="P61" s="18">
        <f ca="1">(F61-H61)*'GS&lt;50 Predicted Monthly'!$X$10</f>
        <v>0</v>
      </c>
      <c r="Q61" s="18"/>
      <c r="R61" s="18"/>
      <c r="S61" s="18"/>
      <c r="T61" s="18"/>
      <c r="U61" s="20">
        <f t="shared" ca="1" si="17"/>
        <v>15160996.918922486</v>
      </c>
    </row>
    <row r="62" spans="1:21" x14ac:dyDescent="0.2">
      <c r="A62" s="9">
        <f>'Monthly Data'!A62</f>
        <v>43831</v>
      </c>
      <c r="B62">
        <f t="shared" si="19"/>
        <v>2020</v>
      </c>
      <c r="C62">
        <f t="shared" si="20"/>
        <v>1</v>
      </c>
      <c r="D62" s="30">
        <f>'Monthly Data'!J62</f>
        <v>15460614.932394793</v>
      </c>
      <c r="E62" s="33">
        <f t="shared" ca="1" si="18"/>
        <v>508.54000000000008</v>
      </c>
      <c r="F62" s="33">
        <f t="shared" ca="1" si="18"/>
        <v>0</v>
      </c>
      <c r="G62" s="33">
        <f>'Monthly Data'!AV62</f>
        <v>427.8</v>
      </c>
      <c r="H62" s="33">
        <f>'Monthly Data'!AW62</f>
        <v>0</v>
      </c>
      <c r="I62" s="18">
        <f>'Monthly Data'!AN62</f>
        <v>-11271</v>
      </c>
      <c r="J62" s="8">
        <f>'Monthly Data'!K62</f>
        <v>5491</v>
      </c>
      <c r="K62" s="30">
        <f>'Monthly Data'!BR62</f>
        <v>0</v>
      </c>
      <c r="L62" s="30">
        <f>'Monthly Data'!BT62</f>
        <v>31</v>
      </c>
      <c r="N62" s="18"/>
      <c r="O62" s="18">
        <f ca="1">(E62-G62)*'GS&lt;50 Predicted Monthly'!$X$9</f>
        <v>380435.55623116047</v>
      </c>
      <c r="P62" s="18">
        <f ca="1">(F62-H62)*'GS&lt;50 Predicted Monthly'!$X$10</f>
        <v>0</v>
      </c>
      <c r="Q62" s="18"/>
      <c r="R62" s="18"/>
      <c r="S62" s="18"/>
      <c r="T62" s="18"/>
      <c r="U62" s="20">
        <f t="shared" ca="1" si="17"/>
        <v>15841050.488625953</v>
      </c>
    </row>
    <row r="63" spans="1:21" x14ac:dyDescent="0.2">
      <c r="A63" s="9">
        <f>'Monthly Data'!A63</f>
        <v>43862</v>
      </c>
      <c r="B63">
        <f t="shared" si="19"/>
        <v>2020</v>
      </c>
      <c r="C63">
        <f t="shared" si="20"/>
        <v>2</v>
      </c>
      <c r="D63" s="30">
        <f>'Monthly Data'!J63</f>
        <v>14562080.289898498</v>
      </c>
      <c r="E63" s="33">
        <f t="shared" ca="1" si="18"/>
        <v>451.10999999999996</v>
      </c>
      <c r="F63" s="33">
        <f t="shared" ca="1" si="18"/>
        <v>0</v>
      </c>
      <c r="G63" s="33">
        <f>'Monthly Data'!AV63</f>
        <v>445.2</v>
      </c>
      <c r="H63" s="33">
        <f>'Monthly Data'!AW63</f>
        <v>0</v>
      </c>
      <c r="I63" s="18">
        <f>'Monthly Data'!AN63</f>
        <v>-11271</v>
      </c>
      <c r="J63" s="8">
        <f>'Monthly Data'!K63</f>
        <v>5489</v>
      </c>
      <c r="K63" s="30">
        <f>'Monthly Data'!BR63</f>
        <v>0</v>
      </c>
      <c r="L63" s="30">
        <f>'Monthly Data'!BT63</f>
        <v>29</v>
      </c>
      <c r="N63" s="18"/>
      <c r="O63" s="18">
        <f ca="1">(E63-G63)*'GS&lt;50 Predicted Monthly'!$X$9</f>
        <v>27847.091123682738</v>
      </c>
      <c r="P63" s="18">
        <f ca="1">(F63-H63)*'GS&lt;50 Predicted Monthly'!$X$10</f>
        <v>0</v>
      </c>
      <c r="Q63" s="18"/>
      <c r="R63" s="18"/>
      <c r="S63" s="18"/>
      <c r="T63" s="18"/>
      <c r="U63" s="20">
        <f t="shared" ca="1" si="17"/>
        <v>14589927.381022181</v>
      </c>
    </row>
    <row r="64" spans="1:21" x14ac:dyDescent="0.2">
      <c r="A64" s="9">
        <f>'Monthly Data'!A64</f>
        <v>43891</v>
      </c>
      <c r="B64">
        <f t="shared" si="19"/>
        <v>2020</v>
      </c>
      <c r="C64">
        <f t="shared" si="20"/>
        <v>3</v>
      </c>
      <c r="D64" s="30">
        <f>'Monthly Data'!J64</f>
        <v>13828647.647402203</v>
      </c>
      <c r="E64" s="33">
        <f t="shared" ca="1" si="18"/>
        <v>374.74</v>
      </c>
      <c r="F64" s="33">
        <f t="shared" ca="1" si="18"/>
        <v>0</v>
      </c>
      <c r="G64" s="33">
        <f>'Monthly Data'!AV64</f>
        <v>316</v>
      </c>
      <c r="H64" s="33">
        <f>'Monthly Data'!AW64</f>
        <v>0</v>
      </c>
      <c r="I64" s="18">
        <f>'Monthly Data'!AN64</f>
        <v>-11271</v>
      </c>
      <c r="J64" s="8">
        <f>'Monthly Data'!K64</f>
        <v>5500</v>
      </c>
      <c r="K64" s="30">
        <f>'Monthly Data'!BR64</f>
        <v>1</v>
      </c>
      <c r="L64" s="30">
        <f>'Monthly Data'!BT64</f>
        <v>31</v>
      </c>
      <c r="N64" s="18"/>
      <c r="O64" s="18">
        <f ca="1">(E64-G64)*'GS&lt;50 Predicted Monthly'!$X$9</f>
        <v>276774.64172675688</v>
      </c>
      <c r="P64" s="18">
        <f ca="1">(F64-H64)*'GS&lt;50 Predicted Monthly'!$X$10</f>
        <v>0</v>
      </c>
      <c r="Q64" s="18"/>
      <c r="R64" s="18"/>
      <c r="S64" s="18"/>
      <c r="T64" s="18"/>
      <c r="U64" s="20">
        <f t="shared" ca="1" si="17"/>
        <v>14105422.289128959</v>
      </c>
    </row>
    <row r="65" spans="1:21" x14ac:dyDescent="0.2">
      <c r="A65" s="9">
        <f>'Monthly Data'!A65</f>
        <v>43922</v>
      </c>
      <c r="B65">
        <f t="shared" si="19"/>
        <v>2020</v>
      </c>
      <c r="C65">
        <f t="shared" si="20"/>
        <v>4</v>
      </c>
      <c r="D65" s="30">
        <f>'Monthly Data'!J65</f>
        <v>11361907.004905907</v>
      </c>
      <c r="E65" s="33">
        <f t="shared" ca="1" si="18"/>
        <v>221.12999999999997</v>
      </c>
      <c r="F65" s="33">
        <f t="shared" ca="1" si="18"/>
        <v>2.6300000000000003</v>
      </c>
      <c r="G65" s="33">
        <f>'Monthly Data'!AV65</f>
        <v>241.00000000000003</v>
      </c>
      <c r="H65" s="33">
        <f>'Monthly Data'!AW65</f>
        <v>0</v>
      </c>
      <c r="I65" s="18">
        <f>'Monthly Data'!AN65</f>
        <v>-93587</v>
      </c>
      <c r="J65" s="8">
        <f>'Monthly Data'!K65</f>
        <v>5502</v>
      </c>
      <c r="K65" s="30">
        <f>'Monthly Data'!BR65</f>
        <v>1</v>
      </c>
      <c r="L65" s="30">
        <f>'Monthly Data'!BT65</f>
        <v>30</v>
      </c>
      <c r="N65" s="18"/>
      <c r="O65" s="18">
        <f ca="1">(E65-G65)*'GS&lt;50 Predicted Monthly'!$X$9</f>
        <v>-93624.653236477272</v>
      </c>
      <c r="P65" s="18">
        <f ca="1">(F65-H65)*'GS&lt;50 Predicted Monthly'!$X$10</f>
        <v>30387.829518589355</v>
      </c>
      <c r="Q65" s="18"/>
      <c r="R65" s="18"/>
      <c r="S65" s="18"/>
      <c r="T65" s="18"/>
      <c r="U65" s="20">
        <f t="shared" ca="1" si="17"/>
        <v>11298670.181188021</v>
      </c>
    </row>
    <row r="66" spans="1:21" x14ac:dyDescent="0.2">
      <c r="A66" s="9">
        <f>'Monthly Data'!A66</f>
        <v>43952</v>
      </c>
      <c r="B66">
        <f t="shared" si="19"/>
        <v>2020</v>
      </c>
      <c r="C66">
        <f t="shared" si="20"/>
        <v>5</v>
      </c>
      <c r="D66" s="30">
        <f>'Monthly Data'!J66</f>
        <v>11649396.362409612</v>
      </c>
      <c r="E66" s="33">
        <f t="shared" ref="E66:F81" ca="1" si="21">E54</f>
        <v>74.8</v>
      </c>
      <c r="F66" s="33">
        <f t="shared" ca="1" si="21"/>
        <v>50.489999999999995</v>
      </c>
      <c r="G66" s="33">
        <f>'Monthly Data'!AV66</f>
        <v>122.60000000000001</v>
      </c>
      <c r="H66" s="33">
        <f>'Monthly Data'!AW66</f>
        <v>35.1</v>
      </c>
      <c r="I66" s="18">
        <f>'Monthly Data'!AN66</f>
        <v>-93587</v>
      </c>
      <c r="J66" s="8">
        <f>'Monthly Data'!K66</f>
        <v>5501</v>
      </c>
      <c r="K66" s="30">
        <f>'Monthly Data'!BR66</f>
        <v>1</v>
      </c>
      <c r="L66" s="30">
        <f>'Monthly Data'!BT66</f>
        <v>31</v>
      </c>
      <c r="N66" s="18"/>
      <c r="O66" s="18">
        <f ca="1">(E66-G66)*'GS&lt;50 Predicted Monthly'!$X$9</f>
        <v>-225226.89605956723</v>
      </c>
      <c r="P66" s="18">
        <f ca="1">(F66-H66)*'GS&lt;50 Predicted Monthly'!$X$10</f>
        <v>177820.79706885549</v>
      </c>
      <c r="Q66" s="18"/>
      <c r="R66" s="18"/>
      <c r="S66" s="18"/>
      <c r="T66" s="18"/>
      <c r="U66" s="20">
        <f t="shared" ca="1" si="17"/>
        <v>11601990.2634189</v>
      </c>
    </row>
    <row r="67" spans="1:21" x14ac:dyDescent="0.2">
      <c r="A67" s="9">
        <f>'Monthly Data'!A67</f>
        <v>43983</v>
      </c>
      <c r="B67">
        <f t="shared" si="19"/>
        <v>2020</v>
      </c>
      <c r="C67">
        <f t="shared" si="20"/>
        <v>6</v>
      </c>
      <c r="D67" s="30">
        <f>'Monthly Data'!J67</f>
        <v>13516522.719913317</v>
      </c>
      <c r="E67" s="33">
        <f t="shared" ca="1" si="21"/>
        <v>2.15</v>
      </c>
      <c r="F67" s="33">
        <f t="shared" ca="1" si="21"/>
        <v>154.05000000000001</v>
      </c>
      <c r="G67" s="33">
        <f>'Monthly Data'!AV67</f>
        <v>3.0999999999999996</v>
      </c>
      <c r="H67" s="33">
        <f>'Monthly Data'!AW67</f>
        <v>182.39999999999995</v>
      </c>
      <c r="I67" s="18">
        <f>'Monthly Data'!AN67</f>
        <v>-93587</v>
      </c>
      <c r="J67" s="8">
        <f>'Monthly Data'!K67</f>
        <v>5504</v>
      </c>
      <c r="K67" s="30">
        <f>'Monthly Data'!BR67</f>
        <v>0</v>
      </c>
      <c r="L67" s="30">
        <f>'Monthly Data'!BT67</f>
        <v>30</v>
      </c>
      <c r="N67" s="18"/>
      <c r="O67" s="18">
        <f ca="1">(E67-G67)*'GS&lt;50 Predicted Monthly'!$X$9</f>
        <v>-4476.2667626901411</v>
      </c>
      <c r="P67" s="18">
        <f ca="1">(F67-H67)*'GS&lt;50 Predicted Monthly'!$X$10</f>
        <v>-327564.62617947004</v>
      </c>
      <c r="Q67" s="18"/>
      <c r="R67" s="18"/>
      <c r="S67" s="18"/>
      <c r="T67" s="18"/>
      <c r="U67" s="20">
        <f t="shared" ca="1" si="17"/>
        <v>13184481.826971157</v>
      </c>
    </row>
    <row r="68" spans="1:21" x14ac:dyDescent="0.2">
      <c r="A68" s="9">
        <f>'Monthly Data'!A68</f>
        <v>44013</v>
      </c>
      <c r="B68">
        <f t="shared" si="19"/>
        <v>2020</v>
      </c>
      <c r="C68">
        <f t="shared" si="20"/>
        <v>7</v>
      </c>
      <c r="D68" s="30">
        <f>'Monthly Data'!J68</f>
        <v>15828746.077417022</v>
      </c>
      <c r="E68" s="33">
        <f t="shared" ca="1" si="21"/>
        <v>0</v>
      </c>
      <c r="F68" s="33">
        <f t="shared" ca="1" si="21"/>
        <v>267.66999999999996</v>
      </c>
      <c r="G68" s="33">
        <f>'Monthly Data'!AV68</f>
        <v>0</v>
      </c>
      <c r="H68" s="33">
        <f>'Monthly Data'!AW68</f>
        <v>326.5</v>
      </c>
      <c r="I68" s="18">
        <f>'Monthly Data'!AN68</f>
        <v>70686</v>
      </c>
      <c r="J68" s="8">
        <f>'Monthly Data'!K68</f>
        <v>5501</v>
      </c>
      <c r="K68" s="30">
        <f>'Monthly Data'!BR68</f>
        <v>0</v>
      </c>
      <c r="L68" s="30">
        <f>'Monthly Data'!BT68</f>
        <v>31</v>
      </c>
      <c r="N68" s="18"/>
      <c r="O68" s="18">
        <f ca="1">(E68-G68)*'GS&lt;50 Predicted Monthly'!$X$9</f>
        <v>0</v>
      </c>
      <c r="P68" s="18">
        <f ca="1">(F68-H68)*'GS&lt;50 Predicted Monthly'!$X$10</f>
        <v>-679739.92797665892</v>
      </c>
      <c r="Q68" s="18"/>
      <c r="R68" s="18"/>
      <c r="S68" s="18"/>
      <c r="T68" s="18"/>
      <c r="U68" s="20">
        <f t="shared" ca="1" si="17"/>
        <v>15149006.149440363</v>
      </c>
    </row>
    <row r="69" spans="1:21" x14ac:dyDescent="0.2">
      <c r="A69" s="9">
        <f>'Monthly Data'!A69</f>
        <v>44044</v>
      </c>
      <c r="B69">
        <f t="shared" si="19"/>
        <v>2020</v>
      </c>
      <c r="C69">
        <f t="shared" si="20"/>
        <v>8</v>
      </c>
      <c r="D69" s="30">
        <f>'Monthly Data'!J69</f>
        <v>15475786.434920726</v>
      </c>
      <c r="E69" s="33">
        <f t="shared" ca="1" si="21"/>
        <v>0</v>
      </c>
      <c r="F69" s="33">
        <f t="shared" ca="1" si="21"/>
        <v>246.315</v>
      </c>
      <c r="G69" s="33">
        <f>'Monthly Data'!AV69</f>
        <v>0</v>
      </c>
      <c r="H69" s="33">
        <f>'Monthly Data'!AW69</f>
        <v>245.54999999999998</v>
      </c>
      <c r="I69" s="18">
        <f>'Monthly Data'!AN69</f>
        <v>70686</v>
      </c>
      <c r="J69" s="8">
        <f>'Monthly Data'!K69</f>
        <v>5502</v>
      </c>
      <c r="K69" s="30">
        <f>'Monthly Data'!BR69</f>
        <v>0</v>
      </c>
      <c r="L69" s="30">
        <f>'Monthly Data'!BT69</f>
        <v>31</v>
      </c>
      <c r="N69" s="18"/>
      <c r="O69" s="18">
        <f ca="1">(E69-G69)*'GS&lt;50 Predicted Monthly'!$X$9</f>
        <v>0</v>
      </c>
      <c r="P69" s="18">
        <f ca="1">(F69-H69)*'GS&lt;50 Predicted Monthly'!$X$10</f>
        <v>8839.0454683350963</v>
      </c>
      <c r="Q69" s="18"/>
      <c r="R69" s="18"/>
      <c r="S69" s="18"/>
      <c r="T69" s="18"/>
      <c r="U69" s="20">
        <f t="shared" ca="1" si="17"/>
        <v>15484625.480389062</v>
      </c>
    </row>
    <row r="70" spans="1:21" x14ac:dyDescent="0.2">
      <c r="A70" s="9">
        <f>'Monthly Data'!A70</f>
        <v>44075</v>
      </c>
      <c r="B70">
        <f t="shared" si="19"/>
        <v>2020</v>
      </c>
      <c r="C70">
        <f t="shared" si="20"/>
        <v>9</v>
      </c>
      <c r="D70" s="30">
        <f>'Monthly Data'!J70</f>
        <v>13348828.792424431</v>
      </c>
      <c r="E70" s="33">
        <f t="shared" ca="1" si="21"/>
        <v>2.2699999999999996</v>
      </c>
      <c r="F70" s="33">
        <f t="shared" ca="1" si="21"/>
        <v>146.80000000000001</v>
      </c>
      <c r="G70" s="33">
        <f>'Monthly Data'!AV70</f>
        <v>6.7999999999999989</v>
      </c>
      <c r="H70" s="33">
        <f>'Monthly Data'!AW70</f>
        <v>108.09999999999998</v>
      </c>
      <c r="I70" s="18">
        <f>'Monthly Data'!AN70</f>
        <v>70686</v>
      </c>
      <c r="J70" s="8">
        <f>'Monthly Data'!K70</f>
        <v>5550</v>
      </c>
      <c r="K70" s="30">
        <f>'Monthly Data'!BR70</f>
        <v>1</v>
      </c>
      <c r="L70" s="30">
        <f>'Monthly Data'!BT70</f>
        <v>30</v>
      </c>
      <c r="N70" s="18"/>
      <c r="O70" s="18">
        <f ca="1">(E70-G70)*'GS&lt;50 Predicted Monthly'!$X$9</f>
        <v>-21344.724668406678</v>
      </c>
      <c r="P70" s="18">
        <f ca="1">(F70-H70)*'GS&lt;50 Predicted Monthly'!$X$10</f>
        <v>447151.71192753187</v>
      </c>
      <c r="Q70" s="18"/>
      <c r="R70" s="18"/>
      <c r="S70" s="18"/>
      <c r="T70" s="18"/>
      <c r="U70" s="20">
        <f t="shared" ref="U70:U101" ca="1" si="22">D70+O70+P70</f>
        <v>13774635.779683556</v>
      </c>
    </row>
    <row r="71" spans="1:21" x14ac:dyDescent="0.2">
      <c r="A71" s="9">
        <f>'Monthly Data'!A71</f>
        <v>44105</v>
      </c>
      <c r="B71">
        <f t="shared" si="19"/>
        <v>2020</v>
      </c>
      <c r="C71">
        <f t="shared" si="20"/>
        <v>10</v>
      </c>
      <c r="D71" s="30">
        <f>'Monthly Data'!J71</f>
        <v>12958296.149928138</v>
      </c>
      <c r="E71" s="33">
        <f t="shared" ca="1" si="21"/>
        <v>83.800000000000011</v>
      </c>
      <c r="F71" s="33">
        <f t="shared" ca="1" si="21"/>
        <v>36.859999999999992</v>
      </c>
      <c r="G71" s="33">
        <f>'Monthly Data'!AV71</f>
        <v>116.69999999999999</v>
      </c>
      <c r="H71" s="33">
        <f>'Monthly Data'!AW71</f>
        <v>7.6999999999999993</v>
      </c>
      <c r="I71" s="18">
        <f>'Monthly Data'!AN71</f>
        <v>18654</v>
      </c>
      <c r="J71" s="8">
        <f>'Monthly Data'!K71</f>
        <v>5531</v>
      </c>
      <c r="K71" s="30">
        <f>'Monthly Data'!BR71</f>
        <v>1</v>
      </c>
      <c r="L71" s="30">
        <f>'Monthly Data'!BT71</f>
        <v>31</v>
      </c>
      <c r="N71" s="18"/>
      <c r="O71" s="18">
        <f ca="1">(E71-G71)*'GS&lt;50 Predicted Monthly'!$X$9</f>
        <v>-155020.18578158485</v>
      </c>
      <c r="P71" s="18">
        <f ca="1">(F71-H71)*'GS&lt;50 Predicted Monthly'!$X$10</f>
        <v>336923.61549888412</v>
      </c>
      <c r="Q71" s="18"/>
      <c r="R71" s="18"/>
      <c r="S71" s="18"/>
      <c r="T71" s="18"/>
      <c r="U71" s="20">
        <f t="shared" ca="1" si="22"/>
        <v>13140199.579645436</v>
      </c>
    </row>
    <row r="72" spans="1:21" x14ac:dyDescent="0.2">
      <c r="A72" s="9">
        <f>'Monthly Data'!A72</f>
        <v>44136</v>
      </c>
      <c r="B72">
        <f t="shared" si="19"/>
        <v>2020</v>
      </c>
      <c r="C72">
        <f t="shared" si="20"/>
        <v>11</v>
      </c>
      <c r="D72" s="30">
        <f>'Monthly Data'!J72</f>
        <v>13270098.507431842</v>
      </c>
      <c r="E72" s="33">
        <f t="shared" ca="1" si="21"/>
        <v>240.7</v>
      </c>
      <c r="F72" s="33">
        <f t="shared" ca="1" si="21"/>
        <v>3.410000000000001</v>
      </c>
      <c r="G72" s="33">
        <f>'Monthly Data'!AV72</f>
        <v>184.59999999999997</v>
      </c>
      <c r="H72" s="33">
        <f>'Monthly Data'!AW72</f>
        <v>8.6999999999999993</v>
      </c>
      <c r="I72" s="18">
        <f>'Monthly Data'!AN72</f>
        <v>18654</v>
      </c>
      <c r="J72" s="8">
        <f>'Monthly Data'!K72</f>
        <v>5535</v>
      </c>
      <c r="K72" s="30">
        <f>'Monthly Data'!BR72</f>
        <v>1</v>
      </c>
      <c r="L72" s="30">
        <f>'Monthly Data'!BT72</f>
        <v>30</v>
      </c>
      <c r="N72" s="18"/>
      <c r="O72" s="18">
        <f ca="1">(E72-G72)*'GS&lt;50 Predicted Monthly'!$X$9</f>
        <v>264335.33198622853</v>
      </c>
      <c r="P72" s="18">
        <f ca="1">(F72-H72)*'GS&lt;50 Predicted Monthly'!$X$10</f>
        <v>-61122.288271231031</v>
      </c>
      <c r="Q72" s="18"/>
      <c r="R72" s="18"/>
      <c r="S72" s="18"/>
      <c r="T72" s="18"/>
      <c r="U72" s="20">
        <f t="shared" ca="1" si="22"/>
        <v>13473311.551146839</v>
      </c>
    </row>
    <row r="73" spans="1:21" x14ac:dyDescent="0.2">
      <c r="A73" s="9">
        <f>'Monthly Data'!A73</f>
        <v>44166</v>
      </c>
      <c r="B73">
        <f t="shared" si="19"/>
        <v>2020</v>
      </c>
      <c r="C73">
        <f t="shared" si="20"/>
        <v>12</v>
      </c>
      <c r="D73" s="30">
        <f>'Monthly Data'!J73</f>
        <v>14143324.864935547</v>
      </c>
      <c r="E73" s="33">
        <f t="shared" ca="1" si="21"/>
        <v>386.61999999999995</v>
      </c>
      <c r="F73" s="33">
        <f t="shared" ca="1" si="21"/>
        <v>0</v>
      </c>
      <c r="G73" s="33">
        <f>'Monthly Data'!AV73</f>
        <v>388.10000000000008</v>
      </c>
      <c r="H73" s="33">
        <f>'Monthly Data'!AW73</f>
        <v>0</v>
      </c>
      <c r="I73" s="18">
        <f>'Monthly Data'!AN73</f>
        <v>18654</v>
      </c>
      <c r="J73" s="8">
        <f>'Monthly Data'!K73</f>
        <v>5560</v>
      </c>
      <c r="K73" s="30">
        <f>'Monthly Data'!BR73</f>
        <v>0</v>
      </c>
      <c r="L73" s="30">
        <f>'Monthly Data'!BT73</f>
        <v>31</v>
      </c>
      <c r="N73" s="18"/>
      <c r="O73" s="18">
        <f ca="1">(E73-G73)*'GS&lt;50 Predicted Monthly'!$X$9</f>
        <v>-6973.5524302968442</v>
      </c>
      <c r="P73" s="18">
        <f ca="1">(F73-H73)*'GS&lt;50 Predicted Monthly'!$X$10</f>
        <v>0</v>
      </c>
      <c r="Q73" s="18"/>
      <c r="R73" s="18"/>
      <c r="S73" s="18"/>
      <c r="T73" s="18"/>
      <c r="U73" s="20">
        <f t="shared" ca="1" si="22"/>
        <v>14136351.312505251</v>
      </c>
    </row>
    <row r="74" spans="1:21" x14ac:dyDescent="0.2">
      <c r="A74" s="9">
        <f>'Monthly Data'!A74</f>
        <v>44197</v>
      </c>
      <c r="B74">
        <f t="shared" si="19"/>
        <v>2021</v>
      </c>
      <c r="C74">
        <f t="shared" si="20"/>
        <v>1</v>
      </c>
      <c r="D74" s="30">
        <f>'Monthly Data'!J74</f>
        <v>14381534.39165709</v>
      </c>
      <c r="E74" s="33">
        <f t="shared" ca="1" si="21"/>
        <v>508.54000000000008</v>
      </c>
      <c r="F74" s="33">
        <f t="shared" ca="1" si="21"/>
        <v>0</v>
      </c>
      <c r="G74" s="33">
        <f>'Monthly Data'!AV74</f>
        <v>461.9</v>
      </c>
      <c r="H74" s="33">
        <f>'Monthly Data'!AW74</f>
        <v>0</v>
      </c>
      <c r="I74" s="18">
        <f>'Monthly Data'!AN74</f>
        <v>12705</v>
      </c>
      <c r="J74" s="8">
        <f>'Monthly Data'!K74</f>
        <v>5573</v>
      </c>
      <c r="K74" s="30">
        <f>'Monthly Data'!BR74</f>
        <v>0</v>
      </c>
      <c r="L74" s="30">
        <f>'Monthly Data'!BT74</f>
        <v>31</v>
      </c>
      <c r="N74" s="18"/>
      <c r="O74" s="18">
        <f ca="1">(E74-G74)*'GS&lt;50 Predicted Monthly'!$X$9</f>
        <v>219761.13874933549</v>
      </c>
      <c r="P74" s="18">
        <f ca="1">(F74-H74)*'GS&lt;50 Predicted Monthly'!$X$10</f>
        <v>0</v>
      </c>
      <c r="Q74" s="18"/>
      <c r="R74" s="18"/>
      <c r="S74" s="18"/>
      <c r="T74" s="18"/>
      <c r="U74" s="20">
        <f t="shared" ca="1" si="22"/>
        <v>14601295.530406425</v>
      </c>
    </row>
    <row r="75" spans="1:21" x14ac:dyDescent="0.2">
      <c r="A75" s="9">
        <f>'Monthly Data'!A75</f>
        <v>44228</v>
      </c>
      <c r="B75">
        <f t="shared" si="19"/>
        <v>2021</v>
      </c>
      <c r="C75">
        <f t="shared" si="20"/>
        <v>2</v>
      </c>
      <c r="D75" s="30">
        <f>'Monthly Data'!J75</f>
        <v>13667119.590722678</v>
      </c>
      <c r="E75" s="33">
        <f t="shared" ca="1" si="21"/>
        <v>451.10999999999996</v>
      </c>
      <c r="F75" s="33">
        <f t="shared" ca="1" si="21"/>
        <v>0</v>
      </c>
      <c r="G75" s="33">
        <f>'Monthly Data'!AV75</f>
        <v>496.99999999999994</v>
      </c>
      <c r="H75" s="33">
        <f>'Monthly Data'!AW75</f>
        <v>0</v>
      </c>
      <c r="I75" s="18">
        <f>'Monthly Data'!AN75</f>
        <v>12705</v>
      </c>
      <c r="J75" s="8">
        <f>'Monthly Data'!K75</f>
        <v>5585</v>
      </c>
      <c r="K75" s="30">
        <f>'Monthly Data'!BR75</f>
        <v>0</v>
      </c>
      <c r="L75" s="30">
        <f>'Monthly Data'!BT75</f>
        <v>28</v>
      </c>
      <c r="N75" s="18"/>
      <c r="O75" s="18">
        <f ca="1">(E75-G75)*'GS&lt;50 Predicted Monthly'!$X$9</f>
        <v>-216227.24393668483</v>
      </c>
      <c r="P75" s="18">
        <f ca="1">(F75-H75)*'GS&lt;50 Predicted Monthly'!$X$10</f>
        <v>0</v>
      </c>
      <c r="Q75" s="18"/>
      <c r="R75" s="18"/>
      <c r="S75" s="18"/>
      <c r="T75" s="18"/>
      <c r="U75" s="20">
        <f t="shared" ca="1" si="22"/>
        <v>13450892.346785994</v>
      </c>
    </row>
    <row r="76" spans="1:21" x14ac:dyDescent="0.2">
      <c r="A76" s="9">
        <f>'Monthly Data'!A76</f>
        <v>44256</v>
      </c>
      <c r="B76">
        <f t="shared" si="19"/>
        <v>2021</v>
      </c>
      <c r="C76">
        <f t="shared" si="20"/>
        <v>3</v>
      </c>
      <c r="D76" s="30">
        <f>'Monthly Data'!J76</f>
        <v>14309991.789788269</v>
      </c>
      <c r="E76" s="33">
        <f t="shared" ca="1" si="21"/>
        <v>374.74</v>
      </c>
      <c r="F76" s="33">
        <f t="shared" ca="1" si="21"/>
        <v>0</v>
      </c>
      <c r="G76" s="33">
        <f>'Monthly Data'!AV76</f>
        <v>325.00000000000006</v>
      </c>
      <c r="H76" s="33">
        <f>'Monthly Data'!AW76</f>
        <v>0</v>
      </c>
      <c r="I76" s="18">
        <f>'Monthly Data'!AN76</f>
        <v>12705</v>
      </c>
      <c r="J76" s="8">
        <f>'Monthly Data'!K76</f>
        <v>5589</v>
      </c>
      <c r="K76" s="30">
        <f>'Monthly Data'!BR76</f>
        <v>1</v>
      </c>
      <c r="L76" s="30">
        <f>'Monthly Data'!BT76</f>
        <v>31</v>
      </c>
      <c r="N76" s="18"/>
      <c r="O76" s="18">
        <f ca="1">(E76-G76)*'GS&lt;50 Predicted Monthly'!$X$9</f>
        <v>234367.90397495526</v>
      </c>
      <c r="P76" s="18">
        <f ca="1">(F76-H76)*'GS&lt;50 Predicted Monthly'!$X$10</f>
        <v>0</v>
      </c>
      <c r="Q76" s="18"/>
      <c r="R76" s="18"/>
      <c r="S76" s="18"/>
      <c r="T76" s="18"/>
      <c r="U76" s="20">
        <f t="shared" ca="1" si="22"/>
        <v>14544359.693763224</v>
      </c>
    </row>
    <row r="77" spans="1:21" x14ac:dyDescent="0.2">
      <c r="A77" s="9">
        <f>'Monthly Data'!A77</f>
        <v>44287</v>
      </c>
      <c r="B77">
        <f t="shared" si="19"/>
        <v>2021</v>
      </c>
      <c r="C77">
        <f t="shared" si="20"/>
        <v>4</v>
      </c>
      <c r="D77" s="30">
        <f>'Monthly Data'!J77</f>
        <v>12572792.988853857</v>
      </c>
      <c r="E77" s="33">
        <f t="shared" ca="1" si="21"/>
        <v>221.12999999999997</v>
      </c>
      <c r="F77" s="33">
        <f t="shared" ca="1" si="21"/>
        <v>2.6300000000000003</v>
      </c>
      <c r="G77" s="33">
        <f>'Monthly Data'!AV77</f>
        <v>216.7</v>
      </c>
      <c r="H77" s="33">
        <f>'Monthly Data'!AW77</f>
        <v>0</v>
      </c>
      <c r="I77" s="18">
        <f>'Monthly Data'!AN77</f>
        <v>-6066</v>
      </c>
      <c r="J77" s="8">
        <f>'Monthly Data'!K77</f>
        <v>5595</v>
      </c>
      <c r="K77" s="30">
        <f>'Monthly Data'!BR77</f>
        <v>1</v>
      </c>
      <c r="L77" s="30">
        <f>'Monthly Data'!BT77</f>
        <v>30</v>
      </c>
      <c r="N77" s="18"/>
      <c r="O77" s="18">
        <f ca="1">(E77-G77)*'GS&lt;50 Predicted Monthly'!$X$9</f>
        <v>20873.538693386563</v>
      </c>
      <c r="P77" s="18">
        <f ca="1">(F77-H77)*'GS&lt;50 Predicted Monthly'!$X$10</f>
        <v>30387.829518589355</v>
      </c>
      <c r="Q77" s="18"/>
      <c r="R77" s="18"/>
      <c r="S77" s="18"/>
      <c r="T77" s="18"/>
      <c r="U77" s="20">
        <f t="shared" ca="1" si="22"/>
        <v>12624054.357065834</v>
      </c>
    </row>
    <row r="78" spans="1:21" x14ac:dyDescent="0.2">
      <c r="A78" s="9">
        <f>'Monthly Data'!A78</f>
        <v>44317</v>
      </c>
      <c r="B78">
        <f t="shared" si="19"/>
        <v>2021</v>
      </c>
      <c r="C78">
        <f t="shared" si="20"/>
        <v>5</v>
      </c>
      <c r="D78" s="30">
        <f>'Monthly Data'!J78</f>
        <v>13147250.187919445</v>
      </c>
      <c r="E78" s="33">
        <f t="shared" ca="1" si="21"/>
        <v>74.8</v>
      </c>
      <c r="F78" s="33">
        <f t="shared" ca="1" si="21"/>
        <v>50.489999999999995</v>
      </c>
      <c r="G78" s="33">
        <f>'Monthly Data'!AV78</f>
        <v>79.400000000000006</v>
      </c>
      <c r="H78" s="33">
        <f>'Monthly Data'!AW78</f>
        <v>53.6</v>
      </c>
      <c r="I78" s="18">
        <f>'Monthly Data'!AN78</f>
        <v>-6066</v>
      </c>
      <c r="J78" s="8">
        <f>'Monthly Data'!K78</f>
        <v>5611</v>
      </c>
      <c r="K78" s="30">
        <f>'Monthly Data'!BR78</f>
        <v>1</v>
      </c>
      <c r="L78" s="30">
        <f>'Monthly Data'!BT78</f>
        <v>31</v>
      </c>
      <c r="N78" s="18"/>
      <c r="O78" s="18">
        <f ca="1">(E78-G78)*'GS&lt;50 Predicted Monthly'!$X$9</f>
        <v>-21674.554850920733</v>
      </c>
      <c r="P78" s="18">
        <f ca="1">(F78-H78)*'GS&lt;50 Predicted Monthly'!$X$10</f>
        <v>-35933.897263427025</v>
      </c>
      <c r="Q78" s="18"/>
      <c r="R78" s="18"/>
      <c r="S78" s="18"/>
      <c r="T78" s="18"/>
      <c r="U78" s="20">
        <f t="shared" ca="1" si="22"/>
        <v>13089641.735805098</v>
      </c>
    </row>
    <row r="79" spans="1:21" x14ac:dyDescent="0.2">
      <c r="A79" s="9">
        <f>'Monthly Data'!A79</f>
        <v>44348</v>
      </c>
      <c r="B79">
        <f t="shared" si="19"/>
        <v>2021</v>
      </c>
      <c r="C79">
        <f t="shared" si="20"/>
        <v>6</v>
      </c>
      <c r="D79" s="30">
        <f>'Monthly Data'!J79</f>
        <v>13511808.386985036</v>
      </c>
      <c r="E79" s="33">
        <f t="shared" ca="1" si="21"/>
        <v>2.15</v>
      </c>
      <c r="F79" s="33">
        <f t="shared" ca="1" si="21"/>
        <v>154.05000000000001</v>
      </c>
      <c r="G79" s="33">
        <f>'Monthly Data'!AV79</f>
        <v>0</v>
      </c>
      <c r="H79" s="33">
        <f>'Monthly Data'!AW79</f>
        <v>209.39999999999995</v>
      </c>
      <c r="I79" s="18">
        <f>'Monthly Data'!AN79</f>
        <v>-6066</v>
      </c>
      <c r="J79" s="8">
        <f>'Monthly Data'!K79</f>
        <v>5608</v>
      </c>
      <c r="K79" s="30">
        <f>'Monthly Data'!BR79</f>
        <v>0</v>
      </c>
      <c r="L79" s="30">
        <f>'Monthly Data'!BT79</f>
        <v>30</v>
      </c>
      <c r="N79" s="18"/>
      <c r="O79" s="18">
        <f ca="1">(E79-G79)*'GS&lt;50 Predicted Monthly'!$X$9</f>
        <v>10130.498462930324</v>
      </c>
      <c r="P79" s="18">
        <f ca="1">(F79-H79)*'GS&lt;50 Predicted Monthly'!$X$10</f>
        <v>-639530.93682658509</v>
      </c>
      <c r="Q79" s="18"/>
      <c r="R79" s="18"/>
      <c r="S79" s="18"/>
      <c r="T79" s="18"/>
      <c r="U79" s="20">
        <f t="shared" ca="1" si="22"/>
        <v>12882407.948621381</v>
      </c>
    </row>
    <row r="80" spans="1:21" x14ac:dyDescent="0.2">
      <c r="A80" s="9">
        <f>'Monthly Data'!A80</f>
        <v>44378</v>
      </c>
      <c r="B80">
        <f t="shared" si="19"/>
        <v>2021</v>
      </c>
      <c r="C80">
        <f t="shared" si="20"/>
        <v>7</v>
      </c>
      <c r="D80" s="30">
        <f>'Monthly Data'!J80</f>
        <v>15349955.586050624</v>
      </c>
      <c r="E80" s="33">
        <f t="shared" ca="1" si="21"/>
        <v>0</v>
      </c>
      <c r="F80" s="33">
        <f t="shared" ca="1" si="21"/>
        <v>267.66999999999996</v>
      </c>
      <c r="G80" s="33">
        <f>'Monthly Data'!AV80</f>
        <v>0</v>
      </c>
      <c r="H80" s="33">
        <f>'Monthly Data'!AW80</f>
        <v>234.5</v>
      </c>
      <c r="I80" s="18">
        <f>'Monthly Data'!AN80</f>
        <v>17046</v>
      </c>
      <c r="J80" s="8">
        <f>'Monthly Data'!K80</f>
        <v>5611</v>
      </c>
      <c r="K80" s="30">
        <f>'Monthly Data'!BR80</f>
        <v>0</v>
      </c>
      <c r="L80" s="30">
        <f>'Monthly Data'!BT80</f>
        <v>31</v>
      </c>
      <c r="N80" s="18"/>
      <c r="O80" s="18">
        <f ca="1">(E80-G80)*'GS&lt;50 Predicted Monthly'!$X$9</f>
        <v>0</v>
      </c>
      <c r="P80" s="18">
        <f ca="1">(F80-H80)*'GS&lt;50 Predicted Monthly'!$X$10</f>
        <v>383256.3897838812</v>
      </c>
      <c r="Q80" s="18"/>
      <c r="R80" s="18"/>
      <c r="S80" s="18"/>
      <c r="T80" s="18"/>
      <c r="U80" s="20">
        <f t="shared" ca="1" si="22"/>
        <v>15733211.975834506</v>
      </c>
    </row>
    <row r="81" spans="1:21" x14ac:dyDescent="0.2">
      <c r="A81" s="9">
        <f>'Monthly Data'!A81</f>
        <v>44409</v>
      </c>
      <c r="B81">
        <f t="shared" si="19"/>
        <v>2021</v>
      </c>
      <c r="C81">
        <f t="shared" si="20"/>
        <v>8</v>
      </c>
      <c r="D81" s="30">
        <f>'Monthly Data'!J81</f>
        <v>16375542.785116214</v>
      </c>
      <c r="E81" s="33">
        <f t="shared" ca="1" si="21"/>
        <v>0</v>
      </c>
      <c r="F81" s="33">
        <f t="shared" ca="1" si="21"/>
        <v>246.315</v>
      </c>
      <c r="G81" s="33">
        <f>'Monthly Data'!AV81</f>
        <v>0</v>
      </c>
      <c r="H81" s="33">
        <f>'Monthly Data'!AW81</f>
        <v>299.2</v>
      </c>
      <c r="I81" s="18">
        <f>'Monthly Data'!AN81</f>
        <v>17046</v>
      </c>
      <c r="J81" s="8">
        <f>'Monthly Data'!K81</f>
        <v>5615</v>
      </c>
      <c r="K81" s="30">
        <f>'Monthly Data'!BR81</f>
        <v>0</v>
      </c>
      <c r="L81" s="30">
        <f>'Monthly Data'!BT81</f>
        <v>31</v>
      </c>
      <c r="N81" s="18"/>
      <c r="O81" s="18">
        <f ca="1">(E81-G81)*'GS&lt;50 Predicted Monthly'!$X$9</f>
        <v>0</v>
      </c>
      <c r="P81" s="18">
        <f ca="1">(F81-H81)*'GS&lt;50 Predicted Monthly'!$X$10</f>
        <v>-611049.56809528428</v>
      </c>
      <c r="Q81" s="18"/>
      <c r="R81" s="18"/>
      <c r="S81" s="18"/>
      <c r="T81" s="18"/>
      <c r="U81" s="20">
        <f t="shared" ca="1" si="22"/>
        <v>15764493.217020931</v>
      </c>
    </row>
    <row r="82" spans="1:21" x14ac:dyDescent="0.2">
      <c r="A82" s="9">
        <f>'Monthly Data'!A82</f>
        <v>44440</v>
      </c>
      <c r="B82">
        <f t="shared" si="19"/>
        <v>2021</v>
      </c>
      <c r="C82">
        <f t="shared" si="20"/>
        <v>9</v>
      </c>
      <c r="D82" s="30">
        <f>'Monthly Data'!J82</f>
        <v>14161395.984181803</v>
      </c>
      <c r="E82" s="33">
        <f t="shared" ref="E82:F97" ca="1" si="23">E70</f>
        <v>2.2699999999999996</v>
      </c>
      <c r="F82" s="33">
        <f t="shared" ca="1" si="23"/>
        <v>146.80000000000001</v>
      </c>
      <c r="G82" s="33">
        <f>'Monthly Data'!AV82</f>
        <v>0.69999999999999929</v>
      </c>
      <c r="H82" s="33">
        <f>'Monthly Data'!AW82</f>
        <v>131.20000000000002</v>
      </c>
      <c r="I82" s="18">
        <f>'Monthly Data'!AN82</f>
        <v>17046</v>
      </c>
      <c r="J82" s="8">
        <f>'Monthly Data'!K82</f>
        <v>5618</v>
      </c>
      <c r="K82" s="30">
        <f>'Monthly Data'!BR82</f>
        <v>1</v>
      </c>
      <c r="L82" s="30">
        <f>'Monthly Data'!BT82</f>
        <v>30</v>
      </c>
      <c r="N82" s="18"/>
      <c r="O82" s="18">
        <f ca="1">(E82-G82)*'GS&lt;50 Predicted Monthly'!$X$9</f>
        <v>7397.619807814237</v>
      </c>
      <c r="P82" s="18">
        <f ca="1">(F82-H82)*'GS&lt;50 Predicted Monthly'!$X$10</f>
        <v>180247.20170722195</v>
      </c>
      <c r="Q82" s="18"/>
      <c r="R82" s="18"/>
      <c r="S82" s="18"/>
      <c r="T82" s="18"/>
      <c r="U82" s="20">
        <f t="shared" ca="1" si="22"/>
        <v>14349040.805696838</v>
      </c>
    </row>
    <row r="83" spans="1:21" x14ac:dyDescent="0.2">
      <c r="A83" s="9">
        <f>'Monthly Data'!A83</f>
        <v>44470</v>
      </c>
      <c r="B83">
        <f t="shared" si="19"/>
        <v>2021</v>
      </c>
      <c r="C83">
        <f t="shared" si="20"/>
        <v>10</v>
      </c>
      <c r="D83" s="30">
        <f>'Monthly Data'!J83</f>
        <v>13417367.183247393</v>
      </c>
      <c r="E83" s="33">
        <f t="shared" ca="1" si="23"/>
        <v>83.800000000000011</v>
      </c>
      <c r="F83" s="33">
        <f t="shared" ca="1" si="23"/>
        <v>36.859999999999992</v>
      </c>
      <c r="G83" s="33">
        <f>'Monthly Data'!AV83</f>
        <v>47.79999999999999</v>
      </c>
      <c r="H83" s="33">
        <f>'Monthly Data'!AW83</f>
        <v>66.099999999999994</v>
      </c>
      <c r="I83" s="18">
        <f>'Monthly Data'!AN83</f>
        <v>18833</v>
      </c>
      <c r="J83" s="8">
        <f>'Monthly Data'!K83</f>
        <v>5614</v>
      </c>
      <c r="K83" s="30">
        <f>'Monthly Data'!BR83</f>
        <v>1</v>
      </c>
      <c r="L83" s="30">
        <f>'Monthly Data'!BT83</f>
        <v>31</v>
      </c>
      <c r="N83" s="18"/>
      <c r="O83" s="18">
        <f ca="1">(E83-G83)*'GS&lt;50 Predicted Monthly'!$X$9</f>
        <v>169626.9510072055</v>
      </c>
      <c r="P83" s="18">
        <f ca="1">(F83-H83)*'GS&lt;50 Predicted Monthly'!$X$10</f>
        <v>-337847.96012302383</v>
      </c>
      <c r="Q83" s="18"/>
      <c r="R83" s="18"/>
      <c r="S83" s="18"/>
      <c r="T83" s="18"/>
      <c r="U83" s="20">
        <f t="shared" ca="1" si="22"/>
        <v>13249146.174131576</v>
      </c>
    </row>
    <row r="84" spans="1:21" x14ac:dyDescent="0.2">
      <c r="A84" s="9">
        <f>'Monthly Data'!A84</f>
        <v>44501</v>
      </c>
      <c r="B84">
        <f t="shared" si="19"/>
        <v>2021</v>
      </c>
      <c r="C84">
        <f t="shared" si="20"/>
        <v>11</v>
      </c>
      <c r="D84" s="30">
        <f>'Monthly Data'!J84</f>
        <v>13769731.382312981</v>
      </c>
      <c r="E84" s="33">
        <f t="shared" ca="1" si="23"/>
        <v>240.7</v>
      </c>
      <c r="F84" s="33">
        <f t="shared" ca="1" si="23"/>
        <v>3.410000000000001</v>
      </c>
      <c r="G84" s="33">
        <f>'Monthly Data'!AV84</f>
        <v>243.00000000000003</v>
      </c>
      <c r="H84" s="33">
        <f>'Monthly Data'!AW84</f>
        <v>0</v>
      </c>
      <c r="I84" s="18">
        <f>'Monthly Data'!AN84</f>
        <v>18833</v>
      </c>
      <c r="J84" s="8">
        <f>'Monthly Data'!K84</f>
        <v>5619</v>
      </c>
      <c r="K84" s="30">
        <f>'Monthly Data'!BR84</f>
        <v>1</v>
      </c>
      <c r="L84" s="30">
        <f>'Monthly Data'!BT84</f>
        <v>30</v>
      </c>
      <c r="N84" s="18"/>
      <c r="O84" s="18">
        <f ca="1">(E84-G84)*'GS&lt;50 Predicted Monthly'!$X$9</f>
        <v>-10837.277425460534</v>
      </c>
      <c r="P84" s="18">
        <f ca="1">(F84-H84)*'GS&lt;50 Predicted Monthly'!$X$10</f>
        <v>39400.189603950465</v>
      </c>
      <c r="Q84" s="18"/>
      <c r="R84" s="18"/>
      <c r="S84" s="18"/>
      <c r="T84" s="18"/>
      <c r="U84" s="20">
        <f t="shared" ca="1" si="22"/>
        <v>13798294.294491472</v>
      </c>
    </row>
    <row r="85" spans="1:21" x14ac:dyDescent="0.2">
      <c r="A85" s="9">
        <f>'Monthly Data'!A85</f>
        <v>44531</v>
      </c>
      <c r="B85">
        <f t="shared" si="19"/>
        <v>2021</v>
      </c>
      <c r="C85">
        <f t="shared" si="20"/>
        <v>12</v>
      </c>
      <c r="D85" s="30">
        <f>'Monthly Data'!J85</f>
        <v>14754878.581378572</v>
      </c>
      <c r="E85" s="33">
        <f t="shared" ca="1" si="23"/>
        <v>386.61999999999995</v>
      </c>
      <c r="F85" s="33">
        <f t="shared" ca="1" si="23"/>
        <v>0</v>
      </c>
      <c r="G85" s="33">
        <f>'Monthly Data'!AV85</f>
        <v>340.50000000000006</v>
      </c>
      <c r="H85" s="33">
        <f>'Monthly Data'!AW85</f>
        <v>0</v>
      </c>
      <c r="I85" s="18">
        <f>'Monthly Data'!AN85</f>
        <v>18833</v>
      </c>
      <c r="J85" s="8">
        <f>'Monthly Data'!K85</f>
        <v>5623</v>
      </c>
      <c r="K85" s="30">
        <f>'Monthly Data'!BR85</f>
        <v>0</v>
      </c>
      <c r="L85" s="30">
        <f>'Monthly Data'!BT85</f>
        <v>31</v>
      </c>
      <c r="N85" s="18"/>
      <c r="O85" s="18">
        <f ca="1">(E85-G85)*'GS&lt;50 Predicted Monthly'!$X$9</f>
        <v>217310.97167923042</v>
      </c>
      <c r="P85" s="18">
        <f ca="1">(F85-H85)*'GS&lt;50 Predicted Monthly'!$X$10</f>
        <v>0</v>
      </c>
      <c r="Q85" s="18"/>
      <c r="R85" s="18"/>
      <c r="S85" s="18"/>
      <c r="T85" s="18"/>
      <c r="U85" s="20">
        <f t="shared" ca="1" si="22"/>
        <v>14972189.553057803</v>
      </c>
    </row>
    <row r="86" spans="1:21" x14ac:dyDescent="0.2">
      <c r="A86" s="9">
        <f>'Monthly Data'!A86</f>
        <v>44562</v>
      </c>
      <c r="B86">
        <f t="shared" si="19"/>
        <v>2022</v>
      </c>
      <c r="C86">
        <f t="shared" si="20"/>
        <v>1</v>
      </c>
      <c r="D86" s="30">
        <f>'Monthly Data'!J86</f>
        <v>15788558.386490077</v>
      </c>
      <c r="E86" s="33">
        <f t="shared" ca="1" si="23"/>
        <v>508.54000000000008</v>
      </c>
      <c r="F86" s="33">
        <f t="shared" ca="1" si="23"/>
        <v>0</v>
      </c>
      <c r="G86" s="33">
        <f>'Monthly Data'!AV86</f>
        <v>624.19999999999993</v>
      </c>
      <c r="H86" s="33">
        <f>'Monthly Data'!AW86</f>
        <v>0</v>
      </c>
      <c r="I86" s="18">
        <f>'Monthly Data'!AN86</f>
        <v>6821</v>
      </c>
      <c r="J86" s="8">
        <f>'Monthly Data'!K86</f>
        <v>5641</v>
      </c>
      <c r="K86" s="30">
        <f>'Monthly Data'!BR86</f>
        <v>0</v>
      </c>
      <c r="L86" s="30">
        <f>'Monthly Data'!BT86</f>
        <v>31</v>
      </c>
      <c r="N86" s="18"/>
      <c r="O86" s="18">
        <f ca="1">(E86-G86)*'GS&lt;50 Predicted Monthly'!$X$9</f>
        <v>-544973.69870814867</v>
      </c>
      <c r="P86" s="18">
        <f ca="1">(F86-H86)*'GS&lt;50 Predicted Monthly'!$X$10</f>
        <v>0</v>
      </c>
      <c r="Q86" s="18"/>
      <c r="R86" s="18"/>
      <c r="S86" s="18"/>
      <c r="T86" s="18"/>
      <c r="U86" s="20">
        <f t="shared" ca="1" si="22"/>
        <v>15243584.687781928</v>
      </c>
    </row>
    <row r="87" spans="1:21" x14ac:dyDescent="0.2">
      <c r="A87" s="9">
        <f>'Monthly Data'!A87</f>
        <v>44593</v>
      </c>
      <c r="B87">
        <f t="shared" si="19"/>
        <v>2022</v>
      </c>
      <c r="C87">
        <f t="shared" si="20"/>
        <v>2</v>
      </c>
      <c r="D87" s="30">
        <f>'Monthly Data'!J87</f>
        <v>14751049.03981971</v>
      </c>
      <c r="E87" s="33">
        <f t="shared" ca="1" si="23"/>
        <v>451.10999999999996</v>
      </c>
      <c r="F87" s="33">
        <f t="shared" ca="1" si="23"/>
        <v>0</v>
      </c>
      <c r="G87" s="33">
        <f>'Monthly Data'!AV87</f>
        <v>464.7</v>
      </c>
      <c r="H87" s="33">
        <f>'Monthly Data'!AW87</f>
        <v>0</v>
      </c>
      <c r="I87" s="18">
        <f>'Monthly Data'!AN87</f>
        <v>6821</v>
      </c>
      <c r="J87" s="8">
        <f>'Monthly Data'!K87</f>
        <v>5639</v>
      </c>
      <c r="K87" s="30">
        <f>'Monthly Data'!BR87</f>
        <v>0</v>
      </c>
      <c r="L87" s="30">
        <f>'Monthly Data'!BT87</f>
        <v>28</v>
      </c>
      <c r="N87" s="18"/>
      <c r="O87" s="18">
        <f ca="1">(E87-G87)*'GS&lt;50 Predicted Monthly'!$X$9</f>
        <v>-64034.174005220193</v>
      </c>
      <c r="P87" s="18">
        <f ca="1">(F87-H87)*'GS&lt;50 Predicted Monthly'!$X$10</f>
        <v>0</v>
      </c>
      <c r="Q87" s="18"/>
      <c r="R87" s="18"/>
      <c r="S87" s="18"/>
      <c r="T87" s="18"/>
      <c r="U87" s="20">
        <f t="shared" ca="1" si="22"/>
        <v>14687014.86581449</v>
      </c>
    </row>
    <row r="88" spans="1:21" x14ac:dyDescent="0.2">
      <c r="A88" s="9">
        <f>'Monthly Data'!A88</f>
        <v>44621</v>
      </c>
      <c r="B88">
        <f t="shared" si="19"/>
        <v>2022</v>
      </c>
      <c r="C88">
        <f t="shared" si="20"/>
        <v>3</v>
      </c>
      <c r="D88" s="30">
        <f>'Monthly Data'!J88</f>
        <v>15389914.693149343</v>
      </c>
      <c r="E88" s="33">
        <f t="shared" ca="1" si="23"/>
        <v>374.74</v>
      </c>
      <c r="F88" s="33">
        <f t="shared" ca="1" si="23"/>
        <v>0</v>
      </c>
      <c r="G88" s="33">
        <f>'Monthly Data'!AV88</f>
        <v>371.70000000000005</v>
      </c>
      <c r="H88" s="33">
        <f>'Monthly Data'!AW88</f>
        <v>0</v>
      </c>
      <c r="I88" s="18">
        <f>'Monthly Data'!AN88</f>
        <v>6821</v>
      </c>
      <c r="J88" s="8">
        <f>'Monthly Data'!K88</f>
        <v>5650</v>
      </c>
      <c r="K88" s="30">
        <f>'Monthly Data'!BR88</f>
        <v>1</v>
      </c>
      <c r="L88" s="30">
        <f>'Monthly Data'!BT88</f>
        <v>31</v>
      </c>
      <c r="N88" s="18"/>
      <c r="O88" s="18">
        <f ca="1">(E88-G88)*'GS&lt;50 Predicted Monthly'!$X$9</f>
        <v>14324.053640608285</v>
      </c>
      <c r="P88" s="18">
        <f ca="1">(F88-H88)*'GS&lt;50 Predicted Monthly'!$X$10</f>
        <v>0</v>
      </c>
      <c r="Q88" s="18"/>
      <c r="R88" s="18"/>
      <c r="S88" s="18"/>
      <c r="T88" s="18"/>
      <c r="U88" s="20">
        <f t="shared" ca="1" si="22"/>
        <v>15404238.746789951</v>
      </c>
    </row>
    <row r="89" spans="1:21" x14ac:dyDescent="0.2">
      <c r="A89" s="9">
        <f>'Monthly Data'!A89</f>
        <v>44652</v>
      </c>
      <c r="B89">
        <f t="shared" si="19"/>
        <v>2022</v>
      </c>
      <c r="C89">
        <f t="shared" si="20"/>
        <v>4</v>
      </c>
      <c r="D89" s="30">
        <f>'Monthly Data'!J89</f>
        <v>13876561.346478976</v>
      </c>
      <c r="E89" s="33">
        <f t="shared" ca="1" si="23"/>
        <v>221.12999999999997</v>
      </c>
      <c r="F89" s="33">
        <f t="shared" ca="1" si="23"/>
        <v>2.6300000000000003</v>
      </c>
      <c r="G89" s="33">
        <f>'Monthly Data'!AV89</f>
        <v>233.59999999999997</v>
      </c>
      <c r="H89" s="33">
        <f>'Monthly Data'!AW89</f>
        <v>0</v>
      </c>
      <c r="I89" s="18">
        <f>'Monthly Data'!AN89</f>
        <v>6403</v>
      </c>
      <c r="J89" s="8">
        <f>'Monthly Data'!K89</f>
        <v>5658</v>
      </c>
      <c r="K89" s="30">
        <f>'Monthly Data'!BR89</f>
        <v>1</v>
      </c>
      <c r="L89" s="30">
        <f>'Monthly Data'!BT89</f>
        <v>30</v>
      </c>
      <c r="N89" s="18"/>
      <c r="O89" s="18">
        <f ca="1">(E89-G89)*'GS&lt;50 Predicted Monthly'!$X$9</f>
        <v>-58756.89108499587</v>
      </c>
      <c r="P89" s="18">
        <f ca="1">(F89-H89)*'GS&lt;50 Predicted Monthly'!$X$10</f>
        <v>30387.829518589355</v>
      </c>
      <c r="Q89" s="18"/>
      <c r="R89" s="18"/>
      <c r="S89" s="18"/>
      <c r="T89" s="18"/>
      <c r="U89" s="20">
        <f t="shared" ca="1" si="22"/>
        <v>13848192.284912571</v>
      </c>
    </row>
    <row r="90" spans="1:21" x14ac:dyDescent="0.2">
      <c r="A90" s="9">
        <f>'Monthly Data'!A90</f>
        <v>44682</v>
      </c>
      <c r="B90">
        <f t="shared" si="19"/>
        <v>2022</v>
      </c>
      <c r="C90">
        <f t="shared" si="20"/>
        <v>5</v>
      </c>
      <c r="D90" s="30">
        <f>'Monthly Data'!J90</f>
        <v>14211702.999808609</v>
      </c>
      <c r="E90" s="33">
        <f t="shared" ca="1" si="23"/>
        <v>74.8</v>
      </c>
      <c r="F90" s="33">
        <f t="shared" ca="1" si="23"/>
        <v>50.489999999999995</v>
      </c>
      <c r="G90" s="33">
        <f>'Monthly Data'!AV90</f>
        <v>68.399999999999977</v>
      </c>
      <c r="H90" s="33">
        <f>'Monthly Data'!AW90</f>
        <v>60.3</v>
      </c>
      <c r="I90" s="18">
        <f>'Monthly Data'!AN90</f>
        <v>6403</v>
      </c>
      <c r="J90" s="8">
        <f>'Monthly Data'!K90</f>
        <v>5669</v>
      </c>
      <c r="K90" s="30">
        <f>'Monthly Data'!BR90</f>
        <v>1</v>
      </c>
      <c r="L90" s="30">
        <f>'Monthly Data'!BT90</f>
        <v>31</v>
      </c>
      <c r="N90" s="18"/>
      <c r="O90" s="18">
        <f ca="1">(E90-G90)*'GS&lt;50 Predicted Monthly'!$X$9</f>
        <v>30155.902401281055</v>
      </c>
      <c r="P90" s="18">
        <f ca="1">(F90-H90)*'GS&lt;50 Predicted Monthly'!$X$10</f>
        <v>-113347.75953511849</v>
      </c>
      <c r="Q90" s="18"/>
      <c r="R90" s="18"/>
      <c r="S90" s="18"/>
      <c r="T90" s="18"/>
      <c r="U90" s="20">
        <f t="shared" ca="1" si="22"/>
        <v>14128511.142674772</v>
      </c>
    </row>
    <row r="91" spans="1:21" x14ac:dyDescent="0.2">
      <c r="A91" s="9">
        <f>'Monthly Data'!A91</f>
        <v>44713</v>
      </c>
      <c r="B91">
        <f t="shared" si="19"/>
        <v>2022</v>
      </c>
      <c r="C91">
        <f t="shared" si="20"/>
        <v>6</v>
      </c>
      <c r="D91" s="30">
        <f>'Monthly Data'!J91</f>
        <v>15055174.653138243</v>
      </c>
      <c r="E91" s="33">
        <f t="shared" ca="1" si="23"/>
        <v>2.15</v>
      </c>
      <c r="F91" s="33">
        <f t="shared" ca="1" si="23"/>
        <v>154.05000000000001</v>
      </c>
      <c r="G91" s="33">
        <f>'Monthly Data'!AV91</f>
        <v>0</v>
      </c>
      <c r="H91" s="33">
        <f>'Monthly Data'!AW91</f>
        <v>154.49999999999994</v>
      </c>
      <c r="I91" s="18">
        <f>'Monthly Data'!AN91</f>
        <v>6403</v>
      </c>
      <c r="J91" s="8">
        <f>'Monthly Data'!K91</f>
        <v>5662</v>
      </c>
      <c r="K91" s="30">
        <f>'Monthly Data'!BR91</f>
        <v>0</v>
      </c>
      <c r="L91" s="30">
        <f>'Monthly Data'!BT91</f>
        <v>30</v>
      </c>
      <c r="N91" s="18"/>
      <c r="O91" s="18">
        <f ca="1">(E91-G91)*'GS&lt;50 Predicted Monthly'!$X$9</f>
        <v>10130.498462930324</v>
      </c>
      <c r="P91" s="18">
        <f ca="1">(F91-H91)*'GS&lt;50 Predicted Monthly'!$X$10</f>
        <v>-5199.4385107844619</v>
      </c>
      <c r="Q91" s="18"/>
      <c r="R91" s="18"/>
      <c r="S91" s="18"/>
      <c r="T91" s="18"/>
      <c r="U91" s="20">
        <f t="shared" ca="1" si="22"/>
        <v>15060105.713090388</v>
      </c>
    </row>
    <row r="92" spans="1:21" x14ac:dyDescent="0.2">
      <c r="A92" s="9">
        <f>'Monthly Data'!A92</f>
        <v>44743</v>
      </c>
      <c r="B92">
        <f t="shared" si="19"/>
        <v>2022</v>
      </c>
      <c r="C92">
        <f t="shared" si="20"/>
        <v>7</v>
      </c>
      <c r="D92" s="30">
        <f>'Monthly Data'!J92</f>
        <v>16754433.306467874</v>
      </c>
      <c r="E92" s="33">
        <f t="shared" ca="1" si="23"/>
        <v>0</v>
      </c>
      <c r="F92" s="33">
        <f t="shared" ca="1" si="23"/>
        <v>267.66999999999996</v>
      </c>
      <c r="G92" s="33">
        <f>'Monthly Data'!AV92</f>
        <v>0</v>
      </c>
      <c r="H92" s="33">
        <f>'Monthly Data'!AW92</f>
        <v>260.7</v>
      </c>
      <c r="I92" s="18">
        <f>'Monthly Data'!AN92</f>
        <v>1358</v>
      </c>
      <c r="J92" s="8">
        <f>'Monthly Data'!K92</f>
        <v>5658</v>
      </c>
      <c r="K92" s="30">
        <f>'Monthly Data'!BR92</f>
        <v>0</v>
      </c>
      <c r="L92" s="30">
        <f>'Monthly Data'!BT92</f>
        <v>31</v>
      </c>
      <c r="N92" s="18"/>
      <c r="O92" s="18">
        <f ca="1">(E92-G92)*'GS&lt;50 Predicted Monthly'!$X$9</f>
        <v>0</v>
      </c>
      <c r="P92" s="18">
        <f ca="1">(F92-H92)*'GS&lt;50 Predicted Monthly'!$X$10</f>
        <v>80533.525378162318</v>
      </c>
      <c r="Q92" s="18"/>
      <c r="R92" s="18"/>
      <c r="S92" s="18"/>
      <c r="T92" s="18"/>
      <c r="U92" s="20">
        <f t="shared" ca="1" si="22"/>
        <v>16834966.831846036</v>
      </c>
    </row>
    <row r="93" spans="1:21" x14ac:dyDescent="0.2">
      <c r="A93" s="9">
        <f>'Monthly Data'!A93</f>
        <v>44774</v>
      </c>
      <c r="B93">
        <f t="shared" si="19"/>
        <v>2022</v>
      </c>
      <c r="C93">
        <f t="shared" si="20"/>
        <v>8</v>
      </c>
      <c r="D93" s="30">
        <f>'Monthly Data'!J93</f>
        <v>16753992.959797507</v>
      </c>
      <c r="E93" s="33">
        <f t="shared" ca="1" si="23"/>
        <v>0</v>
      </c>
      <c r="F93" s="33">
        <f t="shared" ca="1" si="23"/>
        <v>246.315</v>
      </c>
      <c r="G93" s="33">
        <f>'Monthly Data'!AV93</f>
        <v>0</v>
      </c>
      <c r="H93" s="33">
        <f>'Monthly Data'!AW93</f>
        <v>256.5</v>
      </c>
      <c r="I93" s="18">
        <f>'Monthly Data'!AN93</f>
        <v>1358</v>
      </c>
      <c r="J93" s="8">
        <f>'Monthly Data'!K93</f>
        <v>5681</v>
      </c>
      <c r="K93" s="30">
        <f>'Monthly Data'!BR93</f>
        <v>0</v>
      </c>
      <c r="L93" s="30">
        <f>'Monthly Data'!BT93</f>
        <v>31</v>
      </c>
      <c r="N93" s="18"/>
      <c r="O93" s="18">
        <f ca="1">(E93-G93)*'GS&lt;50 Predicted Monthly'!$X$9</f>
        <v>0</v>
      </c>
      <c r="P93" s="18">
        <f ca="1">(F93-H93)*'GS&lt;50 Predicted Monthly'!$X$10</f>
        <v>-117680.62496077285</v>
      </c>
      <c r="Q93" s="18"/>
      <c r="R93" s="18"/>
      <c r="S93" s="18"/>
      <c r="T93" s="18"/>
      <c r="U93" s="20">
        <f t="shared" ca="1" si="22"/>
        <v>16636312.334836734</v>
      </c>
    </row>
    <row r="94" spans="1:21" x14ac:dyDescent="0.2">
      <c r="A94" s="9">
        <f>'Monthly Data'!A94</f>
        <v>44805</v>
      </c>
      <c r="B94">
        <f t="shared" si="19"/>
        <v>2022</v>
      </c>
      <c r="C94">
        <f t="shared" si="20"/>
        <v>9</v>
      </c>
      <c r="D94" s="30">
        <f>'Monthly Data'!J94</f>
        <v>14523776.61312714</v>
      </c>
      <c r="E94" s="33">
        <f t="shared" ca="1" si="23"/>
        <v>2.2699999999999996</v>
      </c>
      <c r="F94" s="33">
        <f t="shared" ca="1" si="23"/>
        <v>146.80000000000001</v>
      </c>
      <c r="G94" s="33">
        <f>'Monthly Data'!AV94</f>
        <v>8.1999999999999993</v>
      </c>
      <c r="H94" s="33">
        <f>'Monthly Data'!AW94</f>
        <v>136.20000000000002</v>
      </c>
      <c r="I94" s="18">
        <f>'Monthly Data'!AN94</f>
        <v>1358</v>
      </c>
      <c r="J94" s="8">
        <f>'Monthly Data'!K94</f>
        <v>5679</v>
      </c>
      <c r="K94" s="30">
        <f>'Monthly Data'!BR94</f>
        <v>1</v>
      </c>
      <c r="L94" s="30">
        <f>'Monthly Data'!BT94</f>
        <v>30</v>
      </c>
      <c r="N94" s="18"/>
      <c r="O94" s="18">
        <f ca="1">(E94-G94)*'GS&lt;50 Predicted Monthly'!$X$9</f>
        <v>-27941.32831868689</v>
      </c>
      <c r="P94" s="18">
        <f ca="1">(F94-H94)*'GS&lt;50 Predicted Monthly'!$X$10</f>
        <v>122475.66269849695</v>
      </c>
      <c r="Q94" s="18"/>
      <c r="R94" s="18"/>
      <c r="S94" s="18"/>
      <c r="T94" s="18"/>
      <c r="U94" s="20">
        <f t="shared" ca="1" si="22"/>
        <v>14618310.947506949</v>
      </c>
    </row>
    <row r="95" spans="1:21" x14ac:dyDescent="0.2">
      <c r="A95" s="9">
        <f>'Monthly Data'!A95</f>
        <v>44835</v>
      </c>
      <c r="B95">
        <f t="shared" si="19"/>
        <v>2022</v>
      </c>
      <c r="C95">
        <f t="shared" si="20"/>
        <v>10</v>
      </c>
      <c r="D95" s="30">
        <f>'Monthly Data'!J95</f>
        <v>13812237.266456774</v>
      </c>
      <c r="E95" s="33">
        <f t="shared" ca="1" si="23"/>
        <v>83.800000000000011</v>
      </c>
      <c r="F95" s="33">
        <f t="shared" ca="1" si="23"/>
        <v>36.859999999999992</v>
      </c>
      <c r="G95" s="33">
        <f>'Monthly Data'!AV95</f>
        <v>119.99999999999999</v>
      </c>
      <c r="H95" s="33">
        <f>'Monthly Data'!AW95</f>
        <v>12.299999999999999</v>
      </c>
      <c r="I95" s="18">
        <f>'Monthly Data'!AN95</f>
        <v>-950</v>
      </c>
      <c r="J95" s="8">
        <f>'Monthly Data'!K95</f>
        <v>5668</v>
      </c>
      <c r="K95" s="30">
        <f>'Monthly Data'!BR95</f>
        <v>1</v>
      </c>
      <c r="L95" s="30">
        <f>'Monthly Data'!BT95</f>
        <v>31</v>
      </c>
      <c r="N95" s="18"/>
      <c r="O95" s="18">
        <f ca="1">(E95-G95)*'GS&lt;50 Predicted Monthly'!$X$9</f>
        <v>-170569.32295724531</v>
      </c>
      <c r="P95" s="18">
        <f ca="1">(F95-H95)*'GS&lt;50 Predicted Monthly'!$X$10</f>
        <v>283773.79961085715</v>
      </c>
      <c r="Q95" s="18"/>
      <c r="R95" s="18"/>
      <c r="S95" s="18"/>
      <c r="T95" s="18"/>
      <c r="U95" s="20">
        <f t="shared" ca="1" si="22"/>
        <v>13925441.743110385</v>
      </c>
    </row>
    <row r="96" spans="1:21" x14ac:dyDescent="0.2">
      <c r="A96" s="9">
        <f>'Monthly Data'!A96</f>
        <v>44866</v>
      </c>
      <c r="B96">
        <f t="shared" si="19"/>
        <v>2022</v>
      </c>
      <c r="C96">
        <f t="shared" si="20"/>
        <v>11</v>
      </c>
      <c r="D96" s="30">
        <f>'Monthly Data'!J96</f>
        <v>14497454.919786407</v>
      </c>
      <c r="E96" s="33">
        <f t="shared" ca="1" si="23"/>
        <v>240.7</v>
      </c>
      <c r="F96" s="33">
        <f t="shared" ca="1" si="23"/>
        <v>3.410000000000001</v>
      </c>
      <c r="G96" s="33">
        <f>'Monthly Data'!AV96</f>
        <v>226.90000000000003</v>
      </c>
      <c r="H96" s="33">
        <f>'Monthly Data'!AW96</f>
        <v>9.6</v>
      </c>
      <c r="I96" s="18">
        <f>'Monthly Data'!AN96</f>
        <v>-950</v>
      </c>
      <c r="J96" s="8">
        <f>'Monthly Data'!K96</f>
        <v>5677</v>
      </c>
      <c r="K96" s="30">
        <f>'Monthly Data'!BR96</f>
        <v>1</v>
      </c>
      <c r="L96" s="30">
        <f>'Monthly Data'!BT96</f>
        <v>30</v>
      </c>
      <c r="N96" s="18"/>
      <c r="O96" s="18">
        <f ca="1">(E96-G96)*'GS&lt;50 Predicted Monthly'!$X$9</f>
        <v>65023.66455276186</v>
      </c>
      <c r="P96" s="18">
        <f ca="1">(F96-H96)*'GS&lt;50 Predicted Monthly'!$X$10</f>
        <v>-71521.165292801539</v>
      </c>
      <c r="Q96" s="18"/>
      <c r="R96" s="18"/>
      <c r="S96" s="18"/>
      <c r="T96" s="18"/>
      <c r="U96" s="20">
        <f t="shared" ca="1" si="22"/>
        <v>14490957.419046367</v>
      </c>
    </row>
    <row r="97" spans="1:25" x14ac:dyDescent="0.2">
      <c r="A97" s="9">
        <f>'Monthly Data'!A97</f>
        <v>44896</v>
      </c>
      <c r="B97">
        <f t="shared" si="19"/>
        <v>2022</v>
      </c>
      <c r="C97">
        <f t="shared" si="20"/>
        <v>12</v>
      </c>
      <c r="D97" s="30">
        <f>'Monthly Data'!J97</f>
        <v>15707320.57311604</v>
      </c>
      <c r="E97" s="33">
        <f t="shared" ca="1" si="23"/>
        <v>386.61999999999995</v>
      </c>
      <c r="F97" s="33">
        <f t="shared" ca="1" si="23"/>
        <v>0</v>
      </c>
      <c r="G97" s="33">
        <f>'Monthly Data'!AV97</f>
        <v>398.5</v>
      </c>
      <c r="H97" s="33">
        <f>'Monthly Data'!AW97</f>
        <v>0</v>
      </c>
      <c r="I97" s="18">
        <f>'Monthly Data'!AN97</f>
        <v>-950</v>
      </c>
      <c r="J97" s="8">
        <f>'Monthly Data'!K97</f>
        <v>5690</v>
      </c>
      <c r="K97" s="30">
        <f>'Monthly Data'!BR97</f>
        <v>0</v>
      </c>
      <c r="L97" s="30">
        <f>'Monthly Data'!BT97</f>
        <v>31</v>
      </c>
      <c r="N97" s="18"/>
      <c r="O97" s="18">
        <f ca="1">(E97-G97)*'GS&lt;50 Predicted Monthly'!$X$9</f>
        <v>-55976.893832378031</v>
      </c>
      <c r="P97" s="18">
        <f ca="1">(F97-H97)*'GS&lt;50 Predicted Monthly'!$X$10</f>
        <v>0</v>
      </c>
      <c r="Q97" s="18"/>
      <c r="R97" s="18"/>
      <c r="S97" s="18"/>
      <c r="T97" s="18"/>
      <c r="U97" s="20">
        <f t="shared" ca="1" si="22"/>
        <v>15651343.679283662</v>
      </c>
    </row>
    <row r="98" spans="1:25" x14ac:dyDescent="0.2">
      <c r="A98" s="9">
        <f>'Monthly Data'!A98</f>
        <v>44927</v>
      </c>
      <c r="B98">
        <f t="shared" si="19"/>
        <v>2023</v>
      </c>
      <c r="C98">
        <f t="shared" si="20"/>
        <v>1</v>
      </c>
      <c r="D98" s="30">
        <f>'Monthly Data'!J98</f>
        <v>16124970.659739304</v>
      </c>
      <c r="E98" s="33">
        <f t="shared" ref="E98:F109" ca="1" si="24">E86</f>
        <v>508.54000000000008</v>
      </c>
      <c r="F98" s="33">
        <f t="shared" ca="1" si="24"/>
        <v>0</v>
      </c>
      <c r="G98" s="33">
        <f>'Monthly Data'!AV98</f>
        <v>415.6</v>
      </c>
      <c r="H98" s="33">
        <f>'Monthly Data'!AW98</f>
        <v>0</v>
      </c>
      <c r="I98" s="18">
        <f>'Monthly Data'!AN98</f>
        <v>8629</v>
      </c>
      <c r="J98" s="8">
        <f>'Monthly Data'!K98</f>
        <v>5697</v>
      </c>
      <c r="K98" s="30">
        <f>'Monthly Data'!BR98</f>
        <v>0</v>
      </c>
      <c r="L98" s="30">
        <f>'Monthly Data'!BT98</f>
        <v>31</v>
      </c>
      <c r="N98" s="18"/>
      <c r="O98" s="18">
        <f ca="1">(E98-G98)*'GS&lt;50 Predicted Monthly'!$X$9</f>
        <v>437920.24518360221</v>
      </c>
      <c r="P98" s="18">
        <f ca="1">(F98-H98)*'GS&lt;50 Predicted Monthly'!$X$10</f>
        <v>0</v>
      </c>
      <c r="Q98" s="18"/>
      <c r="R98" s="18"/>
      <c r="S98" s="18"/>
      <c r="T98" s="18"/>
      <c r="U98" s="20">
        <f t="shared" ca="1" si="22"/>
        <v>16562890.904922906</v>
      </c>
    </row>
    <row r="99" spans="1:25" x14ac:dyDescent="0.2">
      <c r="A99" s="9">
        <f>'Monthly Data'!A99</f>
        <v>44958</v>
      </c>
      <c r="B99">
        <f t="shared" si="19"/>
        <v>2023</v>
      </c>
      <c r="C99">
        <f t="shared" si="20"/>
        <v>2</v>
      </c>
      <c r="D99" s="30">
        <f>'Monthly Data'!J99</f>
        <v>14767925.683730803</v>
      </c>
      <c r="E99" s="33">
        <f t="shared" ca="1" si="24"/>
        <v>451.10999999999996</v>
      </c>
      <c r="F99" s="33">
        <f t="shared" ca="1" si="24"/>
        <v>0</v>
      </c>
      <c r="G99" s="33">
        <f>'Monthly Data'!AV99</f>
        <v>379.9</v>
      </c>
      <c r="H99" s="33">
        <f>'Monthly Data'!AW99</f>
        <v>0</v>
      </c>
      <c r="I99" s="18">
        <f>'Monthly Data'!AN99</f>
        <v>8629</v>
      </c>
      <c r="J99" s="8">
        <f>'Monthly Data'!K99</f>
        <v>5697</v>
      </c>
      <c r="K99" s="30">
        <f>'Monthly Data'!BR99</f>
        <v>0</v>
      </c>
      <c r="L99" s="30">
        <f>'Monthly Data'!BT99</f>
        <v>28</v>
      </c>
      <c r="N99" s="18"/>
      <c r="O99" s="18">
        <f ca="1">(E99-G99)*'GS&lt;50 Predicted Monthly'!$X$9</f>
        <v>335531.53281175258</v>
      </c>
      <c r="P99" s="18">
        <f ca="1">(F99-H99)*'GS&lt;50 Predicted Monthly'!$X$10</f>
        <v>0</v>
      </c>
      <c r="Q99" s="18"/>
      <c r="R99" s="18"/>
      <c r="S99" s="18"/>
      <c r="T99" s="18"/>
      <c r="U99" s="20">
        <f t="shared" ca="1" si="22"/>
        <v>15103457.216542557</v>
      </c>
    </row>
    <row r="100" spans="1:25" x14ac:dyDescent="0.2">
      <c r="A100" s="9">
        <f>'Monthly Data'!A100</f>
        <v>44986</v>
      </c>
      <c r="B100">
        <f t="shared" si="19"/>
        <v>2023</v>
      </c>
      <c r="C100">
        <f t="shared" si="20"/>
        <v>3</v>
      </c>
      <c r="D100" s="30">
        <f>'Monthly Data'!J100</f>
        <v>15713742.707722303</v>
      </c>
      <c r="E100" s="33">
        <f t="shared" ca="1" si="24"/>
        <v>374.74</v>
      </c>
      <c r="F100" s="33">
        <f t="shared" ca="1" si="24"/>
        <v>0</v>
      </c>
      <c r="G100" s="33">
        <f>'Monthly Data'!AV100</f>
        <v>372.4</v>
      </c>
      <c r="H100" s="33">
        <f>'Monthly Data'!AW100</f>
        <v>0</v>
      </c>
      <c r="I100" s="18">
        <f>'Monthly Data'!AN100</f>
        <v>8629</v>
      </c>
      <c r="J100" s="8">
        <f>'Monthly Data'!K100</f>
        <v>5697</v>
      </c>
      <c r="K100" s="30">
        <f>'Monthly Data'!BR100</f>
        <v>1</v>
      </c>
      <c r="L100" s="30">
        <f>'Monthly Data'!BT100</f>
        <v>31</v>
      </c>
      <c r="N100" s="18"/>
      <c r="O100" s="18">
        <f ca="1">(E100-G100)*'GS&lt;50 Predicted Monthly'!$X$9</f>
        <v>11025.751815468502</v>
      </c>
      <c r="P100" s="18">
        <f ca="1">(F100-H100)*'GS&lt;50 Predicted Monthly'!$X$10</f>
        <v>0</v>
      </c>
      <c r="Q100" s="18"/>
      <c r="R100" s="18"/>
      <c r="S100" s="18"/>
      <c r="T100" s="18"/>
      <c r="U100" s="20">
        <f t="shared" ca="1" si="22"/>
        <v>15724768.459537771</v>
      </c>
      <c r="X100" s="18"/>
      <c r="Y100" s="34"/>
    </row>
    <row r="101" spans="1:25" x14ac:dyDescent="0.2">
      <c r="A101" s="9">
        <f>'Monthly Data'!A101</f>
        <v>45017</v>
      </c>
      <c r="B101">
        <f t="shared" si="19"/>
        <v>2023</v>
      </c>
      <c r="C101">
        <f t="shared" si="20"/>
        <v>4</v>
      </c>
      <c r="D101" s="30">
        <f>'Monthly Data'!J101</f>
        <v>14335711.731713802</v>
      </c>
      <c r="E101" s="33">
        <f t="shared" ca="1" si="24"/>
        <v>221.12999999999997</v>
      </c>
      <c r="F101" s="33">
        <f t="shared" ca="1" si="24"/>
        <v>2.6300000000000003</v>
      </c>
      <c r="G101" s="33">
        <f>'Monthly Data'!AV101</f>
        <v>178.9</v>
      </c>
      <c r="H101" s="33">
        <f>'Monthly Data'!AW101</f>
        <v>16.100000000000001</v>
      </c>
      <c r="I101" s="18">
        <f>'Monthly Data'!AN101</f>
        <v>4845</v>
      </c>
      <c r="J101" s="8">
        <f>'Monthly Data'!K101</f>
        <v>5695</v>
      </c>
      <c r="K101" s="30">
        <f>'Monthly Data'!BR101</f>
        <v>1</v>
      </c>
      <c r="L101" s="30">
        <f>'Monthly Data'!BT101</f>
        <v>30</v>
      </c>
      <c r="N101" s="18"/>
      <c r="O101" s="18">
        <f ca="1">(E101-G101)*'GS&lt;50 Predicted Monthly'!$X$9</f>
        <v>198981.83725095217</v>
      </c>
      <c r="P101" s="18">
        <f ca="1">(F101-H101)*'GS&lt;50 Predicted Monthly'!$X$10</f>
        <v>-155636.52608950518</v>
      </c>
      <c r="Q101" s="18"/>
      <c r="R101" s="18"/>
      <c r="S101" s="18"/>
      <c r="T101" s="18"/>
      <c r="U101" s="20">
        <f t="shared" ca="1" si="22"/>
        <v>14379057.042875249</v>
      </c>
      <c r="X101" s="18"/>
      <c r="Y101" s="34"/>
    </row>
    <row r="102" spans="1:25" x14ac:dyDescent="0.2">
      <c r="A102" s="9">
        <f>'Monthly Data'!A102</f>
        <v>45047</v>
      </c>
      <c r="B102">
        <f t="shared" si="19"/>
        <v>2023</v>
      </c>
      <c r="C102">
        <f t="shared" si="20"/>
        <v>5</v>
      </c>
      <c r="D102" s="30">
        <f>'Monthly Data'!J102</f>
        <v>14570433.755705301</v>
      </c>
      <c r="E102" s="33">
        <f t="shared" ca="1" si="24"/>
        <v>74.8</v>
      </c>
      <c r="F102" s="33">
        <f t="shared" ca="1" si="24"/>
        <v>50.489999999999995</v>
      </c>
      <c r="G102" s="33">
        <f>'Monthly Data'!AV102</f>
        <v>73.899999999999977</v>
      </c>
      <c r="H102" s="33">
        <f>'Monthly Data'!AW102</f>
        <v>45.999999999999993</v>
      </c>
      <c r="I102" s="18">
        <f>'Monthly Data'!AN102</f>
        <v>4845</v>
      </c>
      <c r="J102" s="8">
        <f>'Monthly Data'!K102</f>
        <v>5695</v>
      </c>
      <c r="K102" s="30">
        <f>'Monthly Data'!BR102</f>
        <v>1</v>
      </c>
      <c r="L102" s="30">
        <f>'Monthly Data'!BT102</f>
        <v>31</v>
      </c>
      <c r="N102" s="18"/>
      <c r="O102" s="18">
        <f ca="1">(E102-G102)*'GS&lt;50 Predicted Monthly'!$X$9</f>
        <v>4240.6737751802293</v>
      </c>
      <c r="P102" s="18">
        <f ca="1">(F102-H102)*'GS&lt;50 Predicted Monthly'!$X$10</f>
        <v>51878.842029835076</v>
      </c>
      <c r="Q102" s="18"/>
      <c r="R102" s="18"/>
      <c r="S102" s="18"/>
      <c r="T102" s="18"/>
      <c r="U102" s="20">
        <f t="shared" ref="U102:U115" ca="1" si="25">D102+O102+P102</f>
        <v>14626553.271510314</v>
      </c>
      <c r="X102" s="18"/>
      <c r="Y102" s="34"/>
    </row>
    <row r="103" spans="1:25" x14ac:dyDescent="0.2">
      <c r="A103" s="9">
        <f>'Monthly Data'!A103</f>
        <v>45078</v>
      </c>
      <c r="B103">
        <f t="shared" si="19"/>
        <v>2023</v>
      </c>
      <c r="C103">
        <f t="shared" si="20"/>
        <v>6</v>
      </c>
      <c r="D103" s="30">
        <f>'Monthly Data'!J103</f>
        <v>15207184.779696802</v>
      </c>
      <c r="E103" s="33">
        <f t="shared" ca="1" si="24"/>
        <v>2.15</v>
      </c>
      <c r="F103" s="33">
        <f t="shared" ca="1" si="24"/>
        <v>154.05000000000001</v>
      </c>
      <c r="G103" s="33">
        <f>'Monthly Data'!AV103</f>
        <v>0</v>
      </c>
      <c r="H103" s="33">
        <f>'Monthly Data'!AW103</f>
        <v>153.99999999999994</v>
      </c>
      <c r="I103" s="18">
        <f>'Monthly Data'!AN103</f>
        <v>4845</v>
      </c>
      <c r="J103" s="8">
        <f>'Monthly Data'!K103</f>
        <v>5713</v>
      </c>
      <c r="K103" s="30">
        <f>'Monthly Data'!BR103</f>
        <v>0</v>
      </c>
      <c r="L103" s="30">
        <f>'Monthly Data'!BT103</f>
        <v>30</v>
      </c>
      <c r="N103" s="18"/>
      <c r="O103" s="18">
        <f ca="1">(E103-G103)*'GS&lt;50 Predicted Monthly'!$X$9</f>
        <v>10130.498462930324</v>
      </c>
      <c r="P103" s="18">
        <f ca="1">(F103-H103)*'GS&lt;50 Predicted Monthly'!$X$10</f>
        <v>577.71539008803813</v>
      </c>
      <c r="Q103" s="18"/>
      <c r="R103" s="18"/>
      <c r="S103" s="18"/>
      <c r="T103" s="18"/>
      <c r="U103" s="20">
        <f t="shared" ca="1" si="25"/>
        <v>15217892.99354982</v>
      </c>
      <c r="X103" s="18"/>
      <c r="Y103" s="34"/>
    </row>
    <row r="104" spans="1:25" x14ac:dyDescent="0.2">
      <c r="A104" s="9">
        <f>'Monthly Data'!A104</f>
        <v>45108</v>
      </c>
      <c r="B104">
        <f t="shared" si="19"/>
        <v>2023</v>
      </c>
      <c r="C104">
        <f t="shared" si="20"/>
        <v>7</v>
      </c>
      <c r="D104" s="30">
        <f>'Monthly Data'!J104</f>
        <v>17067649.803688299</v>
      </c>
      <c r="E104" s="33">
        <f t="shared" ca="1" si="24"/>
        <v>0</v>
      </c>
      <c r="F104" s="33">
        <f t="shared" ca="1" si="24"/>
        <v>267.66999999999996</v>
      </c>
      <c r="G104" s="33">
        <f>'Monthly Data'!AV104</f>
        <v>0</v>
      </c>
      <c r="H104" s="33">
        <f>'Monthly Data'!AW104</f>
        <v>269.50000000000006</v>
      </c>
      <c r="I104" s="18">
        <f>'Monthly Data'!AN104</f>
        <v>2198</v>
      </c>
      <c r="J104" s="8">
        <f>'Monthly Data'!K104</f>
        <v>5701</v>
      </c>
      <c r="K104" s="30">
        <f>'Monthly Data'!BR104</f>
        <v>0</v>
      </c>
      <c r="L104" s="30">
        <f>'Monthly Data'!BT104</f>
        <v>31</v>
      </c>
      <c r="N104" s="18"/>
      <c r="O104" s="18">
        <f ca="1">(E104-G104)*'GS&lt;50 Predicted Monthly'!$X$9</f>
        <v>0</v>
      </c>
      <c r="P104" s="18">
        <f ca="1">(F104-H104)*'GS&lt;50 Predicted Monthly'!$X$10</f>
        <v>-21144.38327719448</v>
      </c>
      <c r="Q104" s="18"/>
      <c r="R104" s="18"/>
      <c r="S104" s="18"/>
      <c r="T104" s="18"/>
      <c r="U104" s="20">
        <f t="shared" ca="1" si="25"/>
        <v>17046505.420411106</v>
      </c>
      <c r="X104" s="18"/>
      <c r="Y104" s="34"/>
    </row>
    <row r="105" spans="1:25" x14ac:dyDescent="0.2">
      <c r="A105" s="9">
        <f>'Monthly Data'!A105</f>
        <v>45139</v>
      </c>
      <c r="B105">
        <f t="shared" si="19"/>
        <v>2023</v>
      </c>
      <c r="C105">
        <f t="shared" si="20"/>
        <v>8</v>
      </c>
      <c r="D105" s="30">
        <f>'Monthly Data'!J105</f>
        <v>16466173.8276798</v>
      </c>
      <c r="E105" s="33">
        <f t="shared" ca="1" si="24"/>
        <v>0</v>
      </c>
      <c r="F105" s="33">
        <f t="shared" ca="1" si="24"/>
        <v>246.315</v>
      </c>
      <c r="G105" s="33">
        <f>'Monthly Data'!AV105</f>
        <v>0</v>
      </c>
      <c r="H105" s="33">
        <f>'Monthly Data'!AW105</f>
        <v>193.8</v>
      </c>
      <c r="I105" s="18">
        <f>'Monthly Data'!AN105</f>
        <v>2198</v>
      </c>
      <c r="J105" s="8">
        <f>'Monthly Data'!K105</f>
        <v>5705</v>
      </c>
      <c r="K105" s="30">
        <f>'Monthly Data'!BR105</f>
        <v>0</v>
      </c>
      <c r="L105" s="30">
        <f>'Monthly Data'!BT105</f>
        <v>31</v>
      </c>
      <c r="N105" s="18"/>
      <c r="O105" s="18">
        <f ca="1">(E105-G105)*'GS&lt;50 Predicted Monthly'!$X$9</f>
        <v>0</v>
      </c>
      <c r="P105" s="18">
        <f ca="1">(F105-H105)*'GS&lt;50 Predicted Monthly'!$X$10</f>
        <v>606774.47420863854</v>
      </c>
      <c r="Q105" s="18"/>
      <c r="R105" s="18"/>
      <c r="S105" s="18"/>
      <c r="T105" s="18"/>
      <c r="U105" s="20">
        <f t="shared" ca="1" si="25"/>
        <v>17072948.30188844</v>
      </c>
      <c r="X105" s="18"/>
      <c r="Y105" s="34"/>
    </row>
    <row r="106" spans="1:25" x14ac:dyDescent="0.2">
      <c r="A106" s="9">
        <f>'Monthly Data'!A106</f>
        <v>45170</v>
      </c>
      <c r="B106">
        <f t="shared" si="19"/>
        <v>2023</v>
      </c>
      <c r="C106">
        <f t="shared" si="20"/>
        <v>9</v>
      </c>
      <c r="D106" s="30">
        <f>'Monthly Data'!J106</f>
        <v>14997289.851671299</v>
      </c>
      <c r="E106" s="33">
        <f t="shared" ca="1" si="24"/>
        <v>2.2699999999999996</v>
      </c>
      <c r="F106" s="33">
        <f t="shared" ca="1" si="24"/>
        <v>146.80000000000001</v>
      </c>
      <c r="G106" s="33">
        <f>'Monthly Data'!AV106</f>
        <v>0</v>
      </c>
      <c r="H106" s="33">
        <f>'Monthly Data'!AW106</f>
        <v>140.60000000000002</v>
      </c>
      <c r="I106" s="18">
        <f>'Monthly Data'!AN106</f>
        <v>2198</v>
      </c>
      <c r="J106" s="8">
        <f>'Monthly Data'!K106</f>
        <v>5691</v>
      </c>
      <c r="K106" s="30">
        <f>'Monthly Data'!BR106</f>
        <v>1</v>
      </c>
      <c r="L106" s="30">
        <f>'Monthly Data'!BT106</f>
        <v>30</v>
      </c>
      <c r="N106" s="18"/>
      <c r="O106" s="18">
        <f ca="1">(E106-G106)*'GS&lt;50 Predicted Monthly'!$X$9</f>
        <v>10695.92163295434</v>
      </c>
      <c r="P106" s="18">
        <f ca="1">(F106-H106)*'GS&lt;50 Predicted Monthly'!$X$10</f>
        <v>71636.708370818873</v>
      </c>
      <c r="Q106" s="18"/>
      <c r="R106" s="18"/>
      <c r="S106" s="18"/>
      <c r="T106" s="18"/>
      <c r="U106" s="20">
        <f t="shared" ca="1" si="25"/>
        <v>15079622.481675074</v>
      </c>
      <c r="X106" s="18"/>
      <c r="Y106" s="34"/>
    </row>
    <row r="107" spans="1:25" x14ac:dyDescent="0.2">
      <c r="A107" s="9">
        <f>'Monthly Data'!A107</f>
        <v>45200</v>
      </c>
      <c r="B107">
        <f t="shared" si="19"/>
        <v>2023</v>
      </c>
      <c r="C107">
        <f t="shared" si="20"/>
        <v>10</v>
      </c>
      <c r="D107" s="30">
        <f>'Monthly Data'!J107</f>
        <v>14525201.875662798</v>
      </c>
      <c r="E107" s="33">
        <f t="shared" ca="1" si="24"/>
        <v>83.800000000000011</v>
      </c>
      <c r="F107" s="33">
        <f t="shared" ca="1" si="24"/>
        <v>36.859999999999992</v>
      </c>
      <c r="G107" s="33">
        <f>'Monthly Data'!AV107</f>
        <v>77.599999999999994</v>
      </c>
      <c r="H107" s="33">
        <f>'Monthly Data'!AW107</f>
        <v>55.400000000000006</v>
      </c>
      <c r="I107" s="18">
        <f>'Monthly Data'!AN107</f>
        <v>1875</v>
      </c>
      <c r="J107" s="8">
        <f>'Monthly Data'!K107</f>
        <v>5705</v>
      </c>
      <c r="K107" s="30">
        <f>'Monthly Data'!BR107</f>
        <v>1</v>
      </c>
      <c r="L107" s="30">
        <f>'Monthly Data'!BT107</f>
        <v>31</v>
      </c>
      <c r="N107" s="18"/>
      <c r="O107" s="18">
        <f ca="1">(E107-G107)*'GS&lt;50 Predicted Monthly'!$X$9</f>
        <v>29213.530451241011</v>
      </c>
      <c r="P107" s="18">
        <f ca="1">(F107-H107)*'GS&lt;50 Predicted Monthly'!$X$10</f>
        <v>-214216.86664435247</v>
      </c>
      <c r="Q107" s="18"/>
      <c r="R107" s="18"/>
      <c r="S107" s="18"/>
      <c r="T107" s="18"/>
      <c r="U107" s="20">
        <f t="shared" ca="1" si="25"/>
        <v>14340198.539469687</v>
      </c>
      <c r="X107" s="18"/>
      <c r="Y107" s="34"/>
    </row>
    <row r="108" spans="1:25" x14ac:dyDescent="0.2">
      <c r="A108" s="9">
        <f>'Monthly Data'!A108</f>
        <v>45231</v>
      </c>
      <c r="B108">
        <f t="shared" si="19"/>
        <v>2023</v>
      </c>
      <c r="C108">
        <f t="shared" si="20"/>
        <v>11</v>
      </c>
      <c r="D108" s="30">
        <f>'Monthly Data'!J108</f>
        <v>14789580.899654299</v>
      </c>
      <c r="E108" s="33">
        <f t="shared" ca="1" si="24"/>
        <v>240.7</v>
      </c>
      <c r="F108" s="33">
        <f t="shared" ca="1" si="24"/>
        <v>3.410000000000001</v>
      </c>
      <c r="G108" s="33">
        <f>'Monthly Data'!AV108</f>
        <v>254.10000000000002</v>
      </c>
      <c r="H108" s="33">
        <f>'Monthly Data'!AW108</f>
        <v>0</v>
      </c>
      <c r="I108" s="18">
        <f>'Monthly Data'!AN108</f>
        <v>1875</v>
      </c>
      <c r="J108" s="8">
        <f>'Monthly Data'!K108</f>
        <v>5706</v>
      </c>
      <c r="K108" s="30">
        <f>'Monthly Data'!BR108</f>
        <v>1</v>
      </c>
      <c r="L108" s="30">
        <f>'Monthly Data'!BT108</f>
        <v>30</v>
      </c>
      <c r="N108" s="18"/>
      <c r="O108" s="18">
        <f ca="1">(E108-G108)*'GS&lt;50 Predicted Monthly'!$X$9</f>
        <v>-63138.920652682173</v>
      </c>
      <c r="P108" s="18">
        <f ca="1">(F108-H108)*'GS&lt;50 Predicted Monthly'!$X$10</f>
        <v>39400.189603950465</v>
      </c>
      <c r="Q108" s="18"/>
      <c r="R108" s="18"/>
      <c r="S108" s="18"/>
      <c r="T108" s="18"/>
      <c r="U108" s="20">
        <f t="shared" ca="1" si="25"/>
        <v>14765842.168605568</v>
      </c>
      <c r="X108" s="18"/>
      <c r="Y108" s="34"/>
    </row>
    <row r="109" spans="1:25" x14ac:dyDescent="0.2">
      <c r="A109" s="9">
        <f>'Monthly Data'!A109</f>
        <v>45261</v>
      </c>
      <c r="B109">
        <f t="shared" si="19"/>
        <v>2023</v>
      </c>
      <c r="C109">
        <f t="shared" si="20"/>
        <v>12</v>
      </c>
      <c r="D109" s="30">
        <f>'Monthly Data'!J109</f>
        <v>15248929.923645798</v>
      </c>
      <c r="E109" s="33">
        <f t="shared" ca="1" si="24"/>
        <v>386.61999999999995</v>
      </c>
      <c r="F109" s="33">
        <f t="shared" ca="1" si="24"/>
        <v>0</v>
      </c>
      <c r="G109" s="33">
        <f>'Monthly Data'!AV109</f>
        <v>319.20000000000005</v>
      </c>
      <c r="H109" s="33">
        <f>'Monthly Data'!AW109</f>
        <v>0</v>
      </c>
      <c r="I109" s="18">
        <f>'Monthly Data'!AN109</f>
        <v>1875</v>
      </c>
      <c r="J109" s="8">
        <f>'Monthly Data'!K109</f>
        <v>5684</v>
      </c>
      <c r="K109" s="30">
        <f>'Monthly Data'!BR109</f>
        <v>0</v>
      </c>
      <c r="L109" s="30">
        <f>'Monthly Data'!BT109</f>
        <v>31</v>
      </c>
      <c r="N109" s="18"/>
      <c r="O109" s="18">
        <f ca="1">(E109-G109)*'GS&lt;50 Predicted Monthly'!$X$9</f>
        <v>317673.58435849368</v>
      </c>
      <c r="P109" s="18">
        <f ca="1">(F109-H109)*'GS&lt;50 Predicted Monthly'!$X$10</f>
        <v>0</v>
      </c>
      <c r="Q109" s="18"/>
      <c r="R109" s="18"/>
      <c r="S109" s="18"/>
      <c r="T109" s="18"/>
      <c r="U109" s="20">
        <f t="shared" ca="1" si="25"/>
        <v>15566603.508004291</v>
      </c>
      <c r="X109" s="18"/>
      <c r="Y109" s="34"/>
    </row>
    <row r="110" spans="1:25" x14ac:dyDescent="0.2">
      <c r="A110" s="9">
        <f>'Monthly Data'!A110</f>
        <v>45292</v>
      </c>
      <c r="B110">
        <f t="shared" si="19"/>
        <v>2024</v>
      </c>
      <c r="C110">
        <f t="shared" si="20"/>
        <v>1</v>
      </c>
      <c r="D110" s="30">
        <f>'Monthly Data'!J110</f>
        <v>15984916.162170708</v>
      </c>
      <c r="E110" s="33">
        <f t="shared" ref="E110:F110" ca="1" si="26">E98</f>
        <v>508.54000000000008</v>
      </c>
      <c r="F110" s="33">
        <f t="shared" ca="1" si="26"/>
        <v>0</v>
      </c>
      <c r="G110" s="33">
        <f>'Monthly Data'!AV110</f>
        <v>462.39999999999992</v>
      </c>
      <c r="H110" s="33">
        <f>'Monthly Data'!AW110</f>
        <v>0</v>
      </c>
      <c r="I110" s="18">
        <f>'Monthly Data'!AN110</f>
        <v>4826</v>
      </c>
      <c r="J110" s="8">
        <f>'Monthly Data'!K110</f>
        <v>5693</v>
      </c>
      <c r="K110" s="30">
        <f>'Monthly Data'!BR110</f>
        <v>0</v>
      </c>
      <c r="L110" s="30">
        <f>'Monthly Data'!BT110</f>
        <v>31</v>
      </c>
      <c r="N110" s="18"/>
      <c r="O110" s="18">
        <f ca="1">(E110-G110)*'GS&lt;50 Predicted Monthly'!$X$9</f>
        <v>217405.20887423569</v>
      </c>
      <c r="P110" s="18">
        <f ca="1">(F110-H110)*'GS&lt;50 Predicted Monthly'!$X$10</f>
        <v>0</v>
      </c>
      <c r="Q110" s="18"/>
      <c r="R110" s="18"/>
      <c r="S110" s="18"/>
      <c r="T110" s="18"/>
      <c r="U110" s="20">
        <f t="shared" ca="1" si="25"/>
        <v>16202321.371044943</v>
      </c>
      <c r="W110" s="30"/>
      <c r="X110" s="18"/>
      <c r="Y110" s="34"/>
    </row>
    <row r="111" spans="1:25" x14ac:dyDescent="0.2">
      <c r="A111" s="9">
        <f>'Monthly Data'!A111</f>
        <v>45323</v>
      </c>
      <c r="B111">
        <f t="shared" si="19"/>
        <v>2024</v>
      </c>
      <c r="C111">
        <f t="shared" si="20"/>
        <v>2</v>
      </c>
      <c r="D111" s="30">
        <f>'Monthly Data'!J111</f>
        <v>14775433.758234465</v>
      </c>
      <c r="E111" s="33">
        <f t="shared" ref="E111:F111" ca="1" si="27">E99</f>
        <v>451.10999999999996</v>
      </c>
      <c r="F111" s="33">
        <f t="shared" ca="1" si="27"/>
        <v>0</v>
      </c>
      <c r="G111" s="33">
        <f>'Monthly Data'!AV111</f>
        <v>373.09999999999997</v>
      </c>
      <c r="H111" s="33">
        <f>'Monthly Data'!AW111</f>
        <v>0</v>
      </c>
      <c r="I111" s="18">
        <f>'Monthly Data'!AN111</f>
        <v>4826</v>
      </c>
      <c r="J111" s="8">
        <f>'Monthly Data'!K111</f>
        <v>5693</v>
      </c>
      <c r="K111" s="30">
        <f>'Monthly Data'!BR111</f>
        <v>0</v>
      </c>
      <c r="L111" s="30">
        <f>'Monthly Data'!BT111</f>
        <v>29</v>
      </c>
      <c r="N111" s="18"/>
      <c r="O111" s="18">
        <f ca="1">(E111-G111)*'GS&lt;50 Predicted Monthly'!$X$9</f>
        <v>367572.17911311367</v>
      </c>
      <c r="P111" s="18">
        <f ca="1">(F111-H111)*'GS&lt;50 Predicted Monthly'!$X$10</f>
        <v>0</v>
      </c>
      <c r="Q111" s="18"/>
      <c r="R111" s="18"/>
      <c r="S111" s="18"/>
      <c r="T111" s="18"/>
      <c r="U111" s="20">
        <f t="shared" ca="1" si="25"/>
        <v>15143005.93734758</v>
      </c>
      <c r="W111" s="30"/>
      <c r="X111" s="18"/>
      <c r="Y111" s="34"/>
    </row>
    <row r="112" spans="1:25" x14ac:dyDescent="0.2">
      <c r="A112" s="9">
        <f>'Monthly Data'!A112</f>
        <v>45352</v>
      </c>
      <c r="B112">
        <f t="shared" si="19"/>
        <v>2024</v>
      </c>
      <c r="C112">
        <f t="shared" si="20"/>
        <v>3</v>
      </c>
      <c r="D112" s="30">
        <f>'Monthly Data'!J112</f>
        <v>15102644.794298219</v>
      </c>
      <c r="E112" s="33">
        <f t="shared" ref="E112:F112" ca="1" si="28">E100</f>
        <v>374.74</v>
      </c>
      <c r="F112" s="33">
        <f t="shared" ca="1" si="28"/>
        <v>0</v>
      </c>
      <c r="G112" s="33">
        <f>'Monthly Data'!AV112</f>
        <v>305.50000000000006</v>
      </c>
      <c r="H112" s="33">
        <f>'Monthly Data'!AW112</f>
        <v>0</v>
      </c>
      <c r="I112" s="18">
        <f>'Monthly Data'!AN112</f>
        <v>4826</v>
      </c>
      <c r="J112" s="8">
        <f>'Monthly Data'!K112</f>
        <v>5700</v>
      </c>
      <c r="K112" s="30">
        <f>'Monthly Data'!BR112</f>
        <v>1</v>
      </c>
      <c r="L112" s="30">
        <f>'Monthly Data'!BT112</f>
        <v>31</v>
      </c>
      <c r="N112" s="18"/>
      <c r="O112" s="18">
        <f ca="1">(E112-G112)*'GS&lt;50 Predicted Monthly'!$X$9</f>
        <v>326249.16910385818</v>
      </c>
      <c r="P112" s="18">
        <f ca="1">(F112-H112)*'GS&lt;50 Predicted Monthly'!$X$10</f>
        <v>0</v>
      </c>
      <c r="Q112" s="18"/>
      <c r="R112" s="18"/>
      <c r="S112" s="18"/>
      <c r="T112" s="18"/>
      <c r="U112" s="20">
        <f t="shared" ca="1" si="25"/>
        <v>15428893.963402078</v>
      </c>
      <c r="W112" s="30"/>
    </row>
    <row r="113" spans="1:24" x14ac:dyDescent="0.2">
      <c r="A113" s="9">
        <f>'Monthly Data'!A113</f>
        <v>45383</v>
      </c>
      <c r="B113">
        <f t="shared" si="19"/>
        <v>2024</v>
      </c>
      <c r="C113">
        <f t="shared" si="20"/>
        <v>4</v>
      </c>
      <c r="D113" s="30">
        <f>'Monthly Data'!J113</f>
        <v>14096177.490361972</v>
      </c>
      <c r="E113" s="33">
        <f t="shared" ref="E113:F113" ca="1" si="29">E101</f>
        <v>221.12999999999997</v>
      </c>
      <c r="F113" s="33">
        <f t="shared" ca="1" si="29"/>
        <v>2.6300000000000003</v>
      </c>
      <c r="G113" s="33">
        <f>'Monthly Data'!AV113</f>
        <v>175.79999999999998</v>
      </c>
      <c r="H113" s="33">
        <f>'Monthly Data'!AW113</f>
        <v>1.0999999999999996</v>
      </c>
      <c r="I113" s="18">
        <f>'Monthly Data'!AN113</f>
        <v>2733</v>
      </c>
      <c r="J113" s="8">
        <f>'Monthly Data'!K113</f>
        <v>5698</v>
      </c>
      <c r="K113" s="30">
        <f>'Monthly Data'!BR113</f>
        <v>1</v>
      </c>
      <c r="L113" s="30">
        <f>'Monthly Data'!BT113</f>
        <v>30</v>
      </c>
      <c r="N113" s="18"/>
      <c r="O113" s="18">
        <f ca="1">(E113-G113)*'GS&lt;50 Predicted Monthly'!$X$9</f>
        <v>213588.60247657273</v>
      </c>
      <c r="P113" s="18">
        <f ca="1">(F113-H113)*'GS&lt;50 Predicted Monthly'!$X$10</f>
        <v>17678.090936669858</v>
      </c>
      <c r="Q113" s="18"/>
      <c r="R113" s="18"/>
      <c r="S113" s="18"/>
      <c r="T113" s="18"/>
      <c r="U113" s="20">
        <f t="shared" ca="1" si="25"/>
        <v>14327444.183775214</v>
      </c>
      <c r="W113" s="30"/>
      <c r="X113" s="18"/>
    </row>
    <row r="114" spans="1:24" x14ac:dyDescent="0.2">
      <c r="A114" s="9">
        <f>'Monthly Data'!A114</f>
        <v>45413</v>
      </c>
      <c r="B114">
        <f t="shared" si="19"/>
        <v>2024</v>
      </c>
      <c r="C114">
        <f t="shared" si="20"/>
        <v>5</v>
      </c>
      <c r="D114" s="30">
        <f>'Monthly Data'!J114</f>
        <v>14561726.336425725</v>
      </c>
      <c r="E114" s="33">
        <f t="shared" ref="E114:F114" ca="1" si="30">E102</f>
        <v>74.8</v>
      </c>
      <c r="F114" s="33">
        <f t="shared" ca="1" si="30"/>
        <v>50.489999999999995</v>
      </c>
      <c r="G114" s="33">
        <f>'Monthly Data'!AV114</f>
        <v>30</v>
      </c>
      <c r="H114" s="33">
        <f>'Monthly Data'!AW114</f>
        <v>59</v>
      </c>
      <c r="I114" s="18">
        <f>'Monthly Data'!AN114</f>
        <v>2733</v>
      </c>
      <c r="J114" s="8">
        <f>'Monthly Data'!K114</f>
        <v>5710</v>
      </c>
      <c r="K114" s="30">
        <f>'Monthly Data'!BR114</f>
        <v>1</v>
      </c>
      <c r="L114" s="30">
        <f>'Monthly Data'!BT114</f>
        <v>31</v>
      </c>
      <c r="N114" s="18"/>
      <c r="O114" s="18">
        <f ca="1">(E114-G114)*'GS&lt;50 Predicted Monthly'!$X$9</f>
        <v>211091.31680896672</v>
      </c>
      <c r="P114" s="18">
        <f ca="1">(F114-H114)*'GS&lt;50 Predicted Monthly'!$X$10</f>
        <v>-98327.159392850008</v>
      </c>
      <c r="Q114" s="18"/>
      <c r="R114" s="18"/>
      <c r="S114" s="18"/>
      <c r="T114" s="18"/>
      <c r="U114" s="20">
        <f t="shared" ca="1" si="25"/>
        <v>14674490.493841842</v>
      </c>
      <c r="W114" s="30"/>
      <c r="X114" s="18"/>
    </row>
    <row r="115" spans="1:24" x14ac:dyDescent="0.2">
      <c r="A115" s="9">
        <f>'Monthly Data'!A115</f>
        <v>45444</v>
      </c>
      <c r="B115">
        <f t="shared" si="19"/>
        <v>2024</v>
      </c>
      <c r="C115">
        <f t="shared" si="20"/>
        <v>6</v>
      </c>
      <c r="D115" s="30">
        <f>'Monthly Data'!J115</f>
        <v>15556106.23248948</v>
      </c>
      <c r="E115" s="33">
        <f t="shared" ref="E115:F115" ca="1" si="31">E103</f>
        <v>2.15</v>
      </c>
      <c r="F115" s="33">
        <f t="shared" ca="1" si="31"/>
        <v>154.05000000000001</v>
      </c>
      <c r="G115" s="33">
        <f>'Monthly Data'!AV115</f>
        <v>0</v>
      </c>
      <c r="H115" s="33">
        <f>'Monthly Data'!AW115</f>
        <v>164.40000000000006</v>
      </c>
      <c r="I115" s="18">
        <f>'Monthly Data'!AN115</f>
        <v>2733</v>
      </c>
      <c r="J115" s="8">
        <f>'Monthly Data'!K115</f>
        <v>5709</v>
      </c>
      <c r="K115" s="30">
        <f>'Monthly Data'!BR115</f>
        <v>0</v>
      </c>
      <c r="L115" s="30">
        <f>'Monthly Data'!BT115</f>
        <v>30</v>
      </c>
      <c r="N115" s="18"/>
      <c r="O115" s="18">
        <f ca="1">(E115-G115)*'GS&lt;50 Predicted Monthly'!$X$9</f>
        <v>10130.498462930324</v>
      </c>
      <c r="P115" s="18">
        <f ca="1">(F115-H115)*'GS&lt;50 Predicted Monthly'!$X$10</f>
        <v>-119587.08574806135</v>
      </c>
      <c r="Q115" s="18"/>
      <c r="R115" s="18"/>
      <c r="S115" s="18"/>
      <c r="T115" s="18"/>
      <c r="U115" s="20">
        <f t="shared" ca="1" si="25"/>
        <v>15446649.645204348</v>
      </c>
      <c r="W115" s="30"/>
      <c r="X115" s="18"/>
    </row>
    <row r="116" spans="1:24" x14ac:dyDescent="0.2">
      <c r="A116" s="9">
        <v>45474</v>
      </c>
      <c r="B116">
        <f t="shared" ref="B116:B133" si="32">YEAR(A116)</f>
        <v>2024</v>
      </c>
      <c r="C116">
        <f t="shared" ref="C116:C133" si="33">MONTH(A116)</f>
        <v>7</v>
      </c>
      <c r="D116" s="30">
        <f>'Monthly Data'!J116</f>
        <v>17398173.568553235</v>
      </c>
      <c r="E116" s="33">
        <f t="shared" ref="E116:F116" ca="1" si="34">E104</f>
        <v>0</v>
      </c>
      <c r="F116" s="33">
        <f t="shared" ca="1" si="34"/>
        <v>267.66999999999996</v>
      </c>
      <c r="G116" s="33">
        <f>'Monthly Data'!AV116</f>
        <v>0</v>
      </c>
      <c r="H116" s="33">
        <f>'Monthly Data'!AW116</f>
        <v>261.8</v>
      </c>
      <c r="I116" s="18">
        <f>'Monthly Data'!AN116</f>
        <v>730</v>
      </c>
      <c r="J116" s="8">
        <f>'Monthly Data'!K116</f>
        <v>5715</v>
      </c>
      <c r="K116" s="30">
        <f>'Monthly Data'!BR116</f>
        <v>0</v>
      </c>
      <c r="L116" s="30">
        <f>'Monthly Data'!BT116</f>
        <v>31</v>
      </c>
      <c r="N116" s="18"/>
      <c r="O116" s="18">
        <f ca="1">(E116-G116)*'GS&lt;50 Predicted Monthly'!$X$9</f>
        <v>0</v>
      </c>
      <c r="P116" s="18">
        <f ca="1">(F116-H116)*'GS&lt;50 Predicted Monthly'!$X$10</f>
        <v>67823.786796242552</v>
      </c>
      <c r="Q116" s="18"/>
      <c r="R116" s="18"/>
      <c r="S116" s="18"/>
      <c r="T116" s="18"/>
      <c r="U116" s="20">
        <f t="shared" ref="U116:U121" ca="1" si="35">D116+O116+P116</f>
        <v>17465997.355349477</v>
      </c>
      <c r="X116" s="18"/>
    </row>
    <row r="117" spans="1:24" x14ac:dyDescent="0.2">
      <c r="A117" s="9">
        <v>45505</v>
      </c>
      <c r="B117">
        <f t="shared" si="32"/>
        <v>2024</v>
      </c>
      <c r="C117">
        <f t="shared" si="33"/>
        <v>8</v>
      </c>
      <c r="D117" s="30">
        <f>'Monthly Data'!J117</f>
        <v>16751789.404616991</v>
      </c>
      <c r="E117" s="33">
        <f t="shared" ref="E117:F117" ca="1" si="36">E105</f>
        <v>0</v>
      </c>
      <c r="F117" s="33">
        <f t="shared" ca="1" si="36"/>
        <v>246.315</v>
      </c>
      <c r="G117" s="33">
        <f>'Monthly Data'!AV117</f>
        <v>0</v>
      </c>
      <c r="H117" s="33">
        <f>'Monthly Data'!AW117</f>
        <v>240.3</v>
      </c>
      <c r="I117" s="18">
        <f>'Monthly Data'!AN117</f>
        <v>730</v>
      </c>
      <c r="J117" s="8">
        <f>'Monthly Data'!K117</f>
        <v>5712</v>
      </c>
      <c r="K117" s="30">
        <f>'Monthly Data'!BR117</f>
        <v>0</v>
      </c>
      <c r="L117" s="30">
        <f>'Monthly Data'!BT117</f>
        <v>31</v>
      </c>
      <c r="N117" s="18"/>
      <c r="O117" s="18">
        <f ca="1">(E117-G117)*'GS&lt;50 Predicted Monthly'!$X$9</f>
        <v>0</v>
      </c>
      <c r="P117" s="18">
        <f ca="1">(F117-H117)*'GS&lt;50 Predicted Monthly'!$X$10</f>
        <v>69499.161427496016</v>
      </c>
      <c r="Q117" s="18"/>
      <c r="R117" s="18"/>
      <c r="S117" s="18"/>
      <c r="T117" s="18"/>
      <c r="U117" s="20">
        <f t="shared" ca="1" si="35"/>
        <v>16821288.566044487</v>
      </c>
      <c r="X117" s="18"/>
    </row>
    <row r="118" spans="1:24" x14ac:dyDescent="0.2">
      <c r="A118" s="9">
        <v>45536</v>
      </c>
      <c r="B118">
        <f t="shared" si="32"/>
        <v>2024</v>
      </c>
      <c r="C118">
        <f t="shared" si="33"/>
        <v>9</v>
      </c>
      <c r="D118" s="30">
        <f>'Monthly Data'!J118</f>
        <v>15120870.800680745</v>
      </c>
      <c r="E118" s="33">
        <f t="shared" ref="E118:F118" ca="1" si="37">E106</f>
        <v>2.2699999999999996</v>
      </c>
      <c r="F118" s="33">
        <f t="shared" ca="1" si="37"/>
        <v>146.80000000000001</v>
      </c>
      <c r="G118" s="33">
        <f>'Monthly Data'!AV118</f>
        <v>0.40000000000000036</v>
      </c>
      <c r="H118" s="33">
        <f>'Monthly Data'!AW118</f>
        <v>148.19999999999999</v>
      </c>
      <c r="I118" s="18">
        <f>'Monthly Data'!AN118</f>
        <v>730</v>
      </c>
      <c r="J118" s="8">
        <f>'Monthly Data'!K118</f>
        <v>5736</v>
      </c>
      <c r="K118" s="30">
        <f>'Monthly Data'!BR118</f>
        <v>1</v>
      </c>
      <c r="L118" s="30">
        <f>'Monthly Data'!BT118</f>
        <v>30</v>
      </c>
      <c r="N118" s="18"/>
      <c r="O118" s="18">
        <f ca="1">(E118-G118)*'GS&lt;50 Predicted Monthly'!$X$9</f>
        <v>8811.1777328742774</v>
      </c>
      <c r="P118" s="18">
        <f ca="1">(F118-H118)*'GS&lt;50 Predicted Monthly'!$X$10</f>
        <v>-16176.030922442738</v>
      </c>
      <c r="Q118" s="18"/>
      <c r="R118" s="18"/>
      <c r="S118" s="18"/>
      <c r="T118" s="18"/>
      <c r="U118" s="20">
        <f t="shared" ca="1" si="35"/>
        <v>15113505.947491176</v>
      </c>
      <c r="X118" s="18"/>
    </row>
    <row r="119" spans="1:24" x14ac:dyDescent="0.2">
      <c r="A119" s="9">
        <v>45566</v>
      </c>
      <c r="B119">
        <f t="shared" si="32"/>
        <v>2024</v>
      </c>
      <c r="C119">
        <f t="shared" si="33"/>
        <v>10</v>
      </c>
      <c r="D119" s="30">
        <f>'Monthly Data'!J119</f>
        <v>14429502.936744498</v>
      </c>
      <c r="E119" s="33">
        <f t="shared" ref="E119:F119" ca="1" si="38">E107</f>
        <v>83.800000000000011</v>
      </c>
      <c r="F119" s="33">
        <f t="shared" ca="1" si="38"/>
        <v>36.859999999999992</v>
      </c>
      <c r="G119" s="33">
        <f>'Monthly Data'!AV119</f>
        <v>55.2</v>
      </c>
      <c r="H119" s="33">
        <f>'Monthly Data'!AW119</f>
        <v>47.400000000000006</v>
      </c>
      <c r="I119" s="18">
        <f>'Monthly Data'!AN119</f>
        <v>4174.92266666668</v>
      </c>
      <c r="J119" s="8">
        <f>'Monthly Data'!K119</f>
        <v>5733</v>
      </c>
      <c r="K119" s="30">
        <f>'Monthly Data'!BR119</f>
        <v>1</v>
      </c>
      <c r="L119" s="30">
        <f>'Monthly Data'!BT119</f>
        <v>31</v>
      </c>
      <c r="N119" s="18"/>
      <c r="O119" s="18">
        <f ca="1">(E119-G119)*'GS&lt;50 Predicted Monthly'!$X$9</f>
        <v>134759.18885572435</v>
      </c>
      <c r="P119" s="18">
        <f ca="1">(F119-H119)*'GS&lt;50 Predicted Monthly'!$X$10</f>
        <v>-121782.40423039247</v>
      </c>
      <c r="Q119" s="18"/>
      <c r="R119" s="18"/>
      <c r="S119" s="18"/>
      <c r="T119" s="18"/>
      <c r="U119" s="20">
        <f t="shared" ca="1" si="35"/>
        <v>14442479.721369831</v>
      </c>
      <c r="X119" s="18"/>
    </row>
    <row r="120" spans="1:24" x14ac:dyDescent="0.2">
      <c r="A120" s="9">
        <v>45597</v>
      </c>
      <c r="B120">
        <f t="shared" si="32"/>
        <v>2024</v>
      </c>
      <c r="C120">
        <f t="shared" si="33"/>
        <v>11</v>
      </c>
      <c r="D120" s="30">
        <f>'Monthly Data'!J120</f>
        <v>14351434.502808254</v>
      </c>
      <c r="E120" s="33">
        <f t="shared" ref="E120:F120" ca="1" si="39">E108</f>
        <v>240.7</v>
      </c>
      <c r="F120" s="33">
        <f t="shared" ca="1" si="39"/>
        <v>3.410000000000001</v>
      </c>
      <c r="G120" s="33">
        <f>'Monthly Data'!AV120</f>
        <v>194.20000000000002</v>
      </c>
      <c r="H120" s="33">
        <f>'Monthly Data'!AW120</f>
        <v>9.9000000000000021</v>
      </c>
      <c r="I120" s="18">
        <f>'Monthly Data'!AN120</f>
        <v>4174.92266666668</v>
      </c>
      <c r="J120" s="8">
        <f>'Monthly Data'!K120</f>
        <v>5717</v>
      </c>
      <c r="K120" s="30">
        <f>'Monthly Data'!BR120</f>
        <v>1</v>
      </c>
      <c r="L120" s="30">
        <f>'Monthly Data'!BT120</f>
        <v>30</v>
      </c>
      <c r="N120" s="18"/>
      <c r="O120" s="18">
        <f ca="1">(E120-G120)*'GS&lt;50 Predicted Monthly'!$X$9</f>
        <v>219101.47838430686</v>
      </c>
      <c r="P120" s="18">
        <f ca="1">(F120-H120)*'GS&lt;50 Predicted Monthly'!$X$10</f>
        <v>-74987.457633325073</v>
      </c>
      <c r="Q120" s="18"/>
      <c r="R120" s="18"/>
      <c r="S120" s="18"/>
      <c r="T120" s="18"/>
      <c r="U120" s="20">
        <f t="shared" ca="1" si="35"/>
        <v>14495548.523559235</v>
      </c>
      <c r="X120" s="18"/>
    </row>
    <row r="121" spans="1:24" x14ac:dyDescent="0.2">
      <c r="A121" s="9">
        <v>45627</v>
      </c>
      <c r="B121">
        <f t="shared" si="32"/>
        <v>2024</v>
      </c>
      <c r="C121">
        <f t="shared" si="33"/>
        <v>12</v>
      </c>
      <c r="D121" s="30">
        <f>'Monthly Data'!J121</f>
        <v>16012677.658872008</v>
      </c>
      <c r="E121" s="33">
        <f t="shared" ref="E121:F121" ca="1" si="40">E109</f>
        <v>386.61999999999995</v>
      </c>
      <c r="F121" s="33">
        <f t="shared" ca="1" si="40"/>
        <v>0</v>
      </c>
      <c r="G121" s="33">
        <f>'Monthly Data'!AV121</f>
        <v>400.7999999999999</v>
      </c>
      <c r="H121" s="33">
        <f>'Monthly Data'!AW121</f>
        <v>0</v>
      </c>
      <c r="I121" s="18">
        <f>'Monthly Data'!AN121</f>
        <v>4174.92266666668</v>
      </c>
      <c r="J121" s="8">
        <f>'Monthly Data'!K121</f>
        <v>5733</v>
      </c>
      <c r="K121" s="30">
        <f>'Monthly Data'!BR121</f>
        <v>0</v>
      </c>
      <c r="L121" s="30">
        <f>'Monthly Data'!BT121</f>
        <v>31</v>
      </c>
      <c r="N121" s="18"/>
      <c r="O121" s="18">
        <f ca="1">(E121-G121)*'GS&lt;50 Predicted Monthly'!$X$9</f>
        <v>-66814.171257837894</v>
      </c>
      <c r="P121" s="18">
        <f ca="1">(F121-H121)*'GS&lt;50 Predicted Monthly'!$X$10</f>
        <v>0</v>
      </c>
      <c r="Q121" s="18"/>
      <c r="R121" s="18"/>
      <c r="S121" s="18"/>
      <c r="T121" s="18"/>
      <c r="U121" s="20">
        <f t="shared" ca="1" si="35"/>
        <v>15945863.48761417</v>
      </c>
      <c r="X121" s="18"/>
    </row>
    <row r="122" spans="1:24" x14ac:dyDescent="0.2">
      <c r="A122" s="9">
        <v>45658</v>
      </c>
      <c r="B122">
        <f t="shared" si="32"/>
        <v>2025</v>
      </c>
      <c r="C122">
        <f t="shared" si="33"/>
        <v>1</v>
      </c>
      <c r="E122" s="358">
        <f t="shared" ref="E122:F129" ca="1" si="41">E110</f>
        <v>508.54000000000008</v>
      </c>
      <c r="F122" s="358">
        <f t="shared" ca="1" si="41"/>
        <v>0</v>
      </c>
      <c r="G122" s="33"/>
      <c r="H122" s="33"/>
      <c r="I122" s="18">
        <f>Economic!U196</f>
        <v>-642.70666666666511</v>
      </c>
      <c r="J122" s="8">
        <f>'Customer Count'!G36</f>
        <v>5742.2488571456734</v>
      </c>
      <c r="K122" s="30">
        <f t="shared" ref="K122:K145" si="42">K110</f>
        <v>0</v>
      </c>
      <c r="L122" s="30">
        <f t="shared" ref="L122:L145" si="43">L68</f>
        <v>31</v>
      </c>
      <c r="N122" s="18">
        <f>'GS&lt;50 Predicted Monthly'!$X$8</f>
        <v>-8314018.5106493998</v>
      </c>
      <c r="O122" s="18">
        <f ca="1">E122*'GS&lt;50 Predicted Monthly'!$X$9</f>
        <v>2396169.1573667848</v>
      </c>
      <c r="P122" s="18">
        <f ca="1">F122*'GS&lt;50 Predicted Monthly'!$X$10</f>
        <v>0</v>
      </c>
      <c r="Q122" s="18">
        <f>I122*'GS&lt;50 Predicted Monthly'!$X$11</f>
        <v>-4415.5753573820784</v>
      </c>
      <c r="R122" s="18">
        <f>J122*'GS&lt;50 Predicted Monthly'!$X$12</f>
        <v>10659076.35885429</v>
      </c>
      <c r="S122" s="18">
        <f>K122*'GS&lt;50 Predicted Monthly'!$X$13</f>
        <v>0</v>
      </c>
      <c r="T122" s="18">
        <f>L122*'GS&lt;50 Predicted Monthly'!$X$14</f>
        <v>11369665.795809086</v>
      </c>
      <c r="U122" s="20">
        <f t="shared" ref="U122:U145" ca="1" si="44">SUM(N122:T122)</f>
        <v>16106477.22602338</v>
      </c>
      <c r="X122" s="18"/>
    </row>
    <row r="123" spans="1:24" x14ac:dyDescent="0.2">
      <c r="A123" s="9">
        <v>45689</v>
      </c>
      <c r="B123">
        <f t="shared" si="32"/>
        <v>2025</v>
      </c>
      <c r="C123">
        <f t="shared" si="33"/>
        <v>2</v>
      </c>
      <c r="E123" s="358">
        <f t="shared" ca="1" si="41"/>
        <v>451.10999999999996</v>
      </c>
      <c r="F123" s="358">
        <f t="shared" ca="1" si="41"/>
        <v>0</v>
      </c>
      <c r="G123" s="33"/>
      <c r="H123" s="33"/>
      <c r="I123" s="18">
        <f>Economic!U197</f>
        <v>-642.70666666666511</v>
      </c>
      <c r="J123" s="8">
        <f>'Customer Count'!G37</f>
        <v>5746.8555074624846</v>
      </c>
      <c r="K123" s="30">
        <f t="shared" si="42"/>
        <v>0</v>
      </c>
      <c r="L123" s="30">
        <f t="shared" si="43"/>
        <v>31</v>
      </c>
      <c r="N123" s="18">
        <f>'GS&lt;50 Predicted Monthly'!$X$8</f>
        <v>-8314018.5106493998</v>
      </c>
      <c r="O123" s="18">
        <f ca="1">E123*'GS&lt;50 Predicted Monthly'!$X$9</f>
        <v>2125567.0519127897</v>
      </c>
      <c r="P123" s="18">
        <f ca="1">F123*'GS&lt;50 Predicted Monthly'!$X$10</f>
        <v>0</v>
      </c>
      <c r="Q123" s="18">
        <f>I123*'GS&lt;50 Predicted Monthly'!$X$11</f>
        <v>-4415.5753573820784</v>
      </c>
      <c r="R123" s="18">
        <f>J123*'GS&lt;50 Predicted Monthly'!$X$12</f>
        <v>10667627.475099334</v>
      </c>
      <c r="S123" s="18">
        <f>K123*'GS&lt;50 Predicted Monthly'!$X$13</f>
        <v>0</v>
      </c>
      <c r="T123" s="18">
        <f>L123*'GS&lt;50 Predicted Monthly'!$X$14</f>
        <v>11369665.795809086</v>
      </c>
      <c r="U123" s="20">
        <f t="shared" ca="1" si="44"/>
        <v>15844426.236814428</v>
      </c>
      <c r="X123" s="18"/>
    </row>
    <row r="124" spans="1:24" x14ac:dyDescent="0.2">
      <c r="A124" s="9">
        <v>45717</v>
      </c>
      <c r="B124">
        <f t="shared" si="32"/>
        <v>2025</v>
      </c>
      <c r="C124">
        <f t="shared" si="33"/>
        <v>3</v>
      </c>
      <c r="E124" s="358">
        <f t="shared" ca="1" si="41"/>
        <v>374.74</v>
      </c>
      <c r="F124" s="358">
        <f t="shared" ca="1" si="41"/>
        <v>0</v>
      </c>
      <c r="G124" s="33"/>
      <c r="H124" s="33"/>
      <c r="I124" s="18">
        <f>Economic!U198</f>
        <v>-642.70666666666511</v>
      </c>
      <c r="J124" s="8">
        <f>'Customer Count'!G38</f>
        <v>5751.465853409296</v>
      </c>
      <c r="K124" s="30">
        <f t="shared" si="42"/>
        <v>1</v>
      </c>
      <c r="L124" s="30">
        <f t="shared" si="43"/>
        <v>30</v>
      </c>
      <c r="N124" s="18">
        <f>'GS&lt;50 Predicted Monthly'!$X$8</f>
        <v>-8314018.5106493998</v>
      </c>
      <c r="O124" s="18">
        <f ca="1">E124*'GS&lt;50 Predicted Monthly'!$X$9</f>
        <v>1765722.3227900043</v>
      </c>
      <c r="P124" s="18">
        <f ca="1">F124*'GS&lt;50 Predicted Monthly'!$X$10</f>
        <v>0</v>
      </c>
      <c r="Q124" s="18">
        <f>I124*'GS&lt;50 Predicted Monthly'!$X$11</f>
        <v>-4415.5753573820784</v>
      </c>
      <c r="R124" s="18">
        <f>J124*'GS&lt;50 Predicted Monthly'!$X$12</f>
        <v>10676185.451374892</v>
      </c>
      <c r="S124" s="18">
        <f>K124*'GS&lt;50 Predicted Monthly'!$X$13</f>
        <v>-202362.33175645399</v>
      </c>
      <c r="T124" s="18">
        <f>L124*'GS&lt;50 Predicted Monthly'!$X$14</f>
        <v>11002902.38304105</v>
      </c>
      <c r="U124" s="20">
        <f t="shared" ca="1" si="44"/>
        <v>14924013.73944271</v>
      </c>
      <c r="X124" s="18"/>
    </row>
    <row r="125" spans="1:24" x14ac:dyDescent="0.2">
      <c r="A125" s="9">
        <v>45748</v>
      </c>
      <c r="B125">
        <f t="shared" si="32"/>
        <v>2025</v>
      </c>
      <c r="C125">
        <f t="shared" si="33"/>
        <v>4</v>
      </c>
      <c r="E125" s="358">
        <f t="shared" ca="1" si="41"/>
        <v>221.12999999999997</v>
      </c>
      <c r="F125" s="358">
        <f t="shared" ca="1" si="41"/>
        <v>2.6300000000000003</v>
      </c>
      <c r="G125" s="33"/>
      <c r="H125" s="33"/>
      <c r="I125" s="18">
        <f>Economic!U199</f>
        <v>2754.8639999999432</v>
      </c>
      <c r="J125" s="8">
        <f>'Customer Count'!G39</f>
        <v>5756.0798979508818</v>
      </c>
      <c r="K125" s="30">
        <f t="shared" si="42"/>
        <v>1</v>
      </c>
      <c r="L125" s="30">
        <f t="shared" si="43"/>
        <v>31</v>
      </c>
      <c r="N125" s="18">
        <f>'GS&lt;50 Predicted Monthly'!$X$8</f>
        <v>-8314018.5106493998</v>
      </c>
      <c r="O125" s="18">
        <f ca="1">E125*'GS&lt;50 Predicted Monthly'!$X$9</f>
        <v>1041933.5465617591</v>
      </c>
      <c r="P125" s="18">
        <f ca="1">F125*'GS&lt;50 Predicted Monthly'!$X$10</f>
        <v>30387.829518589355</v>
      </c>
      <c r="Q125" s="18">
        <f>I125*'GS&lt;50 Predicted Monthly'!$X$11</f>
        <v>18926.689611650934</v>
      </c>
      <c r="R125" s="18">
        <f>J125*'GS&lt;50 Predicted Monthly'!$X$12</f>
        <v>10684750.293184336</v>
      </c>
      <c r="S125" s="18">
        <f>K125*'GS&lt;50 Predicted Monthly'!$X$13</f>
        <v>-202362.33175645399</v>
      </c>
      <c r="T125" s="18">
        <f>L125*'GS&lt;50 Predicted Monthly'!$X$14</f>
        <v>11369665.795809086</v>
      </c>
      <c r="U125" s="20">
        <f t="shared" ca="1" si="44"/>
        <v>14629283.312279567</v>
      </c>
    </row>
    <row r="126" spans="1:24" x14ac:dyDescent="0.2">
      <c r="A126" s="9">
        <v>45778</v>
      </c>
      <c r="B126">
        <f t="shared" si="32"/>
        <v>2025</v>
      </c>
      <c r="C126">
        <f t="shared" si="33"/>
        <v>5</v>
      </c>
      <c r="E126" s="358">
        <f t="shared" ca="1" si="41"/>
        <v>74.8</v>
      </c>
      <c r="F126" s="358">
        <f t="shared" ca="1" si="41"/>
        <v>50.489999999999995</v>
      </c>
      <c r="G126" s="33"/>
      <c r="H126" s="33"/>
      <c r="I126" s="18">
        <f>Economic!U200</f>
        <v>2754.8639999999432</v>
      </c>
      <c r="J126" s="8">
        <f>'Customer Count'!G40</f>
        <v>5760.6976440543949</v>
      </c>
      <c r="K126" s="30">
        <f t="shared" si="42"/>
        <v>1</v>
      </c>
      <c r="L126" s="30">
        <f t="shared" si="43"/>
        <v>30</v>
      </c>
      <c r="N126" s="18">
        <f>'GS&lt;50 Predicted Monthly'!$X$8</f>
        <v>-8314018.5106493998</v>
      </c>
      <c r="O126" s="18">
        <f ca="1">E126*'GS&lt;50 Predicted Monthly'!$X$9</f>
        <v>352447.10931497125</v>
      </c>
      <c r="P126" s="18">
        <f ca="1">F126*'GS&lt;50 Predicted Monthly'!$X$10</f>
        <v>583377.00091010507</v>
      </c>
      <c r="Q126" s="18">
        <f>I126*'GS&lt;50 Predicted Monthly'!$X$11</f>
        <v>18926.689611650934</v>
      </c>
      <c r="R126" s="18">
        <f>J126*'GS&lt;50 Predicted Monthly'!$X$12</f>
        <v>10693322.006035462</v>
      </c>
      <c r="S126" s="18">
        <f>K126*'GS&lt;50 Predicted Monthly'!$X$13</f>
        <v>-202362.33175645399</v>
      </c>
      <c r="T126" s="18">
        <f>L126*'GS&lt;50 Predicted Monthly'!$X$14</f>
        <v>11002902.38304105</v>
      </c>
      <c r="U126" s="20">
        <f t="shared" ca="1" si="44"/>
        <v>14134594.346507385</v>
      </c>
    </row>
    <row r="127" spans="1:24" x14ac:dyDescent="0.2">
      <c r="A127" s="9">
        <v>45809</v>
      </c>
      <c r="B127">
        <f t="shared" si="32"/>
        <v>2025</v>
      </c>
      <c r="C127">
        <f t="shared" si="33"/>
        <v>6</v>
      </c>
      <c r="E127" s="358">
        <f t="shared" ca="1" si="41"/>
        <v>2.15</v>
      </c>
      <c r="F127" s="358">
        <f t="shared" ca="1" si="41"/>
        <v>154.05000000000001</v>
      </c>
      <c r="G127" s="33"/>
      <c r="H127" s="33"/>
      <c r="I127" s="18">
        <f>Economic!U201</f>
        <v>2754.8639999999432</v>
      </c>
      <c r="J127" s="8">
        <f>'Customer Count'!G41</f>
        <v>5765.3190946893692</v>
      </c>
      <c r="K127" s="30">
        <f t="shared" si="42"/>
        <v>0</v>
      </c>
      <c r="L127" s="30">
        <f t="shared" si="43"/>
        <v>31</v>
      </c>
      <c r="N127" s="18">
        <f>'GS&lt;50 Predicted Monthly'!$X$8</f>
        <v>-8314018.5106493998</v>
      </c>
      <c r="O127" s="18">
        <f ca="1">E127*'GS&lt;50 Predicted Monthly'!$X$9</f>
        <v>10130.498462930324</v>
      </c>
      <c r="P127" s="18">
        <f ca="1">F127*'GS&lt;50 Predicted Monthly'!$X$10</f>
        <v>1779941.1168588174</v>
      </c>
      <c r="Q127" s="18">
        <f>I127*'GS&lt;50 Predicted Monthly'!$X$11</f>
        <v>18926.689611650934</v>
      </c>
      <c r="R127" s="18">
        <f>J127*'GS&lt;50 Predicted Monthly'!$X$12</f>
        <v>10701900.595440475</v>
      </c>
      <c r="S127" s="18">
        <f>K127*'GS&lt;50 Predicted Monthly'!$X$13</f>
        <v>0</v>
      </c>
      <c r="T127" s="18">
        <f>L127*'GS&lt;50 Predicted Monthly'!$X$14</f>
        <v>11369665.795809086</v>
      </c>
      <c r="U127" s="20">
        <f t="shared" ca="1" si="44"/>
        <v>15566546.185533561</v>
      </c>
    </row>
    <row r="128" spans="1:24" x14ac:dyDescent="0.2">
      <c r="A128" s="9">
        <v>45839</v>
      </c>
      <c r="B128">
        <f t="shared" si="32"/>
        <v>2025</v>
      </c>
      <c r="C128">
        <f t="shared" si="33"/>
        <v>7</v>
      </c>
      <c r="E128" s="358">
        <f t="shared" ca="1" si="41"/>
        <v>0</v>
      </c>
      <c r="F128" s="358">
        <f t="shared" ca="1" si="41"/>
        <v>267.66999999999996</v>
      </c>
      <c r="G128" s="33"/>
      <c r="H128" s="33"/>
      <c r="I128" s="18">
        <f>Economic!U202</f>
        <v>735.84000000008382</v>
      </c>
      <c r="J128" s="8">
        <f>'Customer Count'!G42</f>
        <v>5769.9442528277214</v>
      </c>
      <c r="K128" s="30">
        <f t="shared" si="42"/>
        <v>0</v>
      </c>
      <c r="L128" s="30">
        <f t="shared" si="43"/>
        <v>31</v>
      </c>
      <c r="N128" s="18">
        <f>'GS&lt;50 Predicted Monthly'!$X$8</f>
        <v>-8314018.5106493998</v>
      </c>
      <c r="O128" s="18">
        <f ca="1">E128*'GS&lt;50 Predicted Monthly'!$X$9</f>
        <v>0</v>
      </c>
      <c r="P128" s="18">
        <f ca="1">F128*'GS&lt;50 Predicted Monthly'!$X$10</f>
        <v>3092741.5692930841</v>
      </c>
      <c r="Q128" s="18">
        <f>I128*'GS&lt;50 Predicted Monthly'!$X$11</f>
        <v>5055.4275215905755</v>
      </c>
      <c r="R128" s="18">
        <f>J128*'GS&lt;50 Predicted Monthly'!$X$12</f>
        <v>10710486.066916015</v>
      </c>
      <c r="S128" s="18">
        <f>K128*'GS&lt;50 Predicted Monthly'!$X$13</f>
        <v>0</v>
      </c>
      <c r="T128" s="18">
        <f>L128*'GS&lt;50 Predicted Monthly'!$X$14</f>
        <v>11369665.795809086</v>
      </c>
      <c r="U128" s="20">
        <f t="shared" ca="1" si="44"/>
        <v>16863930.348890375</v>
      </c>
    </row>
    <row r="129" spans="1:21" x14ac:dyDescent="0.2">
      <c r="A129" s="9">
        <v>45870</v>
      </c>
      <c r="B129">
        <f t="shared" si="32"/>
        <v>2025</v>
      </c>
      <c r="C129">
        <f t="shared" si="33"/>
        <v>8</v>
      </c>
      <c r="E129" s="358">
        <f t="shared" ca="1" si="41"/>
        <v>0</v>
      </c>
      <c r="F129" s="358">
        <f t="shared" ca="1" si="41"/>
        <v>246.315</v>
      </c>
      <c r="G129" s="33"/>
      <c r="H129" s="33"/>
      <c r="I129" s="18">
        <f>Economic!U203</f>
        <v>735.84000000008382</v>
      </c>
      <c r="J129" s="8">
        <f>'Customer Count'!G43</f>
        <v>5774.573121443751</v>
      </c>
      <c r="K129" s="30">
        <f t="shared" si="42"/>
        <v>0</v>
      </c>
      <c r="L129" s="30">
        <f t="shared" si="43"/>
        <v>28</v>
      </c>
      <c r="N129" s="18">
        <f>'GS&lt;50 Predicted Monthly'!$X$8</f>
        <v>-8314018.5106493998</v>
      </c>
      <c r="O129" s="18">
        <f ca="1">E129*'GS&lt;50 Predicted Monthly'!$X$9</f>
        <v>0</v>
      </c>
      <c r="P129" s="18">
        <f ca="1">F129*'GS&lt;50 Predicted Monthly'!$X$10</f>
        <v>2845999.3261868199</v>
      </c>
      <c r="Q129" s="18">
        <f>I129*'GS&lt;50 Predicted Monthly'!$X$11</f>
        <v>5055.4275215905755</v>
      </c>
      <c r="R129" s="18">
        <f>J129*'GS&lt;50 Predicted Monthly'!$X$12</f>
        <v>10719078.425983137</v>
      </c>
      <c r="S129" s="18">
        <f>K129*'GS&lt;50 Predicted Monthly'!$X$13</f>
        <v>0</v>
      </c>
      <c r="T129" s="18">
        <f>L129*'GS&lt;50 Predicted Monthly'!$X$14</f>
        <v>10269375.55750498</v>
      </c>
      <c r="U129" s="20">
        <f t="shared" ca="1" si="44"/>
        <v>15525490.226547126</v>
      </c>
    </row>
    <row r="130" spans="1:21" x14ac:dyDescent="0.2">
      <c r="A130" s="9">
        <v>45901</v>
      </c>
      <c r="B130">
        <f t="shared" si="32"/>
        <v>2025</v>
      </c>
      <c r="C130">
        <f t="shared" si="33"/>
        <v>9</v>
      </c>
      <c r="E130" s="358">
        <f t="shared" ref="E130:F145" ca="1" si="45">E118</f>
        <v>2.2699999999999996</v>
      </c>
      <c r="F130" s="358">
        <f t="shared" ca="1" si="45"/>
        <v>146.80000000000001</v>
      </c>
      <c r="G130" s="33"/>
      <c r="H130" s="33"/>
      <c r="I130" s="18">
        <f>Economic!U204</f>
        <v>735.84000000008382</v>
      </c>
      <c r="J130" s="8">
        <f>'Customer Count'!G44</f>
        <v>5779.2057035141443</v>
      </c>
      <c r="K130" s="30">
        <f t="shared" si="42"/>
        <v>1</v>
      </c>
      <c r="L130" s="30">
        <f t="shared" si="43"/>
        <v>31</v>
      </c>
      <c r="N130" s="18">
        <f>'GS&lt;50 Predicted Monthly'!$X$8</f>
        <v>-8314018.5106493998</v>
      </c>
      <c r="O130" s="18">
        <f ca="1">E130*'GS&lt;50 Predicted Monthly'!$X$9</f>
        <v>10695.92163295434</v>
      </c>
      <c r="P130" s="18">
        <f ca="1">F130*'GS&lt;50 Predicted Monthly'!$X$10</f>
        <v>1696172.3852961662</v>
      </c>
      <c r="Q130" s="18">
        <f>I130*'GS&lt;50 Predicted Monthly'!$X$11</f>
        <v>5055.4275215905755</v>
      </c>
      <c r="R130" s="18">
        <f>J130*'GS&lt;50 Predicted Monthly'!$X$12</f>
        <v>10727677.678167328</v>
      </c>
      <c r="S130" s="18">
        <f>K130*'GS&lt;50 Predicted Monthly'!$X$13</f>
        <v>-202362.33175645399</v>
      </c>
      <c r="T130" s="18">
        <f>L130*'GS&lt;50 Predicted Monthly'!$X$14</f>
        <v>11369665.795809086</v>
      </c>
      <c r="U130" s="20">
        <f t="shared" ca="1" si="44"/>
        <v>15292886.366021272</v>
      </c>
    </row>
    <row r="131" spans="1:21" x14ac:dyDescent="0.2">
      <c r="A131" s="9">
        <v>45931</v>
      </c>
      <c r="B131">
        <f t="shared" si="32"/>
        <v>2025</v>
      </c>
      <c r="C131">
        <f t="shared" si="33"/>
        <v>10</v>
      </c>
      <c r="E131" s="358">
        <f t="shared" ca="1" si="45"/>
        <v>83.800000000000011</v>
      </c>
      <c r="F131" s="358">
        <f t="shared" ca="1" si="45"/>
        <v>36.859999999999992</v>
      </c>
      <c r="G131" s="33"/>
      <c r="H131" s="33"/>
      <c r="I131" s="18">
        <f>Economic!U205</f>
        <v>4208.3220479999436</v>
      </c>
      <c r="J131" s="8">
        <f>'Customer Count'!G45</f>
        <v>5783.8420020179756</v>
      </c>
      <c r="K131" s="30">
        <f t="shared" si="42"/>
        <v>1</v>
      </c>
      <c r="L131" s="30">
        <f t="shared" si="43"/>
        <v>30</v>
      </c>
      <c r="N131" s="18">
        <f>'GS&lt;50 Predicted Monthly'!$X$8</f>
        <v>-8314018.5106493998</v>
      </c>
      <c r="O131" s="18">
        <f ca="1">E131*'GS&lt;50 Predicted Monthly'!$X$9</f>
        <v>394853.84706677264</v>
      </c>
      <c r="P131" s="18">
        <f ca="1">F131*'GS&lt;50 Predicted Monthly'!$X$10</f>
        <v>425891.78557232063</v>
      </c>
      <c r="Q131" s="18">
        <f>I131*'GS&lt;50 Predicted Monthly'!$X$11</f>
        <v>28912.354725446978</v>
      </c>
      <c r="R131" s="18">
        <f>J131*'GS&lt;50 Predicted Monthly'!$X$12</f>
        <v>10736283.82899851</v>
      </c>
      <c r="S131" s="18">
        <f>K131*'GS&lt;50 Predicted Monthly'!$X$13</f>
        <v>-202362.33175645399</v>
      </c>
      <c r="T131" s="18">
        <f>L131*'GS&lt;50 Predicted Monthly'!$X$14</f>
        <v>11002902.38304105</v>
      </c>
      <c r="U131" s="20">
        <f t="shared" ca="1" si="44"/>
        <v>14072463.356998246</v>
      </c>
    </row>
    <row r="132" spans="1:21" x14ac:dyDescent="0.2">
      <c r="A132" s="9">
        <v>45962</v>
      </c>
      <c r="B132">
        <f t="shared" si="32"/>
        <v>2025</v>
      </c>
      <c r="C132">
        <f t="shared" si="33"/>
        <v>11</v>
      </c>
      <c r="E132" s="358">
        <f t="shared" ca="1" si="45"/>
        <v>240.7</v>
      </c>
      <c r="F132" s="358">
        <f t="shared" ca="1" si="45"/>
        <v>3.410000000000001</v>
      </c>
      <c r="G132" s="33"/>
      <c r="H132" s="33"/>
      <c r="I132" s="18">
        <f>Economic!U206</f>
        <v>4208.3220479999436</v>
      </c>
      <c r="J132" s="8">
        <f>'Customer Count'!G46</f>
        <v>5788.4820199367095</v>
      </c>
      <c r="K132" s="30">
        <f t="shared" si="42"/>
        <v>1</v>
      </c>
      <c r="L132" s="30">
        <f t="shared" si="43"/>
        <v>31</v>
      </c>
      <c r="N132" s="18">
        <f>'GS&lt;50 Predicted Monthly'!$X$8</f>
        <v>-8314018.5106493998</v>
      </c>
      <c r="O132" s="18">
        <f ca="1">E132*'GS&lt;50 Predicted Monthly'!$X$9</f>
        <v>1134144.6418731762</v>
      </c>
      <c r="P132" s="18">
        <f ca="1">F132*'GS&lt;50 Predicted Monthly'!$X$10</f>
        <v>39400.189603950465</v>
      </c>
      <c r="Q132" s="18">
        <f>I132*'GS&lt;50 Predicted Monthly'!$X$11</f>
        <v>28912.354725446978</v>
      </c>
      <c r="R132" s="18">
        <f>J132*'GS&lt;50 Predicted Monthly'!$X$12</f>
        <v>10744896.884011041</v>
      </c>
      <c r="S132" s="18">
        <f>K132*'GS&lt;50 Predicted Monthly'!$X$13</f>
        <v>-202362.33175645399</v>
      </c>
      <c r="T132" s="18">
        <f>L132*'GS&lt;50 Predicted Monthly'!$X$14</f>
        <v>11369665.795809086</v>
      </c>
      <c r="U132" s="20">
        <f t="shared" ca="1" si="44"/>
        <v>14800639.023616847</v>
      </c>
    </row>
    <row r="133" spans="1:21" x14ac:dyDescent="0.2">
      <c r="A133" s="9">
        <v>45992</v>
      </c>
      <c r="B133">
        <f t="shared" si="32"/>
        <v>2025</v>
      </c>
      <c r="C133">
        <f t="shared" si="33"/>
        <v>12</v>
      </c>
      <c r="E133" s="358">
        <f t="shared" ca="1" si="45"/>
        <v>386.61999999999995</v>
      </c>
      <c r="F133" s="358">
        <f t="shared" ca="1" si="45"/>
        <v>0</v>
      </c>
      <c r="G133" s="33"/>
      <c r="H133" s="33"/>
      <c r="I133" s="18">
        <f>Economic!U207</f>
        <v>4208.3220479999436</v>
      </c>
      <c r="J133" s="8">
        <f>'Customer Count'!G47</f>
        <v>5793.1257602542019</v>
      </c>
      <c r="K133" s="30">
        <f t="shared" si="42"/>
        <v>0</v>
      </c>
      <c r="L133" s="30">
        <f t="shared" si="43"/>
        <v>30</v>
      </c>
      <c r="N133" s="18">
        <f>'GS&lt;50 Predicted Monthly'!$X$8</f>
        <v>-8314018.5106493998</v>
      </c>
      <c r="O133" s="18">
        <f ca="1">E133*'GS&lt;50 Predicted Monthly'!$X$9</f>
        <v>1821699.2166223819</v>
      </c>
      <c r="P133" s="18">
        <f ca="1">F133*'GS&lt;50 Predicted Monthly'!$X$10</f>
        <v>0</v>
      </c>
      <c r="Q133" s="18">
        <f>I133*'GS&lt;50 Predicted Monthly'!$X$11</f>
        <v>28912.354725446978</v>
      </c>
      <c r="R133" s="18">
        <f>J133*'GS&lt;50 Predicted Monthly'!$X$12</f>
        <v>10753516.848743716</v>
      </c>
      <c r="S133" s="18">
        <f>K133*'GS&lt;50 Predicted Monthly'!$X$13</f>
        <v>0</v>
      </c>
      <c r="T133" s="18">
        <f>L133*'GS&lt;50 Predicted Monthly'!$X$14</f>
        <v>11002902.38304105</v>
      </c>
      <c r="U133" s="20">
        <f t="shared" ca="1" si="44"/>
        <v>15293012.292483196</v>
      </c>
    </row>
    <row r="134" spans="1:21" x14ac:dyDescent="0.2">
      <c r="A134" s="9">
        <v>46023</v>
      </c>
      <c r="B134">
        <f t="shared" ref="B134:B145" si="46">YEAR(A134)</f>
        <v>2026</v>
      </c>
      <c r="C134">
        <f t="shared" ref="C134:C145" si="47">MONTH(A134)</f>
        <v>1</v>
      </c>
      <c r="E134" s="358">
        <f t="shared" ca="1" si="45"/>
        <v>508.54000000000008</v>
      </c>
      <c r="F134" s="358">
        <f t="shared" ca="1" si="45"/>
        <v>0</v>
      </c>
      <c r="G134" s="33"/>
      <c r="H134" s="33"/>
      <c r="I134" s="18">
        <f>Economic!U208</f>
        <v>-647.84831999999005</v>
      </c>
      <c r="J134" s="8">
        <f>'Customer Count'!G48</f>
        <v>5797.7732259567019</v>
      </c>
      <c r="K134" s="30">
        <f t="shared" si="42"/>
        <v>0</v>
      </c>
      <c r="L134" s="30">
        <f t="shared" si="43"/>
        <v>31</v>
      </c>
      <c r="N134" s="18">
        <f>'GS&lt;50 Predicted Monthly'!$X$8</f>
        <v>-8314018.5106493998</v>
      </c>
      <c r="O134" s="18">
        <f ca="1">E134*'GS&lt;50 Predicted Monthly'!$X$9</f>
        <v>2396169.1573667848</v>
      </c>
      <c r="P134" s="18">
        <f ca="1">F134*'GS&lt;50 Predicted Monthly'!$X$10</f>
        <v>0</v>
      </c>
      <c r="Q134" s="18">
        <f>I134*'GS&lt;50 Predicted Monthly'!$X$11</f>
        <v>-4450.8999602410777</v>
      </c>
      <c r="R134" s="18">
        <f>J134*'GS&lt;50 Predicted Monthly'!$X$12</f>
        <v>10762143.728739776</v>
      </c>
      <c r="S134" s="18">
        <f>K134*'GS&lt;50 Predicted Monthly'!$X$13</f>
        <v>0</v>
      </c>
      <c r="T134" s="18">
        <f>L134*'GS&lt;50 Predicted Monthly'!$X$14</f>
        <v>11369665.795809086</v>
      </c>
      <c r="U134" s="20">
        <f t="shared" ca="1" si="44"/>
        <v>16209509.271306004</v>
      </c>
    </row>
    <row r="135" spans="1:21" x14ac:dyDescent="0.2">
      <c r="A135" s="9">
        <v>46054</v>
      </c>
      <c r="B135">
        <f t="shared" si="46"/>
        <v>2026</v>
      </c>
      <c r="C135">
        <f t="shared" si="47"/>
        <v>2</v>
      </c>
      <c r="E135" s="358">
        <f t="shared" ca="1" si="45"/>
        <v>451.10999999999996</v>
      </c>
      <c r="F135" s="358">
        <f t="shared" ca="1" si="45"/>
        <v>0</v>
      </c>
      <c r="G135" s="33"/>
      <c r="H135" s="33"/>
      <c r="I135" s="18">
        <f>Economic!U209</f>
        <v>-647.84831999999005</v>
      </c>
      <c r="J135" s="8">
        <f>'Customer Count'!G49</f>
        <v>5802.4244200328558</v>
      </c>
      <c r="K135" s="30">
        <f t="shared" si="42"/>
        <v>0</v>
      </c>
      <c r="L135" s="30">
        <f t="shared" si="43"/>
        <v>31</v>
      </c>
      <c r="N135" s="18">
        <f>'GS&lt;50 Predicted Monthly'!$X$8</f>
        <v>-8314018.5106493998</v>
      </c>
      <c r="O135" s="18">
        <f ca="1">E135*'GS&lt;50 Predicted Monthly'!$X$9</f>
        <v>2125567.0519127897</v>
      </c>
      <c r="P135" s="18">
        <f ca="1">F135*'GS&lt;50 Predicted Monthly'!$X$10</f>
        <v>0</v>
      </c>
      <c r="Q135" s="18">
        <f>I135*'GS&lt;50 Predicted Monthly'!$X$11</f>
        <v>-4450.8999602410777</v>
      </c>
      <c r="R135" s="18">
        <f>J135*'GS&lt;50 Predicted Monthly'!$X$12</f>
        <v>10770777.529546907</v>
      </c>
      <c r="S135" s="18">
        <f>K135*'GS&lt;50 Predicted Monthly'!$X$13</f>
        <v>0</v>
      </c>
      <c r="T135" s="18">
        <f>L135*'GS&lt;50 Predicted Monthly'!$X$14</f>
        <v>11369665.795809086</v>
      </c>
      <c r="U135" s="20">
        <f t="shared" ca="1" si="44"/>
        <v>15947540.966659144</v>
      </c>
    </row>
    <row r="136" spans="1:21" x14ac:dyDescent="0.2">
      <c r="A136" s="9">
        <v>46082</v>
      </c>
      <c r="B136">
        <f t="shared" si="46"/>
        <v>2026</v>
      </c>
      <c r="C136">
        <f t="shared" si="47"/>
        <v>3</v>
      </c>
      <c r="E136" s="358">
        <f t="shared" ca="1" si="45"/>
        <v>374.74</v>
      </c>
      <c r="F136" s="358">
        <f t="shared" ca="1" si="45"/>
        <v>0</v>
      </c>
      <c r="G136" s="33"/>
      <c r="H136" s="33"/>
      <c r="I136" s="18">
        <f>Economic!U210</f>
        <v>-647.84831999999005</v>
      </c>
      <c r="J136" s="8">
        <f>'Customer Count'!G50</f>
        <v>5807.0793454737059</v>
      </c>
      <c r="K136" s="30">
        <f t="shared" si="42"/>
        <v>1</v>
      </c>
      <c r="L136" s="30">
        <f t="shared" si="43"/>
        <v>30</v>
      </c>
      <c r="N136" s="18">
        <f>'GS&lt;50 Predicted Monthly'!$X$8</f>
        <v>-8314018.5106493998</v>
      </c>
      <c r="O136" s="18">
        <f ca="1">E136*'GS&lt;50 Predicted Monthly'!$X$9</f>
        <v>1765722.3227900043</v>
      </c>
      <c r="P136" s="18">
        <f ca="1">F136*'GS&lt;50 Predicted Monthly'!$X$10</f>
        <v>0</v>
      </c>
      <c r="Q136" s="18">
        <f>I136*'GS&lt;50 Predicted Monthly'!$X$11</f>
        <v>-4450.8999602410777</v>
      </c>
      <c r="R136" s="18">
        <f>J136*'GS&lt;50 Predicted Monthly'!$X$12</f>
        <v>10779418.256717248</v>
      </c>
      <c r="S136" s="18">
        <f>K136*'GS&lt;50 Predicted Monthly'!$X$13</f>
        <v>-202362.33175645399</v>
      </c>
      <c r="T136" s="18">
        <f>L136*'GS&lt;50 Predicted Monthly'!$X$14</f>
        <v>11002902.38304105</v>
      </c>
      <c r="U136" s="20">
        <f t="shared" ca="1" si="44"/>
        <v>15027211.220182206</v>
      </c>
    </row>
    <row r="137" spans="1:21" x14ac:dyDescent="0.2">
      <c r="A137" s="9">
        <v>46113</v>
      </c>
      <c r="B137">
        <f t="shared" si="46"/>
        <v>2026</v>
      </c>
      <c r="C137">
        <f t="shared" si="47"/>
        <v>4</v>
      </c>
      <c r="E137" s="358">
        <f t="shared" ca="1" si="45"/>
        <v>221.12999999999997</v>
      </c>
      <c r="F137" s="358">
        <f t="shared" ca="1" si="45"/>
        <v>2.6300000000000003</v>
      </c>
      <c r="G137" s="33"/>
      <c r="H137" s="33"/>
      <c r="I137" s="18">
        <f>Economic!U211</f>
        <v>2776.9029119999614</v>
      </c>
      <c r="J137" s="8">
        <f>'Customer Count'!G51</f>
        <v>5811.7380052726949</v>
      </c>
      <c r="K137" s="30">
        <f t="shared" si="42"/>
        <v>1</v>
      </c>
      <c r="L137" s="30">
        <f t="shared" si="43"/>
        <v>31</v>
      </c>
      <c r="N137" s="18">
        <f>'GS&lt;50 Predicted Monthly'!$X$8</f>
        <v>-8314018.5106493998</v>
      </c>
      <c r="O137" s="18">
        <f ca="1">E137*'GS&lt;50 Predicted Monthly'!$X$9</f>
        <v>1041933.5465617591</v>
      </c>
      <c r="P137" s="18">
        <f ca="1">F137*'GS&lt;50 Predicted Monthly'!$X$10</f>
        <v>30387.829518589355</v>
      </c>
      <c r="Q137" s="18">
        <f>I137*'GS&lt;50 Predicted Monthly'!$X$11</f>
        <v>19078.10312854427</v>
      </c>
      <c r="R137" s="18">
        <f>J137*'GS&lt;50 Predicted Monthly'!$X$12</f>
        <v>10788065.915807389</v>
      </c>
      <c r="S137" s="18">
        <f>K137*'GS&lt;50 Predicted Monthly'!$X$13</f>
        <v>-202362.33175645399</v>
      </c>
      <c r="T137" s="18">
        <f>L137*'GS&lt;50 Predicted Monthly'!$X$14</f>
        <v>11369665.795809086</v>
      </c>
      <c r="U137" s="20">
        <f t="shared" ca="1" si="44"/>
        <v>14732750.348419514</v>
      </c>
    </row>
    <row r="138" spans="1:21" x14ac:dyDescent="0.2">
      <c r="A138" s="9">
        <v>46143</v>
      </c>
      <c r="B138">
        <f t="shared" si="46"/>
        <v>2026</v>
      </c>
      <c r="C138">
        <f t="shared" si="47"/>
        <v>5</v>
      </c>
      <c r="E138" s="358">
        <f t="shared" ca="1" si="45"/>
        <v>74.8</v>
      </c>
      <c r="F138" s="358">
        <f t="shared" ca="1" si="45"/>
        <v>50.489999999999995</v>
      </c>
      <c r="G138" s="33"/>
      <c r="H138" s="33"/>
      <c r="I138" s="18">
        <f>Economic!U212</f>
        <v>2776.9029119999614</v>
      </c>
      <c r="J138" s="8">
        <f>'Customer Count'!G52</f>
        <v>5816.4004024256674</v>
      </c>
      <c r="K138" s="30">
        <f t="shared" si="42"/>
        <v>1</v>
      </c>
      <c r="L138" s="30">
        <f t="shared" si="43"/>
        <v>30</v>
      </c>
      <c r="N138" s="18">
        <f>'GS&lt;50 Predicted Monthly'!$X$8</f>
        <v>-8314018.5106493998</v>
      </c>
      <c r="O138" s="18">
        <f ca="1">E138*'GS&lt;50 Predicted Monthly'!$X$9</f>
        <v>352447.10931497125</v>
      </c>
      <c r="P138" s="18">
        <f ca="1">F138*'GS&lt;50 Predicted Monthly'!$X$10</f>
        <v>583377.00091010507</v>
      </c>
      <c r="Q138" s="18">
        <f>I138*'GS&lt;50 Predicted Monthly'!$X$11</f>
        <v>19078.10312854427</v>
      </c>
      <c r="R138" s="18">
        <f>J138*'GS&lt;50 Predicted Monthly'!$X$12</f>
        <v>10796720.512378382</v>
      </c>
      <c r="S138" s="18">
        <f>K138*'GS&lt;50 Predicted Monthly'!$X$13</f>
        <v>-202362.33175645399</v>
      </c>
      <c r="T138" s="18">
        <f>L138*'GS&lt;50 Predicted Monthly'!$X$14</f>
        <v>11002902.38304105</v>
      </c>
      <c r="U138" s="20">
        <f t="shared" ca="1" si="44"/>
        <v>14238144.266367199</v>
      </c>
    </row>
    <row r="139" spans="1:21" x14ac:dyDescent="0.2">
      <c r="A139" s="9">
        <v>46174</v>
      </c>
      <c r="B139">
        <f t="shared" si="46"/>
        <v>2026</v>
      </c>
      <c r="C139">
        <f t="shared" si="47"/>
        <v>6</v>
      </c>
      <c r="E139" s="358">
        <f t="shared" ca="1" si="45"/>
        <v>2.15</v>
      </c>
      <c r="F139" s="358">
        <f t="shared" ca="1" si="45"/>
        <v>154.05000000000001</v>
      </c>
      <c r="G139" s="33"/>
      <c r="H139" s="33"/>
      <c r="I139" s="18">
        <f>Economic!U213</f>
        <v>2776.9029119999614</v>
      </c>
      <c r="J139" s="8">
        <f>'Customer Count'!G53</f>
        <v>5821.06653993087</v>
      </c>
      <c r="K139" s="30">
        <f t="shared" si="42"/>
        <v>0</v>
      </c>
      <c r="L139" s="30">
        <f t="shared" si="43"/>
        <v>31</v>
      </c>
      <c r="N139" s="18">
        <f>'GS&lt;50 Predicted Monthly'!$X$8</f>
        <v>-8314018.5106493998</v>
      </c>
      <c r="O139" s="18">
        <f ca="1">E139*'GS&lt;50 Predicted Monthly'!$X$9</f>
        <v>10130.498462930324</v>
      </c>
      <c r="P139" s="18">
        <f ca="1">F139*'GS&lt;50 Predicted Monthly'!$X$10</f>
        <v>1779941.1168588174</v>
      </c>
      <c r="Q139" s="18">
        <f>I139*'GS&lt;50 Predicted Monthly'!$X$11</f>
        <v>19078.10312854427</v>
      </c>
      <c r="R139" s="18">
        <f>J139*'GS&lt;50 Predicted Monthly'!$X$12</f>
        <v>10805382.051995736</v>
      </c>
      <c r="S139" s="18">
        <f>K139*'GS&lt;50 Predicted Monthly'!$X$13</f>
        <v>0</v>
      </c>
      <c r="T139" s="18">
        <f>L139*'GS&lt;50 Predicted Monthly'!$X$14</f>
        <v>11369665.795809086</v>
      </c>
      <c r="U139" s="20">
        <f t="shared" ca="1" si="44"/>
        <v>15670179.055605713</v>
      </c>
    </row>
    <row r="140" spans="1:21" x14ac:dyDescent="0.2">
      <c r="A140" s="9">
        <v>46204</v>
      </c>
      <c r="B140">
        <f t="shared" si="46"/>
        <v>2026</v>
      </c>
      <c r="C140">
        <f t="shared" si="47"/>
        <v>7</v>
      </c>
      <c r="E140" s="358">
        <f t="shared" ca="1" si="45"/>
        <v>0</v>
      </c>
      <c r="F140" s="358">
        <f t="shared" ca="1" si="45"/>
        <v>267.66999999999996</v>
      </c>
      <c r="G140" s="33"/>
      <c r="H140" s="33"/>
      <c r="I140" s="18">
        <f>Economic!U214</f>
        <v>741.72672000003513</v>
      </c>
      <c r="J140" s="8">
        <f>'Customer Count'!G54</f>
        <v>5825.7364207889568</v>
      </c>
      <c r="K140" s="30">
        <f t="shared" si="42"/>
        <v>0</v>
      </c>
      <c r="L140" s="30">
        <f t="shared" si="43"/>
        <v>31</v>
      </c>
      <c r="N140" s="18">
        <f>'GS&lt;50 Predicted Monthly'!$X$8</f>
        <v>-8314018.5106493998</v>
      </c>
      <c r="O140" s="18">
        <f ca="1">E140*'GS&lt;50 Predicted Monthly'!$X$9</f>
        <v>0</v>
      </c>
      <c r="P140" s="18">
        <f ca="1">F140*'GS&lt;50 Predicted Monthly'!$X$10</f>
        <v>3092741.5692930841</v>
      </c>
      <c r="Q140" s="18">
        <f>I140*'GS&lt;50 Predicted Monthly'!$X$11</f>
        <v>5095.8709417629607</v>
      </c>
      <c r="R140" s="18">
        <f>J140*'GS&lt;50 Predicted Monthly'!$X$12</f>
        <v>10814050.540229427</v>
      </c>
      <c r="S140" s="18">
        <f>K140*'GS&lt;50 Predicted Monthly'!$X$13</f>
        <v>0</v>
      </c>
      <c r="T140" s="18">
        <f>L140*'GS&lt;50 Predicted Monthly'!$X$14</f>
        <v>11369665.795809086</v>
      </c>
      <c r="U140" s="20">
        <f t="shared" ca="1" si="44"/>
        <v>16967535.265623961</v>
      </c>
    </row>
    <row r="141" spans="1:21" x14ac:dyDescent="0.2">
      <c r="A141" s="9">
        <v>46235</v>
      </c>
      <c r="B141">
        <f t="shared" si="46"/>
        <v>2026</v>
      </c>
      <c r="C141">
        <f t="shared" si="47"/>
        <v>8</v>
      </c>
      <c r="E141" s="358">
        <f t="shared" ca="1" si="45"/>
        <v>0</v>
      </c>
      <c r="F141" s="358">
        <f t="shared" ca="1" si="45"/>
        <v>246.315</v>
      </c>
      <c r="G141" s="33"/>
      <c r="H141" s="33"/>
      <c r="I141" s="18">
        <f>Economic!U215</f>
        <v>741.72672000003513</v>
      </c>
      <c r="J141" s="8">
        <f>'Customer Count'!G55</f>
        <v>5830.4100480029865</v>
      </c>
      <c r="K141" s="30">
        <f t="shared" si="42"/>
        <v>0</v>
      </c>
      <c r="L141" s="30">
        <f t="shared" si="43"/>
        <v>28</v>
      </c>
      <c r="N141" s="18">
        <f>'GS&lt;50 Predicted Monthly'!$X$8</f>
        <v>-8314018.5106493998</v>
      </c>
      <c r="O141" s="18">
        <f ca="1">E141*'GS&lt;50 Predicted Monthly'!$X$9</f>
        <v>0</v>
      </c>
      <c r="P141" s="18">
        <f ca="1">F141*'GS&lt;50 Predicted Monthly'!$X$10</f>
        <v>2845999.3261868199</v>
      </c>
      <c r="Q141" s="18">
        <f>I141*'GS&lt;50 Predicted Monthly'!$X$11</f>
        <v>5095.8709417629607</v>
      </c>
      <c r="R141" s="18">
        <f>J141*'GS&lt;50 Predicted Monthly'!$X$12</f>
        <v>10822725.982653899</v>
      </c>
      <c r="S141" s="18">
        <f>K141*'GS&lt;50 Predicted Monthly'!$X$13</f>
        <v>0</v>
      </c>
      <c r="T141" s="18">
        <f>L141*'GS&lt;50 Predicted Monthly'!$X$14</f>
        <v>10269375.55750498</v>
      </c>
      <c r="U141" s="20">
        <f t="shared" ca="1" si="44"/>
        <v>15629178.226638062</v>
      </c>
    </row>
    <row r="142" spans="1:21" x14ac:dyDescent="0.2">
      <c r="A142" s="9">
        <v>46266</v>
      </c>
      <c r="B142">
        <f t="shared" si="46"/>
        <v>2026</v>
      </c>
      <c r="C142">
        <f t="shared" si="47"/>
        <v>9</v>
      </c>
      <c r="E142" s="358">
        <f t="shared" ca="1" si="45"/>
        <v>2.2699999999999996</v>
      </c>
      <c r="F142" s="358">
        <f t="shared" ca="1" si="45"/>
        <v>146.80000000000001</v>
      </c>
      <c r="G142" s="33"/>
      <c r="H142" s="33"/>
      <c r="I142" s="18">
        <f>Economic!U216</f>
        <v>741.72672000003513</v>
      </c>
      <c r="J142" s="8">
        <f>'Customer Count'!G56</f>
        <v>5835.0874245784289</v>
      </c>
      <c r="K142" s="30">
        <f t="shared" si="42"/>
        <v>1</v>
      </c>
      <c r="L142" s="30">
        <f t="shared" si="43"/>
        <v>31</v>
      </c>
      <c r="N142" s="18">
        <f>'GS&lt;50 Predicted Monthly'!$X$8</f>
        <v>-8314018.5106493998</v>
      </c>
      <c r="O142" s="18">
        <f ca="1">E142*'GS&lt;50 Predicted Monthly'!$X$9</f>
        <v>10695.92163295434</v>
      </c>
      <c r="P142" s="18">
        <f ca="1">F142*'GS&lt;50 Predicted Monthly'!$X$10</f>
        <v>1696172.3852961662</v>
      </c>
      <c r="Q142" s="18">
        <f>I142*'GS&lt;50 Predicted Monthly'!$X$11</f>
        <v>5095.8709417629607</v>
      </c>
      <c r="R142" s="18">
        <f>J142*'GS&lt;50 Predicted Monthly'!$X$12</f>
        <v>10831408.384848071</v>
      </c>
      <c r="S142" s="18">
        <f>K142*'GS&lt;50 Predicted Monthly'!$X$13</f>
        <v>-202362.33175645399</v>
      </c>
      <c r="T142" s="18">
        <f>L142*'GS&lt;50 Predicted Monthly'!$X$14</f>
        <v>11369665.795809086</v>
      </c>
      <c r="U142" s="20">
        <f t="shared" ca="1" si="44"/>
        <v>15396657.516122187</v>
      </c>
    </row>
    <row r="143" spans="1:21" x14ac:dyDescent="0.2">
      <c r="A143" s="9">
        <v>46296</v>
      </c>
      <c r="B143">
        <f t="shared" si="46"/>
        <v>2026</v>
      </c>
      <c r="C143">
        <f t="shared" si="47"/>
        <v>10</v>
      </c>
      <c r="E143" s="358">
        <f t="shared" ca="1" si="45"/>
        <v>83.800000000000011</v>
      </c>
      <c r="F143" s="358">
        <f t="shared" ca="1" si="45"/>
        <v>36.859999999999992</v>
      </c>
      <c r="G143" s="33"/>
      <c r="H143" s="33"/>
      <c r="I143" s="18">
        <f>Economic!U217</f>
        <v>4241.9886243840447</v>
      </c>
      <c r="J143" s="8">
        <f>'Customer Count'!G57</f>
        <v>5839.768553523164</v>
      </c>
      <c r="K143" s="30">
        <f t="shared" si="42"/>
        <v>1</v>
      </c>
      <c r="L143" s="30">
        <f t="shared" si="43"/>
        <v>30</v>
      </c>
      <c r="N143" s="18">
        <f>'GS&lt;50 Predicted Monthly'!$X$8</f>
        <v>-8314018.5106493998</v>
      </c>
      <c r="O143" s="18">
        <f ca="1">E143*'GS&lt;50 Predicted Monthly'!$X$9</f>
        <v>394853.84706677264</v>
      </c>
      <c r="P143" s="18">
        <f ca="1">F143*'GS&lt;50 Predicted Monthly'!$X$10</f>
        <v>425891.78557232063</v>
      </c>
      <c r="Q143" s="18">
        <f>I143*'GS&lt;50 Predicted Monthly'!$X$11</f>
        <v>29143.653563251253</v>
      </c>
      <c r="R143" s="18">
        <f>J143*'GS&lt;50 Predicted Monthly'!$X$12</f>
        <v>10840097.75239533</v>
      </c>
      <c r="S143" s="18">
        <f>K143*'GS&lt;50 Predicted Monthly'!$X$13</f>
        <v>-202362.33175645399</v>
      </c>
      <c r="T143" s="18">
        <f>L143*'GS&lt;50 Predicted Monthly'!$X$14</f>
        <v>11002902.38304105</v>
      </c>
      <c r="U143" s="20">
        <f t="shared" ca="1" si="44"/>
        <v>14176508.579232872</v>
      </c>
    </row>
    <row r="144" spans="1:21" x14ac:dyDescent="0.2">
      <c r="A144" s="9">
        <v>46327</v>
      </c>
      <c r="B144">
        <f t="shared" si="46"/>
        <v>2026</v>
      </c>
      <c r="C144">
        <f t="shared" si="47"/>
        <v>11</v>
      </c>
      <c r="E144" s="358">
        <f t="shared" ca="1" si="45"/>
        <v>240.7</v>
      </c>
      <c r="F144" s="358">
        <f t="shared" ca="1" si="45"/>
        <v>3.410000000000001</v>
      </c>
      <c r="G144" s="33"/>
      <c r="H144" s="33"/>
      <c r="I144" s="18">
        <f>Economic!U218</f>
        <v>4241.9886243840447</v>
      </c>
      <c r="J144" s="8">
        <f>'Customer Count'!G58</f>
        <v>5844.4534378474855</v>
      </c>
      <c r="K144" s="30">
        <f t="shared" si="42"/>
        <v>1</v>
      </c>
      <c r="L144" s="30">
        <f t="shared" si="43"/>
        <v>31</v>
      </c>
      <c r="N144" s="18">
        <f>'GS&lt;50 Predicted Monthly'!$X$8</f>
        <v>-8314018.5106493998</v>
      </c>
      <c r="O144" s="18">
        <f ca="1">E144*'GS&lt;50 Predicted Monthly'!$X$9</f>
        <v>1134144.6418731762</v>
      </c>
      <c r="P144" s="18">
        <f ca="1">F144*'GS&lt;50 Predicted Monthly'!$X$10</f>
        <v>39400.189603950465</v>
      </c>
      <c r="Q144" s="18">
        <f>I144*'GS&lt;50 Predicted Monthly'!$X$11</f>
        <v>29143.653563251253</v>
      </c>
      <c r="R144" s="18">
        <f>J144*'GS&lt;50 Predicted Monthly'!$X$12</f>
        <v>10848794.090883553</v>
      </c>
      <c r="S144" s="18">
        <f>K144*'GS&lt;50 Predicted Monthly'!$X$13</f>
        <v>-202362.33175645399</v>
      </c>
      <c r="T144" s="18">
        <f>L144*'GS&lt;50 Predicted Monthly'!$X$14</f>
        <v>11369665.795809086</v>
      </c>
      <c r="U144" s="20">
        <f t="shared" ca="1" si="44"/>
        <v>14904767.529327163</v>
      </c>
    </row>
    <row r="145" spans="1:24" x14ac:dyDescent="0.2">
      <c r="A145" s="9">
        <v>46357</v>
      </c>
      <c r="B145">
        <f t="shared" si="46"/>
        <v>2026</v>
      </c>
      <c r="C145">
        <f t="shared" si="47"/>
        <v>12</v>
      </c>
      <c r="E145" s="358">
        <f t="shared" ca="1" si="45"/>
        <v>386.61999999999995</v>
      </c>
      <c r="F145" s="358">
        <f t="shared" ca="1" si="45"/>
        <v>0</v>
      </c>
      <c r="G145" s="33"/>
      <c r="H145" s="33"/>
      <c r="I145" s="18">
        <f>Economic!U219</f>
        <v>4241.9886243840447</v>
      </c>
      <c r="J145" s="8">
        <f>'Customer Count'!G59</f>
        <v>5849.142080564101</v>
      </c>
      <c r="K145" s="30">
        <f t="shared" si="42"/>
        <v>0</v>
      </c>
      <c r="L145" s="30">
        <f t="shared" si="43"/>
        <v>30</v>
      </c>
      <c r="N145" s="18">
        <f>'GS&lt;50 Predicted Monthly'!$X$8</f>
        <v>-8314018.5106493998</v>
      </c>
      <c r="O145" s="18">
        <f ca="1">E145*'GS&lt;50 Predicted Monthly'!$X$9</f>
        <v>1821699.2166223819</v>
      </c>
      <c r="P145" s="18">
        <f ca="1">F145*'GS&lt;50 Predicted Monthly'!$X$10</f>
        <v>0</v>
      </c>
      <c r="Q145" s="18">
        <f>I145*'GS&lt;50 Predicted Monthly'!$X$11</f>
        <v>29143.653563251253</v>
      </c>
      <c r="R145" s="18">
        <f>J145*'GS&lt;50 Predicted Monthly'!$X$12</f>
        <v>10857497.405905088</v>
      </c>
      <c r="S145" s="18">
        <f>K145*'GS&lt;50 Predicted Monthly'!$X$13</f>
        <v>0</v>
      </c>
      <c r="T145" s="18">
        <f>L145*'GS&lt;50 Predicted Monthly'!$X$14</f>
        <v>11002902.38304105</v>
      </c>
      <c r="U145" s="20">
        <f t="shared" ca="1" si="44"/>
        <v>15397224.148482373</v>
      </c>
    </row>
    <row r="148" spans="1:24" x14ac:dyDescent="0.2">
      <c r="W148" s="8"/>
      <c r="X148" s="18"/>
    </row>
    <row r="149" spans="1:24" x14ac:dyDescent="0.2">
      <c r="W149" s="8"/>
      <c r="X149" s="18"/>
    </row>
    <row r="150" spans="1:24" x14ac:dyDescent="0.2">
      <c r="W150" s="8"/>
      <c r="X150" s="8"/>
    </row>
    <row r="195" spans="9:21" x14ac:dyDescent="0.2">
      <c r="J195" s="18"/>
      <c r="L195" s="13"/>
      <c r="M195" s="18"/>
      <c r="O195" s="18"/>
      <c r="P195" s="18"/>
      <c r="Q195" s="18"/>
      <c r="R195" s="18"/>
      <c r="S195" s="18"/>
      <c r="T195" s="18"/>
      <c r="U195" s="18"/>
    </row>
    <row r="196" spans="9:21" x14ac:dyDescent="0.2">
      <c r="J196" s="18"/>
      <c r="L196" s="13"/>
      <c r="M196" s="18"/>
      <c r="O196" s="18"/>
      <c r="P196" s="18"/>
      <c r="Q196" s="18"/>
      <c r="R196" s="18"/>
      <c r="S196" s="18"/>
      <c r="T196" s="18"/>
      <c r="U196" s="18"/>
    </row>
    <row r="197" spans="9:21" x14ac:dyDescent="0.2">
      <c r="J197" s="18"/>
      <c r="L197" s="13"/>
      <c r="M197" s="18"/>
      <c r="O197" s="18"/>
      <c r="P197" s="18"/>
      <c r="Q197" s="18"/>
      <c r="R197" s="18"/>
      <c r="S197" s="18"/>
      <c r="T197" s="18"/>
      <c r="U197" s="18"/>
    </row>
    <row r="198" spans="9:21" x14ac:dyDescent="0.2">
      <c r="J198" s="18"/>
      <c r="L198" s="13"/>
      <c r="M198" s="18"/>
      <c r="O198" s="18"/>
      <c r="P198" s="18"/>
      <c r="Q198" s="18"/>
      <c r="R198" s="18"/>
      <c r="S198" s="18"/>
      <c r="T198" s="18"/>
      <c r="U198" s="18"/>
    </row>
    <row r="199" spans="9:21" x14ac:dyDescent="0.2">
      <c r="J199" s="18"/>
      <c r="L199" s="13"/>
      <c r="M199" s="18"/>
      <c r="O199" s="18"/>
      <c r="P199" s="18"/>
      <c r="Q199" s="18"/>
      <c r="R199" s="18"/>
      <c r="S199" s="18"/>
      <c r="T199" s="18"/>
      <c r="U199" s="18"/>
    </row>
    <row r="200" spans="9:21" x14ac:dyDescent="0.2">
      <c r="J200" s="18"/>
      <c r="L200" s="13"/>
      <c r="M200" s="18"/>
      <c r="O200" s="18"/>
      <c r="P200" s="18"/>
      <c r="Q200" s="18"/>
      <c r="R200" s="18"/>
      <c r="S200" s="18"/>
      <c r="T200" s="18"/>
      <c r="U200" s="18"/>
    </row>
    <row r="201" spans="9:21" x14ac:dyDescent="0.2">
      <c r="J201" s="18"/>
      <c r="L201" s="13"/>
      <c r="M201" s="18"/>
      <c r="O201" s="18"/>
      <c r="P201" s="18"/>
      <c r="Q201" s="18"/>
      <c r="R201" s="18"/>
      <c r="S201" s="18"/>
      <c r="T201" s="18"/>
      <c r="U201" s="18"/>
    </row>
    <row r="202" spans="9:21" x14ac:dyDescent="0.2">
      <c r="J202" s="18"/>
      <c r="L202" s="13"/>
      <c r="M202" s="18"/>
      <c r="O202" s="18"/>
      <c r="P202" s="18"/>
      <c r="Q202" s="18"/>
      <c r="R202" s="18"/>
      <c r="S202" s="18"/>
      <c r="T202" s="18"/>
      <c r="U202" s="18"/>
    </row>
    <row r="203" spans="9:21" x14ac:dyDescent="0.2">
      <c r="I203"/>
      <c r="L203" s="13"/>
    </row>
    <row r="204" spans="9:21" x14ac:dyDescent="0.2">
      <c r="I204"/>
      <c r="L204" s="13"/>
      <c r="M204" s="31"/>
      <c r="N204" s="31"/>
      <c r="O204" s="31"/>
      <c r="P204" s="31"/>
      <c r="Q204" s="31"/>
      <c r="R204" s="31"/>
      <c r="S204" s="31"/>
      <c r="T204" s="31"/>
      <c r="U204" s="31"/>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8C642-C12A-408A-86A4-A0105DE2A07D}">
  <sheetPr codeName="Sheet10">
    <tabColor theme="6" tint="0.59999389629810485"/>
  </sheetPr>
  <dimension ref="A1:Y204"/>
  <sheetViews>
    <sheetView workbookViewId="0">
      <selection activeCell="G2" sqref="G2"/>
    </sheetView>
  </sheetViews>
  <sheetFormatPr defaultColWidth="9.33203125" defaultRowHeight="12.75" x14ac:dyDescent="0.2"/>
  <cols>
    <col min="4" max="4" width="17.5" customWidth="1"/>
    <col min="12" max="12" width="9.33203125" style="13"/>
    <col min="14" max="14" width="14.6640625" bestFit="1" customWidth="1"/>
    <col min="15" max="15" width="12.83203125" bestFit="1" customWidth="1"/>
    <col min="16" max="16" width="13.83203125" bestFit="1" customWidth="1"/>
    <col min="17" max="17" width="13.83203125" customWidth="1"/>
    <col min="18" max="18" width="13.83203125" bestFit="1" customWidth="1"/>
    <col min="19" max="20" width="12.5" customWidth="1"/>
    <col min="21" max="21" width="19.6640625" customWidth="1"/>
    <col min="23" max="23" width="13.83203125" bestFit="1" customWidth="1"/>
    <col min="24" max="24" width="12.5" bestFit="1" customWidth="1"/>
  </cols>
  <sheetData>
    <row r="1" spans="1:22" x14ac:dyDescent="0.2">
      <c r="A1" s="373" t="str">
        <f>'Monthly Data'!A1</f>
        <v>Date</v>
      </c>
      <c r="B1" s="351" t="s">
        <v>0</v>
      </c>
      <c r="C1" s="351" t="s">
        <v>28</v>
      </c>
      <c r="D1" s="374" t="str">
        <f>'Monthly Data'!N1</f>
        <v>GS_gt_50_NoCDM</v>
      </c>
      <c r="E1" s="375" t="str">
        <f>G1&amp;"Norm"</f>
        <v>HDD10Norm</v>
      </c>
      <c r="F1" s="375" t="str">
        <f>H1&amp;"Norm"</f>
        <v>CDD14Norm</v>
      </c>
      <c r="G1" s="375" t="str">
        <f>'Monthly Data'!AZ1</f>
        <v>HDD10</v>
      </c>
      <c r="H1" s="375" t="str">
        <f>'Monthly Data'!AW1</f>
        <v>CDD14</v>
      </c>
      <c r="I1" s="375" t="str">
        <f>'Monthly Data'!BS1</f>
        <v>Trend</v>
      </c>
      <c r="J1" s="374" t="str">
        <f>'Monthly Data'!BO1</f>
        <v>Dec</v>
      </c>
      <c r="K1" s="375" t="str">
        <f>'Monthly Data'!BT1</f>
        <v>Month Days</v>
      </c>
      <c r="L1" s="375" t="str">
        <f>'Monthly Data'!AK1</f>
        <v>Tor_FTEAdjChange</v>
      </c>
      <c r="N1" s="351" t="s">
        <v>72</v>
      </c>
      <c r="O1" s="375" t="str">
        <f>E1</f>
        <v>HDD10Norm</v>
      </c>
      <c r="P1" s="375" t="str">
        <f>F1</f>
        <v>CDD14Norm</v>
      </c>
      <c r="Q1" s="375" t="str">
        <f t="shared" ref="Q1:T1" si="0">I1</f>
        <v>Trend</v>
      </c>
      <c r="R1" s="375" t="str">
        <f t="shared" si="0"/>
        <v>Dec</v>
      </c>
      <c r="S1" s="375" t="str">
        <f t="shared" si="0"/>
        <v>Month Days</v>
      </c>
      <c r="T1" s="375" t="str">
        <f t="shared" si="0"/>
        <v>Tor_FTEAdjChange</v>
      </c>
      <c r="U1" s="351" t="s">
        <v>109</v>
      </c>
      <c r="V1" s="351"/>
    </row>
    <row r="2" spans="1:22" x14ac:dyDescent="0.2">
      <c r="A2" s="9">
        <f>'Monthly Data'!A2</f>
        <v>42005</v>
      </c>
      <c r="B2">
        <f t="shared" ref="B2:B57" si="1">YEAR(A2)</f>
        <v>2015</v>
      </c>
      <c r="C2">
        <f t="shared" ref="C2:C57" si="2">MONTH(A2)</f>
        <v>1</v>
      </c>
      <c r="D2" s="30">
        <f>'Monthly Data'!N2</f>
        <v>79694681.694532961</v>
      </c>
      <c r="E2" s="33">
        <f ca="1">Weather!CT56</f>
        <v>384.56000000000006</v>
      </c>
      <c r="F2" s="33">
        <f ca="1">Weather!BS56</f>
        <v>0</v>
      </c>
      <c r="G2" s="33">
        <f>'Monthly Data'!AZ2</f>
        <v>491.59999999999997</v>
      </c>
      <c r="H2" s="33">
        <f>'Monthly Data'!AW2</f>
        <v>0</v>
      </c>
      <c r="I2" s="31">
        <f>'Monthly Data'!BS2</f>
        <v>1</v>
      </c>
      <c r="J2" s="33">
        <f>'Monthly Data'!BO2</f>
        <v>0</v>
      </c>
      <c r="K2" s="33">
        <f>'Monthly Data'!BT2</f>
        <v>31</v>
      </c>
      <c r="L2" s="13">
        <f>'Monthly Data'!AK2</f>
        <v>-34.200000000000273</v>
      </c>
      <c r="N2" s="18"/>
      <c r="O2" s="18">
        <f ca="1">(E2-G2)*'GS&gt;50 Predicted Monthly'!$X$11</f>
        <v>-1951953.5526643305</v>
      </c>
      <c r="P2" s="18">
        <f ca="1">(F2-H2)*'GS&gt;50 Predicted Monthly'!$X$12</f>
        <v>0</v>
      </c>
      <c r="Q2" s="18"/>
      <c r="R2" s="18"/>
      <c r="S2" s="18"/>
      <c r="T2" s="18"/>
      <c r="U2" s="18">
        <f t="shared" ref="U2:U21" ca="1" si="3">D2+O2+P2</f>
        <v>77742728.141868636</v>
      </c>
    </row>
    <row r="3" spans="1:22" x14ac:dyDescent="0.2">
      <c r="A3" s="9">
        <f>'Monthly Data'!A3</f>
        <v>42036</v>
      </c>
      <c r="B3">
        <f t="shared" si="1"/>
        <v>2015</v>
      </c>
      <c r="C3">
        <f t="shared" si="2"/>
        <v>2</v>
      </c>
      <c r="D3" s="30">
        <f>'Monthly Data'!N3</f>
        <v>74376312.853804022</v>
      </c>
      <c r="E3" s="33">
        <f ca="1">Weather!CT57</f>
        <v>338.02</v>
      </c>
      <c r="F3" s="33">
        <f ca="1">Weather!BS57</f>
        <v>0</v>
      </c>
      <c r="G3" s="33">
        <f>'Monthly Data'!AZ3</f>
        <v>591.9</v>
      </c>
      <c r="H3" s="33">
        <f>'Monthly Data'!AW3</f>
        <v>0</v>
      </c>
      <c r="I3" s="31">
        <f>'Monthly Data'!BS3</f>
        <v>2</v>
      </c>
      <c r="J3" s="33">
        <f>'Monthly Data'!BO3</f>
        <v>0</v>
      </c>
      <c r="K3" s="33">
        <f>'Monthly Data'!BT3</f>
        <v>28</v>
      </c>
      <c r="L3" s="13">
        <f>'Monthly Data'!AK3</f>
        <v>-26.700000000000273</v>
      </c>
      <c r="N3" s="18"/>
      <c r="O3" s="18">
        <f ca="1">(E3-G3)*'GS&gt;50 Predicted Monthly'!$X$11</f>
        <v>-4629689.5361586381</v>
      </c>
      <c r="P3" s="18">
        <f ca="1">(F3-H3)*'GS&gt;50 Predicted Monthly'!$X$12</f>
        <v>0</v>
      </c>
      <c r="Q3" s="18"/>
      <c r="R3" s="18"/>
      <c r="S3" s="18"/>
      <c r="T3" s="18"/>
      <c r="U3" s="18">
        <f t="shared" ca="1" si="3"/>
        <v>69746623.317645386</v>
      </c>
    </row>
    <row r="4" spans="1:22" x14ac:dyDescent="0.2">
      <c r="A4" s="9">
        <f>'Monthly Data'!A4</f>
        <v>42064</v>
      </c>
      <c r="B4">
        <f t="shared" si="1"/>
        <v>2015</v>
      </c>
      <c r="C4">
        <f t="shared" si="2"/>
        <v>3</v>
      </c>
      <c r="D4" s="30">
        <f>'Monthly Data'!N4</f>
        <v>77468239.013075083</v>
      </c>
      <c r="E4" s="33">
        <f ca="1">Weather!CT58</f>
        <v>252.67</v>
      </c>
      <c r="F4" s="33">
        <f ca="1">Weather!BS58</f>
        <v>0</v>
      </c>
      <c r="G4" s="33">
        <f>'Monthly Data'!AZ4</f>
        <v>346</v>
      </c>
      <c r="H4" s="33">
        <f>'Monthly Data'!AW4</f>
        <v>0</v>
      </c>
      <c r="I4" s="31">
        <f>'Monthly Data'!BS4</f>
        <v>3</v>
      </c>
      <c r="J4" s="33">
        <f>'Monthly Data'!BO4</f>
        <v>0</v>
      </c>
      <c r="K4" s="33">
        <f>'Monthly Data'!BT4</f>
        <v>31</v>
      </c>
      <c r="L4" s="13">
        <f>'Monthly Data'!AK4</f>
        <v>-7.9000000000000909</v>
      </c>
      <c r="N4" s="18"/>
      <c r="O4" s="18">
        <f ca="1">(E4-G4)*'GS&gt;50 Predicted Monthly'!$X$11</f>
        <v>-1701941.5645568212</v>
      </c>
      <c r="P4" s="18">
        <f ca="1">(F4-H4)*'GS&gt;50 Predicted Monthly'!$X$12</f>
        <v>0</v>
      </c>
      <c r="Q4" s="18"/>
      <c r="R4" s="18"/>
      <c r="S4" s="18"/>
      <c r="T4" s="18"/>
      <c r="U4" s="18">
        <f t="shared" ca="1" si="3"/>
        <v>75766297.448518261</v>
      </c>
    </row>
    <row r="5" spans="1:22" x14ac:dyDescent="0.2">
      <c r="A5" s="9">
        <f>'Monthly Data'!A5</f>
        <v>42095</v>
      </c>
      <c r="B5">
        <f t="shared" si="1"/>
        <v>2015</v>
      </c>
      <c r="C5">
        <f t="shared" si="2"/>
        <v>4</v>
      </c>
      <c r="D5" s="30">
        <f>'Monthly Data'!N5</f>
        <v>70027916.172346145</v>
      </c>
      <c r="E5" s="33">
        <f ca="1">Weather!CT59</f>
        <v>112.07000000000001</v>
      </c>
      <c r="F5" s="33">
        <f ca="1">Weather!BS59</f>
        <v>2.6300000000000003</v>
      </c>
      <c r="G5" s="33">
        <f>'Monthly Data'!AZ5</f>
        <v>102.5</v>
      </c>
      <c r="H5" s="33">
        <f>'Monthly Data'!AW5</f>
        <v>1.5999999999999996</v>
      </c>
      <c r="I5" s="31">
        <f>'Monthly Data'!BS5</f>
        <v>4</v>
      </c>
      <c r="J5" s="33">
        <f>'Monthly Data'!BO5</f>
        <v>0</v>
      </c>
      <c r="K5" s="33">
        <f>'Monthly Data'!BT5</f>
        <v>30</v>
      </c>
      <c r="L5" s="13">
        <f>'Monthly Data'!AK5</f>
        <v>-3.5999999999999091</v>
      </c>
      <c r="N5" s="18"/>
      <c r="O5" s="18">
        <f ca="1">(E5-G5)*'GS&gt;50 Predicted Monthly'!$X$11</f>
        <v>174516.02670961953</v>
      </c>
      <c r="P5" s="18">
        <f ca="1">(F5-H5)*'GS&gt;50 Predicted Monthly'!$X$12</f>
        <v>48319.19412605415</v>
      </c>
      <c r="Q5" s="18"/>
      <c r="R5" s="18"/>
      <c r="S5" s="18"/>
      <c r="T5" s="18"/>
      <c r="U5" s="18">
        <f t="shared" ca="1" si="3"/>
        <v>70250751.393181816</v>
      </c>
    </row>
    <row r="6" spans="1:22" x14ac:dyDescent="0.2">
      <c r="A6" s="9">
        <f>'Monthly Data'!A6</f>
        <v>42125</v>
      </c>
      <c r="B6">
        <f t="shared" si="1"/>
        <v>2015</v>
      </c>
      <c r="C6">
        <f t="shared" si="2"/>
        <v>5</v>
      </c>
      <c r="D6" s="30">
        <f>'Monthly Data'!N6</f>
        <v>73743857.331617206</v>
      </c>
      <c r="E6" s="33">
        <f ca="1">Weather!CT60</f>
        <v>19.18</v>
      </c>
      <c r="F6" s="33">
        <f ca="1">Weather!BS60</f>
        <v>50.489999999999995</v>
      </c>
      <c r="G6" s="33">
        <f>'Monthly Data'!AZ6</f>
        <v>4.5999999999999996</v>
      </c>
      <c r="H6" s="33">
        <f>'Monthly Data'!AW6</f>
        <v>60.8</v>
      </c>
      <c r="I6" s="31">
        <f>'Monthly Data'!BS6</f>
        <v>5</v>
      </c>
      <c r="J6" s="33">
        <f>'Monthly Data'!BO6</f>
        <v>0</v>
      </c>
      <c r="K6" s="33">
        <f>'Monthly Data'!BT6</f>
        <v>31</v>
      </c>
      <c r="L6" s="13">
        <f>'Monthly Data'!AK6</f>
        <v>22.5</v>
      </c>
      <c r="N6" s="18"/>
      <c r="O6" s="18">
        <f ca="1">(E6-G6)*'GS&gt;50 Predicted Monthly'!$X$11</f>
        <v>265877.08144474926</v>
      </c>
      <c r="P6" s="18">
        <f ca="1">(F6-H6)*'GS&gt;50 Predicted Monthly'!$X$12</f>
        <v>-483661.05965011468</v>
      </c>
      <c r="Q6" s="18"/>
      <c r="R6" s="18"/>
      <c r="S6" s="18"/>
      <c r="T6" s="18"/>
      <c r="U6" s="18">
        <f t="shared" ca="1" si="3"/>
        <v>73526073.353411853</v>
      </c>
    </row>
    <row r="7" spans="1:22" x14ac:dyDescent="0.2">
      <c r="A7" s="9">
        <f>'Monthly Data'!A7</f>
        <v>42156</v>
      </c>
      <c r="B7">
        <f t="shared" si="1"/>
        <v>2015</v>
      </c>
      <c r="C7">
        <f t="shared" si="2"/>
        <v>6</v>
      </c>
      <c r="D7" s="30">
        <f>'Monthly Data'!N7</f>
        <v>75664536.490888268</v>
      </c>
      <c r="E7" s="33">
        <f ca="1">Weather!CT61</f>
        <v>0</v>
      </c>
      <c r="F7" s="33">
        <f ca="1">Weather!BS61</f>
        <v>154.05000000000001</v>
      </c>
      <c r="G7" s="33">
        <f>'Monthly Data'!AZ7</f>
        <v>0</v>
      </c>
      <c r="H7" s="33">
        <f>'Monthly Data'!AW7</f>
        <v>98.000000000000028</v>
      </c>
      <c r="I7" s="31">
        <f>'Monthly Data'!BS7</f>
        <v>6</v>
      </c>
      <c r="J7" s="33">
        <f>'Monthly Data'!BO7</f>
        <v>0</v>
      </c>
      <c r="K7" s="33">
        <f>'Monthly Data'!BT7</f>
        <v>30</v>
      </c>
      <c r="L7" s="13">
        <f>'Monthly Data'!AK7</f>
        <v>46.299999999999727</v>
      </c>
      <c r="N7" s="18"/>
      <c r="O7" s="18">
        <f ca="1">(E7-G7)*'GS&gt;50 Predicted Monthly'!$X$11</f>
        <v>0</v>
      </c>
      <c r="P7" s="18">
        <f ca="1">(F7-H7)*'GS&gt;50 Predicted Monthly'!$X$12</f>
        <v>2629408.5735585755</v>
      </c>
      <c r="Q7" s="18"/>
      <c r="R7" s="18"/>
      <c r="S7" s="18"/>
      <c r="T7" s="18"/>
      <c r="U7" s="18">
        <f t="shared" ca="1" si="3"/>
        <v>78293945.064446837</v>
      </c>
    </row>
    <row r="8" spans="1:22" x14ac:dyDescent="0.2">
      <c r="A8" s="9">
        <f>'Monthly Data'!A8</f>
        <v>42186</v>
      </c>
      <c r="B8">
        <f t="shared" si="1"/>
        <v>2015</v>
      </c>
      <c r="C8">
        <f t="shared" si="2"/>
        <v>7</v>
      </c>
      <c r="D8" s="30">
        <f>'Monthly Data'!N8</f>
        <v>82284876.650159329</v>
      </c>
      <c r="E8" s="33">
        <f ca="1">Weather!CT62</f>
        <v>0</v>
      </c>
      <c r="F8" s="33">
        <f ca="1">Weather!BS62</f>
        <v>267.66999999999996</v>
      </c>
      <c r="G8" s="33">
        <f>'Monthly Data'!AZ8</f>
        <v>0</v>
      </c>
      <c r="H8" s="33">
        <f>'Monthly Data'!AW8</f>
        <v>244.9</v>
      </c>
      <c r="I8" s="31">
        <f>'Monthly Data'!BS8</f>
        <v>7</v>
      </c>
      <c r="J8" s="33">
        <f>'Monthly Data'!BO8</f>
        <v>0</v>
      </c>
      <c r="K8" s="33">
        <f>'Monthly Data'!BT8</f>
        <v>31</v>
      </c>
      <c r="L8" s="13">
        <f>'Monthly Data'!AK8</f>
        <v>91.599999999999909</v>
      </c>
      <c r="N8" s="18"/>
      <c r="O8" s="18">
        <f ca="1">(E8-G8)*'GS&gt;50 Predicted Monthly'!$X$11</f>
        <v>0</v>
      </c>
      <c r="P8" s="18">
        <f ca="1">(F8-H8)*'GS&gt;50 Predicted Monthly'!$X$12</f>
        <v>1068182.5730584953</v>
      </c>
      <c r="Q8" s="18"/>
      <c r="R8" s="18"/>
      <c r="S8" s="18"/>
      <c r="T8" s="18"/>
      <c r="U8" s="18">
        <f t="shared" ca="1" si="3"/>
        <v>83353059.22321783</v>
      </c>
    </row>
    <row r="9" spans="1:22" x14ac:dyDescent="0.2">
      <c r="A9" s="9">
        <f>'Monthly Data'!A9</f>
        <v>42217</v>
      </c>
      <c r="B9">
        <f t="shared" si="1"/>
        <v>2015</v>
      </c>
      <c r="C9">
        <f t="shared" si="2"/>
        <v>8</v>
      </c>
      <c r="D9" s="30">
        <f>'Monthly Data'!N9</f>
        <v>81168529.809430391</v>
      </c>
      <c r="E9" s="33">
        <f ca="1">Weather!CT63</f>
        <v>0</v>
      </c>
      <c r="F9" s="33">
        <f ca="1">Weather!BS63</f>
        <v>246.315</v>
      </c>
      <c r="G9" s="33">
        <f>'Monthly Data'!AZ9</f>
        <v>0</v>
      </c>
      <c r="H9" s="33">
        <f>'Monthly Data'!AW9</f>
        <v>210.70000000000002</v>
      </c>
      <c r="I9" s="31">
        <f>'Monthly Data'!BS9</f>
        <v>8</v>
      </c>
      <c r="J9" s="33">
        <f>'Monthly Data'!BO9</f>
        <v>0</v>
      </c>
      <c r="K9" s="33">
        <f>'Monthly Data'!BT9</f>
        <v>31</v>
      </c>
      <c r="L9" s="13">
        <f>'Monthly Data'!AK9</f>
        <v>119.69999999999982</v>
      </c>
      <c r="N9" s="18"/>
      <c r="O9" s="18">
        <f ca="1">(E9-G9)*'GS&gt;50 Predicted Monthly'!$X$11</f>
        <v>0</v>
      </c>
      <c r="P9" s="18">
        <f ca="1">(F9-H9)*'GS&gt;50 Predicted Monthly'!$X$12</f>
        <v>1670765.144465453</v>
      </c>
      <c r="Q9" s="18"/>
      <c r="R9" s="18"/>
      <c r="S9" s="18"/>
      <c r="T9" s="18"/>
      <c r="U9" s="18">
        <f t="shared" ca="1" si="3"/>
        <v>82839294.953895837</v>
      </c>
    </row>
    <row r="10" spans="1:22" x14ac:dyDescent="0.2">
      <c r="A10" s="9">
        <f>'Monthly Data'!A10</f>
        <v>42248</v>
      </c>
      <c r="B10">
        <f t="shared" si="1"/>
        <v>2015</v>
      </c>
      <c r="C10">
        <f t="shared" si="2"/>
        <v>9</v>
      </c>
      <c r="D10" s="30">
        <f>'Monthly Data'!N10</f>
        <v>78691834.968701452</v>
      </c>
      <c r="E10" s="33">
        <f ca="1">Weather!CT64</f>
        <v>0</v>
      </c>
      <c r="F10" s="33">
        <f ca="1">Weather!BS64</f>
        <v>146.80000000000001</v>
      </c>
      <c r="G10" s="33">
        <f>'Monthly Data'!AZ10</f>
        <v>0</v>
      </c>
      <c r="H10" s="33">
        <f>'Monthly Data'!AW10</f>
        <v>181</v>
      </c>
      <c r="I10" s="31">
        <f>'Monthly Data'!BS10</f>
        <v>9</v>
      </c>
      <c r="J10" s="33">
        <f>'Monthly Data'!BO10</f>
        <v>0</v>
      </c>
      <c r="K10" s="33">
        <f>'Monthly Data'!BT10</f>
        <v>30</v>
      </c>
      <c r="L10" s="13">
        <f>'Monthly Data'!AK10</f>
        <v>132.19999999999982</v>
      </c>
      <c r="N10" s="18"/>
      <c r="O10" s="18">
        <f ca="1">(E10-G10)*'GS&gt;50 Predicted Monthly'!$X$11</f>
        <v>0</v>
      </c>
      <c r="P10" s="18">
        <f ca="1">(F10-H10)*'GS&gt;50 Predicted Monthly'!$X$12</f>
        <v>-1604384.8923408256</v>
      </c>
      <c r="Q10" s="18"/>
      <c r="R10" s="18"/>
      <c r="S10" s="18"/>
      <c r="T10" s="18"/>
      <c r="U10" s="18">
        <f t="shared" ca="1" si="3"/>
        <v>77087450.076360628</v>
      </c>
    </row>
    <row r="11" spans="1:22" x14ac:dyDescent="0.2">
      <c r="A11" s="9">
        <f>'Monthly Data'!A11</f>
        <v>42278</v>
      </c>
      <c r="B11">
        <f t="shared" si="1"/>
        <v>2015</v>
      </c>
      <c r="C11">
        <f t="shared" si="2"/>
        <v>10</v>
      </c>
      <c r="D11" s="30">
        <f>'Monthly Data'!N11</f>
        <v>73009956.127972499</v>
      </c>
      <c r="E11" s="33">
        <f ca="1">Weather!CT65</f>
        <v>23.589999999999996</v>
      </c>
      <c r="F11" s="33">
        <f ca="1">Weather!BS65</f>
        <v>36.859999999999992</v>
      </c>
      <c r="G11" s="33">
        <f>'Monthly Data'!AZ11</f>
        <v>26.9</v>
      </c>
      <c r="H11" s="33">
        <f>'Monthly Data'!AW11</f>
        <v>14.399999999999997</v>
      </c>
      <c r="I11" s="31">
        <f>'Monthly Data'!BS11</f>
        <v>10</v>
      </c>
      <c r="J11" s="33">
        <f>'Monthly Data'!BO11</f>
        <v>0</v>
      </c>
      <c r="K11" s="33">
        <f>'Monthly Data'!BT11</f>
        <v>31</v>
      </c>
      <c r="L11" s="13">
        <f>'Monthly Data'!AK11</f>
        <v>123.19999999999982</v>
      </c>
      <c r="N11" s="18"/>
      <c r="O11" s="18">
        <f ca="1">(E11-G11)*'GS&gt;50 Predicted Monthly'!$X$11</f>
        <v>-60360.297639377277</v>
      </c>
      <c r="P11" s="18">
        <f ca="1">(F11-H11)*'GS&gt;50 Predicted Monthly'!$X$12</f>
        <v>1053639.9029817234</v>
      </c>
      <c r="Q11" s="18"/>
      <c r="R11" s="18"/>
      <c r="S11" s="18"/>
      <c r="T11" s="18"/>
      <c r="U11" s="18">
        <f t="shared" ca="1" si="3"/>
        <v>74003235.733314857</v>
      </c>
    </row>
    <row r="12" spans="1:22" x14ac:dyDescent="0.2">
      <c r="A12" s="9">
        <f>'Monthly Data'!A12</f>
        <v>42309</v>
      </c>
      <c r="B12">
        <f t="shared" si="1"/>
        <v>2015</v>
      </c>
      <c r="C12">
        <f t="shared" si="2"/>
        <v>11</v>
      </c>
      <c r="D12" s="30">
        <f>'Monthly Data'!N12</f>
        <v>71846695.28724356</v>
      </c>
      <c r="E12" s="33">
        <f ca="1">Weather!CT66</f>
        <v>134.25000000000003</v>
      </c>
      <c r="F12" s="33">
        <f ca="1">Weather!BS66</f>
        <v>3.410000000000001</v>
      </c>
      <c r="G12" s="33">
        <f>'Monthly Data'!AZ12</f>
        <v>90.2</v>
      </c>
      <c r="H12" s="33">
        <f>'Monthly Data'!AW12</f>
        <v>4.0000000000000018</v>
      </c>
      <c r="I12" s="31">
        <f>'Monthly Data'!BS12</f>
        <v>11</v>
      </c>
      <c r="J12" s="33">
        <f>'Monthly Data'!BO12</f>
        <v>0</v>
      </c>
      <c r="K12" s="33">
        <f>'Monthly Data'!BT12</f>
        <v>30</v>
      </c>
      <c r="L12" s="13">
        <f>'Monthly Data'!AK12</f>
        <v>108</v>
      </c>
      <c r="N12" s="18"/>
      <c r="O12" s="18">
        <f ca="1">(E12-G12)*'GS&gt;50 Predicted Monthly'!$X$11</f>
        <v>803284.32356935611</v>
      </c>
      <c r="P12" s="18">
        <f ca="1">(F12-H12)*'GS&gt;50 Predicted Monthly'!$X$12</f>
        <v>-27677.984984827151</v>
      </c>
      <c r="Q12" s="18"/>
      <c r="R12" s="18"/>
      <c r="S12" s="18"/>
      <c r="T12" s="18"/>
      <c r="U12" s="18">
        <f t="shared" ca="1" si="3"/>
        <v>72622301.625828087</v>
      </c>
    </row>
    <row r="13" spans="1:22" x14ac:dyDescent="0.2">
      <c r="A13" s="9">
        <f>'Monthly Data'!A13</f>
        <v>42339</v>
      </c>
      <c r="B13">
        <f t="shared" si="1"/>
        <v>2015</v>
      </c>
      <c r="C13">
        <f t="shared" si="2"/>
        <v>12</v>
      </c>
      <c r="D13" s="30">
        <f>'Monthly Data'!N13</f>
        <v>72643978.446514621</v>
      </c>
      <c r="E13" s="33">
        <f ca="1">Weather!CT67</f>
        <v>262.99</v>
      </c>
      <c r="F13" s="33">
        <f ca="1">Weather!BS67</f>
        <v>0</v>
      </c>
      <c r="G13" s="33">
        <f>'Monthly Data'!AZ13</f>
        <v>148</v>
      </c>
      <c r="H13" s="33">
        <f>'Monthly Data'!AW13</f>
        <v>0</v>
      </c>
      <c r="I13" s="31">
        <f>'Monthly Data'!BS13</f>
        <v>12</v>
      </c>
      <c r="J13" s="33">
        <f>'Monthly Data'!BO13</f>
        <v>1</v>
      </c>
      <c r="K13" s="33">
        <f>'Monthly Data'!BT13</f>
        <v>31</v>
      </c>
      <c r="L13" s="13">
        <f>'Monthly Data'!AK13</f>
        <v>108.29999999999973</v>
      </c>
      <c r="N13" s="18"/>
      <c r="O13" s="18">
        <f ca="1">(E13-G13)*'GS&gt;50 Predicted Monthly'!$X$11</f>
        <v>2096927.6814356463</v>
      </c>
      <c r="P13" s="18">
        <f ca="1">(F13-H13)*'GS&gt;50 Predicted Monthly'!$X$12</f>
        <v>0</v>
      </c>
      <c r="Q13" s="18"/>
      <c r="R13" s="18"/>
      <c r="S13" s="18"/>
      <c r="T13" s="18"/>
      <c r="U13" s="18">
        <f t="shared" ca="1" si="3"/>
        <v>74740906.127950266</v>
      </c>
    </row>
    <row r="14" spans="1:22" x14ac:dyDescent="0.2">
      <c r="A14" s="9">
        <f>'Monthly Data'!A14</f>
        <v>42370</v>
      </c>
      <c r="B14">
        <f t="shared" si="1"/>
        <v>2016</v>
      </c>
      <c r="C14">
        <f t="shared" si="2"/>
        <v>1</v>
      </c>
      <c r="D14" s="30">
        <f>'Monthly Data'!N14</f>
        <v>78763477.389551774</v>
      </c>
      <c r="E14" s="33">
        <f ca="1">E2</f>
        <v>384.56000000000006</v>
      </c>
      <c r="F14" s="33">
        <f ca="1">F2</f>
        <v>0</v>
      </c>
      <c r="G14" s="33">
        <f>'Monthly Data'!AZ14</f>
        <v>377.00000000000006</v>
      </c>
      <c r="H14" s="33">
        <f>'Monthly Data'!AW14</f>
        <v>0</v>
      </c>
      <c r="I14" s="31">
        <f>'Monthly Data'!BS14</f>
        <v>13</v>
      </c>
      <c r="J14" s="33">
        <f>'Monthly Data'!BO14</f>
        <v>0</v>
      </c>
      <c r="K14" s="33">
        <f>'Monthly Data'!BT14</f>
        <v>31</v>
      </c>
      <c r="L14" s="13">
        <f>'Monthly Data'!AK14</f>
        <v>113.80000000000018</v>
      </c>
      <c r="N14" s="18"/>
      <c r="O14" s="18">
        <f ca="1">(E14-G14)*'GS&gt;50 Predicted Monthly'!$X$11</f>
        <v>137862.19037875894</v>
      </c>
      <c r="P14" s="18">
        <f ca="1">(F14-H14)*'GS&gt;50 Predicted Monthly'!$X$12</f>
        <v>0</v>
      </c>
      <c r="Q14" s="18"/>
      <c r="R14" s="18"/>
      <c r="S14" s="18"/>
      <c r="T14" s="18"/>
      <c r="U14" s="18">
        <f t="shared" ca="1" si="3"/>
        <v>78901339.579930529</v>
      </c>
    </row>
    <row r="15" spans="1:22" x14ac:dyDescent="0.2">
      <c r="A15" s="9">
        <f>'Monthly Data'!A15</f>
        <v>42401</v>
      </c>
      <c r="B15">
        <f t="shared" si="1"/>
        <v>2016</v>
      </c>
      <c r="C15">
        <f t="shared" si="2"/>
        <v>2</v>
      </c>
      <c r="D15" s="30">
        <f>'Monthly Data'!N15</f>
        <v>74636760.565422177</v>
      </c>
      <c r="E15" s="33">
        <f t="shared" ref="E15:F15" ca="1" si="4">E3</f>
        <v>338.02</v>
      </c>
      <c r="F15" s="33">
        <f t="shared" ca="1" si="4"/>
        <v>0</v>
      </c>
      <c r="G15" s="33">
        <f>'Monthly Data'!AZ15</f>
        <v>312.5</v>
      </c>
      <c r="H15" s="33">
        <f>'Monthly Data'!AW15</f>
        <v>0</v>
      </c>
      <c r="I15" s="31">
        <f>'Monthly Data'!BS15</f>
        <v>14</v>
      </c>
      <c r="J15" s="33">
        <f>'Monthly Data'!BO15</f>
        <v>0</v>
      </c>
      <c r="K15" s="33">
        <f>'Monthly Data'!BT15</f>
        <v>29</v>
      </c>
      <c r="L15" s="13">
        <f>'Monthly Data'!AK15</f>
        <v>103.30000000000018</v>
      </c>
      <c r="N15" s="18"/>
      <c r="O15" s="18">
        <f ca="1">(E15-G15)*'GS&gt;50 Predicted Monthly'!$X$11</f>
        <v>465376.07122565137</v>
      </c>
      <c r="P15" s="18">
        <f ca="1">(F15-H15)*'GS&gt;50 Predicted Monthly'!$X$12</f>
        <v>0</v>
      </c>
      <c r="Q15" s="18"/>
      <c r="R15" s="18"/>
      <c r="S15" s="18"/>
      <c r="T15" s="18"/>
      <c r="U15" s="18">
        <f t="shared" ca="1" si="3"/>
        <v>75102136.636647835</v>
      </c>
    </row>
    <row r="16" spans="1:22" x14ac:dyDescent="0.2">
      <c r="A16" s="9">
        <f>'Monthly Data'!A16</f>
        <v>42430</v>
      </c>
      <c r="B16">
        <f t="shared" si="1"/>
        <v>2016</v>
      </c>
      <c r="C16">
        <f t="shared" si="2"/>
        <v>3</v>
      </c>
      <c r="D16" s="30">
        <f>'Monthly Data'!N16</f>
        <v>77047328.741292581</v>
      </c>
      <c r="E16" s="33">
        <f t="shared" ref="E16:F16" ca="1" si="5">E4</f>
        <v>252.67</v>
      </c>
      <c r="F16" s="33">
        <f t="shared" ca="1" si="5"/>
        <v>0</v>
      </c>
      <c r="G16" s="33">
        <f>'Monthly Data'!AZ16</f>
        <v>208.49999999999997</v>
      </c>
      <c r="H16" s="33">
        <f>'Monthly Data'!AW16</f>
        <v>0</v>
      </c>
      <c r="I16" s="31">
        <f>'Monthly Data'!BS16</f>
        <v>15</v>
      </c>
      <c r="J16" s="33">
        <f>'Monthly Data'!BO16</f>
        <v>0</v>
      </c>
      <c r="K16" s="33">
        <f>'Monthly Data'!BT16</f>
        <v>31</v>
      </c>
      <c r="L16" s="13">
        <f>'Monthly Data'!AK16</f>
        <v>74.100000000000364</v>
      </c>
      <c r="N16" s="18"/>
      <c r="O16" s="18">
        <f ca="1">(E16-G16)*'GS&gt;50 Predicted Monthly'!$X$11</f>
        <v>805472.61230552674</v>
      </c>
      <c r="P16" s="18">
        <f ca="1">(F16-H16)*'GS&gt;50 Predicted Monthly'!$X$12</f>
        <v>0</v>
      </c>
      <c r="Q16" s="18"/>
      <c r="R16" s="18"/>
      <c r="S16" s="18"/>
      <c r="T16" s="18"/>
      <c r="U16" s="18">
        <f t="shared" ca="1" si="3"/>
        <v>77852801.353598103</v>
      </c>
    </row>
    <row r="17" spans="1:23" x14ac:dyDescent="0.2">
      <c r="A17" s="9">
        <f>'Monthly Data'!A17</f>
        <v>42461</v>
      </c>
      <c r="B17">
        <f t="shared" si="1"/>
        <v>2016</v>
      </c>
      <c r="C17">
        <f t="shared" si="2"/>
        <v>4</v>
      </c>
      <c r="D17" s="30">
        <f>'Monthly Data'!N17</f>
        <v>73374646.91716297</v>
      </c>
      <c r="E17" s="33">
        <f t="shared" ref="E17:F17" ca="1" si="6">E5</f>
        <v>112.07000000000001</v>
      </c>
      <c r="F17" s="33">
        <f t="shared" ca="1" si="6"/>
        <v>2.6300000000000003</v>
      </c>
      <c r="G17" s="33">
        <f>'Monthly Data'!AZ17</f>
        <v>162.69999999999999</v>
      </c>
      <c r="H17" s="33">
        <f>'Monthly Data'!AW17</f>
        <v>2.8000000000000007</v>
      </c>
      <c r="I17" s="31">
        <f>'Monthly Data'!BS17</f>
        <v>16</v>
      </c>
      <c r="J17" s="33">
        <f>'Monthly Data'!BO17</f>
        <v>0</v>
      </c>
      <c r="K17" s="33">
        <f>'Monthly Data'!BT17</f>
        <v>30</v>
      </c>
      <c r="L17" s="13">
        <f>'Monthly Data'!AK17</f>
        <v>60.899999999999636</v>
      </c>
      <c r="N17" s="18"/>
      <c r="O17" s="18">
        <f ca="1">(E17-G17)*'GS&gt;50 Predicted Monthly'!$X$11</f>
        <v>-923275.48926938616</v>
      </c>
      <c r="P17" s="18">
        <f ca="1">(F17-H17)*'GS&gt;50 Predicted Monthly'!$X$12</f>
        <v>-7975.0126227468145</v>
      </c>
      <c r="Q17" s="18"/>
      <c r="R17" s="18"/>
      <c r="S17" s="18"/>
      <c r="T17" s="18"/>
      <c r="U17" s="18">
        <f t="shared" ca="1" si="3"/>
        <v>72443396.415270835</v>
      </c>
    </row>
    <row r="18" spans="1:23" x14ac:dyDescent="0.2">
      <c r="A18" s="9">
        <f>'Monthly Data'!A18</f>
        <v>42491</v>
      </c>
      <c r="B18">
        <f t="shared" si="1"/>
        <v>2016</v>
      </c>
      <c r="C18">
        <f t="shared" si="2"/>
        <v>5</v>
      </c>
      <c r="D18" s="30">
        <f>'Monthly Data'!N18</f>
        <v>75400761.093033373</v>
      </c>
      <c r="E18" s="33">
        <f t="shared" ref="E18:F18" ca="1" si="7">E6</f>
        <v>19.18</v>
      </c>
      <c r="F18" s="33">
        <f t="shared" ca="1" si="7"/>
        <v>50.489999999999995</v>
      </c>
      <c r="G18" s="33">
        <f>'Monthly Data'!AZ18</f>
        <v>17.299999999999997</v>
      </c>
      <c r="H18" s="33">
        <f>'Monthly Data'!AW18</f>
        <v>70.599999999999994</v>
      </c>
      <c r="I18" s="31">
        <f>'Monthly Data'!BS18</f>
        <v>17</v>
      </c>
      <c r="J18" s="33">
        <f>'Monthly Data'!BO18</f>
        <v>0</v>
      </c>
      <c r="K18" s="33">
        <f>'Monthly Data'!BT18</f>
        <v>31</v>
      </c>
      <c r="L18" s="13">
        <f>'Monthly Data'!AK18</f>
        <v>53.900000000000091</v>
      </c>
      <c r="N18" s="18"/>
      <c r="O18" s="18">
        <f ca="1">(E18-G18)*'GS&gt;50 Predicted Monthly'!$X$11</f>
        <v>34283.190200008867</v>
      </c>
      <c r="P18" s="18">
        <f ca="1">(F18-H18)*'GS&gt;50 Predicted Monthly'!$X$12</f>
        <v>-943397.08143198863</v>
      </c>
      <c r="Q18" s="18"/>
      <c r="R18" s="18"/>
      <c r="S18" s="18"/>
      <c r="T18" s="18"/>
      <c r="U18" s="18">
        <f t="shared" ca="1" si="3"/>
        <v>74491647.201801404</v>
      </c>
    </row>
    <row r="19" spans="1:23" x14ac:dyDescent="0.2">
      <c r="A19" s="9">
        <f>'Monthly Data'!A19</f>
        <v>42522</v>
      </c>
      <c r="B19">
        <f t="shared" si="1"/>
        <v>2016</v>
      </c>
      <c r="C19">
        <f t="shared" si="2"/>
        <v>6</v>
      </c>
      <c r="D19" s="30">
        <f>'Monthly Data'!N19</f>
        <v>78871885.268903777</v>
      </c>
      <c r="E19" s="33">
        <f t="shared" ref="E19:F19" ca="1" si="8">E7</f>
        <v>0</v>
      </c>
      <c r="F19" s="33">
        <f t="shared" ca="1" si="8"/>
        <v>154.05000000000001</v>
      </c>
      <c r="G19" s="33">
        <f>'Monthly Data'!AZ19</f>
        <v>0</v>
      </c>
      <c r="H19" s="33">
        <f>'Monthly Data'!AW19</f>
        <v>163.6</v>
      </c>
      <c r="I19" s="31">
        <f>'Monthly Data'!BS19</f>
        <v>18</v>
      </c>
      <c r="J19" s="33">
        <f>'Monthly Data'!BO19</f>
        <v>0</v>
      </c>
      <c r="K19" s="33">
        <f>'Monthly Data'!BT19</f>
        <v>30</v>
      </c>
      <c r="L19" s="13">
        <f>'Monthly Data'!AK19</f>
        <v>57.700000000000273</v>
      </c>
      <c r="N19" s="18"/>
      <c r="O19" s="18">
        <f ca="1">(E19-G19)*'GS&gt;50 Predicted Monthly'!$X$11</f>
        <v>0</v>
      </c>
      <c r="P19" s="18">
        <f ca="1">(F19-H19)*'GS&gt;50 Predicted Monthly'!$X$12</f>
        <v>-448008.06204253982</v>
      </c>
      <c r="Q19" s="18"/>
      <c r="R19" s="18"/>
      <c r="S19" s="18"/>
      <c r="T19" s="18"/>
      <c r="U19" s="18">
        <f t="shared" ca="1" si="3"/>
        <v>78423877.206861243</v>
      </c>
      <c r="W19" s="84"/>
    </row>
    <row r="20" spans="1:23" x14ac:dyDescent="0.2">
      <c r="A20" s="9">
        <f>'Monthly Data'!A20</f>
        <v>42552</v>
      </c>
      <c r="B20">
        <f t="shared" si="1"/>
        <v>2016</v>
      </c>
      <c r="C20">
        <f t="shared" si="2"/>
        <v>7</v>
      </c>
      <c r="D20" s="30">
        <f>'Monthly Data'!N20</f>
        <v>85038422.444774166</v>
      </c>
      <c r="E20" s="33">
        <f t="shared" ref="E20:F20" ca="1" si="9">E8</f>
        <v>0</v>
      </c>
      <c r="F20" s="33">
        <f t="shared" ca="1" si="9"/>
        <v>267.66999999999996</v>
      </c>
      <c r="G20" s="33">
        <f>'Monthly Data'!AZ20</f>
        <v>0</v>
      </c>
      <c r="H20" s="33">
        <f>'Monthly Data'!AW20</f>
        <v>276.5</v>
      </c>
      <c r="I20" s="31">
        <f>'Monthly Data'!BS20</f>
        <v>19</v>
      </c>
      <c r="J20" s="33">
        <f>'Monthly Data'!BO20</f>
        <v>0</v>
      </c>
      <c r="K20" s="33">
        <f>'Monthly Data'!BT20</f>
        <v>31</v>
      </c>
      <c r="L20" s="13">
        <f>'Monthly Data'!AK20</f>
        <v>31.900000000000091</v>
      </c>
      <c r="N20" s="18"/>
      <c r="O20" s="18">
        <f ca="1">(E20-G20)*'GS&gt;50 Predicted Monthly'!$X$11</f>
        <v>0</v>
      </c>
      <c r="P20" s="18">
        <f ca="1">(F20-H20)*'GS&gt;50 Predicted Monthly'!$X$12</f>
        <v>-414231.537993262</v>
      </c>
      <c r="Q20" s="18"/>
      <c r="R20" s="18"/>
      <c r="S20" s="18"/>
      <c r="T20" s="18"/>
      <c r="U20" s="18">
        <f t="shared" ca="1" si="3"/>
        <v>84624190.906780899</v>
      </c>
    </row>
    <row r="21" spans="1:23" x14ac:dyDescent="0.2">
      <c r="A21" s="9">
        <f>'Monthly Data'!A21</f>
        <v>42583</v>
      </c>
      <c r="B21">
        <f t="shared" si="1"/>
        <v>2016</v>
      </c>
      <c r="C21">
        <f t="shared" si="2"/>
        <v>8</v>
      </c>
      <c r="D21" s="30">
        <f>'Monthly Data'!N21</f>
        <v>88248238.620644569</v>
      </c>
      <c r="E21" s="33">
        <f t="shared" ref="E21:F21" ca="1" si="10">E9</f>
        <v>0</v>
      </c>
      <c r="F21" s="33">
        <f t="shared" ca="1" si="10"/>
        <v>246.315</v>
      </c>
      <c r="G21" s="33">
        <f>'Monthly Data'!AZ21</f>
        <v>0</v>
      </c>
      <c r="H21" s="33">
        <f>'Monthly Data'!AW21</f>
        <v>301.80000000000007</v>
      </c>
      <c r="I21" s="31">
        <f>'Monthly Data'!BS21</f>
        <v>20</v>
      </c>
      <c r="J21" s="33">
        <f>'Monthly Data'!BO21</f>
        <v>0</v>
      </c>
      <c r="K21" s="33">
        <f>'Monthly Data'!BT21</f>
        <v>31</v>
      </c>
      <c r="L21" s="13">
        <f>'Monthly Data'!AK21</f>
        <v>8.5</v>
      </c>
      <c r="N21" s="18"/>
      <c r="O21" s="18">
        <f ca="1">(E21-G21)*'GS&gt;50 Predicted Monthly'!$X$11</f>
        <v>0</v>
      </c>
      <c r="P21" s="18">
        <f ca="1">(F21-H21)*'GS&gt;50 Predicted Monthly'!$X$12</f>
        <v>-2602903.3845476857</v>
      </c>
      <c r="Q21" s="18"/>
      <c r="R21" s="18"/>
      <c r="S21" s="18"/>
      <c r="T21" s="18"/>
      <c r="U21" s="18">
        <f t="shared" ca="1" si="3"/>
        <v>85645335.236096889</v>
      </c>
    </row>
    <row r="22" spans="1:23" x14ac:dyDescent="0.2">
      <c r="A22" s="9">
        <f>'Monthly Data'!A22</f>
        <v>42614</v>
      </c>
      <c r="B22">
        <f t="shared" si="1"/>
        <v>2016</v>
      </c>
      <c r="C22">
        <f t="shared" si="2"/>
        <v>9</v>
      </c>
      <c r="D22" s="30">
        <f>'Monthly Data'!N22</f>
        <v>78975239.796514973</v>
      </c>
      <c r="E22" s="33">
        <f t="shared" ref="E22:F22" ca="1" si="11">E10</f>
        <v>0</v>
      </c>
      <c r="F22" s="33">
        <f t="shared" ca="1" si="11"/>
        <v>146.80000000000001</v>
      </c>
      <c r="G22" s="33">
        <f>'Monthly Data'!AZ22</f>
        <v>0</v>
      </c>
      <c r="H22" s="33">
        <f>'Monthly Data'!AW22</f>
        <v>181</v>
      </c>
      <c r="I22" s="31">
        <f>'Monthly Data'!BS22</f>
        <v>21</v>
      </c>
      <c r="J22" s="33">
        <f>'Monthly Data'!BO22</f>
        <v>0</v>
      </c>
      <c r="K22" s="33">
        <f>'Monthly Data'!BT22</f>
        <v>30</v>
      </c>
      <c r="L22" s="13">
        <f>'Monthly Data'!AK22</f>
        <v>-12.099999999999909</v>
      </c>
      <c r="N22" s="18"/>
      <c r="O22" s="18">
        <f ca="1">(E22-G22)*'GS&gt;50 Predicted Monthly'!$X$11</f>
        <v>0</v>
      </c>
      <c r="P22" s="18">
        <f ca="1">(F22-H22)*'GS&gt;50 Predicted Monthly'!$X$12</f>
        <v>-1604384.8923408256</v>
      </c>
      <c r="Q22" s="18"/>
      <c r="R22" s="18"/>
      <c r="S22" s="18"/>
      <c r="T22" s="18"/>
      <c r="U22" s="18">
        <f t="shared" ref="U22:U85" ca="1" si="12">D22+O22+P22</f>
        <v>77370854.904174149</v>
      </c>
    </row>
    <row r="23" spans="1:23" x14ac:dyDescent="0.2">
      <c r="A23" s="9">
        <f>'Monthly Data'!A23</f>
        <v>42644</v>
      </c>
      <c r="B23">
        <f t="shared" si="1"/>
        <v>2016</v>
      </c>
      <c r="C23">
        <f t="shared" si="2"/>
        <v>10</v>
      </c>
      <c r="D23" s="30">
        <f>'Monthly Data'!N23</f>
        <v>74338761.972385362</v>
      </c>
      <c r="E23" s="33">
        <f t="shared" ref="E23:F23" ca="1" si="13">E11</f>
        <v>23.589999999999996</v>
      </c>
      <c r="F23" s="33">
        <f t="shared" ca="1" si="13"/>
        <v>36.859999999999992</v>
      </c>
      <c r="G23" s="33">
        <f>'Monthly Data'!AZ23</f>
        <v>26.6</v>
      </c>
      <c r="H23" s="33">
        <f>'Monthly Data'!AW23</f>
        <v>52.699999999999989</v>
      </c>
      <c r="I23" s="31">
        <f>'Monthly Data'!BS23</f>
        <v>22</v>
      </c>
      <c r="J23" s="33">
        <f>'Monthly Data'!BO23</f>
        <v>0</v>
      </c>
      <c r="K23" s="33">
        <f>'Monthly Data'!BT23</f>
        <v>31</v>
      </c>
      <c r="L23" s="13">
        <f>'Monthly Data'!AK23</f>
        <v>-16.199999999999818</v>
      </c>
      <c r="N23" s="18"/>
      <c r="O23" s="18">
        <f ca="1">(E23-G23)*'GS&gt;50 Predicted Monthly'!$X$11</f>
        <v>-54889.575798950391</v>
      </c>
      <c r="P23" s="18">
        <f ca="1">(F23-H23)*'GS&gt;50 Predicted Monthly'!$X$12</f>
        <v>-743083.52908417198</v>
      </c>
      <c r="Q23" s="18"/>
      <c r="R23" s="18"/>
      <c r="S23" s="18"/>
      <c r="T23" s="18"/>
      <c r="U23" s="18">
        <f t="shared" ca="1" si="12"/>
        <v>73540788.867502242</v>
      </c>
    </row>
    <row r="24" spans="1:23" x14ac:dyDescent="0.2">
      <c r="A24" s="9">
        <f>'Monthly Data'!A24</f>
        <v>42675</v>
      </c>
      <c r="B24">
        <f t="shared" si="1"/>
        <v>2016</v>
      </c>
      <c r="C24">
        <f t="shared" si="2"/>
        <v>11</v>
      </c>
      <c r="D24" s="30">
        <f>'Monthly Data'!N24</f>
        <v>72857624.148255765</v>
      </c>
      <c r="E24" s="33">
        <f t="shared" ref="E24:F24" ca="1" si="14">E12</f>
        <v>134.25000000000003</v>
      </c>
      <c r="F24" s="33">
        <f t="shared" ca="1" si="14"/>
        <v>3.410000000000001</v>
      </c>
      <c r="G24" s="33">
        <f>'Monthly Data'!AZ24</f>
        <v>76.000000000000014</v>
      </c>
      <c r="H24" s="33">
        <f>'Monthly Data'!AW24</f>
        <v>1.9000000000000004</v>
      </c>
      <c r="I24" s="31">
        <f>'Monthly Data'!BS24</f>
        <v>23</v>
      </c>
      <c r="J24" s="33">
        <f>'Monthly Data'!BO24</f>
        <v>0</v>
      </c>
      <c r="K24" s="33">
        <f>'Monthly Data'!BT24</f>
        <v>30</v>
      </c>
      <c r="L24" s="13">
        <f>'Monthly Data'!AK24</f>
        <v>-9</v>
      </c>
      <c r="N24" s="18"/>
      <c r="O24" s="18">
        <f ca="1">(E24-G24)*'GS&gt;50 Predicted Monthly'!$X$11</f>
        <v>1062231.8240162311</v>
      </c>
      <c r="P24" s="18">
        <f ca="1">(F24-H24)*'GS&gt;50 Predicted Monthly'!$X$12</f>
        <v>70836.876825574524</v>
      </c>
      <c r="Q24" s="18"/>
      <c r="R24" s="18"/>
      <c r="S24" s="18"/>
      <c r="T24" s="18"/>
      <c r="U24" s="18">
        <f t="shared" ca="1" si="12"/>
        <v>73990692.849097565</v>
      </c>
    </row>
    <row r="25" spans="1:23" x14ac:dyDescent="0.2">
      <c r="A25" s="9">
        <f>'Monthly Data'!A25</f>
        <v>42705</v>
      </c>
      <c r="B25">
        <f t="shared" si="1"/>
        <v>2016</v>
      </c>
      <c r="C25">
        <f t="shared" si="2"/>
        <v>12</v>
      </c>
      <c r="D25" s="30">
        <f>'Monthly Data'!N25</f>
        <v>75276873.324126154</v>
      </c>
      <c r="E25" s="33">
        <f t="shared" ref="E25:F25" ca="1" si="15">E13</f>
        <v>262.99</v>
      </c>
      <c r="F25" s="33">
        <f t="shared" ca="1" si="15"/>
        <v>0</v>
      </c>
      <c r="G25" s="33">
        <f>'Monthly Data'!AZ25</f>
        <v>311</v>
      </c>
      <c r="H25" s="33">
        <f>'Monthly Data'!AW25</f>
        <v>0</v>
      </c>
      <c r="I25" s="31">
        <f>'Monthly Data'!BS25</f>
        <v>24</v>
      </c>
      <c r="J25" s="33">
        <f>'Monthly Data'!BO25</f>
        <v>1</v>
      </c>
      <c r="K25" s="33">
        <f>'Monthly Data'!BT25</f>
        <v>31</v>
      </c>
      <c r="L25" s="13">
        <f>'Monthly Data'!AK25</f>
        <v>-12.900000000000091</v>
      </c>
      <c r="N25" s="18"/>
      <c r="O25" s="18">
        <f ca="1">(E25-G25)*'GS&gt;50 Predicted Monthly'!$X$11</f>
        <v>-875497.85186299111</v>
      </c>
      <c r="P25" s="18">
        <f ca="1">(F25-H25)*'GS&gt;50 Predicted Monthly'!$X$12</f>
        <v>0</v>
      </c>
      <c r="Q25" s="18"/>
      <c r="R25" s="18"/>
      <c r="S25" s="18"/>
      <c r="T25" s="18"/>
      <c r="U25" s="18">
        <f t="shared" ca="1" si="12"/>
        <v>74401375.472263157</v>
      </c>
    </row>
    <row r="26" spans="1:23" x14ac:dyDescent="0.2">
      <c r="A26" s="9">
        <f>'Monthly Data'!A26</f>
        <v>42736</v>
      </c>
      <c r="B26">
        <f t="shared" si="1"/>
        <v>2017</v>
      </c>
      <c r="C26">
        <f t="shared" si="2"/>
        <v>1</v>
      </c>
      <c r="D26" s="30">
        <f>'Monthly Data'!N26</f>
        <v>77812185.537604213</v>
      </c>
      <c r="E26" s="33">
        <f t="shared" ref="E26:F33" ca="1" si="16">E14</f>
        <v>384.56000000000006</v>
      </c>
      <c r="F26" s="33">
        <f t="shared" ca="1" si="16"/>
        <v>0</v>
      </c>
      <c r="G26" s="33">
        <f>'Monthly Data'!AZ26</f>
        <v>320.59999999999997</v>
      </c>
      <c r="H26" s="33">
        <f>'Monthly Data'!AW26</f>
        <v>0</v>
      </c>
      <c r="I26" s="31">
        <f>'Monthly Data'!BS26</f>
        <v>25</v>
      </c>
      <c r="J26" s="33">
        <f>'Monthly Data'!BO26</f>
        <v>0</v>
      </c>
      <c r="K26" s="33">
        <f>'Monthly Data'!BT26</f>
        <v>31</v>
      </c>
      <c r="L26" s="13">
        <f>'Monthly Data'!AK26</f>
        <v>-4.7000000000002728</v>
      </c>
      <c r="N26" s="18"/>
      <c r="O26" s="18">
        <f ca="1">(E26-G26)*'GS&gt;50 Predicted Monthly'!$X$11</f>
        <v>1166357.8963790252</v>
      </c>
      <c r="P26" s="18">
        <f ca="1">(F26-H26)*'GS&gt;50 Predicted Monthly'!$X$12</f>
        <v>0</v>
      </c>
      <c r="Q26" s="18"/>
      <c r="R26" s="18"/>
      <c r="S26" s="18"/>
      <c r="T26" s="18"/>
      <c r="U26" s="18">
        <f t="shared" ca="1" si="12"/>
        <v>78978543.433983237</v>
      </c>
    </row>
    <row r="27" spans="1:23" x14ac:dyDescent="0.2">
      <c r="A27" s="9">
        <f>'Monthly Data'!A27</f>
        <v>42767</v>
      </c>
      <c r="B27">
        <f t="shared" si="1"/>
        <v>2017</v>
      </c>
      <c r="C27">
        <f t="shared" si="2"/>
        <v>2</v>
      </c>
      <c r="D27" s="30">
        <f>'Monthly Data'!N27</f>
        <v>69707884.42837292</v>
      </c>
      <c r="E27" s="33">
        <f t="shared" ca="1" si="16"/>
        <v>338.02</v>
      </c>
      <c r="F27" s="33">
        <f t="shared" ca="1" si="16"/>
        <v>0</v>
      </c>
      <c r="G27" s="33">
        <f>'Monthly Data'!AZ27</f>
        <v>247.7</v>
      </c>
      <c r="H27" s="33">
        <f>'Monthly Data'!AW27</f>
        <v>0</v>
      </c>
      <c r="I27" s="31">
        <f>'Monthly Data'!BS27</f>
        <v>26</v>
      </c>
      <c r="J27" s="33">
        <f>'Monthly Data'!BO27</f>
        <v>0</v>
      </c>
      <c r="K27" s="33">
        <f>'Monthly Data'!BT27</f>
        <v>28</v>
      </c>
      <c r="L27" s="13">
        <f>'Monthly Data'!AK27</f>
        <v>9.8000000000001819</v>
      </c>
      <c r="N27" s="18"/>
      <c r="O27" s="18">
        <f ca="1">(E27-G27)*'GS&gt;50 Predicted Monthly'!$X$11</f>
        <v>1647051.9887578706</v>
      </c>
      <c r="P27" s="18">
        <f ca="1">(F27-H27)*'GS&gt;50 Predicted Monthly'!$X$12</f>
        <v>0</v>
      </c>
      <c r="Q27" s="18"/>
      <c r="R27" s="18"/>
      <c r="S27" s="18"/>
      <c r="T27" s="18"/>
      <c r="U27" s="18">
        <f t="shared" ca="1" si="12"/>
        <v>71354936.417130783</v>
      </c>
    </row>
    <row r="28" spans="1:23" x14ac:dyDescent="0.2">
      <c r="A28" s="9">
        <f>'Monthly Data'!A28</f>
        <v>42795</v>
      </c>
      <c r="B28">
        <f t="shared" si="1"/>
        <v>2017</v>
      </c>
      <c r="C28">
        <f t="shared" si="2"/>
        <v>3</v>
      </c>
      <c r="D28" s="30">
        <f>'Monthly Data'!N28</f>
        <v>76997412.319141626</v>
      </c>
      <c r="E28" s="33">
        <f t="shared" ca="1" si="16"/>
        <v>252.67</v>
      </c>
      <c r="F28" s="33">
        <f t="shared" ca="1" si="16"/>
        <v>0</v>
      </c>
      <c r="G28" s="33">
        <f>'Monthly Data'!AZ28</f>
        <v>293.40000000000003</v>
      </c>
      <c r="H28" s="33">
        <f>'Monthly Data'!AW28</f>
        <v>0</v>
      </c>
      <c r="I28" s="31">
        <f>'Monthly Data'!BS28</f>
        <v>27</v>
      </c>
      <c r="J28" s="33">
        <f>'Monthly Data'!BO28</f>
        <v>0</v>
      </c>
      <c r="K28" s="33">
        <f>'Monthly Data'!BT28</f>
        <v>31</v>
      </c>
      <c r="L28" s="13">
        <f>'Monthly Data'!AK28</f>
        <v>37.099999999999909</v>
      </c>
      <c r="N28" s="18"/>
      <c r="O28" s="18">
        <f ca="1">(E28-G28)*'GS&gt;50 Predicted Monthly'!$X$11</f>
        <v>-742741.66853529844</v>
      </c>
      <c r="P28" s="18">
        <f ca="1">(F28-H28)*'GS&gt;50 Predicted Monthly'!$X$12</f>
        <v>0</v>
      </c>
      <c r="Q28" s="18"/>
      <c r="R28" s="18"/>
      <c r="S28" s="18"/>
      <c r="T28" s="18"/>
      <c r="U28" s="18">
        <f t="shared" ca="1" si="12"/>
        <v>76254670.650606334</v>
      </c>
    </row>
    <row r="29" spans="1:23" x14ac:dyDescent="0.2">
      <c r="A29" s="9">
        <f>'Monthly Data'!A29</f>
        <v>42826</v>
      </c>
      <c r="B29">
        <f t="shared" si="1"/>
        <v>2017</v>
      </c>
      <c r="C29">
        <f t="shared" si="2"/>
        <v>4</v>
      </c>
      <c r="D29" s="30">
        <f>'Monthly Data'!N29</f>
        <v>69695820.209910318</v>
      </c>
      <c r="E29" s="33">
        <f t="shared" ca="1" si="16"/>
        <v>112.07000000000001</v>
      </c>
      <c r="F29" s="33">
        <f t="shared" ca="1" si="16"/>
        <v>2.6300000000000003</v>
      </c>
      <c r="G29" s="33">
        <f>'Monthly Data'!AZ29</f>
        <v>65.800000000000011</v>
      </c>
      <c r="H29" s="33">
        <f>'Monthly Data'!AW29</f>
        <v>4.6999999999999993</v>
      </c>
      <c r="I29" s="31">
        <f>'Monthly Data'!BS29</f>
        <v>28</v>
      </c>
      <c r="J29" s="33">
        <f>'Monthly Data'!BO29</f>
        <v>0</v>
      </c>
      <c r="K29" s="33">
        <f>'Monthly Data'!BT29</f>
        <v>30</v>
      </c>
      <c r="L29" s="13">
        <f>'Monthly Data'!AK29</f>
        <v>52.800000000000182</v>
      </c>
      <c r="N29" s="18"/>
      <c r="O29" s="18">
        <f ca="1">(E29-G29)*'GS&gt;50 Predicted Monthly'!$X$11</f>
        <v>843767.66518851498</v>
      </c>
      <c r="P29" s="18">
        <f ca="1">(F29-H29)*'GS&gt;50 Predicted Monthly'!$X$12</f>
        <v>-97107.506641681539</v>
      </c>
      <c r="Q29" s="18"/>
      <c r="R29" s="18"/>
      <c r="S29" s="18"/>
      <c r="T29" s="18"/>
      <c r="U29" s="18">
        <f t="shared" ca="1" si="12"/>
        <v>70442480.368457153</v>
      </c>
    </row>
    <row r="30" spans="1:23" x14ac:dyDescent="0.2">
      <c r="A30" s="9">
        <f>'Monthly Data'!A30</f>
        <v>42856</v>
      </c>
      <c r="B30">
        <f t="shared" si="1"/>
        <v>2017</v>
      </c>
      <c r="C30">
        <f t="shared" si="2"/>
        <v>5</v>
      </c>
      <c r="D30" s="30">
        <f>'Monthly Data'!N30</f>
        <v>73710670.100679025</v>
      </c>
      <c r="E30" s="33">
        <f t="shared" ca="1" si="16"/>
        <v>19.18</v>
      </c>
      <c r="F30" s="33">
        <f t="shared" ca="1" si="16"/>
        <v>50.489999999999995</v>
      </c>
      <c r="G30" s="33">
        <f>'Monthly Data'!AZ30</f>
        <v>25.700000000000003</v>
      </c>
      <c r="H30" s="33">
        <f>'Monthly Data'!AW30</f>
        <v>29.9</v>
      </c>
      <c r="I30" s="31">
        <f>'Monthly Data'!BS30</f>
        <v>29</v>
      </c>
      <c r="J30" s="33">
        <f>'Monthly Data'!BO30</f>
        <v>0</v>
      </c>
      <c r="K30" s="33">
        <f>'Monthly Data'!BT30</f>
        <v>31</v>
      </c>
      <c r="L30" s="13">
        <f>'Monthly Data'!AK30</f>
        <v>62.599999999999909</v>
      </c>
      <c r="N30" s="18"/>
      <c r="O30" s="18">
        <f ca="1">(E30-G30)*'GS&gt;50 Predicted Monthly'!$X$11</f>
        <v>-118897.02133194555</v>
      </c>
      <c r="P30" s="18">
        <f ca="1">(F30-H30)*'GS&gt;50 Predicted Monthly'!$X$12</f>
        <v>965914.76413150888</v>
      </c>
      <c r="Q30" s="18"/>
      <c r="R30" s="18"/>
      <c r="S30" s="18"/>
      <c r="T30" s="18"/>
      <c r="U30" s="18">
        <f t="shared" ca="1" si="12"/>
        <v>74557687.84347859</v>
      </c>
    </row>
    <row r="31" spans="1:23" x14ac:dyDescent="0.2">
      <c r="A31" s="9">
        <f>'Monthly Data'!A31</f>
        <v>42887</v>
      </c>
      <c r="B31">
        <f t="shared" si="1"/>
        <v>2017</v>
      </c>
      <c r="C31">
        <f t="shared" si="2"/>
        <v>6</v>
      </c>
      <c r="D31" s="30">
        <f>'Monthly Data'!N31</f>
        <v>76943218.991447717</v>
      </c>
      <c r="E31" s="33">
        <f t="shared" ca="1" si="16"/>
        <v>0</v>
      </c>
      <c r="F31" s="33">
        <f t="shared" ca="1" si="16"/>
        <v>154.05000000000001</v>
      </c>
      <c r="G31" s="33">
        <f>'Monthly Data'!AZ31</f>
        <v>0</v>
      </c>
      <c r="H31" s="33">
        <f>'Monthly Data'!AW31</f>
        <v>159.10000000000002</v>
      </c>
      <c r="I31" s="31">
        <f>'Monthly Data'!BS31</f>
        <v>30</v>
      </c>
      <c r="J31" s="33">
        <f>'Monthly Data'!BO31</f>
        <v>0</v>
      </c>
      <c r="K31" s="33">
        <f>'Monthly Data'!BT31</f>
        <v>30</v>
      </c>
      <c r="L31" s="13">
        <f>'Monthly Data'!AK31</f>
        <v>56.299999999999727</v>
      </c>
      <c r="N31" s="18"/>
      <c r="O31" s="18">
        <f ca="1">(E31-G31)*'GS&gt;50 Predicted Monthly'!$X$11</f>
        <v>0</v>
      </c>
      <c r="P31" s="18">
        <f ca="1">(F31-H31)*'GS&gt;50 Predicted Monthly'!$X$12</f>
        <v>-236904.78673453772</v>
      </c>
      <c r="Q31" s="18"/>
      <c r="R31" s="18"/>
      <c r="S31" s="18"/>
      <c r="T31" s="18"/>
      <c r="U31" s="18">
        <f t="shared" ca="1" si="12"/>
        <v>76706314.204713181</v>
      </c>
    </row>
    <row r="32" spans="1:23" x14ac:dyDescent="0.2">
      <c r="A32" s="9">
        <f>'Monthly Data'!A32</f>
        <v>42917</v>
      </c>
      <c r="B32">
        <f t="shared" si="1"/>
        <v>2017</v>
      </c>
      <c r="C32">
        <f t="shared" si="2"/>
        <v>7</v>
      </c>
      <c r="D32" s="30">
        <f>'Monthly Data'!N32</f>
        <v>80788009.882216424</v>
      </c>
      <c r="E32" s="33">
        <f t="shared" ca="1" si="16"/>
        <v>0</v>
      </c>
      <c r="F32" s="33">
        <f t="shared" ca="1" si="16"/>
        <v>267.66999999999996</v>
      </c>
      <c r="G32" s="33">
        <f>'Monthly Data'!AZ32</f>
        <v>0</v>
      </c>
      <c r="H32" s="33">
        <f>'Monthly Data'!AW32</f>
        <v>237.5</v>
      </c>
      <c r="I32" s="31">
        <f>'Monthly Data'!BS32</f>
        <v>31</v>
      </c>
      <c r="J32" s="33">
        <f>'Monthly Data'!BO32</f>
        <v>0</v>
      </c>
      <c r="K32" s="33">
        <f>'Monthly Data'!BT32</f>
        <v>31</v>
      </c>
      <c r="L32" s="13">
        <f>'Monthly Data'!AK32</f>
        <v>58.799999999999727</v>
      </c>
      <c r="N32" s="18"/>
      <c r="O32" s="18">
        <f ca="1">(E32-G32)*'GS&gt;50 Predicted Monthly'!$X$11</f>
        <v>0</v>
      </c>
      <c r="P32" s="18">
        <f ca="1">(F32-H32)*'GS&gt;50 Predicted Monthly'!$X$12</f>
        <v>1415330.1813427678</v>
      </c>
      <c r="Q32" s="18"/>
      <c r="R32" s="18"/>
      <c r="S32" s="18"/>
      <c r="T32" s="18"/>
      <c r="U32" s="18">
        <f t="shared" ca="1" si="12"/>
        <v>82203340.063559189</v>
      </c>
    </row>
    <row r="33" spans="1:21" x14ac:dyDescent="0.2">
      <c r="A33" s="9">
        <f>'Monthly Data'!A33</f>
        <v>42948</v>
      </c>
      <c r="B33">
        <f t="shared" si="1"/>
        <v>2017</v>
      </c>
      <c r="C33">
        <f t="shared" si="2"/>
        <v>8</v>
      </c>
      <c r="D33" s="30">
        <f>'Monthly Data'!N33</f>
        <v>80742066.772985116</v>
      </c>
      <c r="E33" s="33">
        <f t="shared" ca="1" si="16"/>
        <v>0</v>
      </c>
      <c r="F33" s="33">
        <f t="shared" ca="1" si="16"/>
        <v>246.315</v>
      </c>
      <c r="G33" s="33">
        <f>'Monthly Data'!AZ33</f>
        <v>0</v>
      </c>
      <c r="H33" s="33">
        <f>'Monthly Data'!AW33</f>
        <v>202.19999999999996</v>
      </c>
      <c r="I33" s="31">
        <f>'Monthly Data'!BS33</f>
        <v>32</v>
      </c>
      <c r="J33" s="33">
        <f>'Monthly Data'!BO33</f>
        <v>0</v>
      </c>
      <c r="K33" s="33">
        <f>'Monthly Data'!BT33</f>
        <v>31</v>
      </c>
      <c r="L33" s="13">
        <f>'Monthly Data'!AK33</f>
        <v>61</v>
      </c>
      <c r="N33" s="18"/>
      <c r="O33" s="18">
        <f ca="1">(E33-G33)*'GS&gt;50 Predicted Monthly'!$X$11</f>
        <v>0</v>
      </c>
      <c r="P33" s="18">
        <f ca="1">(F33-H33)*'GS&gt;50 Predicted Monthly'!$X$12</f>
        <v>2069515.7756027954</v>
      </c>
      <c r="Q33" s="18"/>
      <c r="R33" s="18"/>
      <c r="S33" s="18"/>
      <c r="T33" s="18"/>
      <c r="U33" s="18">
        <f t="shared" ca="1" si="12"/>
        <v>82811582.548587918</v>
      </c>
    </row>
    <row r="34" spans="1:21" x14ac:dyDescent="0.2">
      <c r="A34" s="9">
        <f>'Monthly Data'!A34</f>
        <v>42979</v>
      </c>
      <c r="B34">
        <f t="shared" si="1"/>
        <v>2017</v>
      </c>
      <c r="C34">
        <f t="shared" si="2"/>
        <v>9</v>
      </c>
      <c r="D34" s="30">
        <f>'Monthly Data'!N34</f>
        <v>76743976.663753822</v>
      </c>
      <c r="E34" s="33">
        <f t="shared" ref="E34:F49" ca="1" si="17">E22</f>
        <v>0</v>
      </c>
      <c r="F34" s="33">
        <f t="shared" ca="1" si="17"/>
        <v>146.80000000000001</v>
      </c>
      <c r="G34" s="33">
        <f>'Monthly Data'!AZ34</f>
        <v>0</v>
      </c>
      <c r="H34" s="33">
        <f>'Monthly Data'!AW34</f>
        <v>142.4</v>
      </c>
      <c r="I34" s="31">
        <f>'Monthly Data'!BS34</f>
        <v>33</v>
      </c>
      <c r="J34" s="33">
        <f>'Monthly Data'!BO34</f>
        <v>0</v>
      </c>
      <c r="K34" s="33">
        <f>'Monthly Data'!BT34</f>
        <v>30</v>
      </c>
      <c r="L34" s="13">
        <f>'Monthly Data'!AK34</f>
        <v>83.900000000000091</v>
      </c>
      <c r="N34" s="18"/>
      <c r="O34" s="18">
        <f ca="1">(E34-G34)*'GS&gt;50 Predicted Monthly'!$X$11</f>
        <v>0</v>
      </c>
      <c r="P34" s="18">
        <f ca="1">(F34-H34)*'GS&gt;50 Predicted Monthly'!$X$12</f>
        <v>206412.0914122703</v>
      </c>
      <c r="Q34" s="18"/>
      <c r="R34" s="18"/>
      <c r="S34" s="18"/>
      <c r="T34" s="18"/>
      <c r="U34" s="18">
        <f t="shared" ca="1" si="12"/>
        <v>76950388.755166098</v>
      </c>
    </row>
    <row r="35" spans="1:21" x14ac:dyDescent="0.2">
      <c r="A35" s="9">
        <f>'Monthly Data'!A35</f>
        <v>43009</v>
      </c>
      <c r="B35">
        <f t="shared" si="1"/>
        <v>2017</v>
      </c>
      <c r="C35">
        <f t="shared" si="2"/>
        <v>10</v>
      </c>
      <c r="D35" s="30">
        <f>'Monthly Data'!N35</f>
        <v>74943627.554522514</v>
      </c>
      <c r="E35" s="33">
        <f t="shared" ca="1" si="17"/>
        <v>23.589999999999996</v>
      </c>
      <c r="F35" s="33">
        <f t="shared" ca="1" si="17"/>
        <v>36.859999999999992</v>
      </c>
      <c r="G35" s="33">
        <f>'Monthly Data'!AZ35</f>
        <v>12.3</v>
      </c>
      <c r="H35" s="33">
        <f>'Monthly Data'!AW35</f>
        <v>67.900000000000006</v>
      </c>
      <c r="I35" s="31">
        <f>'Monthly Data'!BS35</f>
        <v>34</v>
      </c>
      <c r="J35" s="33">
        <f>'Monthly Data'!BO35</f>
        <v>0</v>
      </c>
      <c r="K35" s="33">
        <f>'Monthly Data'!BT35</f>
        <v>31</v>
      </c>
      <c r="L35" s="13">
        <f>'Monthly Data'!AK35</f>
        <v>108.69999999999982</v>
      </c>
      <c r="N35" s="18"/>
      <c r="O35" s="18">
        <f ca="1">(E35-G35)*'GS&gt;50 Predicted Monthly'!$X$11</f>
        <v>205881.49859473377</v>
      </c>
      <c r="P35" s="18">
        <f ca="1">(F35-H35)*'GS&gt;50 Predicted Monthly'!$X$12</f>
        <v>-1456143.4812356511</v>
      </c>
      <c r="Q35" s="18"/>
      <c r="R35" s="18"/>
      <c r="S35" s="18"/>
      <c r="T35" s="18"/>
      <c r="U35" s="18">
        <f t="shared" ca="1" si="12"/>
        <v>73693365.571881592</v>
      </c>
    </row>
    <row r="36" spans="1:21" x14ac:dyDescent="0.2">
      <c r="A36" s="9">
        <f>'Monthly Data'!A36</f>
        <v>43040</v>
      </c>
      <c r="B36">
        <f t="shared" si="1"/>
        <v>2017</v>
      </c>
      <c r="C36">
        <f t="shared" si="2"/>
        <v>11</v>
      </c>
      <c r="D36" s="30">
        <f>'Monthly Data'!N36</f>
        <v>73430363.445291221</v>
      </c>
      <c r="E36" s="33">
        <f t="shared" ca="1" si="17"/>
        <v>134.25000000000003</v>
      </c>
      <c r="F36" s="33">
        <f t="shared" ca="1" si="17"/>
        <v>3.410000000000001</v>
      </c>
      <c r="G36" s="33">
        <f>'Monthly Data'!AZ36</f>
        <v>151.80000000000004</v>
      </c>
      <c r="H36" s="33">
        <f>'Monthly Data'!AW36</f>
        <v>0</v>
      </c>
      <c r="I36" s="31">
        <f>'Monthly Data'!BS36</f>
        <v>35</v>
      </c>
      <c r="J36" s="33">
        <f>'Monthly Data'!BO36</f>
        <v>0</v>
      </c>
      <c r="K36" s="33">
        <f>'Monthly Data'!BT36</f>
        <v>30</v>
      </c>
      <c r="L36" s="13">
        <f>'Monthly Data'!AK36</f>
        <v>125.5</v>
      </c>
      <c r="N36" s="18"/>
      <c r="O36" s="18">
        <f ca="1">(E36-G36)*'GS&gt;50 Predicted Monthly'!$X$11</f>
        <v>-320037.22766497621</v>
      </c>
      <c r="P36" s="18">
        <f ca="1">(F36-H36)*'GS&gt;50 Predicted Monthly'!$X$12</f>
        <v>159969.37084450931</v>
      </c>
      <c r="Q36" s="18"/>
      <c r="R36" s="18"/>
      <c r="S36" s="18"/>
      <c r="T36" s="18"/>
      <c r="U36" s="18">
        <f t="shared" ca="1" si="12"/>
        <v>73270295.588470757</v>
      </c>
    </row>
    <row r="37" spans="1:21" x14ac:dyDescent="0.2">
      <c r="A37" s="9">
        <f>'Monthly Data'!A37</f>
        <v>43070</v>
      </c>
      <c r="B37">
        <f t="shared" si="1"/>
        <v>2017</v>
      </c>
      <c r="C37">
        <f t="shared" si="2"/>
        <v>12</v>
      </c>
      <c r="D37" s="30">
        <f>'Monthly Data'!N37</f>
        <v>74717172.336059913</v>
      </c>
      <c r="E37" s="33">
        <f t="shared" ca="1" si="17"/>
        <v>262.99</v>
      </c>
      <c r="F37" s="33">
        <f t="shared" ca="1" si="17"/>
        <v>0</v>
      </c>
      <c r="G37" s="33">
        <f>'Monthly Data'!AZ37</f>
        <v>401.20000000000005</v>
      </c>
      <c r="H37" s="33">
        <f>'Monthly Data'!AW37</f>
        <v>0</v>
      </c>
      <c r="I37" s="31">
        <f>'Monthly Data'!BS37</f>
        <v>36</v>
      </c>
      <c r="J37" s="33">
        <f>'Monthly Data'!BO37</f>
        <v>1</v>
      </c>
      <c r="K37" s="33">
        <f>'Monthly Data'!BT37</f>
        <v>31</v>
      </c>
      <c r="L37" s="13">
        <f>'Monthly Data'!AK37</f>
        <v>143</v>
      </c>
      <c r="N37" s="18"/>
      <c r="O37" s="18">
        <f ca="1">(E37-G37)*'GS&gt;50 Predicted Monthly'!$X$11</f>
        <v>-2520361.5518846917</v>
      </c>
      <c r="P37" s="18">
        <f ca="1">(F37-H37)*'GS&gt;50 Predicted Monthly'!$X$12</f>
        <v>0</v>
      </c>
      <c r="Q37" s="18"/>
      <c r="R37" s="18"/>
      <c r="S37" s="18"/>
      <c r="T37" s="18"/>
      <c r="U37" s="18">
        <f t="shared" ca="1" si="12"/>
        <v>72196810.784175217</v>
      </c>
    </row>
    <row r="38" spans="1:21" x14ac:dyDescent="0.2">
      <c r="A38" s="9">
        <f>'Monthly Data'!A38</f>
        <v>43101</v>
      </c>
      <c r="B38">
        <f t="shared" si="1"/>
        <v>2018</v>
      </c>
      <c r="C38">
        <f t="shared" si="2"/>
        <v>1</v>
      </c>
      <c r="D38" s="30">
        <f>'Monthly Data'!N38</f>
        <v>79618055.13230744</v>
      </c>
      <c r="E38" s="33">
        <f t="shared" ca="1" si="17"/>
        <v>384.56000000000006</v>
      </c>
      <c r="F38" s="33">
        <f t="shared" ca="1" si="17"/>
        <v>0</v>
      </c>
      <c r="G38" s="33">
        <f>'Monthly Data'!AZ38</f>
        <v>432.5</v>
      </c>
      <c r="H38" s="33">
        <f>'Monthly Data'!AW38</f>
        <v>0</v>
      </c>
      <c r="I38" s="31">
        <f>'Monthly Data'!BS38</f>
        <v>37</v>
      </c>
      <c r="J38" s="33">
        <f>'Monthly Data'!BO38</f>
        <v>0</v>
      </c>
      <c r="K38" s="33">
        <f>'Monthly Data'!BT38</f>
        <v>31</v>
      </c>
      <c r="L38" s="13">
        <f>'Monthly Data'!AK38</f>
        <v>137.80000000000018</v>
      </c>
      <c r="N38" s="18"/>
      <c r="O38" s="18">
        <f ca="1">(E38-G38)*'GS&gt;50 Predicted Monthly'!$X$11</f>
        <v>-874221.35010022391</v>
      </c>
      <c r="P38" s="18">
        <f ca="1">(F38-H38)*'GS&gt;50 Predicted Monthly'!$X$12</f>
        <v>0</v>
      </c>
      <c r="Q38" s="18"/>
      <c r="R38" s="18"/>
      <c r="S38" s="18"/>
      <c r="T38" s="18"/>
      <c r="U38" s="18">
        <f t="shared" ca="1" si="12"/>
        <v>78743833.782207221</v>
      </c>
    </row>
    <row r="39" spans="1:21" x14ac:dyDescent="0.2">
      <c r="A39" s="9">
        <f>'Monthly Data'!A39</f>
        <v>43132</v>
      </c>
      <c r="B39">
        <f t="shared" si="1"/>
        <v>2018</v>
      </c>
      <c r="C39">
        <f t="shared" si="2"/>
        <v>2</v>
      </c>
      <c r="D39" s="30">
        <f>'Monthly Data'!N39</f>
        <v>70553686.891704157</v>
      </c>
      <c r="E39" s="33">
        <f t="shared" ca="1" si="17"/>
        <v>338.02</v>
      </c>
      <c r="F39" s="33">
        <f t="shared" ca="1" si="17"/>
        <v>0</v>
      </c>
      <c r="G39" s="33">
        <f>'Monthly Data'!AZ39</f>
        <v>288.50000000000006</v>
      </c>
      <c r="H39" s="33">
        <f>'Monthly Data'!AW39</f>
        <v>0</v>
      </c>
      <c r="I39" s="31">
        <f>'Monthly Data'!BS39</f>
        <v>38</v>
      </c>
      <c r="J39" s="33">
        <f>'Monthly Data'!BO39</f>
        <v>0</v>
      </c>
      <c r="K39" s="33">
        <f>'Monthly Data'!BT39</f>
        <v>28</v>
      </c>
      <c r="L39" s="13">
        <f>'Monthly Data'!AK39</f>
        <v>127.29999999999973</v>
      </c>
      <c r="N39" s="18"/>
      <c r="O39" s="18">
        <f ca="1">(E39-G39)*'GS&gt;50 Predicted Monthly'!$X$11</f>
        <v>903033.81845980557</v>
      </c>
      <c r="P39" s="18">
        <f ca="1">(F39-H39)*'GS&gt;50 Predicted Monthly'!$X$12</f>
        <v>0</v>
      </c>
      <c r="Q39" s="18"/>
      <c r="R39" s="18"/>
      <c r="S39" s="18"/>
      <c r="T39" s="18"/>
      <c r="U39" s="18">
        <f t="shared" ca="1" si="12"/>
        <v>71456720.710163966</v>
      </c>
    </row>
    <row r="40" spans="1:21" x14ac:dyDescent="0.2">
      <c r="A40" s="9">
        <f>'Monthly Data'!A40</f>
        <v>43160</v>
      </c>
      <c r="B40">
        <f t="shared" si="1"/>
        <v>2018</v>
      </c>
      <c r="C40">
        <f t="shared" si="2"/>
        <v>3</v>
      </c>
      <c r="D40" s="30">
        <f>'Monthly Data'!N40</f>
        <v>76019363.651100874</v>
      </c>
      <c r="E40" s="33">
        <f t="shared" ca="1" si="17"/>
        <v>252.67</v>
      </c>
      <c r="F40" s="33">
        <f t="shared" ca="1" si="17"/>
        <v>0</v>
      </c>
      <c r="G40" s="33">
        <f>'Monthly Data'!AZ40</f>
        <v>285.89999999999992</v>
      </c>
      <c r="H40" s="33">
        <f>'Monthly Data'!AW40</f>
        <v>0</v>
      </c>
      <c r="I40" s="31">
        <f>'Monthly Data'!BS40</f>
        <v>39</v>
      </c>
      <c r="J40" s="33">
        <f>'Monthly Data'!BO40</f>
        <v>0</v>
      </c>
      <c r="K40" s="33">
        <f>'Monthly Data'!BT40</f>
        <v>31</v>
      </c>
      <c r="L40" s="13">
        <f>'Monthly Data'!AK40</f>
        <v>105.79999999999973</v>
      </c>
      <c r="N40" s="18"/>
      <c r="O40" s="18">
        <f ca="1">(E40-G40)*'GS&gt;50 Predicted Monthly'!$X$11</f>
        <v>-605973.62252462283</v>
      </c>
      <c r="P40" s="18">
        <f ca="1">(F40-H40)*'GS&gt;50 Predicted Monthly'!$X$12</f>
        <v>0</v>
      </c>
      <c r="Q40" s="18"/>
      <c r="R40" s="18"/>
      <c r="S40" s="18"/>
      <c r="T40" s="18"/>
      <c r="U40" s="18">
        <f t="shared" ca="1" si="12"/>
        <v>75413390.028576255</v>
      </c>
    </row>
    <row r="41" spans="1:21" x14ac:dyDescent="0.2">
      <c r="A41" s="9">
        <f>'Monthly Data'!A41</f>
        <v>43191</v>
      </c>
      <c r="B41">
        <f t="shared" si="1"/>
        <v>2018</v>
      </c>
      <c r="C41">
        <f t="shared" si="2"/>
        <v>4</v>
      </c>
      <c r="D41" s="30">
        <f>'Monthly Data'!N41</f>
        <v>72504561.410497591</v>
      </c>
      <c r="E41" s="33">
        <f t="shared" ca="1" si="17"/>
        <v>112.07000000000001</v>
      </c>
      <c r="F41" s="33">
        <f t="shared" ca="1" si="17"/>
        <v>2.6300000000000003</v>
      </c>
      <c r="G41" s="33">
        <f>'Monthly Data'!AZ41</f>
        <v>180.8</v>
      </c>
      <c r="H41" s="33">
        <f>'Monthly Data'!AW41</f>
        <v>0</v>
      </c>
      <c r="I41" s="31">
        <f>'Monthly Data'!BS41</f>
        <v>40</v>
      </c>
      <c r="J41" s="33">
        <f>'Monthly Data'!BO41</f>
        <v>0</v>
      </c>
      <c r="K41" s="33">
        <f>'Monthly Data'!BT41</f>
        <v>30</v>
      </c>
      <c r="L41" s="13">
        <f>'Monthly Data'!AK41</f>
        <v>87.599999999999909</v>
      </c>
      <c r="N41" s="18"/>
      <c r="O41" s="18">
        <f ca="1">(E41-G41)*'GS&gt;50 Predicted Monthly'!$X$11</f>
        <v>-1253342.373641812</v>
      </c>
      <c r="P41" s="18">
        <f ca="1">(F41-H41)*'GS&gt;50 Predicted Monthly'!$X$12</f>
        <v>123378.13645778869</v>
      </c>
      <c r="Q41" s="18"/>
      <c r="R41" s="18"/>
      <c r="S41" s="18"/>
      <c r="T41" s="18"/>
      <c r="U41" s="18">
        <f t="shared" ca="1" si="12"/>
        <v>71374597.173313558</v>
      </c>
    </row>
    <row r="42" spans="1:21" x14ac:dyDescent="0.2">
      <c r="A42" s="9">
        <f>'Monthly Data'!A42</f>
        <v>43221</v>
      </c>
      <c r="B42">
        <f t="shared" si="1"/>
        <v>2018</v>
      </c>
      <c r="C42">
        <f t="shared" si="2"/>
        <v>5</v>
      </c>
      <c r="D42" s="30">
        <f>'Monthly Data'!N42</f>
        <v>75108611.169894308</v>
      </c>
      <c r="E42" s="33">
        <f t="shared" ca="1" si="17"/>
        <v>19.18</v>
      </c>
      <c r="F42" s="33">
        <f t="shared" ca="1" si="17"/>
        <v>50.489999999999995</v>
      </c>
      <c r="G42" s="33">
        <f>'Monthly Data'!AZ42</f>
        <v>6.8999999999999986</v>
      </c>
      <c r="H42" s="33">
        <f>'Monthly Data'!AW42</f>
        <v>74.999999999999986</v>
      </c>
      <c r="I42" s="31">
        <f>'Monthly Data'!BS42</f>
        <v>41</v>
      </c>
      <c r="J42" s="33">
        <f>'Monthly Data'!BO42</f>
        <v>0</v>
      </c>
      <c r="K42" s="33">
        <f>'Monthly Data'!BT42</f>
        <v>31</v>
      </c>
      <c r="L42" s="13">
        <f>'Monthly Data'!AK42</f>
        <v>69</v>
      </c>
      <c r="N42" s="18"/>
      <c r="O42" s="18">
        <f ca="1">(E42-G42)*'GS&gt;50 Predicted Monthly'!$X$11</f>
        <v>223934.88066814275</v>
      </c>
      <c r="P42" s="18">
        <f ca="1">(F42-H42)*'GS&gt;50 Predicted Monthly'!$X$12</f>
        <v>-1149809.1728442584</v>
      </c>
      <c r="Q42" s="18"/>
      <c r="R42" s="18"/>
      <c r="S42" s="18"/>
      <c r="T42" s="18"/>
      <c r="U42" s="18">
        <f t="shared" ca="1" si="12"/>
        <v>74182736.877718195</v>
      </c>
    </row>
    <row r="43" spans="1:21" x14ac:dyDescent="0.2">
      <c r="A43" s="9">
        <f>'Monthly Data'!A43</f>
        <v>43252</v>
      </c>
      <c r="B43">
        <f t="shared" si="1"/>
        <v>2018</v>
      </c>
      <c r="C43">
        <f t="shared" si="2"/>
        <v>6</v>
      </c>
      <c r="D43" s="30">
        <f>'Monthly Data'!N43</f>
        <v>76769190.929291025</v>
      </c>
      <c r="E43" s="33">
        <f t="shared" ca="1" si="17"/>
        <v>0</v>
      </c>
      <c r="F43" s="33">
        <f t="shared" ca="1" si="17"/>
        <v>154.05000000000001</v>
      </c>
      <c r="G43" s="33">
        <f>'Monthly Data'!AZ43</f>
        <v>0</v>
      </c>
      <c r="H43" s="33">
        <f>'Monthly Data'!AW43</f>
        <v>151.49999999999997</v>
      </c>
      <c r="I43" s="31">
        <f>'Monthly Data'!BS43</f>
        <v>42</v>
      </c>
      <c r="J43" s="33">
        <f>'Monthly Data'!BO43</f>
        <v>0</v>
      </c>
      <c r="K43" s="33">
        <f>'Monthly Data'!BT43</f>
        <v>30</v>
      </c>
      <c r="L43" s="13">
        <f>'Monthly Data'!AK43</f>
        <v>66.5</v>
      </c>
      <c r="N43" s="18"/>
      <c r="O43" s="18">
        <f ca="1">(E43-G43)*'GS&gt;50 Predicted Monthly'!$X$11</f>
        <v>0</v>
      </c>
      <c r="P43" s="18">
        <f ca="1">(F43-H43)*'GS&gt;50 Predicted Monthly'!$X$12</f>
        <v>119625.18934120382</v>
      </c>
      <c r="Q43" s="18"/>
      <c r="R43" s="18"/>
      <c r="S43" s="18"/>
      <c r="T43" s="18"/>
      <c r="U43" s="18">
        <f t="shared" ca="1" si="12"/>
        <v>76888816.118632227</v>
      </c>
    </row>
    <row r="44" spans="1:21" x14ac:dyDescent="0.2">
      <c r="A44" s="9">
        <f>'Monthly Data'!A44</f>
        <v>43282</v>
      </c>
      <c r="B44">
        <f t="shared" si="1"/>
        <v>2018</v>
      </c>
      <c r="C44">
        <f t="shared" si="2"/>
        <v>7</v>
      </c>
      <c r="D44" s="30">
        <f>'Monthly Data'!N44</f>
        <v>82170576.688687727</v>
      </c>
      <c r="E44" s="33">
        <f t="shared" ca="1" si="17"/>
        <v>0</v>
      </c>
      <c r="F44" s="33">
        <f t="shared" ca="1" si="17"/>
        <v>267.66999999999996</v>
      </c>
      <c r="G44" s="33">
        <f>'Monthly Data'!AZ44</f>
        <v>0</v>
      </c>
      <c r="H44" s="33">
        <f>'Monthly Data'!AW44</f>
        <v>288.2</v>
      </c>
      <c r="I44" s="31">
        <f>'Monthly Data'!BS44</f>
        <v>43</v>
      </c>
      <c r="J44" s="33">
        <f>'Monthly Data'!BO44</f>
        <v>0</v>
      </c>
      <c r="K44" s="33">
        <f>'Monthly Data'!BT44</f>
        <v>31</v>
      </c>
      <c r="L44" s="13">
        <f>'Monthly Data'!AK44</f>
        <v>78.800000000000182</v>
      </c>
      <c r="N44" s="18"/>
      <c r="O44" s="18">
        <f ca="1">(E44-G44)*'GS&gt;50 Predicted Monthly'!$X$11</f>
        <v>0</v>
      </c>
      <c r="P44" s="18">
        <f ca="1">(F44-H44)*'GS&gt;50 Predicted Monthly'!$X$12</f>
        <v>-963100.05379407038</v>
      </c>
      <c r="Q44" s="18"/>
      <c r="R44" s="18"/>
      <c r="S44" s="18"/>
      <c r="T44" s="18"/>
      <c r="U44" s="18">
        <f t="shared" ca="1" si="12"/>
        <v>81207476.634893656</v>
      </c>
    </row>
    <row r="45" spans="1:21" x14ac:dyDescent="0.2">
      <c r="A45" s="9">
        <f>'Monthly Data'!A45</f>
        <v>43313</v>
      </c>
      <c r="B45">
        <f t="shared" si="1"/>
        <v>2018</v>
      </c>
      <c r="C45">
        <f t="shared" si="2"/>
        <v>8</v>
      </c>
      <c r="D45" s="30">
        <f>'Monthly Data'!N45</f>
        <v>82374458.448084444</v>
      </c>
      <c r="E45" s="33">
        <f t="shared" ca="1" si="17"/>
        <v>0</v>
      </c>
      <c r="F45" s="33">
        <f t="shared" ca="1" si="17"/>
        <v>246.315</v>
      </c>
      <c r="G45" s="33">
        <f>'Monthly Data'!AZ45</f>
        <v>0</v>
      </c>
      <c r="H45" s="33">
        <f>'Monthly Data'!AW45</f>
        <v>287.79999999999995</v>
      </c>
      <c r="I45" s="31">
        <f>'Monthly Data'!BS45</f>
        <v>44</v>
      </c>
      <c r="J45" s="33">
        <f>'Monthly Data'!BO45</f>
        <v>0</v>
      </c>
      <c r="K45" s="33">
        <f>'Monthly Data'!BT45</f>
        <v>31</v>
      </c>
      <c r="L45" s="13">
        <f>'Monthly Data'!AK45</f>
        <v>80.900000000000091</v>
      </c>
      <c r="N45" s="18"/>
      <c r="O45" s="18">
        <f ca="1">(E45-G45)*'GS&gt;50 Predicted Monthly'!$X$11</f>
        <v>0</v>
      </c>
      <c r="P45" s="18">
        <f ca="1">(F45-H45)*'GS&gt;50 Predicted Monthly'!$X$12</f>
        <v>-1946137.6391450029</v>
      </c>
      <c r="Q45" s="18"/>
      <c r="R45" s="18"/>
      <c r="S45" s="18"/>
      <c r="T45" s="18"/>
      <c r="U45" s="18">
        <f t="shared" ca="1" si="12"/>
        <v>80428320.808939442</v>
      </c>
    </row>
    <row r="46" spans="1:21" x14ac:dyDescent="0.2">
      <c r="A46" s="9">
        <f>'Monthly Data'!A46</f>
        <v>43344</v>
      </c>
      <c r="B46">
        <f t="shared" si="1"/>
        <v>2018</v>
      </c>
      <c r="C46">
        <f t="shared" si="2"/>
        <v>9</v>
      </c>
      <c r="D46" s="30">
        <f>'Monthly Data'!N46</f>
        <v>74890624.207481161</v>
      </c>
      <c r="E46" s="33">
        <f t="shared" ca="1" si="17"/>
        <v>0</v>
      </c>
      <c r="F46" s="33">
        <f t="shared" ca="1" si="17"/>
        <v>146.80000000000001</v>
      </c>
      <c r="G46" s="33">
        <f>'Monthly Data'!AZ46</f>
        <v>0</v>
      </c>
      <c r="H46" s="33">
        <f>'Monthly Data'!AW46</f>
        <v>165.40000000000003</v>
      </c>
      <c r="I46" s="31">
        <f>'Monthly Data'!BS46</f>
        <v>45</v>
      </c>
      <c r="J46" s="33">
        <f>'Monthly Data'!BO46</f>
        <v>0</v>
      </c>
      <c r="K46" s="33">
        <f>'Monthly Data'!BT46</f>
        <v>30</v>
      </c>
      <c r="L46" s="13">
        <f>'Monthly Data'!AK46</f>
        <v>60.299999999999727</v>
      </c>
      <c r="N46" s="18"/>
      <c r="O46" s="18">
        <f ca="1">(E46-G46)*'GS&gt;50 Predicted Monthly'!$X$11</f>
        <v>0</v>
      </c>
      <c r="P46" s="18">
        <f ca="1">(F46-H46)*'GS&gt;50 Predicted Monthly'!$X$12</f>
        <v>-872560.20460641524</v>
      </c>
      <c r="Q46" s="18"/>
      <c r="R46" s="18"/>
      <c r="S46" s="18"/>
      <c r="T46" s="18"/>
      <c r="U46" s="18">
        <f t="shared" ca="1" si="12"/>
        <v>74018064.002874747</v>
      </c>
    </row>
    <row r="47" spans="1:21" x14ac:dyDescent="0.2">
      <c r="A47" s="9">
        <f>'Monthly Data'!A47</f>
        <v>43374</v>
      </c>
      <c r="B47">
        <f t="shared" si="1"/>
        <v>2018</v>
      </c>
      <c r="C47">
        <f t="shared" si="2"/>
        <v>10</v>
      </c>
      <c r="D47" s="30">
        <f>'Monthly Data'!N47</f>
        <v>71126370.966877878</v>
      </c>
      <c r="E47" s="33">
        <f t="shared" ca="1" si="17"/>
        <v>23.589999999999996</v>
      </c>
      <c r="F47" s="33">
        <f t="shared" ca="1" si="17"/>
        <v>36.859999999999992</v>
      </c>
      <c r="G47" s="33">
        <f>'Monthly Data'!AZ47</f>
        <v>50.199999999999996</v>
      </c>
      <c r="H47" s="33">
        <f>'Monthly Data'!AW47</f>
        <v>28.7</v>
      </c>
      <c r="I47" s="31">
        <f>'Monthly Data'!BS47</f>
        <v>46</v>
      </c>
      <c r="J47" s="33">
        <f>'Monthly Data'!BO47</f>
        <v>0</v>
      </c>
      <c r="K47" s="33">
        <f>'Monthly Data'!BT47</f>
        <v>31</v>
      </c>
      <c r="L47" s="13">
        <f>'Monthly Data'!AK47</f>
        <v>40</v>
      </c>
      <c r="N47" s="18"/>
      <c r="O47" s="18">
        <f ca="1">(E47-G47)*'GS&gt;50 Predicted Monthly'!$X$11</f>
        <v>-485253.02724586957</v>
      </c>
      <c r="P47" s="18">
        <f ca="1">(F47-H47)*'GS&gt;50 Predicted Monthly'!$X$12</f>
        <v>382800.60589184589</v>
      </c>
      <c r="Q47" s="18"/>
      <c r="R47" s="18"/>
      <c r="S47" s="18"/>
      <c r="T47" s="18"/>
      <c r="U47" s="18">
        <f t="shared" ca="1" si="12"/>
        <v>71023918.545523852</v>
      </c>
    </row>
    <row r="48" spans="1:21" x14ac:dyDescent="0.2">
      <c r="A48" s="9">
        <f>'Monthly Data'!A48</f>
        <v>43405</v>
      </c>
      <c r="B48">
        <f t="shared" si="1"/>
        <v>2018</v>
      </c>
      <c r="C48">
        <f t="shared" si="2"/>
        <v>11</v>
      </c>
      <c r="D48" s="30">
        <f>'Monthly Data'!N48</f>
        <v>70890027.726274595</v>
      </c>
      <c r="E48" s="33">
        <f t="shared" ca="1" si="17"/>
        <v>134.25000000000003</v>
      </c>
      <c r="F48" s="33">
        <f t="shared" ca="1" si="17"/>
        <v>3.410000000000001</v>
      </c>
      <c r="G48" s="33">
        <f>'Monthly Data'!AZ48</f>
        <v>214.10000000000002</v>
      </c>
      <c r="H48" s="33">
        <f>'Monthly Data'!AW48</f>
        <v>0</v>
      </c>
      <c r="I48" s="31">
        <f>'Monthly Data'!BS48</f>
        <v>47</v>
      </c>
      <c r="J48" s="33">
        <f>'Monthly Data'!BO48</f>
        <v>0</v>
      </c>
      <c r="K48" s="33">
        <f>'Monthly Data'!BT48</f>
        <v>30</v>
      </c>
      <c r="L48" s="13">
        <f>'Monthly Data'!AK48</f>
        <v>36.099999999999909</v>
      </c>
      <c r="N48" s="18"/>
      <c r="O48" s="18">
        <f ca="1">(E48-G48)*'GS&gt;50 Predicted Monthly'!$X$11</f>
        <v>-1456123.7965269703</v>
      </c>
      <c r="P48" s="18">
        <f ca="1">(F48-H48)*'GS&gt;50 Predicted Monthly'!$X$12</f>
        <v>159969.37084450931</v>
      </c>
      <c r="Q48" s="18"/>
      <c r="R48" s="18"/>
      <c r="S48" s="18"/>
      <c r="T48" s="18"/>
      <c r="U48" s="18">
        <f t="shared" ca="1" si="12"/>
        <v>69593873.300592139</v>
      </c>
    </row>
    <row r="49" spans="1:21" x14ac:dyDescent="0.2">
      <c r="A49" s="9">
        <f>'Monthly Data'!A49</f>
        <v>43435</v>
      </c>
      <c r="B49">
        <f t="shared" si="1"/>
        <v>2018</v>
      </c>
      <c r="C49">
        <f t="shared" si="2"/>
        <v>12</v>
      </c>
      <c r="D49" s="30">
        <f>'Monthly Data'!N49</f>
        <v>70258464.485671312</v>
      </c>
      <c r="E49" s="33">
        <f t="shared" ca="1" si="17"/>
        <v>262.99</v>
      </c>
      <c r="F49" s="33">
        <f t="shared" ca="1" si="17"/>
        <v>0</v>
      </c>
      <c r="G49" s="33">
        <f>'Monthly Data'!AZ49</f>
        <v>267.99999999999994</v>
      </c>
      <c r="H49" s="33">
        <f>'Monthly Data'!AW49</f>
        <v>0</v>
      </c>
      <c r="I49" s="31">
        <f>'Monthly Data'!BS49</f>
        <v>48</v>
      </c>
      <c r="J49" s="33">
        <f>'Monthly Data'!BO49</f>
        <v>1</v>
      </c>
      <c r="K49" s="33">
        <f>'Monthly Data'!BT49</f>
        <v>31</v>
      </c>
      <c r="L49" s="13">
        <f>'Monthly Data'!AK49</f>
        <v>31.800000000000182</v>
      </c>
      <c r="N49" s="18"/>
      <c r="O49" s="18">
        <f ca="1">(E49-G49)*'GS&gt;50 Predicted Monthly'!$X$11</f>
        <v>-91361.054735128695</v>
      </c>
      <c r="P49" s="18">
        <f ca="1">(F49-H49)*'GS&gt;50 Predicted Monthly'!$X$12</f>
        <v>0</v>
      </c>
      <c r="Q49" s="18"/>
      <c r="R49" s="18"/>
      <c r="S49" s="18"/>
      <c r="T49" s="18"/>
      <c r="U49" s="18">
        <f t="shared" ca="1" si="12"/>
        <v>70167103.430936188</v>
      </c>
    </row>
    <row r="50" spans="1:21" x14ac:dyDescent="0.2">
      <c r="A50" s="9">
        <f>'Monthly Data'!A50</f>
        <v>43466</v>
      </c>
      <c r="B50">
        <f t="shared" si="1"/>
        <v>2019</v>
      </c>
      <c r="C50">
        <f t="shared" si="2"/>
        <v>1</v>
      </c>
      <c r="D50" s="30">
        <f>'Monthly Data'!N50</f>
        <v>77017720.98365432</v>
      </c>
      <c r="E50" s="33">
        <f t="shared" ref="E50:F65" ca="1" si="18">E38</f>
        <v>384.56000000000006</v>
      </c>
      <c r="F50" s="33">
        <f t="shared" ca="1" si="18"/>
        <v>0</v>
      </c>
      <c r="G50" s="33">
        <f>'Monthly Data'!AZ50</f>
        <v>452.00000000000006</v>
      </c>
      <c r="H50" s="33">
        <f>'Monthly Data'!AW50</f>
        <v>0</v>
      </c>
      <c r="I50" s="31">
        <f>'Monthly Data'!BS50</f>
        <v>49</v>
      </c>
      <c r="J50" s="33">
        <f>'Monthly Data'!BO50</f>
        <v>0</v>
      </c>
      <c r="K50" s="33">
        <f>'Monthly Data'!BT50</f>
        <v>31</v>
      </c>
      <c r="L50" s="13">
        <f>'Monthly Data'!AK50</f>
        <v>27.099999999999909</v>
      </c>
      <c r="N50" s="18"/>
      <c r="O50" s="18">
        <f ca="1">(E50-G50)*'GS&gt;50 Predicted Monthly'!$X$11</f>
        <v>-1229818.2697279761</v>
      </c>
      <c r="P50" s="18">
        <f ca="1">(F50-H50)*'GS&gt;50 Predicted Monthly'!$X$12</f>
        <v>0</v>
      </c>
      <c r="Q50" s="18"/>
      <c r="R50" s="18"/>
      <c r="S50" s="18"/>
      <c r="T50" s="18"/>
      <c r="U50" s="18">
        <f t="shared" ca="1" si="12"/>
        <v>75787902.713926345</v>
      </c>
    </row>
    <row r="51" spans="1:21" x14ac:dyDescent="0.2">
      <c r="A51" s="9">
        <f>'Monthly Data'!A51</f>
        <v>43497</v>
      </c>
      <c r="B51">
        <f t="shared" si="1"/>
        <v>2019</v>
      </c>
      <c r="C51">
        <f t="shared" si="2"/>
        <v>2</v>
      </c>
      <c r="D51" s="30">
        <f>'Monthly Data'!N51</f>
        <v>69584021.673609644</v>
      </c>
      <c r="E51" s="33">
        <f t="shared" ca="1" si="18"/>
        <v>338.02</v>
      </c>
      <c r="F51" s="33">
        <f t="shared" ca="1" si="18"/>
        <v>0</v>
      </c>
      <c r="G51" s="33">
        <f>'Monthly Data'!AZ51</f>
        <v>347.70000000000005</v>
      </c>
      <c r="H51" s="33">
        <f>'Monthly Data'!AW51</f>
        <v>0</v>
      </c>
      <c r="I51" s="31">
        <f>'Monthly Data'!BS51</f>
        <v>50</v>
      </c>
      <c r="J51" s="33">
        <f>'Monthly Data'!BO51</f>
        <v>0</v>
      </c>
      <c r="K51" s="33">
        <f>'Monthly Data'!BT51</f>
        <v>28</v>
      </c>
      <c r="L51" s="13">
        <f>'Monthly Data'!AK51</f>
        <v>40.700000000000273</v>
      </c>
      <c r="N51" s="18"/>
      <c r="O51" s="18">
        <f ca="1">(E51-G51)*'GS&gt;50 Predicted Monthly'!$X$11</f>
        <v>-176521.95805111041</v>
      </c>
      <c r="P51" s="18">
        <f ca="1">(F51-H51)*'GS&gt;50 Predicted Monthly'!$X$12</f>
        <v>0</v>
      </c>
      <c r="Q51" s="18"/>
      <c r="R51" s="18"/>
      <c r="S51" s="18"/>
      <c r="T51" s="18"/>
      <c r="U51" s="18">
        <f t="shared" ca="1" si="12"/>
        <v>69407499.715558529</v>
      </c>
    </row>
    <row r="52" spans="1:21" x14ac:dyDescent="0.2">
      <c r="A52" s="9">
        <f>'Monthly Data'!A52</f>
        <v>43525</v>
      </c>
      <c r="B52">
        <f t="shared" si="1"/>
        <v>2019</v>
      </c>
      <c r="C52">
        <f t="shared" si="2"/>
        <v>3</v>
      </c>
      <c r="D52" s="30">
        <f>'Monthly Data'!N52</f>
        <v>74426627.363564968</v>
      </c>
      <c r="E52" s="33">
        <f t="shared" ca="1" si="18"/>
        <v>252.67</v>
      </c>
      <c r="F52" s="33">
        <f t="shared" ca="1" si="18"/>
        <v>0</v>
      </c>
      <c r="G52" s="33">
        <f>'Monthly Data'!AZ52</f>
        <v>308.49999999999994</v>
      </c>
      <c r="H52" s="33">
        <f>'Monthly Data'!AW52</f>
        <v>0</v>
      </c>
      <c r="I52" s="31">
        <f>'Monthly Data'!BS52</f>
        <v>51</v>
      </c>
      <c r="J52" s="33">
        <f>'Monthly Data'!BO52</f>
        <v>0</v>
      </c>
      <c r="K52" s="33">
        <f>'Monthly Data'!BT52</f>
        <v>31</v>
      </c>
      <c r="L52" s="13">
        <f>'Monthly Data'!AK52</f>
        <v>62.700000000000273</v>
      </c>
      <c r="N52" s="18"/>
      <c r="O52" s="18">
        <f ca="1">(E52-G52)*'GS&gt;50 Predicted Monthly'!$X$11</f>
        <v>-1018101.3345034528</v>
      </c>
      <c r="P52" s="18">
        <f ca="1">(F52-H52)*'GS&gt;50 Predicted Monthly'!$X$12</f>
        <v>0</v>
      </c>
      <c r="Q52" s="18"/>
      <c r="R52" s="18"/>
      <c r="S52" s="18"/>
      <c r="T52" s="18"/>
      <c r="U52" s="18">
        <f t="shared" ca="1" si="12"/>
        <v>73408526.029061511</v>
      </c>
    </row>
    <row r="53" spans="1:21" x14ac:dyDescent="0.2">
      <c r="A53" s="9">
        <f>'Monthly Data'!A53</f>
        <v>43556</v>
      </c>
      <c r="B53">
        <f t="shared" si="1"/>
        <v>2019</v>
      </c>
      <c r="C53">
        <f t="shared" si="2"/>
        <v>4</v>
      </c>
      <c r="D53" s="30">
        <f>'Monthly Data'!N53</f>
        <v>68208973.053520292</v>
      </c>
      <c r="E53" s="33">
        <f t="shared" ca="1" si="18"/>
        <v>112.07000000000001</v>
      </c>
      <c r="F53" s="33">
        <f t="shared" ca="1" si="18"/>
        <v>2.6300000000000003</v>
      </c>
      <c r="G53" s="33">
        <f>'Monthly Data'!AZ53</f>
        <v>116.70000000000002</v>
      </c>
      <c r="H53" s="33">
        <f>'Monthly Data'!AW53</f>
        <v>0</v>
      </c>
      <c r="I53" s="31">
        <f>'Monthly Data'!BS53</f>
        <v>52</v>
      </c>
      <c r="J53" s="33">
        <f>'Monthly Data'!BO53</f>
        <v>0</v>
      </c>
      <c r="K53" s="33">
        <f>'Monthly Data'!BT53</f>
        <v>30</v>
      </c>
      <c r="L53" s="13">
        <f>'Monthly Data'!AK53</f>
        <v>89.200000000000273</v>
      </c>
      <c r="N53" s="18"/>
      <c r="O53" s="18">
        <f ca="1">(E53-G53)*'GS&gt;50 Predicted Monthly'!$X$11</f>
        <v>-84431.473737255947</v>
      </c>
      <c r="P53" s="18">
        <f ca="1">(F53-H53)*'GS&gt;50 Predicted Monthly'!$X$12</f>
        <v>123378.13645778869</v>
      </c>
      <c r="Q53" s="18"/>
      <c r="R53" s="18"/>
      <c r="S53" s="18"/>
      <c r="T53" s="18"/>
      <c r="U53" s="18">
        <f t="shared" ca="1" si="12"/>
        <v>68247919.716240823</v>
      </c>
    </row>
    <row r="54" spans="1:21" x14ac:dyDescent="0.2">
      <c r="A54" s="9">
        <f>'Monthly Data'!A54</f>
        <v>43586</v>
      </c>
      <c r="B54">
        <f t="shared" si="1"/>
        <v>2019</v>
      </c>
      <c r="C54">
        <f t="shared" si="2"/>
        <v>5</v>
      </c>
      <c r="D54" s="30">
        <f>'Monthly Data'!N54</f>
        <v>69285910.743475616</v>
      </c>
      <c r="E54" s="33">
        <f t="shared" ca="1" si="18"/>
        <v>19.18</v>
      </c>
      <c r="F54" s="33">
        <f t="shared" ca="1" si="18"/>
        <v>50.489999999999995</v>
      </c>
      <c r="G54" s="33">
        <f>'Monthly Data'!AZ54</f>
        <v>33.1</v>
      </c>
      <c r="H54" s="33">
        <f>'Monthly Data'!AW54</f>
        <v>14.6</v>
      </c>
      <c r="I54" s="31">
        <f>'Monthly Data'!BS54</f>
        <v>53</v>
      </c>
      <c r="J54" s="33">
        <f>'Monthly Data'!BO54</f>
        <v>0</v>
      </c>
      <c r="K54" s="33">
        <f>'Monthly Data'!BT54</f>
        <v>31</v>
      </c>
      <c r="L54" s="13">
        <f>'Monthly Data'!AK54</f>
        <v>103.60000000000036</v>
      </c>
      <c r="N54" s="18"/>
      <c r="O54" s="18">
        <f ca="1">(E54-G54)*'GS&gt;50 Predicted Monthly'!$X$11</f>
        <v>-253841.49339581004</v>
      </c>
      <c r="P54" s="18">
        <f ca="1">(F54-H54)*'GS&gt;50 Predicted Monthly'!$X$12</f>
        <v>1683665.9001787205</v>
      </c>
      <c r="Q54" s="18"/>
      <c r="R54" s="18"/>
      <c r="S54" s="18"/>
      <c r="T54" s="18"/>
      <c r="U54" s="18">
        <f t="shared" ca="1" si="12"/>
        <v>70715735.150258526</v>
      </c>
    </row>
    <row r="55" spans="1:21" x14ac:dyDescent="0.2">
      <c r="A55" s="9">
        <f>'Monthly Data'!A55</f>
        <v>43617</v>
      </c>
      <c r="B55">
        <f t="shared" si="1"/>
        <v>2019</v>
      </c>
      <c r="C55">
        <f t="shared" si="2"/>
        <v>6</v>
      </c>
      <c r="D55" s="30">
        <f>'Monthly Data'!N55</f>
        <v>70340791.43343094</v>
      </c>
      <c r="E55" s="33">
        <f t="shared" ca="1" si="18"/>
        <v>0</v>
      </c>
      <c r="F55" s="33">
        <f t="shared" ca="1" si="18"/>
        <v>154.05000000000001</v>
      </c>
      <c r="G55" s="33">
        <f>'Monthly Data'!AZ55</f>
        <v>0</v>
      </c>
      <c r="H55" s="33">
        <f>'Monthly Data'!AW55</f>
        <v>103.60000000000002</v>
      </c>
      <c r="I55" s="31">
        <f>'Monthly Data'!BS55</f>
        <v>54</v>
      </c>
      <c r="J55" s="33">
        <f>'Monthly Data'!BO55</f>
        <v>0</v>
      </c>
      <c r="K55" s="33">
        <f>'Monthly Data'!BT55</f>
        <v>30</v>
      </c>
      <c r="L55" s="13">
        <f>'Monthly Data'!AK55</f>
        <v>108.10000000000036</v>
      </c>
      <c r="N55" s="18"/>
      <c r="O55" s="18">
        <f ca="1">(E55-G55)*'GS&gt;50 Predicted Monthly'!$X$11</f>
        <v>0</v>
      </c>
      <c r="P55" s="18">
        <f ca="1">(F55-H55)*'GS&gt;50 Predicted Monthly'!$X$12</f>
        <v>2366702.2753975047</v>
      </c>
      <c r="Q55" s="18"/>
      <c r="R55" s="18"/>
      <c r="S55" s="18"/>
      <c r="T55" s="18"/>
      <c r="U55" s="18">
        <f t="shared" ca="1" si="12"/>
        <v>72707493.708828449</v>
      </c>
    </row>
    <row r="56" spans="1:21" x14ac:dyDescent="0.2">
      <c r="A56" s="9">
        <f>'Monthly Data'!A56</f>
        <v>43647</v>
      </c>
      <c r="B56">
        <f t="shared" si="1"/>
        <v>2019</v>
      </c>
      <c r="C56">
        <f t="shared" si="2"/>
        <v>7</v>
      </c>
      <c r="D56" s="30">
        <f>'Monthly Data'!N56</f>
        <v>81692876.123386264</v>
      </c>
      <c r="E56" s="33">
        <f t="shared" ca="1" si="18"/>
        <v>0</v>
      </c>
      <c r="F56" s="33">
        <f t="shared" ca="1" si="18"/>
        <v>267.66999999999996</v>
      </c>
      <c r="G56" s="33">
        <f>'Monthly Data'!AZ56</f>
        <v>0</v>
      </c>
      <c r="H56" s="33">
        <f>'Monthly Data'!AW56</f>
        <v>276.59999999999997</v>
      </c>
      <c r="I56" s="31">
        <f>'Monthly Data'!BS56</f>
        <v>55</v>
      </c>
      <c r="J56" s="33">
        <f>'Monthly Data'!BO56</f>
        <v>0</v>
      </c>
      <c r="K56" s="33">
        <f>'Monthly Data'!BT56</f>
        <v>31</v>
      </c>
      <c r="L56" s="13">
        <f>'Monthly Data'!AK56</f>
        <v>107.59999999999991</v>
      </c>
      <c r="N56" s="18"/>
      <c r="O56" s="18">
        <f ca="1">(E56-G56)*'GS&gt;50 Predicted Monthly'!$X$11</f>
        <v>0</v>
      </c>
      <c r="P56" s="18">
        <f ca="1">(F56-H56)*'GS&gt;50 Predicted Monthly'!$X$12</f>
        <v>-418922.72188899381</v>
      </c>
      <c r="Q56" s="18"/>
      <c r="R56" s="18"/>
      <c r="S56" s="18"/>
      <c r="T56" s="18"/>
      <c r="U56" s="18">
        <f t="shared" ca="1" si="12"/>
        <v>81273953.401497275</v>
      </c>
    </row>
    <row r="57" spans="1:21" x14ac:dyDescent="0.2">
      <c r="A57" s="9">
        <f>'Monthly Data'!A57</f>
        <v>43678</v>
      </c>
      <c r="B57">
        <f t="shared" si="1"/>
        <v>2019</v>
      </c>
      <c r="C57">
        <f t="shared" si="2"/>
        <v>8</v>
      </c>
      <c r="D57" s="30">
        <f>'Monthly Data'!N57</f>
        <v>78330561.813341588</v>
      </c>
      <c r="E57" s="33">
        <f t="shared" ca="1" si="18"/>
        <v>0</v>
      </c>
      <c r="F57" s="33">
        <f t="shared" ca="1" si="18"/>
        <v>246.315</v>
      </c>
      <c r="G57" s="33">
        <f>'Monthly Data'!AZ57</f>
        <v>0</v>
      </c>
      <c r="H57" s="33">
        <f>'Monthly Data'!AW57</f>
        <v>225.29999999999998</v>
      </c>
      <c r="I57" s="31">
        <f>'Monthly Data'!BS57</f>
        <v>56</v>
      </c>
      <c r="J57" s="33">
        <f>'Monthly Data'!BO57</f>
        <v>0</v>
      </c>
      <c r="K57" s="33">
        <f>'Monthly Data'!BT57</f>
        <v>31</v>
      </c>
      <c r="L57" s="13">
        <f>'Monthly Data'!AK57</f>
        <v>114.40000000000009</v>
      </c>
      <c r="N57" s="18"/>
      <c r="O57" s="18">
        <f ca="1">(E57-G57)*'GS&gt;50 Predicted Monthly'!$X$11</f>
        <v>0</v>
      </c>
      <c r="P57" s="18">
        <f ca="1">(F57-H57)*'GS&gt;50 Predicted Monthly'!$X$12</f>
        <v>985852.29568837676</v>
      </c>
      <c r="Q57" s="18"/>
      <c r="R57" s="18"/>
      <c r="S57" s="18"/>
      <c r="T57" s="18"/>
      <c r="U57" s="18">
        <f t="shared" ca="1" si="12"/>
        <v>79316414.109029964</v>
      </c>
    </row>
    <row r="58" spans="1:21" x14ac:dyDescent="0.2">
      <c r="A58" s="9">
        <f>'Monthly Data'!A58</f>
        <v>43709</v>
      </c>
      <c r="B58">
        <f t="shared" ref="B58:B115" si="19">YEAR(A58)</f>
        <v>2019</v>
      </c>
      <c r="C58">
        <f t="shared" ref="C58:C115" si="20">MONTH(A58)</f>
        <v>9</v>
      </c>
      <c r="D58" s="30">
        <f>'Monthly Data'!N58</f>
        <v>71728053.503296927</v>
      </c>
      <c r="E58" s="33">
        <f t="shared" ca="1" si="18"/>
        <v>0</v>
      </c>
      <c r="F58" s="33">
        <f t="shared" ca="1" si="18"/>
        <v>146.80000000000001</v>
      </c>
      <c r="G58" s="33">
        <f>'Monthly Data'!AZ58</f>
        <v>0</v>
      </c>
      <c r="H58" s="33">
        <f>'Monthly Data'!AW58</f>
        <v>133.90000000000003</v>
      </c>
      <c r="I58" s="31">
        <f>'Monthly Data'!BS58</f>
        <v>57</v>
      </c>
      <c r="J58" s="33">
        <f>'Monthly Data'!BO58</f>
        <v>0</v>
      </c>
      <c r="K58" s="33">
        <f>'Monthly Data'!BT58</f>
        <v>30</v>
      </c>
      <c r="L58" s="13">
        <f>'Monthly Data'!AK58</f>
        <v>140</v>
      </c>
      <c r="N58" s="18"/>
      <c r="O58" s="18">
        <f ca="1">(E58-G58)*'GS&gt;50 Predicted Monthly'!$X$11</f>
        <v>0</v>
      </c>
      <c r="P58" s="18">
        <f ca="1">(F58-H58)*'GS&gt;50 Predicted Monthly'!$X$12</f>
        <v>605162.72254960879</v>
      </c>
      <c r="Q58" s="18"/>
      <c r="R58" s="18"/>
      <c r="S58" s="18"/>
      <c r="T58" s="18"/>
      <c r="U58" s="18">
        <f t="shared" ca="1" si="12"/>
        <v>72333216.225846529</v>
      </c>
    </row>
    <row r="59" spans="1:21" x14ac:dyDescent="0.2">
      <c r="A59" s="9">
        <f>'Monthly Data'!A59</f>
        <v>43739</v>
      </c>
      <c r="B59">
        <f t="shared" si="19"/>
        <v>2019</v>
      </c>
      <c r="C59">
        <f t="shared" si="20"/>
        <v>10</v>
      </c>
      <c r="D59" s="30">
        <f>'Monthly Data'!N59</f>
        <v>69595229.193252251</v>
      </c>
      <c r="E59" s="33">
        <f t="shared" ca="1" si="18"/>
        <v>23.589999999999996</v>
      </c>
      <c r="F59" s="33">
        <f t="shared" ca="1" si="18"/>
        <v>36.859999999999992</v>
      </c>
      <c r="G59" s="33">
        <f>'Monthly Data'!AZ59</f>
        <v>10.4</v>
      </c>
      <c r="H59" s="33">
        <f>'Monthly Data'!AW59</f>
        <v>15.999999999999998</v>
      </c>
      <c r="I59" s="31">
        <f>'Monthly Data'!BS59</f>
        <v>58</v>
      </c>
      <c r="J59" s="33">
        <f>'Monthly Data'!BO59</f>
        <v>0</v>
      </c>
      <c r="K59" s="33">
        <f>'Monthly Data'!BT59</f>
        <v>31</v>
      </c>
      <c r="L59" s="13">
        <f>'Monthly Data'!AK59</f>
        <v>137.30000000000018</v>
      </c>
      <c r="N59" s="18"/>
      <c r="O59" s="18">
        <f ca="1">(E59-G59)*'GS&gt;50 Predicted Monthly'!$X$11</f>
        <v>240529.40358410438</v>
      </c>
      <c r="P59" s="18">
        <f ca="1">(F59-H59)*'GS&gt;50 Predicted Monthly'!$X$12</f>
        <v>978580.96064998896</v>
      </c>
      <c r="Q59" s="18"/>
      <c r="R59" s="18"/>
      <c r="S59" s="18"/>
      <c r="T59" s="18"/>
      <c r="U59" s="18">
        <f t="shared" ca="1" si="12"/>
        <v>70814339.55748634</v>
      </c>
    </row>
    <row r="60" spans="1:21" x14ac:dyDescent="0.2">
      <c r="A60" s="9">
        <f>'Monthly Data'!A60</f>
        <v>43770</v>
      </c>
      <c r="B60">
        <f t="shared" si="19"/>
        <v>2019</v>
      </c>
      <c r="C60">
        <f t="shared" si="20"/>
        <v>11</v>
      </c>
      <c r="D60" s="30">
        <f>'Monthly Data'!N60</f>
        <v>70061546.883207574</v>
      </c>
      <c r="E60" s="33">
        <f t="shared" ca="1" si="18"/>
        <v>134.25000000000003</v>
      </c>
      <c r="F60" s="33">
        <f t="shared" ca="1" si="18"/>
        <v>3.410000000000001</v>
      </c>
      <c r="G60" s="33">
        <f>'Monthly Data'!AZ60</f>
        <v>224.00000000000006</v>
      </c>
      <c r="H60" s="33">
        <f>'Monthly Data'!AW60</f>
        <v>0</v>
      </c>
      <c r="I60" s="31">
        <f>'Monthly Data'!BS60</f>
        <v>59</v>
      </c>
      <c r="J60" s="33">
        <f>'Monthly Data'!BO60</f>
        <v>0</v>
      </c>
      <c r="K60" s="33">
        <f>'Monthly Data'!BT60</f>
        <v>30</v>
      </c>
      <c r="L60" s="13">
        <f>'Monthly Data'!AK60</f>
        <v>130.90000000000009</v>
      </c>
      <c r="N60" s="18"/>
      <c r="O60" s="18">
        <f ca="1">(E60-G60)*'GS&gt;50 Predicted Monthly'!$X$11</f>
        <v>-1636657.61726106</v>
      </c>
      <c r="P60" s="18">
        <f ca="1">(F60-H60)*'GS&gt;50 Predicted Monthly'!$X$12</f>
        <v>159969.37084450931</v>
      </c>
      <c r="Q60" s="18"/>
      <c r="R60" s="18"/>
      <c r="S60" s="18"/>
      <c r="T60" s="18"/>
      <c r="U60" s="18">
        <f t="shared" ca="1" si="12"/>
        <v>68584858.636791021</v>
      </c>
    </row>
    <row r="61" spans="1:21" x14ac:dyDescent="0.2">
      <c r="A61" s="9">
        <f>'Monthly Data'!A61</f>
        <v>43800</v>
      </c>
      <c r="B61">
        <f t="shared" si="19"/>
        <v>2019</v>
      </c>
      <c r="C61">
        <f t="shared" si="20"/>
        <v>12</v>
      </c>
      <c r="D61" s="30">
        <f>'Monthly Data'!N61</f>
        <v>70940575.573162898</v>
      </c>
      <c r="E61" s="33">
        <f t="shared" ca="1" si="18"/>
        <v>262.99</v>
      </c>
      <c r="F61" s="33">
        <f t="shared" ca="1" si="18"/>
        <v>0</v>
      </c>
      <c r="G61" s="33">
        <f>'Monthly Data'!AZ61</f>
        <v>272.40000000000003</v>
      </c>
      <c r="H61" s="33">
        <f>'Monthly Data'!AW61</f>
        <v>0</v>
      </c>
      <c r="I61" s="31">
        <f>'Monthly Data'!BS61</f>
        <v>60</v>
      </c>
      <c r="J61" s="33">
        <f>'Monthly Data'!BO61</f>
        <v>1</v>
      </c>
      <c r="K61" s="33">
        <f>'Monthly Data'!BT61</f>
        <v>31</v>
      </c>
      <c r="L61" s="13">
        <f>'Monthly Data'!AK61</f>
        <v>120.19999999999982</v>
      </c>
      <c r="N61" s="18"/>
      <c r="O61" s="18">
        <f ca="1">(E61-G61)*'GS&gt;50 Predicted Monthly'!$X$11</f>
        <v>-171598.30839472546</v>
      </c>
      <c r="P61" s="18">
        <f ca="1">(F61-H61)*'GS&gt;50 Predicted Monthly'!$X$12</f>
        <v>0</v>
      </c>
      <c r="Q61" s="18"/>
      <c r="R61" s="18"/>
      <c r="S61" s="18"/>
      <c r="T61" s="18"/>
      <c r="U61" s="18">
        <f t="shared" ca="1" si="12"/>
        <v>70768977.264768168</v>
      </c>
    </row>
    <row r="62" spans="1:21" x14ac:dyDescent="0.2">
      <c r="A62" s="9">
        <f>'Monthly Data'!A62</f>
        <v>43831</v>
      </c>
      <c r="B62">
        <f t="shared" si="19"/>
        <v>2020</v>
      </c>
      <c r="C62">
        <f t="shared" si="20"/>
        <v>1</v>
      </c>
      <c r="D62" s="30">
        <f>'Monthly Data'!N62</f>
        <v>76432025.257973492</v>
      </c>
      <c r="E62" s="33">
        <f t="shared" ca="1" si="18"/>
        <v>384.56000000000006</v>
      </c>
      <c r="F62" s="33">
        <f t="shared" ca="1" si="18"/>
        <v>0</v>
      </c>
      <c r="G62" s="33">
        <f>'Monthly Data'!AZ62</f>
        <v>303.8</v>
      </c>
      <c r="H62" s="33">
        <f>'Monthly Data'!AW62</f>
        <v>0</v>
      </c>
      <c r="I62" s="31">
        <f>'Monthly Data'!BS62</f>
        <v>61</v>
      </c>
      <c r="J62" s="33">
        <f>'Monthly Data'!BO62</f>
        <v>0</v>
      </c>
      <c r="K62" s="33">
        <f>'Monthly Data'!BT62</f>
        <v>31</v>
      </c>
      <c r="L62" s="13">
        <f>'Monthly Data'!AK62</f>
        <v>141.59999999999991</v>
      </c>
      <c r="N62" s="18"/>
      <c r="O62" s="18">
        <f ca="1">(E62-G62)*'GS&gt;50 Predicted Monthly'!$X$11</f>
        <v>1472718.3194429332</v>
      </c>
      <c r="P62" s="18">
        <f ca="1">(F62-H62)*'GS&gt;50 Predicted Monthly'!$X$12</f>
        <v>0</v>
      </c>
      <c r="Q62" s="18"/>
      <c r="R62" s="18"/>
      <c r="S62" s="18"/>
      <c r="T62" s="18"/>
      <c r="U62" s="18">
        <f t="shared" ca="1" si="12"/>
        <v>77904743.57741642</v>
      </c>
    </row>
    <row r="63" spans="1:21" x14ac:dyDescent="0.2">
      <c r="A63" s="9">
        <f>'Monthly Data'!A63</f>
        <v>43862</v>
      </c>
      <c r="B63">
        <f t="shared" si="19"/>
        <v>2020</v>
      </c>
      <c r="C63">
        <f t="shared" si="20"/>
        <v>2</v>
      </c>
      <c r="D63" s="30">
        <f>'Monthly Data'!N63</f>
        <v>71230216.188582152</v>
      </c>
      <c r="E63" s="33">
        <f t="shared" ca="1" si="18"/>
        <v>338.02</v>
      </c>
      <c r="F63" s="33">
        <f t="shared" ca="1" si="18"/>
        <v>0</v>
      </c>
      <c r="G63" s="33">
        <f>'Monthly Data'!AZ63</f>
        <v>329.2</v>
      </c>
      <c r="H63" s="33">
        <f>'Monthly Data'!AW63</f>
        <v>0</v>
      </c>
      <c r="I63" s="31">
        <f>'Monthly Data'!BS63</f>
        <v>62</v>
      </c>
      <c r="J63" s="33">
        <f>'Monthly Data'!BO63</f>
        <v>0</v>
      </c>
      <c r="K63" s="33">
        <f>'Monthly Data'!BT63</f>
        <v>29</v>
      </c>
      <c r="L63" s="13">
        <f>'Monthly Data'!AK63</f>
        <v>130.59999999999991</v>
      </c>
      <c r="N63" s="18"/>
      <c r="O63" s="18">
        <f ca="1">(E63-G63)*'GS&gt;50 Predicted Monthly'!$X$11</f>
        <v>160839.22210855191</v>
      </c>
      <c r="P63" s="18">
        <f ca="1">(F63-H63)*'GS&gt;50 Predicted Monthly'!$X$12</f>
        <v>0</v>
      </c>
      <c r="Q63" s="18"/>
      <c r="R63" s="18"/>
      <c r="S63" s="18"/>
      <c r="T63" s="18"/>
      <c r="U63" s="18">
        <f t="shared" ca="1" si="12"/>
        <v>71391055.41069071</v>
      </c>
    </row>
    <row r="64" spans="1:21" x14ac:dyDescent="0.2">
      <c r="A64" s="9">
        <f>'Monthly Data'!A64</f>
        <v>43891</v>
      </c>
      <c r="B64">
        <f t="shared" si="19"/>
        <v>2020</v>
      </c>
      <c r="C64">
        <f t="shared" si="20"/>
        <v>3</v>
      </c>
      <c r="D64" s="30">
        <f>'Monthly Data'!N64</f>
        <v>71001661.119190797</v>
      </c>
      <c r="E64" s="33">
        <f t="shared" ca="1" si="18"/>
        <v>252.67</v>
      </c>
      <c r="F64" s="33">
        <f t="shared" ca="1" si="18"/>
        <v>0</v>
      </c>
      <c r="G64" s="33">
        <f>'Monthly Data'!AZ64</f>
        <v>195.30000000000007</v>
      </c>
      <c r="H64" s="33">
        <f>'Monthly Data'!AW64</f>
        <v>0</v>
      </c>
      <c r="I64" s="31">
        <f>'Monthly Data'!BS64</f>
        <v>63</v>
      </c>
      <c r="J64" s="33">
        <f>'Monthly Data'!BO64</f>
        <v>0</v>
      </c>
      <c r="K64" s="33">
        <f>'Monthly Data'!BT64</f>
        <v>31</v>
      </c>
      <c r="L64" s="13">
        <f>'Monthly Data'!AK64</f>
        <v>34.400000000000091</v>
      </c>
      <c r="N64" s="18"/>
      <c r="O64" s="18">
        <f ca="1">(E64-G64)*'GS&gt;50 Predicted Monthly'!$X$11</f>
        <v>1046184.3732843103</v>
      </c>
      <c r="P64" s="18">
        <f ca="1">(F64-H64)*'GS&gt;50 Predicted Monthly'!$X$12</f>
        <v>0</v>
      </c>
      <c r="Q64" s="18"/>
      <c r="R64" s="18"/>
      <c r="S64" s="18"/>
      <c r="T64" s="18"/>
      <c r="U64" s="18">
        <f t="shared" ca="1" si="12"/>
        <v>72047845.492475107</v>
      </c>
    </row>
    <row r="65" spans="1:21" x14ac:dyDescent="0.2">
      <c r="A65" s="9">
        <f>'Monthly Data'!A65</f>
        <v>43922</v>
      </c>
      <c r="B65">
        <f t="shared" si="19"/>
        <v>2020</v>
      </c>
      <c r="C65">
        <f t="shared" si="20"/>
        <v>4</v>
      </c>
      <c r="D65" s="30">
        <f>'Monthly Data'!N65</f>
        <v>60883665.04979945</v>
      </c>
      <c r="E65" s="33">
        <f t="shared" ca="1" si="18"/>
        <v>112.07000000000001</v>
      </c>
      <c r="F65" s="33">
        <f t="shared" ca="1" si="18"/>
        <v>2.6300000000000003</v>
      </c>
      <c r="G65" s="33">
        <f>'Monthly Data'!AZ65</f>
        <v>121.19999999999999</v>
      </c>
      <c r="H65" s="33">
        <f>'Monthly Data'!AW65</f>
        <v>0</v>
      </c>
      <c r="I65" s="31">
        <f>'Monthly Data'!BS65</f>
        <v>64</v>
      </c>
      <c r="J65" s="33">
        <f>'Monthly Data'!BO65</f>
        <v>0</v>
      </c>
      <c r="K65" s="33">
        <f>'Monthly Data'!BT65</f>
        <v>30</v>
      </c>
      <c r="L65" s="13">
        <f>'Monthly Data'!AK65</f>
        <v>-184.10000000000036</v>
      </c>
      <c r="N65" s="18"/>
      <c r="O65" s="18">
        <f ca="1">(E65-G65)*'GS&gt;50 Predicted Monthly'!$X$11</f>
        <v>-166492.30134365952</v>
      </c>
      <c r="P65" s="18">
        <f ca="1">(F65-H65)*'GS&gt;50 Predicted Monthly'!$X$12</f>
        <v>123378.13645778869</v>
      </c>
      <c r="Q65" s="18"/>
      <c r="R65" s="18"/>
      <c r="S65" s="18"/>
      <c r="T65" s="18"/>
      <c r="U65" s="18">
        <f t="shared" ca="1" si="12"/>
        <v>60840550.884913579</v>
      </c>
    </row>
    <row r="66" spans="1:21" x14ac:dyDescent="0.2">
      <c r="A66" s="9">
        <f>'Monthly Data'!A66</f>
        <v>43952</v>
      </c>
      <c r="B66">
        <f t="shared" si="19"/>
        <v>2020</v>
      </c>
      <c r="C66">
        <f t="shared" si="20"/>
        <v>5</v>
      </c>
      <c r="D66" s="30">
        <f>'Monthly Data'!N66</f>
        <v>63891673.980408102</v>
      </c>
      <c r="E66" s="33">
        <f t="shared" ref="E66:F81" ca="1" si="21">E54</f>
        <v>19.18</v>
      </c>
      <c r="F66" s="33">
        <f t="shared" ca="1" si="21"/>
        <v>50.489999999999995</v>
      </c>
      <c r="G66" s="33">
        <f>'Monthly Data'!AZ66</f>
        <v>48.400000000000006</v>
      </c>
      <c r="H66" s="33">
        <f>'Monthly Data'!AW66</f>
        <v>35.1</v>
      </c>
      <c r="I66" s="31">
        <f>'Monthly Data'!BS66</f>
        <v>65</v>
      </c>
      <c r="J66" s="33">
        <f>'Monthly Data'!BO66</f>
        <v>0</v>
      </c>
      <c r="K66" s="33">
        <f>'Monthly Data'!BT66</f>
        <v>31</v>
      </c>
      <c r="L66" s="13">
        <f>'Monthly Data'!AK66</f>
        <v>-407.60000000000036</v>
      </c>
      <c r="N66" s="18"/>
      <c r="O66" s="18">
        <f ca="1">(E66-G66)*'GS&gt;50 Predicted Monthly'!$X$11</f>
        <v>-532848.30725758406</v>
      </c>
      <c r="P66" s="18">
        <f ca="1">(F66-H66)*'GS&gt;50 Predicted Monthly'!$X$12</f>
        <v>721973.2015533715</v>
      </c>
      <c r="Q66" s="18"/>
      <c r="R66" s="18"/>
      <c r="S66" s="18"/>
      <c r="T66" s="18"/>
      <c r="U66" s="18">
        <f t="shared" ca="1" si="12"/>
        <v>64080798.874703892</v>
      </c>
    </row>
    <row r="67" spans="1:21" x14ac:dyDescent="0.2">
      <c r="A67" s="9">
        <f>'Monthly Data'!A67</f>
        <v>43983</v>
      </c>
      <c r="B67">
        <f t="shared" si="19"/>
        <v>2020</v>
      </c>
      <c r="C67">
        <f t="shared" si="20"/>
        <v>6</v>
      </c>
      <c r="D67" s="30">
        <f>'Monthly Data'!N67</f>
        <v>70683945.911016747</v>
      </c>
      <c r="E67" s="33">
        <f t="shared" ca="1" si="21"/>
        <v>0</v>
      </c>
      <c r="F67" s="33">
        <f t="shared" ca="1" si="21"/>
        <v>154.05000000000001</v>
      </c>
      <c r="G67" s="33">
        <f>'Monthly Data'!AZ67</f>
        <v>0</v>
      </c>
      <c r="H67" s="33">
        <f>'Monthly Data'!AW67</f>
        <v>182.39999999999995</v>
      </c>
      <c r="I67" s="31">
        <f>'Monthly Data'!BS67</f>
        <v>66</v>
      </c>
      <c r="J67" s="33">
        <f>'Monthly Data'!BO67</f>
        <v>0</v>
      </c>
      <c r="K67" s="33">
        <f>'Monthly Data'!BT67</f>
        <v>30</v>
      </c>
      <c r="L67" s="13">
        <f>'Monthly Data'!AK67</f>
        <v>-482.30000000000018</v>
      </c>
      <c r="N67" s="18"/>
      <c r="O67" s="18">
        <f ca="1">(E67-G67)*'GS&gt;50 Predicted Monthly'!$X$11</f>
        <v>0</v>
      </c>
      <c r="P67" s="18">
        <f ca="1">(F67-H67)*'GS&gt;50 Predicted Monthly'!$X$12</f>
        <v>-1329950.6344404188</v>
      </c>
      <c r="Q67" s="18"/>
      <c r="R67" s="18"/>
      <c r="S67" s="18"/>
      <c r="T67" s="18"/>
      <c r="U67" s="18">
        <f t="shared" ca="1" si="12"/>
        <v>69353995.276576325</v>
      </c>
    </row>
    <row r="68" spans="1:21" x14ac:dyDescent="0.2">
      <c r="A68" s="9">
        <f>'Monthly Data'!A68</f>
        <v>44013</v>
      </c>
      <c r="B68">
        <f t="shared" si="19"/>
        <v>2020</v>
      </c>
      <c r="C68">
        <f t="shared" si="20"/>
        <v>7</v>
      </c>
      <c r="D68" s="30">
        <f>'Monthly Data'!N68</f>
        <v>75739065.841625407</v>
      </c>
      <c r="E68" s="33">
        <f t="shared" ca="1" si="21"/>
        <v>0</v>
      </c>
      <c r="F68" s="33">
        <f t="shared" ca="1" si="21"/>
        <v>267.66999999999996</v>
      </c>
      <c r="G68" s="33">
        <f>'Monthly Data'!AZ68</f>
        <v>0</v>
      </c>
      <c r="H68" s="33">
        <f>'Monthly Data'!AW68</f>
        <v>326.5</v>
      </c>
      <c r="I68" s="31">
        <f>'Monthly Data'!BS68</f>
        <v>67</v>
      </c>
      <c r="J68" s="33">
        <f>'Monthly Data'!BO68</f>
        <v>0</v>
      </c>
      <c r="K68" s="33">
        <f>'Monthly Data'!BT68</f>
        <v>31</v>
      </c>
      <c r="L68" s="13">
        <f>'Monthly Data'!AK68</f>
        <v>-432.80000000000018</v>
      </c>
      <c r="N68" s="18"/>
      <c r="O68" s="18">
        <f ca="1">(E68-G68)*'GS&gt;50 Predicted Monthly'!$X$11</f>
        <v>0</v>
      </c>
      <c r="P68" s="18">
        <f ca="1">(F68-H68)*'GS&gt;50 Predicted Monthly'!$X$12</f>
        <v>-2759823.4858599668</v>
      </c>
      <c r="Q68" s="18"/>
      <c r="R68" s="18"/>
      <c r="S68" s="18"/>
      <c r="T68" s="18"/>
      <c r="U68" s="18">
        <f t="shared" ca="1" si="12"/>
        <v>72979242.355765447</v>
      </c>
    </row>
    <row r="69" spans="1:21" x14ac:dyDescent="0.2">
      <c r="A69" s="9">
        <f>'Monthly Data'!A69</f>
        <v>44044</v>
      </c>
      <c r="B69">
        <f t="shared" si="19"/>
        <v>2020</v>
      </c>
      <c r="C69">
        <f t="shared" si="20"/>
        <v>8</v>
      </c>
      <c r="D69" s="30">
        <f>'Monthly Data'!N69</f>
        <v>75530851.772234052</v>
      </c>
      <c r="E69" s="33">
        <f t="shared" ca="1" si="21"/>
        <v>0</v>
      </c>
      <c r="F69" s="33">
        <f t="shared" ca="1" si="21"/>
        <v>246.315</v>
      </c>
      <c r="G69" s="33">
        <f>'Monthly Data'!AZ69</f>
        <v>0</v>
      </c>
      <c r="H69" s="33">
        <f>'Monthly Data'!AW69</f>
        <v>245.54999999999998</v>
      </c>
      <c r="I69" s="31">
        <f>'Monthly Data'!BS69</f>
        <v>68</v>
      </c>
      <c r="J69" s="33">
        <f>'Monthly Data'!BO69</f>
        <v>0</v>
      </c>
      <c r="K69" s="33">
        <f>'Monthly Data'!BT69</f>
        <v>31</v>
      </c>
      <c r="L69" s="13">
        <f>'Monthly Data'!AK69</f>
        <v>-307.30000000000018</v>
      </c>
      <c r="N69" s="18"/>
      <c r="O69" s="18">
        <f ca="1">(E69-G69)*'GS&gt;50 Predicted Monthly'!$X$11</f>
        <v>0</v>
      </c>
      <c r="P69" s="18">
        <f ca="1">(F69-H69)*'GS&gt;50 Predicted Monthly'!$X$12</f>
        <v>35887.55680236128</v>
      </c>
      <c r="Q69" s="18"/>
      <c r="R69" s="18"/>
      <c r="S69" s="18"/>
      <c r="T69" s="18"/>
      <c r="U69" s="18">
        <f t="shared" ca="1" si="12"/>
        <v>75566739.329036415</v>
      </c>
    </row>
    <row r="70" spans="1:21" x14ac:dyDescent="0.2">
      <c r="A70" s="9">
        <f>'Monthly Data'!A70</f>
        <v>44075</v>
      </c>
      <c r="B70">
        <f t="shared" si="19"/>
        <v>2020</v>
      </c>
      <c r="C70">
        <f t="shared" si="20"/>
        <v>9</v>
      </c>
      <c r="D70" s="30">
        <f>'Monthly Data'!N70</f>
        <v>65350821.702842705</v>
      </c>
      <c r="E70" s="33">
        <f t="shared" ca="1" si="21"/>
        <v>0</v>
      </c>
      <c r="F70" s="33">
        <f t="shared" ca="1" si="21"/>
        <v>146.80000000000001</v>
      </c>
      <c r="G70" s="33">
        <f>'Monthly Data'!AZ70</f>
        <v>0</v>
      </c>
      <c r="H70" s="33">
        <f>'Monthly Data'!AW70</f>
        <v>108.09999999999998</v>
      </c>
      <c r="I70" s="31">
        <f>'Monthly Data'!BS70</f>
        <v>69</v>
      </c>
      <c r="J70" s="33">
        <f>'Monthly Data'!BO70</f>
        <v>0</v>
      </c>
      <c r="K70" s="33">
        <f>'Monthly Data'!BT70</f>
        <v>30</v>
      </c>
      <c r="L70" s="13">
        <f>'Monthly Data'!AK70</f>
        <v>-220</v>
      </c>
      <c r="N70" s="18"/>
      <c r="O70" s="18">
        <f ca="1">(E70-G70)*'GS&gt;50 Predicted Monthly'!$X$11</f>
        <v>0</v>
      </c>
      <c r="P70" s="18">
        <f ca="1">(F70-H70)*'GS&gt;50 Predicted Monthly'!$X$12</f>
        <v>1815488.1676488311</v>
      </c>
      <c r="Q70" s="18"/>
      <c r="R70" s="18"/>
      <c r="S70" s="18"/>
      <c r="T70" s="18"/>
      <c r="U70" s="18">
        <f t="shared" ca="1" si="12"/>
        <v>67166309.870491534</v>
      </c>
    </row>
    <row r="71" spans="1:21" x14ac:dyDescent="0.2">
      <c r="A71" s="9">
        <f>'Monthly Data'!A71</f>
        <v>44105</v>
      </c>
      <c r="B71">
        <f t="shared" si="19"/>
        <v>2020</v>
      </c>
      <c r="C71">
        <f t="shared" si="20"/>
        <v>10</v>
      </c>
      <c r="D71" s="30">
        <f>'Monthly Data'!N71</f>
        <v>63677703.633451357</v>
      </c>
      <c r="E71" s="33">
        <f t="shared" ca="1" si="21"/>
        <v>23.589999999999996</v>
      </c>
      <c r="F71" s="33">
        <f t="shared" ca="1" si="21"/>
        <v>36.859999999999992</v>
      </c>
      <c r="G71" s="33">
        <f>'Monthly Data'!AZ71</f>
        <v>39.5</v>
      </c>
      <c r="H71" s="33">
        <f>'Monthly Data'!AW71</f>
        <v>7.6999999999999993</v>
      </c>
      <c r="I71" s="31">
        <f>'Monthly Data'!BS71</f>
        <v>70</v>
      </c>
      <c r="J71" s="33">
        <f>'Monthly Data'!BO71</f>
        <v>0</v>
      </c>
      <c r="K71" s="33">
        <f>'Monthly Data'!BT71</f>
        <v>31</v>
      </c>
      <c r="L71" s="13">
        <f>'Monthly Data'!AK71</f>
        <v>-113.5</v>
      </c>
      <c r="N71" s="18"/>
      <c r="O71" s="18">
        <f ca="1">(E71-G71)*'GS&gt;50 Predicted Monthly'!$X$11</f>
        <v>-290130.61493730877</v>
      </c>
      <c r="P71" s="18">
        <f ca="1">(F71-H71)*'GS&gt;50 Predicted Monthly'!$X$12</f>
        <v>1367949.2239958621</v>
      </c>
      <c r="Q71" s="18"/>
      <c r="R71" s="18"/>
      <c r="S71" s="18"/>
      <c r="T71" s="18"/>
      <c r="U71" s="18">
        <f t="shared" ca="1" si="12"/>
        <v>64755522.242509916</v>
      </c>
    </row>
    <row r="72" spans="1:21" x14ac:dyDescent="0.2">
      <c r="A72" s="9">
        <f>'Monthly Data'!A72</f>
        <v>44136</v>
      </c>
      <c r="B72">
        <f t="shared" si="19"/>
        <v>2020</v>
      </c>
      <c r="C72">
        <f t="shared" si="20"/>
        <v>11</v>
      </c>
      <c r="D72" s="30">
        <f>'Monthly Data'!N72</f>
        <v>63426058.56406001</v>
      </c>
      <c r="E72" s="33">
        <f t="shared" ca="1" si="21"/>
        <v>134.25000000000003</v>
      </c>
      <c r="F72" s="33">
        <f t="shared" ca="1" si="21"/>
        <v>3.410000000000001</v>
      </c>
      <c r="G72" s="33">
        <f>'Monthly Data'!AZ72</f>
        <v>95.699999999999989</v>
      </c>
      <c r="H72" s="33">
        <f>'Monthly Data'!AW72</f>
        <v>8.6999999999999993</v>
      </c>
      <c r="I72" s="31">
        <f>'Monthly Data'!BS72</f>
        <v>71</v>
      </c>
      <c r="J72" s="33">
        <f>'Monthly Data'!BO72</f>
        <v>0</v>
      </c>
      <c r="K72" s="33">
        <f>'Monthly Data'!BT72</f>
        <v>30</v>
      </c>
      <c r="L72" s="13">
        <f>'Monthly Data'!AK72</f>
        <v>-64.5</v>
      </c>
      <c r="N72" s="18"/>
      <c r="O72" s="18">
        <f ca="1">(E72-G72)*'GS&gt;50 Predicted Monthly'!$X$11</f>
        <v>702987.75649486249</v>
      </c>
      <c r="P72" s="18">
        <f ca="1">(F72-H72)*'GS&gt;50 Predicted Monthly'!$X$12</f>
        <v>-248163.62808429729</v>
      </c>
      <c r="Q72" s="18"/>
      <c r="R72" s="18"/>
      <c r="S72" s="18"/>
      <c r="T72" s="18"/>
      <c r="U72" s="18">
        <f t="shared" ca="1" si="12"/>
        <v>63880882.69247058</v>
      </c>
    </row>
    <row r="73" spans="1:21" x14ac:dyDescent="0.2">
      <c r="A73" s="9">
        <f>'Monthly Data'!A73</f>
        <v>44166</v>
      </c>
      <c r="B73">
        <f t="shared" si="19"/>
        <v>2020</v>
      </c>
      <c r="C73">
        <f t="shared" si="20"/>
        <v>12</v>
      </c>
      <c r="D73" s="30">
        <f>'Monthly Data'!N73</f>
        <v>66367198.494668663</v>
      </c>
      <c r="E73" s="33">
        <f t="shared" ca="1" si="21"/>
        <v>262.99</v>
      </c>
      <c r="F73" s="33">
        <f t="shared" ca="1" si="21"/>
        <v>0</v>
      </c>
      <c r="G73" s="33">
        <f>'Monthly Data'!AZ73</f>
        <v>264.09999999999997</v>
      </c>
      <c r="H73" s="33">
        <f>'Monthly Data'!AW73</f>
        <v>0</v>
      </c>
      <c r="I73" s="31">
        <f>'Monthly Data'!BS73</f>
        <v>72</v>
      </c>
      <c r="J73" s="33">
        <f>'Monthly Data'!BO73</f>
        <v>1</v>
      </c>
      <c r="K73" s="33">
        <f>'Monthly Data'!BT73</f>
        <v>31</v>
      </c>
      <c r="L73" s="13">
        <f>'Monthly Data'!AK73</f>
        <v>-73.199999999999818</v>
      </c>
      <c r="N73" s="18"/>
      <c r="O73" s="18">
        <f ca="1">(E73-G73)*'GS&gt;50 Predicted Monthly'!$X$11</f>
        <v>-20241.670809578889</v>
      </c>
      <c r="P73" s="18">
        <f ca="1">(F73-H73)*'GS&gt;50 Predicted Monthly'!$X$12</f>
        <v>0</v>
      </c>
      <c r="Q73" s="18"/>
      <c r="R73" s="18"/>
      <c r="S73" s="18"/>
      <c r="T73" s="18"/>
      <c r="U73" s="18">
        <f t="shared" ca="1" si="12"/>
        <v>66346956.823859081</v>
      </c>
    </row>
    <row r="74" spans="1:21" x14ac:dyDescent="0.2">
      <c r="A74" s="9">
        <f>'Monthly Data'!A74</f>
        <v>44197</v>
      </c>
      <c r="B74">
        <f t="shared" si="19"/>
        <v>2021</v>
      </c>
      <c r="C74">
        <f t="shared" si="20"/>
        <v>1</v>
      </c>
      <c r="D74" s="30">
        <f>'Monthly Data'!N74</f>
        <v>66761890.620358296</v>
      </c>
      <c r="E74" s="33">
        <f t="shared" ca="1" si="21"/>
        <v>384.56000000000006</v>
      </c>
      <c r="F74" s="33">
        <f t="shared" ca="1" si="21"/>
        <v>0</v>
      </c>
      <c r="G74" s="33">
        <f>'Monthly Data'!AZ74</f>
        <v>337.90000000000009</v>
      </c>
      <c r="H74" s="33">
        <f>'Monthly Data'!AW74</f>
        <v>0</v>
      </c>
      <c r="I74" s="31">
        <f>'Monthly Data'!BS74</f>
        <v>73</v>
      </c>
      <c r="J74" s="33">
        <f>'Monthly Data'!BO74</f>
        <v>0</v>
      </c>
      <c r="K74" s="33">
        <f>'Monthly Data'!BT74</f>
        <v>31</v>
      </c>
      <c r="L74" s="13">
        <f>'Monthly Data'!AK74</f>
        <v>-146.39999999999964</v>
      </c>
      <c r="N74" s="18"/>
      <c r="O74" s="18">
        <f ca="1">(E74-G74)*'GS&gt;50 Predicted Monthly'!$X$11</f>
        <v>850879.6035810695</v>
      </c>
      <c r="P74" s="18">
        <f ca="1">(F74-H74)*'GS&gt;50 Predicted Monthly'!$X$12</f>
        <v>0</v>
      </c>
      <c r="Q74" s="18"/>
      <c r="R74" s="18"/>
      <c r="S74" s="18"/>
      <c r="T74" s="18"/>
      <c r="U74" s="18">
        <f t="shared" ca="1" si="12"/>
        <v>67612770.223939359</v>
      </c>
    </row>
    <row r="75" spans="1:21" x14ac:dyDescent="0.2">
      <c r="A75" s="9">
        <f>'Monthly Data'!A75</f>
        <v>44228</v>
      </c>
      <c r="B75">
        <f t="shared" si="19"/>
        <v>2021</v>
      </c>
      <c r="C75">
        <f t="shared" si="20"/>
        <v>2</v>
      </c>
      <c r="D75" s="30">
        <f>'Monthly Data'!N75</f>
        <v>63358967.919563264</v>
      </c>
      <c r="E75" s="33">
        <f t="shared" ca="1" si="21"/>
        <v>338.02</v>
      </c>
      <c r="F75" s="33">
        <f t="shared" ca="1" si="21"/>
        <v>0</v>
      </c>
      <c r="G75" s="33">
        <f>'Monthly Data'!AZ75</f>
        <v>384.99999999999994</v>
      </c>
      <c r="H75" s="33">
        <f>'Monthly Data'!AW75</f>
        <v>0</v>
      </c>
      <c r="I75" s="31">
        <f>'Monthly Data'!BS75</f>
        <v>74</v>
      </c>
      <c r="J75" s="33">
        <f>'Monthly Data'!BO75</f>
        <v>0</v>
      </c>
      <c r="K75" s="33">
        <f>'Monthly Data'!BT75</f>
        <v>28</v>
      </c>
      <c r="L75" s="13">
        <f>'Monthly Data'!AK75</f>
        <v>-191.30000000000018</v>
      </c>
      <c r="N75" s="18"/>
      <c r="O75" s="18">
        <f ca="1">(E75-G75)*'GS&gt;50 Predicted Monthly'!$X$11</f>
        <v>-856715.0402108581</v>
      </c>
      <c r="P75" s="18">
        <f ca="1">(F75-H75)*'GS&gt;50 Predicted Monthly'!$X$12</f>
        <v>0</v>
      </c>
      <c r="Q75" s="18"/>
      <c r="R75" s="18"/>
      <c r="S75" s="18"/>
      <c r="T75" s="18"/>
      <c r="U75" s="18">
        <f t="shared" ca="1" si="12"/>
        <v>62502252.879352406</v>
      </c>
    </row>
    <row r="76" spans="1:21" x14ac:dyDescent="0.2">
      <c r="A76" s="9">
        <f>'Monthly Data'!A76</f>
        <v>44256</v>
      </c>
      <c r="B76">
        <f t="shared" si="19"/>
        <v>2021</v>
      </c>
      <c r="C76">
        <f t="shared" si="20"/>
        <v>3</v>
      </c>
      <c r="D76" s="30">
        <f>'Monthly Data'!N76</f>
        <v>67520952.218768224</v>
      </c>
      <c r="E76" s="33">
        <f t="shared" ca="1" si="21"/>
        <v>252.67</v>
      </c>
      <c r="F76" s="33">
        <f t="shared" ca="1" si="21"/>
        <v>0</v>
      </c>
      <c r="G76" s="33">
        <f>'Monthly Data'!AZ76</f>
        <v>207.8</v>
      </c>
      <c r="H76" s="33">
        <f>'Monthly Data'!AW76</f>
        <v>0</v>
      </c>
      <c r="I76" s="31">
        <f>'Monthly Data'!BS76</f>
        <v>75</v>
      </c>
      <c r="J76" s="33">
        <f>'Monthly Data'!BO76</f>
        <v>0</v>
      </c>
      <c r="K76" s="33">
        <f>'Monthly Data'!BT76</f>
        <v>31</v>
      </c>
      <c r="L76" s="13">
        <f>'Monthly Data'!AK76</f>
        <v>-110.70000000000027</v>
      </c>
      <c r="N76" s="18"/>
      <c r="O76" s="18">
        <f ca="1">(E76-G76)*'GS&gt;50 Predicted Monthly'!$X$11</f>
        <v>818237.6299331889</v>
      </c>
      <c r="P76" s="18">
        <f ca="1">(F76-H76)*'GS&gt;50 Predicted Monthly'!$X$12</f>
        <v>0</v>
      </c>
      <c r="Q76" s="18"/>
      <c r="R76" s="18"/>
      <c r="S76" s="18"/>
      <c r="T76" s="18"/>
      <c r="U76" s="18">
        <f t="shared" ca="1" si="12"/>
        <v>68339189.848701417</v>
      </c>
    </row>
    <row r="77" spans="1:21" x14ac:dyDescent="0.2">
      <c r="A77" s="9">
        <f>'Monthly Data'!A77</f>
        <v>44287</v>
      </c>
      <c r="B77">
        <f t="shared" si="19"/>
        <v>2021</v>
      </c>
      <c r="C77">
        <f t="shared" si="20"/>
        <v>4</v>
      </c>
      <c r="D77" s="30">
        <f>'Monthly Data'!N77</f>
        <v>60994721.517973185</v>
      </c>
      <c r="E77" s="33">
        <f t="shared" ca="1" si="21"/>
        <v>112.07000000000001</v>
      </c>
      <c r="F77" s="33">
        <f t="shared" ca="1" si="21"/>
        <v>2.6300000000000003</v>
      </c>
      <c r="G77" s="33">
        <f>'Monthly Data'!AZ77</f>
        <v>100.4</v>
      </c>
      <c r="H77" s="33">
        <f>'Monthly Data'!AW77</f>
        <v>0</v>
      </c>
      <c r="I77" s="31">
        <f>'Monthly Data'!BS77</f>
        <v>76</v>
      </c>
      <c r="J77" s="33">
        <f>'Monthly Data'!BO77</f>
        <v>0</v>
      </c>
      <c r="K77" s="33">
        <f>'Monthly Data'!BT77</f>
        <v>30</v>
      </c>
      <c r="L77" s="13">
        <f>'Monthly Data'!AK77</f>
        <v>97</v>
      </c>
      <c r="N77" s="18"/>
      <c r="O77" s="18">
        <f ca="1">(E77-G77)*'GS&gt;50 Predicted Monthly'!$X$11</f>
        <v>212811.079592608</v>
      </c>
      <c r="P77" s="18">
        <f ca="1">(F77-H77)*'GS&gt;50 Predicted Monthly'!$X$12</f>
        <v>123378.13645778869</v>
      </c>
      <c r="Q77" s="18"/>
      <c r="R77" s="18"/>
      <c r="S77" s="18"/>
      <c r="T77" s="18"/>
      <c r="U77" s="18">
        <f t="shared" ca="1" si="12"/>
        <v>61330910.734023578</v>
      </c>
    </row>
    <row r="78" spans="1:21" x14ac:dyDescent="0.2">
      <c r="A78" s="9">
        <f>'Monthly Data'!A78</f>
        <v>44317</v>
      </c>
      <c r="B78">
        <f t="shared" si="19"/>
        <v>2021</v>
      </c>
      <c r="C78">
        <f t="shared" si="20"/>
        <v>5</v>
      </c>
      <c r="D78" s="30">
        <f>'Monthly Data'!N78</f>
        <v>64228014.817178145</v>
      </c>
      <c r="E78" s="33">
        <f t="shared" ca="1" si="21"/>
        <v>19.18</v>
      </c>
      <c r="F78" s="33">
        <f t="shared" ca="1" si="21"/>
        <v>50.489999999999995</v>
      </c>
      <c r="G78" s="33">
        <f>'Monthly Data'!AZ78</f>
        <v>19.300000000000004</v>
      </c>
      <c r="H78" s="33">
        <f>'Monthly Data'!AW78</f>
        <v>53.6</v>
      </c>
      <c r="I78" s="31">
        <f>'Monthly Data'!BS78</f>
        <v>77</v>
      </c>
      <c r="J78" s="33">
        <f>'Monthly Data'!BO78</f>
        <v>0</v>
      </c>
      <c r="K78" s="33">
        <f>'Monthly Data'!BT78</f>
        <v>31</v>
      </c>
      <c r="L78" s="13">
        <f>'Monthly Data'!AK78</f>
        <v>302.90000000000009</v>
      </c>
      <c r="N78" s="18"/>
      <c r="O78" s="18">
        <f ca="1">(E78-G78)*'GS&gt;50 Predicted Monthly'!$X$11</f>
        <v>-2188.288736170859</v>
      </c>
      <c r="P78" s="18">
        <f ca="1">(F78-H78)*'GS&gt;50 Predicted Monthly'!$X$12</f>
        <v>-145895.81915730934</v>
      </c>
      <c r="Q78" s="18"/>
      <c r="R78" s="18"/>
      <c r="S78" s="18"/>
      <c r="T78" s="18"/>
      <c r="U78" s="18">
        <f t="shared" ca="1" si="12"/>
        <v>64079930.709284663</v>
      </c>
    </row>
    <row r="79" spans="1:21" x14ac:dyDescent="0.2">
      <c r="A79" s="9">
        <f>'Monthly Data'!A79</f>
        <v>44348</v>
      </c>
      <c r="B79">
        <f t="shared" si="19"/>
        <v>2021</v>
      </c>
      <c r="C79">
        <f t="shared" si="20"/>
        <v>6</v>
      </c>
      <c r="D79" s="30">
        <f>'Monthly Data'!N79</f>
        <v>73762071.116383106</v>
      </c>
      <c r="E79" s="33">
        <f t="shared" ca="1" si="21"/>
        <v>0</v>
      </c>
      <c r="F79" s="33">
        <f t="shared" ca="1" si="21"/>
        <v>154.05000000000001</v>
      </c>
      <c r="G79" s="33">
        <f>'Monthly Data'!AZ79</f>
        <v>0</v>
      </c>
      <c r="H79" s="33">
        <f>'Monthly Data'!AW79</f>
        <v>209.39999999999995</v>
      </c>
      <c r="I79" s="31">
        <f>'Monthly Data'!BS79</f>
        <v>78</v>
      </c>
      <c r="J79" s="33">
        <f>'Monthly Data'!BO79</f>
        <v>0</v>
      </c>
      <c r="K79" s="33">
        <f>'Monthly Data'!BT79</f>
        <v>30</v>
      </c>
      <c r="L79" s="13">
        <f>'Monthly Data'!AK79</f>
        <v>372.30000000000018</v>
      </c>
      <c r="N79" s="18"/>
      <c r="O79" s="18">
        <f ca="1">(E79-G79)*'GS&gt;50 Predicted Monthly'!$X$11</f>
        <v>0</v>
      </c>
      <c r="P79" s="18">
        <f ca="1">(F79-H79)*'GS&gt;50 Predicted Monthly'!$X$12</f>
        <v>-2596570.2862884393</v>
      </c>
      <c r="Q79" s="18"/>
      <c r="R79" s="18"/>
      <c r="S79" s="18"/>
      <c r="T79" s="18"/>
      <c r="U79" s="18">
        <f t="shared" ca="1" si="12"/>
        <v>71165500.830094665</v>
      </c>
    </row>
    <row r="80" spans="1:21" x14ac:dyDescent="0.2">
      <c r="A80" s="9">
        <f>'Monthly Data'!A80</f>
        <v>44378</v>
      </c>
      <c r="B80">
        <f t="shared" si="19"/>
        <v>2021</v>
      </c>
      <c r="C80">
        <f t="shared" si="20"/>
        <v>7</v>
      </c>
      <c r="D80" s="30">
        <f>'Monthly Data'!N80</f>
        <v>76779118.415588066</v>
      </c>
      <c r="E80" s="33">
        <f t="shared" ca="1" si="21"/>
        <v>0</v>
      </c>
      <c r="F80" s="33">
        <f t="shared" ca="1" si="21"/>
        <v>267.66999999999996</v>
      </c>
      <c r="G80" s="33">
        <f>'Monthly Data'!AZ80</f>
        <v>0</v>
      </c>
      <c r="H80" s="33">
        <f>'Monthly Data'!AW80</f>
        <v>234.5</v>
      </c>
      <c r="I80" s="31">
        <f>'Monthly Data'!BS80</f>
        <v>79</v>
      </c>
      <c r="J80" s="33">
        <f>'Monthly Data'!BO80</f>
        <v>0</v>
      </c>
      <c r="K80" s="33">
        <f>'Monthly Data'!BT80</f>
        <v>31</v>
      </c>
      <c r="L80" s="13">
        <f>'Monthly Data'!AK80</f>
        <v>350.30000000000018</v>
      </c>
      <c r="N80" s="18"/>
      <c r="O80" s="18">
        <f ca="1">(E80-G80)*'GS&gt;50 Predicted Monthly'!$X$11</f>
        <v>0</v>
      </c>
      <c r="P80" s="18">
        <f ca="1">(F80-H80)*'GS&gt;50 Predicted Monthly'!$X$12</f>
        <v>1556065.6982147701</v>
      </c>
      <c r="Q80" s="18"/>
      <c r="R80" s="18"/>
      <c r="S80" s="18"/>
      <c r="T80" s="18"/>
      <c r="U80" s="18">
        <f t="shared" ca="1" si="12"/>
        <v>78335184.113802835</v>
      </c>
    </row>
    <row r="81" spans="1:21" x14ac:dyDescent="0.2">
      <c r="A81" s="9">
        <f>'Monthly Data'!A81</f>
        <v>44409</v>
      </c>
      <c r="B81">
        <f t="shared" si="19"/>
        <v>2021</v>
      </c>
      <c r="C81">
        <f t="shared" si="20"/>
        <v>8</v>
      </c>
      <c r="D81" s="30">
        <f>'Monthly Data'!N81</f>
        <v>82287571.714793041</v>
      </c>
      <c r="E81" s="33">
        <f t="shared" ca="1" si="21"/>
        <v>0</v>
      </c>
      <c r="F81" s="33">
        <f t="shared" ca="1" si="21"/>
        <v>246.315</v>
      </c>
      <c r="G81" s="33">
        <f>'Monthly Data'!AZ81</f>
        <v>0</v>
      </c>
      <c r="H81" s="33">
        <f>'Monthly Data'!AW81</f>
        <v>299.2</v>
      </c>
      <c r="I81" s="31">
        <f>'Monthly Data'!BS81</f>
        <v>80</v>
      </c>
      <c r="J81" s="33">
        <f>'Monthly Data'!BO81</f>
        <v>0</v>
      </c>
      <c r="K81" s="33">
        <f>'Monthly Data'!BT81</f>
        <v>31</v>
      </c>
      <c r="L81" s="13">
        <f>'Monthly Data'!AK81</f>
        <v>294.59999999999991</v>
      </c>
      <c r="N81" s="18"/>
      <c r="O81" s="18">
        <f ca="1">(E81-G81)*'GS&gt;50 Predicted Monthly'!$X$11</f>
        <v>0</v>
      </c>
      <c r="P81" s="18">
        <f ca="1">(F81-H81)*'GS&gt;50 Predicted Monthly'!$X$12</f>
        <v>-2480932.6032586135</v>
      </c>
      <c r="Q81" s="18"/>
      <c r="R81" s="18"/>
      <c r="S81" s="18"/>
      <c r="T81" s="18"/>
      <c r="U81" s="18">
        <f t="shared" ca="1" si="12"/>
        <v>79806639.111534432</v>
      </c>
    </row>
    <row r="82" spans="1:21" x14ac:dyDescent="0.2">
      <c r="A82" s="9">
        <f>'Monthly Data'!A82</f>
        <v>44440</v>
      </c>
      <c r="B82">
        <f t="shared" si="19"/>
        <v>2021</v>
      </c>
      <c r="C82">
        <f t="shared" si="20"/>
        <v>9</v>
      </c>
      <c r="D82" s="30">
        <f>'Monthly Data'!N82</f>
        <v>71607496.013998002</v>
      </c>
      <c r="E82" s="33">
        <f t="shared" ref="E82:F97" ca="1" si="22">E70</f>
        <v>0</v>
      </c>
      <c r="F82" s="33">
        <f t="shared" ca="1" si="22"/>
        <v>146.80000000000001</v>
      </c>
      <c r="G82" s="33">
        <f>'Monthly Data'!AZ82</f>
        <v>0</v>
      </c>
      <c r="H82" s="33">
        <f>'Monthly Data'!AW82</f>
        <v>131.20000000000002</v>
      </c>
      <c r="I82" s="31">
        <f>'Monthly Data'!BS82</f>
        <v>81</v>
      </c>
      <c r="J82" s="33">
        <f>'Monthly Data'!BO82</f>
        <v>0</v>
      </c>
      <c r="K82" s="33">
        <f>'Monthly Data'!BT82</f>
        <v>30</v>
      </c>
      <c r="L82" s="13">
        <f>'Monthly Data'!AK82</f>
        <v>252.09999999999991</v>
      </c>
      <c r="N82" s="18"/>
      <c r="O82" s="18">
        <f ca="1">(E82-G82)*'GS&gt;50 Predicted Monthly'!$X$11</f>
        <v>0</v>
      </c>
      <c r="P82" s="18">
        <f ca="1">(F82-H82)*'GS&gt;50 Predicted Monthly'!$X$12</f>
        <v>731824.68773441168</v>
      </c>
      <c r="Q82" s="18"/>
      <c r="R82" s="18"/>
      <c r="S82" s="18"/>
      <c r="T82" s="18"/>
      <c r="U82" s="18">
        <f t="shared" ca="1" si="12"/>
        <v>72339320.701732412</v>
      </c>
    </row>
    <row r="83" spans="1:21" x14ac:dyDescent="0.2">
      <c r="A83" s="9">
        <f>'Monthly Data'!A83</f>
        <v>44470</v>
      </c>
      <c r="B83">
        <f t="shared" si="19"/>
        <v>2021</v>
      </c>
      <c r="C83">
        <f t="shared" si="20"/>
        <v>10</v>
      </c>
      <c r="D83" s="30">
        <f>'Monthly Data'!N83</f>
        <v>69158586.313202962</v>
      </c>
      <c r="E83" s="33">
        <f t="shared" ca="1" si="22"/>
        <v>23.589999999999996</v>
      </c>
      <c r="F83" s="33">
        <f t="shared" ca="1" si="22"/>
        <v>36.859999999999992</v>
      </c>
      <c r="G83" s="33">
        <f>'Monthly Data'!AZ83</f>
        <v>8.6999999999999993</v>
      </c>
      <c r="H83" s="33">
        <f>'Monthly Data'!AW83</f>
        <v>66.099999999999994</v>
      </c>
      <c r="I83" s="31">
        <f>'Monthly Data'!BS83</f>
        <v>82</v>
      </c>
      <c r="J83" s="33">
        <f>'Monthly Data'!BO83</f>
        <v>0</v>
      </c>
      <c r="K83" s="33">
        <f>'Monthly Data'!BT83</f>
        <v>31</v>
      </c>
      <c r="L83" s="13">
        <f>'Monthly Data'!AK83</f>
        <v>200.59999999999991</v>
      </c>
      <c r="N83" s="18"/>
      <c r="O83" s="18">
        <f ca="1">(E83-G83)*'GS&gt;50 Predicted Monthly'!$X$11</f>
        <v>271530.16067985707</v>
      </c>
      <c r="P83" s="18">
        <f ca="1">(F83-H83)*'GS&gt;50 Predicted Monthly'!$X$12</f>
        <v>-1371702.1711124491</v>
      </c>
      <c r="Q83" s="18"/>
      <c r="R83" s="18"/>
      <c r="S83" s="18"/>
      <c r="T83" s="18"/>
      <c r="U83" s="18">
        <f t="shared" ca="1" si="12"/>
        <v>68058414.302770376</v>
      </c>
    </row>
    <row r="84" spans="1:21" x14ac:dyDescent="0.2">
      <c r="A84" s="9">
        <f>'Monthly Data'!A84</f>
        <v>44501</v>
      </c>
      <c r="B84">
        <f t="shared" si="19"/>
        <v>2021</v>
      </c>
      <c r="C84">
        <f t="shared" si="20"/>
        <v>11</v>
      </c>
      <c r="D84" s="30">
        <f>'Monthly Data'!N84</f>
        <v>69469437.612407923</v>
      </c>
      <c r="E84" s="33">
        <f t="shared" ca="1" si="22"/>
        <v>134.25000000000003</v>
      </c>
      <c r="F84" s="33">
        <f t="shared" ca="1" si="22"/>
        <v>3.410000000000001</v>
      </c>
      <c r="G84" s="33">
        <f>'Monthly Data'!AZ84</f>
        <v>132.00000000000003</v>
      </c>
      <c r="H84" s="33">
        <f>'Monthly Data'!AW84</f>
        <v>0</v>
      </c>
      <c r="I84" s="31">
        <f>'Monthly Data'!BS84</f>
        <v>83</v>
      </c>
      <c r="J84" s="33">
        <f>'Monthly Data'!BO84</f>
        <v>0</v>
      </c>
      <c r="K84" s="33">
        <f>'Monthly Data'!BT84</f>
        <v>30</v>
      </c>
      <c r="L84" s="13">
        <f>'Monthly Data'!AK84</f>
        <v>183.19999999999982</v>
      </c>
      <c r="N84" s="18"/>
      <c r="O84" s="18">
        <f ca="1">(E84-G84)*'GS&gt;50 Predicted Monthly'!$X$11</f>
        <v>41030.413803202049</v>
      </c>
      <c r="P84" s="18">
        <f ca="1">(F84-H84)*'GS&gt;50 Predicted Monthly'!$X$12</f>
        <v>159969.37084450931</v>
      </c>
      <c r="Q84" s="18"/>
      <c r="R84" s="18"/>
      <c r="S84" s="18"/>
      <c r="T84" s="18"/>
      <c r="U84" s="18">
        <f t="shared" ca="1" si="12"/>
        <v>69670437.397055641</v>
      </c>
    </row>
    <row r="85" spans="1:21" x14ac:dyDescent="0.2">
      <c r="A85" s="9">
        <f>'Monthly Data'!A85</f>
        <v>44531</v>
      </c>
      <c r="B85">
        <f t="shared" si="19"/>
        <v>2021</v>
      </c>
      <c r="C85">
        <f t="shared" si="20"/>
        <v>12</v>
      </c>
      <c r="D85" s="30">
        <f>'Monthly Data'!N85</f>
        <v>71198021.911612883</v>
      </c>
      <c r="E85" s="33">
        <f t="shared" ca="1" si="22"/>
        <v>262.99</v>
      </c>
      <c r="F85" s="33">
        <f t="shared" ca="1" si="22"/>
        <v>0</v>
      </c>
      <c r="G85" s="33">
        <f>'Monthly Data'!AZ85</f>
        <v>217.9</v>
      </c>
      <c r="H85" s="33">
        <f>'Monthly Data'!AW85</f>
        <v>0</v>
      </c>
      <c r="I85" s="31">
        <f>'Monthly Data'!BS85</f>
        <v>84</v>
      </c>
      <c r="J85" s="33">
        <f>'Monthly Data'!BO85</f>
        <v>1</v>
      </c>
      <c r="K85" s="33">
        <f>'Monthly Data'!BT85</f>
        <v>31</v>
      </c>
      <c r="L85" s="13">
        <f>'Monthly Data'!AK85</f>
        <v>221.19999999999982</v>
      </c>
      <c r="N85" s="18"/>
      <c r="O85" s="18">
        <f ca="1">(E85-G85)*'GS&gt;50 Predicted Monthly'!$X$11</f>
        <v>822249.49261616915</v>
      </c>
      <c r="P85" s="18">
        <f ca="1">(F85-H85)*'GS&gt;50 Predicted Monthly'!$X$12</f>
        <v>0</v>
      </c>
      <c r="Q85" s="18"/>
      <c r="R85" s="18"/>
      <c r="S85" s="18"/>
      <c r="T85" s="18"/>
      <c r="U85" s="18">
        <f t="shared" ca="1" si="12"/>
        <v>72020271.404229045</v>
      </c>
    </row>
    <row r="86" spans="1:21" x14ac:dyDescent="0.2">
      <c r="A86" s="9">
        <f>'Monthly Data'!A86</f>
        <v>44562</v>
      </c>
      <c r="B86">
        <f t="shared" si="19"/>
        <v>2022</v>
      </c>
      <c r="C86">
        <f t="shared" si="20"/>
        <v>1</v>
      </c>
      <c r="D86" s="30">
        <f>'Monthly Data'!N86</f>
        <v>74478066.188207835</v>
      </c>
      <c r="E86" s="33">
        <f t="shared" ca="1" si="22"/>
        <v>384.56000000000006</v>
      </c>
      <c r="F86" s="33">
        <f t="shared" ca="1" si="22"/>
        <v>0</v>
      </c>
      <c r="G86" s="33">
        <f>'Monthly Data'!AZ86</f>
        <v>500.20000000000005</v>
      </c>
      <c r="H86" s="33">
        <f>'Monthly Data'!AW86</f>
        <v>0</v>
      </c>
      <c r="I86" s="31">
        <f>'Monthly Data'!BS86</f>
        <v>85</v>
      </c>
      <c r="J86" s="33">
        <f>'Monthly Data'!BO86</f>
        <v>0</v>
      </c>
      <c r="K86" s="33">
        <f>'Monthly Data'!BT86</f>
        <v>31</v>
      </c>
      <c r="L86" s="13">
        <f>'Monthly Data'!AK86</f>
        <v>252.19999999999982</v>
      </c>
      <c r="N86" s="18"/>
      <c r="O86" s="18">
        <f ca="1">(E86-G86)*'GS&gt;50 Predicted Monthly'!$X$11</f>
        <v>-2108780.9120899043</v>
      </c>
      <c r="P86" s="18">
        <f ca="1">(F86-H86)*'GS&gt;50 Predicted Monthly'!$X$12</f>
        <v>0</v>
      </c>
      <c r="Q86" s="18"/>
      <c r="R86" s="18"/>
      <c r="S86" s="18"/>
      <c r="T86" s="18"/>
      <c r="U86" s="18">
        <f t="shared" ref="U86:U109" ca="1" si="23">D86+O86+P86</f>
        <v>72369285.276117936</v>
      </c>
    </row>
    <row r="87" spans="1:21" x14ac:dyDescent="0.2">
      <c r="A87" s="9">
        <f>'Monthly Data'!A87</f>
        <v>44593</v>
      </c>
      <c r="B87">
        <f t="shared" si="19"/>
        <v>2022</v>
      </c>
      <c r="C87">
        <f t="shared" si="20"/>
        <v>2</v>
      </c>
      <c r="D87" s="30">
        <f>'Monthly Data'!N87</f>
        <v>67971284.977837473</v>
      </c>
      <c r="E87" s="33">
        <f t="shared" ca="1" si="22"/>
        <v>338.02</v>
      </c>
      <c r="F87" s="33">
        <f t="shared" ca="1" si="22"/>
        <v>0</v>
      </c>
      <c r="G87" s="33">
        <f>'Monthly Data'!AZ87</f>
        <v>352.7</v>
      </c>
      <c r="H87" s="33">
        <f>'Monthly Data'!AW87</f>
        <v>0</v>
      </c>
      <c r="I87" s="31">
        <f>'Monthly Data'!BS87</f>
        <v>86</v>
      </c>
      <c r="J87" s="33">
        <f>'Monthly Data'!BO87</f>
        <v>0</v>
      </c>
      <c r="K87" s="33">
        <f>'Monthly Data'!BT87</f>
        <v>28</v>
      </c>
      <c r="L87" s="13">
        <f>'Monthly Data'!AK87</f>
        <v>286.80000000000018</v>
      </c>
      <c r="N87" s="18"/>
      <c r="O87" s="18">
        <f ca="1">(E87-G87)*'GS&gt;50 Predicted Monthly'!$X$11</f>
        <v>-267700.65539155836</v>
      </c>
      <c r="P87" s="18">
        <f ca="1">(F87-H87)*'GS&gt;50 Predicted Monthly'!$X$12</f>
        <v>0</v>
      </c>
      <c r="Q87" s="18"/>
      <c r="R87" s="18"/>
      <c r="S87" s="18"/>
      <c r="T87" s="18"/>
      <c r="U87" s="18">
        <f t="shared" ca="1" si="23"/>
        <v>67703584.322445914</v>
      </c>
    </row>
    <row r="88" spans="1:21" x14ac:dyDescent="0.2">
      <c r="A88" s="9">
        <f>'Monthly Data'!A88</f>
        <v>44621</v>
      </c>
      <c r="B88">
        <f t="shared" si="19"/>
        <v>2022</v>
      </c>
      <c r="C88">
        <f t="shared" si="20"/>
        <v>3</v>
      </c>
      <c r="D88" s="30">
        <f>'Monthly Data'!N88</f>
        <v>72988414.767467111</v>
      </c>
      <c r="E88" s="33">
        <f t="shared" ca="1" si="22"/>
        <v>252.67</v>
      </c>
      <c r="F88" s="33">
        <f t="shared" ca="1" si="22"/>
        <v>0</v>
      </c>
      <c r="G88" s="33">
        <f>'Monthly Data'!AZ88</f>
        <v>247.89999999999998</v>
      </c>
      <c r="H88" s="33">
        <f>'Monthly Data'!AW88</f>
        <v>0</v>
      </c>
      <c r="I88" s="31">
        <f>'Monthly Data'!BS88</f>
        <v>87</v>
      </c>
      <c r="J88" s="33">
        <f>'Monthly Data'!BO88</f>
        <v>0</v>
      </c>
      <c r="K88" s="33">
        <f>'Monthly Data'!BT88</f>
        <v>31</v>
      </c>
      <c r="L88" s="13">
        <f>'Monthly Data'!AK88</f>
        <v>269.80000000000018</v>
      </c>
      <c r="N88" s="18"/>
      <c r="O88" s="18">
        <f ca="1">(E88-G88)*'GS&gt;50 Predicted Monthly'!$X$11</f>
        <v>86984.477262788525</v>
      </c>
      <c r="P88" s="18">
        <f ca="1">(F88-H88)*'GS&gt;50 Predicted Monthly'!$X$12</f>
        <v>0</v>
      </c>
      <c r="Q88" s="18"/>
      <c r="R88" s="18"/>
      <c r="S88" s="18"/>
      <c r="T88" s="18"/>
      <c r="U88" s="18">
        <f t="shared" ca="1" si="23"/>
        <v>73075399.244729906</v>
      </c>
    </row>
    <row r="89" spans="1:21" x14ac:dyDescent="0.2">
      <c r="A89" s="9">
        <f>'Monthly Data'!A89</f>
        <v>44652</v>
      </c>
      <c r="B89">
        <f t="shared" si="19"/>
        <v>2022</v>
      </c>
      <c r="C89">
        <f t="shared" si="20"/>
        <v>4</v>
      </c>
      <c r="D89" s="30">
        <f>'Monthly Data'!N89</f>
        <v>66254711.557096742</v>
      </c>
      <c r="E89" s="33">
        <f t="shared" ca="1" si="22"/>
        <v>112.07000000000001</v>
      </c>
      <c r="F89" s="33">
        <f t="shared" ca="1" si="22"/>
        <v>2.6300000000000003</v>
      </c>
      <c r="G89" s="33">
        <f>'Monthly Data'!AZ89</f>
        <v>116.39999999999999</v>
      </c>
      <c r="H89" s="33">
        <f>'Monthly Data'!AW89</f>
        <v>0</v>
      </c>
      <c r="I89" s="31">
        <f>'Monthly Data'!BS89</f>
        <v>88</v>
      </c>
      <c r="J89" s="33">
        <f>'Monthly Data'!BO89</f>
        <v>0</v>
      </c>
      <c r="K89" s="33">
        <f>'Monthly Data'!BT89</f>
        <v>30</v>
      </c>
      <c r="L89" s="13">
        <f>'Monthly Data'!AK89</f>
        <v>286.30000000000018</v>
      </c>
      <c r="N89" s="18"/>
      <c r="O89" s="18">
        <f ca="1">(E89-G89)*'GS&gt;50 Predicted Monthly'!$X$11</f>
        <v>-78960.751896828544</v>
      </c>
      <c r="P89" s="18">
        <f ca="1">(F89-H89)*'GS&gt;50 Predicted Monthly'!$X$12</f>
        <v>123378.13645778869</v>
      </c>
      <c r="Q89" s="18"/>
      <c r="R89" s="18"/>
      <c r="S89" s="18"/>
      <c r="T89" s="18"/>
      <c r="U89" s="18">
        <f t="shared" ca="1" si="23"/>
        <v>66299128.9416577</v>
      </c>
    </row>
    <row r="90" spans="1:21" x14ac:dyDescent="0.2">
      <c r="A90" s="9">
        <f>'Monthly Data'!A90</f>
        <v>44682</v>
      </c>
      <c r="B90">
        <f t="shared" si="19"/>
        <v>2022</v>
      </c>
      <c r="C90">
        <f t="shared" si="20"/>
        <v>5</v>
      </c>
      <c r="D90" s="30">
        <f>'Monthly Data'!N90</f>
        <v>70028259.346726373</v>
      </c>
      <c r="E90" s="33">
        <f t="shared" ca="1" si="22"/>
        <v>19.18</v>
      </c>
      <c r="F90" s="33">
        <f t="shared" ca="1" si="22"/>
        <v>50.489999999999995</v>
      </c>
      <c r="G90" s="33">
        <f>'Monthly Data'!AZ90</f>
        <v>13.6</v>
      </c>
      <c r="H90" s="33">
        <f>'Monthly Data'!AW90</f>
        <v>60.3</v>
      </c>
      <c r="I90" s="31">
        <f>'Monthly Data'!BS90</f>
        <v>89</v>
      </c>
      <c r="J90" s="33">
        <f>'Monthly Data'!BO90</f>
        <v>0</v>
      </c>
      <c r="K90" s="33">
        <f>'Monthly Data'!BT90</f>
        <v>31</v>
      </c>
      <c r="L90" s="13">
        <f>'Monthly Data'!AK90</f>
        <v>290</v>
      </c>
      <c r="N90" s="18"/>
      <c r="O90" s="18">
        <f ca="1">(E90-G90)*'GS&gt;50 Predicted Monthly'!$X$11</f>
        <v>101755.42623194108</v>
      </c>
      <c r="P90" s="18">
        <f ca="1">(F90-H90)*'GS&gt;50 Predicted Monthly'!$X$12</f>
        <v>-460205.14017144759</v>
      </c>
      <c r="Q90" s="18"/>
      <c r="R90" s="18"/>
      <c r="S90" s="18"/>
      <c r="T90" s="18"/>
      <c r="U90" s="18">
        <f t="shared" ca="1" si="23"/>
        <v>69669809.632786855</v>
      </c>
    </row>
    <row r="91" spans="1:21" x14ac:dyDescent="0.2">
      <c r="A91" s="9">
        <f>'Monthly Data'!A91</f>
        <v>44713</v>
      </c>
      <c r="B91">
        <f t="shared" si="19"/>
        <v>2022</v>
      </c>
      <c r="C91">
        <f t="shared" si="20"/>
        <v>6</v>
      </c>
      <c r="D91" s="30">
        <f>'Monthly Data'!N91</f>
        <v>73412523.136356011</v>
      </c>
      <c r="E91" s="33">
        <f t="shared" ca="1" si="22"/>
        <v>0</v>
      </c>
      <c r="F91" s="33">
        <f t="shared" ca="1" si="22"/>
        <v>154.05000000000001</v>
      </c>
      <c r="G91" s="33">
        <f>'Monthly Data'!AZ91</f>
        <v>0</v>
      </c>
      <c r="H91" s="33">
        <f>'Monthly Data'!AW91</f>
        <v>154.49999999999994</v>
      </c>
      <c r="I91" s="31">
        <f>'Monthly Data'!BS91</f>
        <v>90</v>
      </c>
      <c r="J91" s="33">
        <f>'Monthly Data'!BO91</f>
        <v>0</v>
      </c>
      <c r="K91" s="33">
        <f>'Monthly Data'!BT91</f>
        <v>30</v>
      </c>
      <c r="L91" s="13">
        <f>'Monthly Data'!AK91</f>
        <v>289</v>
      </c>
      <c r="N91" s="18"/>
      <c r="O91" s="18">
        <f ca="1">(E91-G91)*'GS&gt;50 Predicted Monthly'!$X$11</f>
        <v>0</v>
      </c>
      <c r="P91" s="18">
        <f ca="1">(F91-H91)*'GS&gt;50 Predicted Monthly'!$X$12</f>
        <v>-21110.327530797145</v>
      </c>
      <c r="Q91" s="18"/>
      <c r="R91" s="18"/>
      <c r="S91" s="18"/>
      <c r="T91" s="18"/>
      <c r="U91" s="18">
        <f t="shared" ca="1" si="23"/>
        <v>73391412.80882521</v>
      </c>
    </row>
    <row r="92" spans="1:21" x14ac:dyDescent="0.2">
      <c r="A92" s="9">
        <f>'Monthly Data'!A92</f>
        <v>44743</v>
      </c>
      <c r="B92">
        <f t="shared" si="19"/>
        <v>2022</v>
      </c>
      <c r="C92">
        <f t="shared" si="20"/>
        <v>7</v>
      </c>
      <c r="D92" s="30">
        <f>'Monthly Data'!N92</f>
        <v>77789632.925985634</v>
      </c>
      <c r="E92" s="33">
        <f t="shared" ca="1" si="22"/>
        <v>0</v>
      </c>
      <c r="F92" s="33">
        <f t="shared" ca="1" si="22"/>
        <v>267.66999999999996</v>
      </c>
      <c r="G92" s="33">
        <f>'Monthly Data'!AZ92</f>
        <v>0</v>
      </c>
      <c r="H92" s="33">
        <f>'Monthly Data'!AW92</f>
        <v>260.7</v>
      </c>
      <c r="I92" s="31">
        <f>'Monthly Data'!BS92</f>
        <v>91</v>
      </c>
      <c r="J92" s="33">
        <f>'Monthly Data'!BO92</f>
        <v>0</v>
      </c>
      <c r="K92" s="33">
        <f>'Monthly Data'!BT92</f>
        <v>31</v>
      </c>
      <c r="L92" s="13">
        <f>'Monthly Data'!AK92</f>
        <v>250.90000000000009</v>
      </c>
      <c r="N92" s="18"/>
      <c r="O92" s="18">
        <f ca="1">(E92-G92)*'GS&gt;50 Predicted Monthly'!$X$11</f>
        <v>0</v>
      </c>
      <c r="P92" s="18">
        <f ca="1">(F92-H92)*'GS&gt;50 Predicted Monthly'!$X$12</f>
        <v>326975.51753261726</v>
      </c>
      <c r="Q92" s="18"/>
      <c r="R92" s="18"/>
      <c r="S92" s="18"/>
      <c r="T92" s="18"/>
      <c r="U92" s="18">
        <f t="shared" ca="1" si="23"/>
        <v>78116608.443518251</v>
      </c>
    </row>
    <row r="93" spans="1:21" x14ac:dyDescent="0.2">
      <c r="A93" s="9">
        <f>'Monthly Data'!A93</f>
        <v>44774</v>
      </c>
      <c r="B93">
        <f t="shared" si="19"/>
        <v>2022</v>
      </c>
      <c r="C93">
        <f t="shared" si="20"/>
        <v>8</v>
      </c>
      <c r="D93" s="30">
        <f>'Monthly Data'!N93</f>
        <v>79678316.715615273</v>
      </c>
      <c r="E93" s="33">
        <f t="shared" ca="1" si="22"/>
        <v>0</v>
      </c>
      <c r="F93" s="33">
        <f t="shared" ca="1" si="22"/>
        <v>246.315</v>
      </c>
      <c r="G93" s="33">
        <f>'Monthly Data'!AZ93</f>
        <v>0</v>
      </c>
      <c r="H93" s="33">
        <f>'Monthly Data'!AW93</f>
        <v>256.5</v>
      </c>
      <c r="I93" s="31">
        <f>'Monthly Data'!BS93</f>
        <v>92</v>
      </c>
      <c r="J93" s="33">
        <f>'Monthly Data'!BO93</f>
        <v>0</v>
      </c>
      <c r="K93" s="33">
        <f>'Monthly Data'!BT93</f>
        <v>31</v>
      </c>
      <c r="L93" s="13">
        <f>'Monthly Data'!AK93</f>
        <v>177.30000000000018</v>
      </c>
      <c r="N93" s="18"/>
      <c r="O93" s="18">
        <f ca="1">(E93-G93)*'GS&gt;50 Predicted Monthly'!$X$11</f>
        <v>0</v>
      </c>
      <c r="P93" s="18">
        <f ca="1">(F93-H93)*'GS&gt;50 Predicted Monthly'!$X$12</f>
        <v>-477797.07978044788</v>
      </c>
      <c r="Q93" s="18"/>
      <c r="R93" s="18"/>
      <c r="S93" s="18"/>
      <c r="T93" s="18"/>
      <c r="U93" s="18">
        <f t="shared" ca="1" si="23"/>
        <v>79200519.635834828</v>
      </c>
    </row>
    <row r="94" spans="1:21" x14ac:dyDescent="0.2">
      <c r="A94" s="9">
        <f>'Monthly Data'!A94</f>
        <v>44805</v>
      </c>
      <c r="B94">
        <f t="shared" si="19"/>
        <v>2022</v>
      </c>
      <c r="C94">
        <f t="shared" si="20"/>
        <v>9</v>
      </c>
      <c r="D94" s="30">
        <f>'Monthly Data'!N94</f>
        <v>70692856.505244911</v>
      </c>
      <c r="E94" s="33">
        <f t="shared" ca="1" si="22"/>
        <v>0</v>
      </c>
      <c r="F94" s="33">
        <f t="shared" ca="1" si="22"/>
        <v>146.80000000000001</v>
      </c>
      <c r="G94" s="33">
        <f>'Monthly Data'!AZ94</f>
        <v>0</v>
      </c>
      <c r="H94" s="33">
        <f>'Monthly Data'!AW94</f>
        <v>136.20000000000002</v>
      </c>
      <c r="I94" s="31">
        <f>'Monthly Data'!BS94</f>
        <v>93</v>
      </c>
      <c r="J94" s="33">
        <f>'Monthly Data'!BO94</f>
        <v>0</v>
      </c>
      <c r="K94" s="33">
        <f>'Monthly Data'!BT94</f>
        <v>30</v>
      </c>
      <c r="L94" s="13">
        <f>'Monthly Data'!AK94</f>
        <v>103.10000000000036</v>
      </c>
      <c r="N94" s="18"/>
      <c r="O94" s="18">
        <f ca="1">(E94-G94)*'GS&gt;50 Predicted Monthly'!$X$11</f>
        <v>0</v>
      </c>
      <c r="P94" s="18">
        <f ca="1">(F94-H94)*'GS&gt;50 Predicted Monthly'!$X$12</f>
        <v>497265.49294774118</v>
      </c>
      <c r="Q94" s="18"/>
      <c r="R94" s="18"/>
      <c r="S94" s="18"/>
      <c r="T94" s="18"/>
      <c r="U94" s="18">
        <f t="shared" ca="1" si="23"/>
        <v>71190121.998192653</v>
      </c>
    </row>
    <row r="95" spans="1:21" x14ac:dyDescent="0.2">
      <c r="A95" s="9">
        <f>'Monthly Data'!A95</f>
        <v>44835</v>
      </c>
      <c r="B95">
        <f t="shared" si="19"/>
        <v>2022</v>
      </c>
      <c r="C95">
        <f t="shared" si="20"/>
        <v>10</v>
      </c>
      <c r="D95" s="30">
        <f>'Monthly Data'!N95</f>
        <v>66086004.294874541</v>
      </c>
      <c r="E95" s="33">
        <f t="shared" ca="1" si="22"/>
        <v>23.589999999999996</v>
      </c>
      <c r="F95" s="33">
        <f t="shared" ca="1" si="22"/>
        <v>36.859999999999992</v>
      </c>
      <c r="G95" s="33">
        <f>'Monthly Data'!AZ95</f>
        <v>34.6</v>
      </c>
      <c r="H95" s="33">
        <f>'Monthly Data'!AW95</f>
        <v>12.299999999999999</v>
      </c>
      <c r="I95" s="31">
        <f>'Monthly Data'!BS95</f>
        <v>94</v>
      </c>
      <c r="J95" s="33">
        <f>'Monthly Data'!BO95</f>
        <v>0</v>
      </c>
      <c r="K95" s="33">
        <f>'Monthly Data'!BT95</f>
        <v>31</v>
      </c>
      <c r="L95" s="13">
        <f>'Monthly Data'!AK95</f>
        <v>45</v>
      </c>
      <c r="N95" s="18"/>
      <c r="O95" s="18">
        <f ca="1">(E95-G95)*'GS&gt;50 Predicted Monthly'!$X$11</f>
        <v>-200775.49154366879</v>
      </c>
      <c r="P95" s="18">
        <f ca="1">(F95-H95)*'GS&gt;50 Predicted Monthly'!$X$12</f>
        <v>1152154.7647921252</v>
      </c>
      <c r="Q95" s="18"/>
      <c r="R95" s="18"/>
      <c r="S95" s="18"/>
      <c r="T95" s="18"/>
      <c r="U95" s="18">
        <f t="shared" ca="1" si="23"/>
        <v>67037383.568122998</v>
      </c>
    </row>
    <row r="96" spans="1:21" x14ac:dyDescent="0.2">
      <c r="A96" s="9">
        <f>'Monthly Data'!A96</f>
        <v>44866</v>
      </c>
      <c r="B96">
        <f t="shared" si="19"/>
        <v>2022</v>
      </c>
      <c r="C96">
        <f t="shared" si="20"/>
        <v>11</v>
      </c>
      <c r="D96" s="30">
        <f>'Monthly Data'!N96</f>
        <v>67580147.084504172</v>
      </c>
      <c r="E96" s="33">
        <f t="shared" ca="1" si="22"/>
        <v>134.25000000000003</v>
      </c>
      <c r="F96" s="33">
        <f t="shared" ca="1" si="22"/>
        <v>3.410000000000001</v>
      </c>
      <c r="G96" s="33">
        <f>'Monthly Data'!AZ96</f>
        <v>130.10000000000002</v>
      </c>
      <c r="H96" s="33">
        <f>'Monthly Data'!AW96</f>
        <v>9.6</v>
      </c>
      <c r="I96" s="31">
        <f>'Monthly Data'!BS96</f>
        <v>95</v>
      </c>
      <c r="J96" s="33">
        <f>'Monthly Data'!BO96</f>
        <v>0</v>
      </c>
      <c r="K96" s="33">
        <f>'Monthly Data'!BT96</f>
        <v>30</v>
      </c>
      <c r="L96" s="13">
        <f>'Monthly Data'!AK96</f>
        <v>1</v>
      </c>
      <c r="N96" s="18"/>
      <c r="O96" s="18">
        <f ca="1">(E96-G96)*'GS&gt;50 Predicted Monthly'!$X$11</f>
        <v>75678.318792572769</v>
      </c>
      <c r="P96" s="18">
        <f ca="1">(F96-H96)*'GS&gt;50 Predicted Monthly'!$X$12</f>
        <v>-290384.28314589802</v>
      </c>
      <c r="Q96" s="18"/>
      <c r="R96" s="18"/>
      <c r="S96" s="18"/>
      <c r="T96" s="18"/>
      <c r="U96" s="18">
        <f t="shared" ca="1" si="23"/>
        <v>67365441.120150834</v>
      </c>
    </row>
    <row r="97" spans="1:25" x14ac:dyDescent="0.2">
      <c r="A97" s="9">
        <f>'Monthly Data'!A97</f>
        <v>44896</v>
      </c>
      <c r="B97">
        <f t="shared" si="19"/>
        <v>2022</v>
      </c>
      <c r="C97">
        <f t="shared" si="20"/>
        <v>12</v>
      </c>
      <c r="D97" s="30">
        <f>'Monthly Data'!N97</f>
        <v>69037463.87413381</v>
      </c>
      <c r="E97" s="33">
        <f t="shared" ca="1" si="22"/>
        <v>262.99</v>
      </c>
      <c r="F97" s="33">
        <f t="shared" ca="1" si="22"/>
        <v>0</v>
      </c>
      <c r="G97" s="33">
        <f>'Monthly Data'!AZ97</f>
        <v>275.3</v>
      </c>
      <c r="H97" s="33">
        <f>'Monthly Data'!AW97</f>
        <v>0</v>
      </c>
      <c r="I97" s="31">
        <f>'Monthly Data'!BS97</f>
        <v>96</v>
      </c>
      <c r="J97" s="33">
        <f>'Monthly Data'!BO97</f>
        <v>1</v>
      </c>
      <c r="K97" s="33">
        <f>'Monthly Data'!BT97</f>
        <v>31</v>
      </c>
      <c r="L97" s="13">
        <f>'Monthly Data'!AK97</f>
        <v>-18.699999999999818</v>
      </c>
      <c r="N97" s="18"/>
      <c r="O97" s="18">
        <f ca="1">(E97-G97)*'GS&gt;50 Predicted Monthly'!$X$11</f>
        <v>-224481.95285218547</v>
      </c>
      <c r="P97" s="18">
        <f ca="1">(F97-H97)*'GS&gt;50 Predicted Monthly'!$X$12</f>
        <v>0</v>
      </c>
      <c r="Q97" s="18"/>
      <c r="R97" s="18"/>
      <c r="S97" s="18"/>
      <c r="T97" s="18"/>
      <c r="U97" s="18">
        <f t="shared" ca="1" si="23"/>
        <v>68812981.921281621</v>
      </c>
    </row>
    <row r="98" spans="1:25" x14ac:dyDescent="0.2">
      <c r="A98" s="9">
        <f>'Monthly Data'!A98</f>
        <v>44927</v>
      </c>
      <c r="B98">
        <f t="shared" si="19"/>
        <v>2023</v>
      </c>
      <c r="C98">
        <f t="shared" si="20"/>
        <v>1</v>
      </c>
      <c r="D98" s="30">
        <f>'Monthly Data'!N98</f>
        <v>71676689.947135583</v>
      </c>
      <c r="E98" s="33">
        <f t="shared" ref="E98:F109" ca="1" si="24">E86</f>
        <v>384.56000000000006</v>
      </c>
      <c r="F98" s="33">
        <f t="shared" ca="1" si="24"/>
        <v>0</v>
      </c>
      <c r="G98" s="33">
        <f>'Monthly Data'!AZ98</f>
        <v>291.60000000000002</v>
      </c>
      <c r="H98" s="33">
        <f>'Monthly Data'!AW98</f>
        <v>0</v>
      </c>
      <c r="I98" s="31">
        <f>'Monthly Data'!BS98</f>
        <v>97</v>
      </c>
      <c r="J98" s="33">
        <f>'Monthly Data'!BO98</f>
        <v>0</v>
      </c>
      <c r="K98" s="33">
        <f>'Monthly Data'!BT98</f>
        <v>31</v>
      </c>
      <c r="L98" s="13">
        <f>'Monthly Data'!AK98</f>
        <v>13.199999999999818</v>
      </c>
      <c r="N98" s="18"/>
      <c r="O98" s="18">
        <f ca="1">(E98-G98)*'GS&gt;50 Predicted Monthly'!$X$11</f>
        <v>1695194.3409536285</v>
      </c>
      <c r="P98" s="18">
        <f ca="1">(F98-H98)*'GS&gt;50 Predicted Monthly'!$X$12</f>
        <v>0</v>
      </c>
      <c r="Q98" s="18"/>
      <c r="R98" s="18"/>
      <c r="S98" s="18"/>
      <c r="T98" s="18"/>
      <c r="U98" s="18">
        <f t="shared" ca="1" si="23"/>
        <v>73371884.288089216</v>
      </c>
    </row>
    <row r="99" spans="1:25" x14ac:dyDescent="0.2">
      <c r="A99" s="9">
        <f>'Monthly Data'!A99</f>
        <v>44958</v>
      </c>
      <c r="B99">
        <f t="shared" si="19"/>
        <v>2023</v>
      </c>
      <c r="C99">
        <f t="shared" si="20"/>
        <v>2</v>
      </c>
      <c r="D99" s="30">
        <f>'Monthly Data'!N99</f>
        <v>65932492.269264214</v>
      </c>
      <c r="E99" s="33">
        <f t="shared" ca="1" si="24"/>
        <v>338.02</v>
      </c>
      <c r="F99" s="33">
        <f t="shared" ca="1" si="24"/>
        <v>0</v>
      </c>
      <c r="G99" s="33">
        <f>'Monthly Data'!AZ99</f>
        <v>267.90000000000003</v>
      </c>
      <c r="H99" s="33">
        <f>'Monthly Data'!AW99</f>
        <v>0</v>
      </c>
      <c r="I99" s="31">
        <f>'Monthly Data'!BS99</f>
        <v>98</v>
      </c>
      <c r="J99" s="33">
        <f>'Monthly Data'!BO99</f>
        <v>0</v>
      </c>
      <c r="K99" s="33">
        <f>'Monthly Data'!BT99</f>
        <v>28</v>
      </c>
      <c r="L99" s="13">
        <f>'Monthly Data'!AK99</f>
        <v>45.900000000000091</v>
      </c>
      <c r="N99" s="18"/>
      <c r="O99" s="18">
        <f ca="1">(E99-G99)*'GS&gt;50 Predicted Monthly'!$X$11</f>
        <v>1278690.0515024557</v>
      </c>
      <c r="P99" s="18">
        <f ca="1">(F99-H99)*'GS&gt;50 Predicted Monthly'!$X$12</f>
        <v>0</v>
      </c>
      <c r="Q99" s="18"/>
      <c r="R99" s="18"/>
      <c r="S99" s="18"/>
      <c r="T99" s="18"/>
      <c r="U99" s="18">
        <f t="shared" ca="1" si="23"/>
        <v>67211182.320766672</v>
      </c>
    </row>
    <row r="100" spans="1:25" x14ac:dyDescent="0.2">
      <c r="A100" s="9">
        <f>'Monthly Data'!A100</f>
        <v>44986</v>
      </c>
      <c r="B100">
        <f t="shared" si="19"/>
        <v>2023</v>
      </c>
      <c r="C100">
        <f t="shared" si="20"/>
        <v>3</v>
      </c>
      <c r="D100" s="30">
        <f>'Monthly Data'!N100</f>
        <v>71645382.591392845</v>
      </c>
      <c r="E100" s="33">
        <f t="shared" ca="1" si="24"/>
        <v>252.67</v>
      </c>
      <c r="F100" s="33">
        <f t="shared" ca="1" si="24"/>
        <v>0</v>
      </c>
      <c r="G100" s="33">
        <f>'Monthly Data'!AZ100</f>
        <v>248.40000000000003</v>
      </c>
      <c r="H100" s="33">
        <f>'Monthly Data'!AW100</f>
        <v>0</v>
      </c>
      <c r="I100" s="31">
        <f>'Monthly Data'!BS100</f>
        <v>99</v>
      </c>
      <c r="J100" s="33">
        <f>'Monthly Data'!BO100</f>
        <v>0</v>
      </c>
      <c r="K100" s="33">
        <f>'Monthly Data'!BT100</f>
        <v>31</v>
      </c>
      <c r="L100" s="13">
        <f>'Monthly Data'!AK100</f>
        <v>92.299999999999727</v>
      </c>
      <c r="N100" s="18"/>
      <c r="O100" s="18">
        <f ca="1">(E100-G100)*'GS&gt;50 Predicted Monthly'!$X$11</f>
        <v>77866.607528742592</v>
      </c>
      <c r="P100" s="18">
        <f ca="1">(F100-H100)*'GS&gt;50 Predicted Monthly'!$X$12</f>
        <v>0</v>
      </c>
      <c r="Q100" s="18"/>
      <c r="R100" s="18"/>
      <c r="S100" s="18"/>
      <c r="T100" s="18"/>
      <c r="U100" s="18">
        <f t="shared" ca="1" si="23"/>
        <v>71723249.198921591</v>
      </c>
      <c r="X100" s="18"/>
      <c r="Y100" s="34"/>
    </row>
    <row r="101" spans="1:25" x14ac:dyDescent="0.2">
      <c r="A101" s="9">
        <f>'Monthly Data'!A101</f>
        <v>45017</v>
      </c>
      <c r="B101">
        <f t="shared" si="19"/>
        <v>2023</v>
      </c>
      <c r="C101">
        <f t="shared" si="20"/>
        <v>4</v>
      </c>
      <c r="D101" s="30">
        <f>'Monthly Data'!N101</f>
        <v>64673302.913521484</v>
      </c>
      <c r="E101" s="33">
        <f t="shared" ca="1" si="24"/>
        <v>112.07000000000001</v>
      </c>
      <c r="F101" s="33">
        <f t="shared" ca="1" si="24"/>
        <v>2.6300000000000003</v>
      </c>
      <c r="G101" s="33">
        <f>'Monthly Data'!AZ101</f>
        <v>83.499999999999986</v>
      </c>
      <c r="H101" s="33">
        <f>'Monthly Data'!AW101</f>
        <v>16.100000000000001</v>
      </c>
      <c r="I101" s="31">
        <f>'Monthly Data'!BS101</f>
        <v>100</v>
      </c>
      <c r="J101" s="33">
        <f>'Monthly Data'!BO101</f>
        <v>0</v>
      </c>
      <c r="K101" s="33">
        <f>'Monthly Data'!BT101</f>
        <v>30</v>
      </c>
      <c r="L101" s="13">
        <f>'Monthly Data'!AK101</f>
        <v>85.599999999999909</v>
      </c>
      <c r="N101" s="18"/>
      <c r="O101" s="18">
        <f ca="1">(E101-G101)*'GS&gt;50 Predicted Monthly'!$X$11</f>
        <v>520995.07660332596</v>
      </c>
      <c r="P101" s="18">
        <f ca="1">(F101-H101)*'GS&gt;50 Predicted Monthly'!$X$12</f>
        <v>-631902.47075529036</v>
      </c>
      <c r="Q101" s="18"/>
      <c r="R101" s="18"/>
      <c r="S101" s="18"/>
      <c r="T101" s="18"/>
      <c r="U101" s="18">
        <f t="shared" ca="1" si="23"/>
        <v>64562395.519369513</v>
      </c>
      <c r="X101" s="18"/>
      <c r="Y101" s="34"/>
    </row>
    <row r="102" spans="1:25" x14ac:dyDescent="0.2">
      <c r="A102" s="9">
        <f>'Monthly Data'!A102</f>
        <v>45047</v>
      </c>
      <c r="B102">
        <f t="shared" si="19"/>
        <v>2023</v>
      </c>
      <c r="C102">
        <f t="shared" si="20"/>
        <v>5</v>
      </c>
      <c r="D102" s="30">
        <f>'Monthly Data'!N102</f>
        <v>67530760.235650122</v>
      </c>
      <c r="E102" s="33">
        <f t="shared" ca="1" si="24"/>
        <v>19.18</v>
      </c>
      <c r="F102" s="33">
        <f t="shared" ca="1" si="24"/>
        <v>50.489999999999995</v>
      </c>
      <c r="G102" s="33">
        <f>'Monthly Data'!AZ102</f>
        <v>21.1</v>
      </c>
      <c r="H102" s="33">
        <f>'Monthly Data'!AW102</f>
        <v>45.999999999999993</v>
      </c>
      <c r="I102" s="31">
        <f>'Monthly Data'!BS102</f>
        <v>101</v>
      </c>
      <c r="J102" s="33">
        <f>'Monthly Data'!BO102</f>
        <v>0</v>
      </c>
      <c r="K102" s="33">
        <f>'Monthly Data'!BT102</f>
        <v>31</v>
      </c>
      <c r="L102" s="13">
        <f>'Monthly Data'!AK102</f>
        <v>99.5</v>
      </c>
      <c r="N102" s="18"/>
      <c r="O102" s="18">
        <f ca="1">(E102-G102)*'GS&gt;50 Predicted Monthly'!$X$11</f>
        <v>-35012.619778732449</v>
      </c>
      <c r="P102" s="18">
        <f ca="1">(F102-H102)*'GS&gt;50 Predicted Monthly'!$X$12</f>
        <v>210634.15691843018</v>
      </c>
      <c r="Q102" s="18"/>
      <c r="R102" s="18"/>
      <c r="S102" s="18"/>
      <c r="T102" s="18"/>
      <c r="U102" s="18">
        <f t="shared" ca="1" si="23"/>
        <v>67706381.772789821</v>
      </c>
      <c r="X102" s="18"/>
      <c r="Y102" s="34"/>
    </row>
    <row r="103" spans="1:25" x14ac:dyDescent="0.2">
      <c r="A103" s="9">
        <f>'Monthly Data'!A103</f>
        <v>45078</v>
      </c>
      <c r="B103">
        <f t="shared" si="19"/>
        <v>2023</v>
      </c>
      <c r="C103">
        <f t="shared" si="20"/>
        <v>6</v>
      </c>
      <c r="D103" s="30">
        <f>'Monthly Data'!N103</f>
        <v>70478423.557778746</v>
      </c>
      <c r="E103" s="33">
        <f t="shared" ca="1" si="24"/>
        <v>0</v>
      </c>
      <c r="F103" s="33">
        <f t="shared" ca="1" si="24"/>
        <v>154.05000000000001</v>
      </c>
      <c r="G103" s="33">
        <f>'Monthly Data'!AZ103</f>
        <v>0</v>
      </c>
      <c r="H103" s="33">
        <f>'Monthly Data'!AW103</f>
        <v>153.99999999999994</v>
      </c>
      <c r="I103" s="31">
        <f>'Monthly Data'!BS103</f>
        <v>102</v>
      </c>
      <c r="J103" s="33">
        <f>'Monthly Data'!BO103</f>
        <v>0</v>
      </c>
      <c r="K103" s="33">
        <f>'Monthly Data'!BT103</f>
        <v>30</v>
      </c>
      <c r="L103" s="13">
        <f>'Monthly Data'!AK103</f>
        <v>109.89999999999964</v>
      </c>
      <c r="N103" s="18"/>
      <c r="O103" s="18">
        <f ca="1">(E103-G103)*'GS&gt;50 Predicted Monthly'!$X$11</f>
        <v>0</v>
      </c>
      <c r="P103" s="18">
        <f ca="1">(F103-H103)*'GS&gt;50 Predicted Monthly'!$X$12</f>
        <v>2345.5919478699047</v>
      </c>
      <c r="Q103" s="18"/>
      <c r="R103" s="18"/>
      <c r="S103" s="18"/>
      <c r="T103" s="18"/>
      <c r="U103" s="18">
        <f t="shared" ca="1" si="23"/>
        <v>70480769.149726614</v>
      </c>
      <c r="X103" s="18"/>
      <c r="Y103" s="34"/>
    </row>
    <row r="104" spans="1:25" x14ac:dyDescent="0.2">
      <c r="A104" s="9">
        <f>'Monthly Data'!A104</f>
        <v>45108</v>
      </c>
      <c r="B104">
        <f t="shared" si="19"/>
        <v>2023</v>
      </c>
      <c r="C104">
        <f t="shared" si="20"/>
        <v>7</v>
      </c>
      <c r="D104" s="30">
        <f>'Monthly Data'!N104</f>
        <v>76112982.879907385</v>
      </c>
      <c r="E104" s="33">
        <f t="shared" ca="1" si="24"/>
        <v>0</v>
      </c>
      <c r="F104" s="33">
        <f t="shared" ca="1" si="24"/>
        <v>267.66999999999996</v>
      </c>
      <c r="G104" s="33">
        <f>'Monthly Data'!AZ104</f>
        <v>0</v>
      </c>
      <c r="H104" s="33">
        <f>'Monthly Data'!AW104</f>
        <v>269.50000000000006</v>
      </c>
      <c r="I104" s="31">
        <f>'Monthly Data'!BS104</f>
        <v>103</v>
      </c>
      <c r="J104" s="33">
        <f>'Monthly Data'!BO104</f>
        <v>0</v>
      </c>
      <c r="K104" s="33">
        <f>'Monthly Data'!BT104</f>
        <v>31</v>
      </c>
      <c r="L104" s="13">
        <f>'Monthly Data'!AK104</f>
        <v>116.40000000000009</v>
      </c>
      <c r="N104" s="18"/>
      <c r="O104" s="18">
        <f ca="1">(E104-G104)*'GS&gt;50 Predicted Monthly'!$X$11</f>
        <v>0</v>
      </c>
      <c r="P104" s="18">
        <f ca="1">(F104-H104)*'GS&gt;50 Predicted Monthly'!$X$12</f>
        <v>-85848.66529192598</v>
      </c>
      <c r="Q104" s="18"/>
      <c r="R104" s="18"/>
      <c r="S104" s="18"/>
      <c r="T104" s="18"/>
      <c r="U104" s="18">
        <f t="shared" ca="1" si="23"/>
        <v>76027134.214615464</v>
      </c>
      <c r="X104" s="18"/>
      <c r="Y104" s="34"/>
    </row>
    <row r="105" spans="1:25" x14ac:dyDescent="0.2">
      <c r="A105" s="9">
        <f>'Monthly Data'!A105</f>
        <v>45139</v>
      </c>
      <c r="B105">
        <f t="shared" si="19"/>
        <v>2023</v>
      </c>
      <c r="C105">
        <f t="shared" si="20"/>
        <v>8</v>
      </c>
      <c r="D105" s="30">
        <f>'Monthly Data'!N105</f>
        <v>74128294.202036023</v>
      </c>
      <c r="E105" s="33">
        <f t="shared" ca="1" si="24"/>
        <v>0</v>
      </c>
      <c r="F105" s="33">
        <f t="shared" ca="1" si="24"/>
        <v>246.315</v>
      </c>
      <c r="G105" s="33">
        <f>'Monthly Data'!AZ105</f>
        <v>0</v>
      </c>
      <c r="H105" s="33">
        <f>'Monthly Data'!AW105</f>
        <v>193.8</v>
      </c>
      <c r="I105" s="31">
        <f>'Monthly Data'!BS105</f>
        <v>104</v>
      </c>
      <c r="J105" s="33">
        <f>'Monthly Data'!BO105</f>
        <v>0</v>
      </c>
      <c r="K105" s="33">
        <f>'Monthly Data'!BT105</f>
        <v>31</v>
      </c>
      <c r="L105" s="13">
        <f>'Monthly Data'!AK105</f>
        <v>108</v>
      </c>
      <c r="N105" s="18"/>
      <c r="O105" s="18">
        <f ca="1">(E105-G105)*'GS&gt;50 Predicted Monthly'!$X$11</f>
        <v>0</v>
      </c>
      <c r="P105" s="18">
        <f ca="1">(F105-H105)*'GS&gt;50 Predicted Monthly'!$X$12</f>
        <v>2463575.2228443995</v>
      </c>
      <c r="Q105" s="18"/>
      <c r="R105" s="18"/>
      <c r="S105" s="18"/>
      <c r="T105" s="18"/>
      <c r="U105" s="18">
        <f t="shared" ca="1" si="23"/>
        <v>76591869.424880415</v>
      </c>
      <c r="X105" s="18"/>
      <c r="Y105" s="34"/>
    </row>
    <row r="106" spans="1:25" x14ac:dyDescent="0.2">
      <c r="A106" s="9">
        <f>'Monthly Data'!A106</f>
        <v>45170</v>
      </c>
      <c r="B106">
        <f t="shared" si="19"/>
        <v>2023</v>
      </c>
      <c r="C106">
        <f t="shared" si="20"/>
        <v>9</v>
      </c>
      <c r="D106" s="30">
        <f>'Monthly Data'!N106</f>
        <v>70137255.524164647</v>
      </c>
      <c r="E106" s="33">
        <f t="shared" ca="1" si="24"/>
        <v>0</v>
      </c>
      <c r="F106" s="33">
        <f t="shared" ca="1" si="24"/>
        <v>146.80000000000001</v>
      </c>
      <c r="G106" s="33">
        <f>'Monthly Data'!AZ106</f>
        <v>0</v>
      </c>
      <c r="H106" s="33">
        <f>'Monthly Data'!AW106</f>
        <v>140.60000000000002</v>
      </c>
      <c r="I106" s="31">
        <f>'Monthly Data'!BS106</f>
        <v>105</v>
      </c>
      <c r="J106" s="33">
        <f>'Monthly Data'!BO106</f>
        <v>0</v>
      </c>
      <c r="K106" s="33">
        <f>'Monthly Data'!BT106</f>
        <v>30</v>
      </c>
      <c r="L106" s="13">
        <f>'Monthly Data'!AK106</f>
        <v>114.5</v>
      </c>
      <c r="N106" s="18"/>
      <c r="O106" s="18">
        <f ca="1">(E106-G106)*'GS&gt;50 Predicted Monthly'!$X$11</f>
        <v>0</v>
      </c>
      <c r="P106" s="18">
        <f ca="1">(F106-H106)*'GS&gt;50 Predicted Monthly'!$X$12</f>
        <v>290853.40153547085</v>
      </c>
      <c r="Q106" s="18"/>
      <c r="R106" s="18"/>
      <c r="S106" s="18"/>
      <c r="T106" s="18"/>
      <c r="U106" s="18">
        <f t="shared" ca="1" si="23"/>
        <v>70428108.925700113</v>
      </c>
      <c r="X106" s="18"/>
      <c r="Y106" s="34"/>
    </row>
    <row r="107" spans="1:25" x14ac:dyDescent="0.2">
      <c r="A107" s="9">
        <f>'Monthly Data'!A107</f>
        <v>45200</v>
      </c>
      <c r="B107">
        <f t="shared" si="19"/>
        <v>2023</v>
      </c>
      <c r="C107">
        <f t="shared" si="20"/>
        <v>10</v>
      </c>
      <c r="D107" s="30">
        <f>'Monthly Data'!N107</f>
        <v>68045049.846293285</v>
      </c>
      <c r="E107" s="33">
        <f t="shared" ca="1" si="24"/>
        <v>23.589999999999996</v>
      </c>
      <c r="F107" s="33">
        <f t="shared" ca="1" si="24"/>
        <v>36.859999999999992</v>
      </c>
      <c r="G107" s="33">
        <f>'Monthly Data'!AZ107</f>
        <v>18.100000000000001</v>
      </c>
      <c r="H107" s="33">
        <f>'Monthly Data'!AW107</f>
        <v>55.400000000000006</v>
      </c>
      <c r="I107" s="31">
        <f>'Monthly Data'!BS107</f>
        <v>106</v>
      </c>
      <c r="J107" s="33">
        <f>'Monthly Data'!BO107</f>
        <v>0</v>
      </c>
      <c r="K107" s="33">
        <f>'Monthly Data'!BT107</f>
        <v>31</v>
      </c>
      <c r="L107" s="13">
        <f>'Monthly Data'!AK107</f>
        <v>118.09999999999991</v>
      </c>
      <c r="N107" s="18"/>
      <c r="O107" s="18">
        <f ca="1">(E107-G107)*'GS&gt;50 Predicted Monthly'!$X$11</f>
        <v>100114.20967981291</v>
      </c>
      <c r="P107" s="18">
        <f ca="1">(F107-H107)*'GS&gt;50 Predicted Monthly'!$X$12</f>
        <v>-869745.49426897475</v>
      </c>
      <c r="Q107" s="18"/>
      <c r="R107" s="18"/>
      <c r="S107" s="18"/>
      <c r="T107" s="18"/>
      <c r="U107" s="18">
        <f t="shared" ca="1" si="23"/>
        <v>67275418.561704129</v>
      </c>
      <c r="X107" s="18"/>
      <c r="Y107" s="34"/>
    </row>
    <row r="108" spans="1:25" x14ac:dyDescent="0.2">
      <c r="A108" s="9">
        <f>'Monthly Data'!A108</f>
        <v>45231</v>
      </c>
      <c r="B108">
        <f t="shared" si="19"/>
        <v>2023</v>
      </c>
      <c r="C108">
        <f t="shared" si="20"/>
        <v>11</v>
      </c>
      <c r="D108" s="30">
        <f>'Monthly Data'!N108</f>
        <v>67535164.168421924</v>
      </c>
      <c r="E108" s="33">
        <f t="shared" ca="1" si="24"/>
        <v>134.25000000000003</v>
      </c>
      <c r="F108" s="33">
        <f t="shared" ca="1" si="24"/>
        <v>3.410000000000001</v>
      </c>
      <c r="G108" s="33">
        <f>'Monthly Data'!AZ108</f>
        <v>137.9</v>
      </c>
      <c r="H108" s="33">
        <f>'Monthly Data'!AW108</f>
        <v>0</v>
      </c>
      <c r="I108" s="31">
        <f>'Monthly Data'!BS108</f>
        <v>107</v>
      </c>
      <c r="J108" s="33">
        <f>'Monthly Data'!BO108</f>
        <v>0</v>
      </c>
      <c r="K108" s="33">
        <f>'Monthly Data'!BT108</f>
        <v>30</v>
      </c>
      <c r="L108" s="13">
        <f>'Monthly Data'!AK108</f>
        <v>128.60000000000036</v>
      </c>
      <c r="N108" s="18"/>
      <c r="O108" s="18">
        <f ca="1">(E108-G108)*'GS&gt;50 Predicted Monthly'!$X$11</f>
        <v>-66560.44905852736</v>
      </c>
      <c r="P108" s="18">
        <f ca="1">(F108-H108)*'GS&gt;50 Predicted Monthly'!$X$12</f>
        <v>159969.37084450931</v>
      </c>
      <c r="Q108" s="18"/>
      <c r="R108" s="18"/>
      <c r="S108" s="18"/>
      <c r="T108" s="18"/>
      <c r="U108" s="18">
        <f t="shared" ca="1" si="23"/>
        <v>67628573.090207905</v>
      </c>
      <c r="X108" s="18"/>
      <c r="Y108" s="34"/>
    </row>
    <row r="109" spans="1:25" x14ac:dyDescent="0.2">
      <c r="A109" s="9">
        <f>'Monthly Data'!A109</f>
        <v>45261</v>
      </c>
      <c r="B109">
        <f t="shared" si="19"/>
        <v>2023</v>
      </c>
      <c r="C109">
        <f t="shared" si="20"/>
        <v>12</v>
      </c>
      <c r="D109" s="30">
        <f>'Monthly Data'!N109</f>
        <v>67172872.490550563</v>
      </c>
      <c r="E109" s="33">
        <f t="shared" ca="1" si="24"/>
        <v>262.99</v>
      </c>
      <c r="F109" s="33">
        <f t="shared" ca="1" si="24"/>
        <v>0</v>
      </c>
      <c r="G109" s="33">
        <f>'Monthly Data'!AZ109</f>
        <v>195.20000000000002</v>
      </c>
      <c r="H109" s="33">
        <f>'Monthly Data'!AW109</f>
        <v>0</v>
      </c>
      <c r="I109" s="31">
        <f>'Monthly Data'!BS109</f>
        <v>108</v>
      </c>
      <c r="J109" s="33">
        <f>'Monthly Data'!BO109</f>
        <v>1</v>
      </c>
      <c r="K109" s="33">
        <f>'Monthly Data'!BT109</f>
        <v>31</v>
      </c>
      <c r="L109" s="13">
        <f>'Monthly Data'!AK109</f>
        <v>108.40000000000009</v>
      </c>
      <c r="N109" s="18"/>
      <c r="O109" s="18">
        <f ca="1">(E109-G109)*'GS&gt;50 Predicted Monthly'!$X$11</f>
        <v>1236200.7785418073</v>
      </c>
      <c r="P109" s="18">
        <f ca="1">(F109-H109)*'GS&gt;50 Predicted Monthly'!$X$12</f>
        <v>0</v>
      </c>
      <c r="Q109" s="18"/>
      <c r="R109" s="18"/>
      <c r="S109" s="18"/>
      <c r="T109" s="18"/>
      <c r="U109" s="18">
        <f t="shared" ca="1" si="23"/>
        <v>68409073.269092366</v>
      </c>
      <c r="W109" s="30"/>
      <c r="X109" s="18"/>
      <c r="Y109" s="34"/>
    </row>
    <row r="110" spans="1:25" x14ac:dyDescent="0.2">
      <c r="A110" s="9">
        <f>'Monthly Data'!A110</f>
        <v>45292</v>
      </c>
      <c r="B110">
        <f t="shared" si="19"/>
        <v>2024</v>
      </c>
      <c r="C110">
        <f t="shared" si="20"/>
        <v>1</v>
      </c>
      <c r="D110" s="30">
        <f>'Monthly Data'!N110</f>
        <v>73612400.277207389</v>
      </c>
      <c r="E110" s="33">
        <f t="shared" ref="E110:F110" ca="1" si="25">E98</f>
        <v>384.56000000000006</v>
      </c>
      <c r="F110" s="33">
        <f t="shared" ca="1" si="25"/>
        <v>0</v>
      </c>
      <c r="G110" s="33">
        <f>'Monthly Data'!AZ110</f>
        <v>338.4</v>
      </c>
      <c r="H110" s="33">
        <f>'Monthly Data'!AW110</f>
        <v>0</v>
      </c>
      <c r="I110" s="31">
        <f>'Monthly Data'!BS110</f>
        <v>109</v>
      </c>
      <c r="J110" s="33">
        <f>'Monthly Data'!BO110</f>
        <v>0</v>
      </c>
      <c r="K110" s="33">
        <f>'Monthly Data'!BT110</f>
        <v>31</v>
      </c>
      <c r="L110" s="13">
        <f>'Monthly Data'!AK110</f>
        <v>88.5</v>
      </c>
      <c r="N110" s="18"/>
      <c r="O110" s="18">
        <f ca="1">(E110-G110)*'GS&gt;50 Predicted Monthly'!$X$11</f>
        <v>841761.7338470266</v>
      </c>
      <c r="P110" s="18">
        <f ca="1">(F110-H110)*'GS&gt;50 Predicted Monthly'!$X$12</f>
        <v>0</v>
      </c>
      <c r="Q110" s="18"/>
      <c r="R110" s="18"/>
      <c r="S110" s="18"/>
      <c r="T110" s="18"/>
      <c r="U110" s="18">
        <f t="shared" ref="U110:U117" ca="1" si="26">D110+O110+P110</f>
        <v>74454162.011054412</v>
      </c>
      <c r="W110" s="30"/>
      <c r="X110" s="18"/>
      <c r="Y110" s="34"/>
    </row>
    <row r="111" spans="1:25" x14ac:dyDescent="0.2">
      <c r="A111" s="9">
        <f>'Monthly Data'!A111</f>
        <v>45323</v>
      </c>
      <c r="B111">
        <f t="shared" si="19"/>
        <v>2024</v>
      </c>
      <c r="C111">
        <f t="shared" si="20"/>
        <v>2</v>
      </c>
      <c r="D111" s="30">
        <f>'Monthly Data'!N111</f>
        <v>67426409.722989291</v>
      </c>
      <c r="E111" s="33">
        <f t="shared" ref="E111:F111" ca="1" si="27">E99</f>
        <v>338.02</v>
      </c>
      <c r="F111" s="33">
        <f t="shared" ca="1" si="27"/>
        <v>0</v>
      </c>
      <c r="G111" s="33">
        <f>'Monthly Data'!AZ111</f>
        <v>257.10000000000008</v>
      </c>
      <c r="H111" s="33">
        <f>'Monthly Data'!AW111</f>
        <v>0</v>
      </c>
      <c r="I111" s="31">
        <f>'Monthly Data'!BS111</f>
        <v>110</v>
      </c>
      <c r="J111" s="33">
        <f>'Monthly Data'!BO111</f>
        <v>0</v>
      </c>
      <c r="K111" s="33">
        <f>'Monthly Data'!BT111</f>
        <v>29</v>
      </c>
      <c r="L111" s="13">
        <f>'Monthly Data'!AK111</f>
        <v>61.399999999999636</v>
      </c>
      <c r="N111" s="18"/>
      <c r="O111" s="18">
        <f ca="1">(E111-G111)*'GS&gt;50 Predicted Monthly'!$X$11</f>
        <v>1475636.0377578249</v>
      </c>
      <c r="P111" s="18">
        <f ca="1">(F111-H111)*'GS&gt;50 Predicted Monthly'!$X$12</f>
        <v>0</v>
      </c>
      <c r="Q111" s="18"/>
      <c r="R111" s="18"/>
      <c r="S111" s="18"/>
      <c r="T111" s="18"/>
      <c r="U111" s="18">
        <f t="shared" ca="1" si="26"/>
        <v>68902045.76074712</v>
      </c>
      <c r="W111" s="30"/>
      <c r="X111" s="18"/>
      <c r="Y111" s="34"/>
    </row>
    <row r="112" spans="1:25" x14ac:dyDescent="0.2">
      <c r="A112" s="9">
        <f>'Monthly Data'!A112</f>
        <v>45352</v>
      </c>
      <c r="B112">
        <f t="shared" si="19"/>
        <v>2024</v>
      </c>
      <c r="C112">
        <f t="shared" si="20"/>
        <v>3</v>
      </c>
      <c r="D112" s="30">
        <f>'Monthly Data'!N112</f>
        <v>69526387.418771222</v>
      </c>
      <c r="E112" s="33">
        <f t="shared" ref="E112:F112" ca="1" si="28">E100</f>
        <v>252.67</v>
      </c>
      <c r="F112" s="33">
        <f t="shared" ca="1" si="28"/>
        <v>0</v>
      </c>
      <c r="G112" s="33">
        <f>'Monthly Data'!AZ112</f>
        <v>184.99999999999997</v>
      </c>
      <c r="H112" s="33">
        <f>'Monthly Data'!AW112</f>
        <v>0</v>
      </c>
      <c r="I112" s="31">
        <f>'Monthly Data'!BS112</f>
        <v>111</v>
      </c>
      <c r="J112" s="33">
        <f>'Monthly Data'!BO112</f>
        <v>0</v>
      </c>
      <c r="K112" s="33">
        <f>'Monthly Data'!BT112</f>
        <v>31</v>
      </c>
      <c r="L112" s="13">
        <f>'Monthly Data'!AK112</f>
        <v>38.300000000000182</v>
      </c>
      <c r="N112" s="18"/>
      <c r="O112" s="18">
        <f ca="1">(E112-G112)*'GS&gt;50 Predicted Monthly'!$X$11</f>
        <v>1234012.4898056369</v>
      </c>
      <c r="P112" s="18">
        <f ca="1">(F112-H112)*'GS&gt;50 Predicted Monthly'!$X$12</f>
        <v>0</v>
      </c>
      <c r="Q112" s="18"/>
      <c r="R112" s="18"/>
      <c r="S112" s="18"/>
      <c r="T112" s="18"/>
      <c r="U112" s="18">
        <f t="shared" ca="1" si="26"/>
        <v>70760399.908576861</v>
      </c>
      <c r="W112" s="30"/>
    </row>
    <row r="113" spans="1:24" x14ac:dyDescent="0.2">
      <c r="A113" s="9">
        <f>'Monthly Data'!A113</f>
        <v>45383</v>
      </c>
      <c r="B113">
        <f t="shared" si="19"/>
        <v>2024</v>
      </c>
      <c r="C113">
        <f t="shared" si="20"/>
        <v>4</v>
      </c>
      <c r="D113" s="30">
        <f>'Monthly Data'!N113</f>
        <v>66433277.094553113</v>
      </c>
      <c r="E113" s="33">
        <f t="shared" ref="E113:F113" ca="1" si="29">E101</f>
        <v>112.07000000000001</v>
      </c>
      <c r="F113" s="33">
        <f t="shared" ca="1" si="29"/>
        <v>2.6300000000000003</v>
      </c>
      <c r="G113" s="33">
        <f>'Monthly Data'!AZ113</f>
        <v>70.7</v>
      </c>
      <c r="H113" s="33">
        <f>'Monthly Data'!AW113</f>
        <v>1.0999999999999996</v>
      </c>
      <c r="I113" s="31">
        <f>'Monthly Data'!BS113</f>
        <v>112</v>
      </c>
      <c r="J113" s="33">
        <f>'Monthly Data'!BO113</f>
        <v>0</v>
      </c>
      <c r="K113" s="33">
        <f>'Monthly Data'!BT113</f>
        <v>30</v>
      </c>
      <c r="L113" s="13">
        <f>'Monthly Data'!AK113</f>
        <v>33.200000000000273</v>
      </c>
      <c r="N113" s="18"/>
      <c r="O113" s="18">
        <f ca="1">(E113-G113)*'GS&gt;50 Predicted Monthly'!$X$11</f>
        <v>754412.54179487505</v>
      </c>
      <c r="P113" s="18">
        <f ca="1">(F113-H113)*'GS&gt;50 Predicted Monthly'!$X$12</f>
        <v>71775.113604721206</v>
      </c>
      <c r="Q113" s="18"/>
      <c r="R113" s="18"/>
      <c r="S113" s="18"/>
      <c r="T113" s="18"/>
      <c r="U113" s="18">
        <f t="shared" ca="1" si="26"/>
        <v>67259464.749952719</v>
      </c>
      <c r="W113" s="30"/>
      <c r="X113" s="18"/>
    </row>
    <row r="114" spans="1:24" x14ac:dyDescent="0.2">
      <c r="A114" s="9">
        <f>'Monthly Data'!A114</f>
        <v>45413</v>
      </c>
      <c r="B114">
        <f t="shared" si="19"/>
        <v>2024</v>
      </c>
      <c r="C114">
        <f t="shared" si="20"/>
        <v>5</v>
      </c>
      <c r="D114" s="30">
        <f>'Monthly Data'!N114</f>
        <v>69679780.220335022</v>
      </c>
      <c r="E114" s="33">
        <f t="shared" ref="E114:F114" ca="1" si="30">E102</f>
        <v>19.18</v>
      </c>
      <c r="F114" s="33">
        <f t="shared" ca="1" si="30"/>
        <v>50.489999999999995</v>
      </c>
      <c r="G114" s="33">
        <f>'Monthly Data'!AZ114</f>
        <v>1.8000000000000007</v>
      </c>
      <c r="H114" s="33">
        <f>'Monthly Data'!AW114</f>
        <v>59</v>
      </c>
      <c r="I114" s="31">
        <f>'Monthly Data'!BS114</f>
        <v>113</v>
      </c>
      <c r="J114" s="33">
        <f>'Monthly Data'!BO114</f>
        <v>0</v>
      </c>
      <c r="K114" s="33">
        <f>'Monthly Data'!BT114</f>
        <v>31</v>
      </c>
      <c r="L114" s="13">
        <f>'Monthly Data'!AK114</f>
        <v>42.300000000000182</v>
      </c>
      <c r="N114" s="18"/>
      <c r="O114" s="18">
        <f ca="1">(E114-G114)*'GS&gt;50 Predicted Monthly'!$X$11</f>
        <v>316937.15195540071</v>
      </c>
      <c r="P114" s="18">
        <f ca="1">(F114-H114)*'GS&gt;50 Predicted Monthly'!$X$12</f>
        <v>-399219.74952691339</v>
      </c>
      <c r="Q114" s="18"/>
      <c r="R114" s="18"/>
      <c r="S114" s="18"/>
      <c r="T114" s="18"/>
      <c r="U114" s="18">
        <f t="shared" ca="1" si="26"/>
        <v>69597497.6227635</v>
      </c>
      <c r="W114" s="30"/>
      <c r="X114" s="18"/>
    </row>
    <row r="115" spans="1:24" x14ac:dyDescent="0.2">
      <c r="A115" s="9">
        <f>'Monthly Data'!A115</f>
        <v>45444</v>
      </c>
      <c r="B115">
        <f t="shared" si="19"/>
        <v>2024</v>
      </c>
      <c r="C115">
        <f t="shared" si="20"/>
        <v>6</v>
      </c>
      <c r="D115" s="30">
        <f>'Monthly Data'!N115</f>
        <v>72525274.106116936</v>
      </c>
      <c r="E115" s="33">
        <f t="shared" ref="E115:F115" ca="1" si="31">E103</f>
        <v>0</v>
      </c>
      <c r="F115" s="33">
        <f t="shared" ca="1" si="31"/>
        <v>154.05000000000001</v>
      </c>
      <c r="G115" s="33">
        <f>'Monthly Data'!AZ115</f>
        <v>0</v>
      </c>
      <c r="H115" s="33">
        <f>'Monthly Data'!AW115</f>
        <v>164.40000000000006</v>
      </c>
      <c r="I115" s="31">
        <f>'Monthly Data'!BS115</f>
        <v>114</v>
      </c>
      <c r="J115" s="33">
        <f>'Monthly Data'!BO115</f>
        <v>0</v>
      </c>
      <c r="K115" s="33">
        <f>'Monthly Data'!BT115</f>
        <v>30</v>
      </c>
      <c r="L115" s="13">
        <f>'Monthly Data'!AK115</f>
        <v>42.100000000000364</v>
      </c>
      <c r="N115" s="18"/>
      <c r="O115" s="18">
        <f ca="1">(E115-G115)*'GS&gt;50 Predicted Monthly'!$X$11</f>
        <v>0</v>
      </c>
      <c r="P115" s="18">
        <f ca="1">(F115-H115)*'GS&gt;50 Predicted Monthly'!$X$12</f>
        <v>-485537.53320841031</v>
      </c>
      <c r="Q115" s="18"/>
      <c r="R115" s="18"/>
      <c r="S115" s="18"/>
      <c r="T115" s="18"/>
      <c r="U115" s="18">
        <f t="shared" ca="1" si="26"/>
        <v>72039736.572908521</v>
      </c>
      <c r="W115" s="30"/>
      <c r="X115" s="18"/>
    </row>
    <row r="116" spans="1:24" x14ac:dyDescent="0.2">
      <c r="A116" s="9">
        <v>45474</v>
      </c>
      <c r="B116">
        <f t="shared" ref="B116:B133" si="32">YEAR(A116)</f>
        <v>2024</v>
      </c>
      <c r="C116">
        <f t="shared" ref="C116:C133" si="33">MONTH(A116)</f>
        <v>7</v>
      </c>
      <c r="D116" s="30">
        <f>'Monthly Data'!N116</f>
        <v>79765425.231898844</v>
      </c>
      <c r="E116" s="33">
        <f t="shared" ref="E116:F116" ca="1" si="34">E104</f>
        <v>0</v>
      </c>
      <c r="F116" s="33">
        <f t="shared" ca="1" si="34"/>
        <v>267.66999999999996</v>
      </c>
      <c r="G116" s="33">
        <f>'Monthly Data'!AZ116</f>
        <v>0</v>
      </c>
      <c r="H116" s="33">
        <f>'Monthly Data'!AW116</f>
        <v>261.8</v>
      </c>
      <c r="I116" s="31">
        <f>'Monthly Data'!BS116</f>
        <v>115</v>
      </c>
      <c r="J116" s="33">
        <f>'Monthly Data'!BO116</f>
        <v>0</v>
      </c>
      <c r="K116" s="33">
        <f>'Monthly Data'!BT116</f>
        <v>31</v>
      </c>
      <c r="L116" s="13">
        <f>'Monthly Data'!AK116</f>
        <v>44.399999999999636</v>
      </c>
      <c r="N116" s="18"/>
      <c r="O116" s="18">
        <f ca="1">(E116-G116)*'GS&gt;50 Predicted Monthly'!$X$11</f>
        <v>0</v>
      </c>
      <c r="P116" s="18">
        <f ca="1">(F116-H116)*'GS&gt;50 Predicted Monthly'!$X$12</f>
        <v>275372.49467954872</v>
      </c>
      <c r="Q116" s="18"/>
      <c r="R116" s="18"/>
      <c r="S116" s="18"/>
      <c r="T116" s="18"/>
      <c r="U116" s="18">
        <f t="shared" ca="1" si="26"/>
        <v>80040797.7265784</v>
      </c>
      <c r="W116" s="30"/>
      <c r="X116" s="18"/>
    </row>
    <row r="117" spans="1:24" x14ac:dyDescent="0.2">
      <c r="A117" s="9">
        <v>45505</v>
      </c>
      <c r="B117">
        <f t="shared" si="32"/>
        <v>2024</v>
      </c>
      <c r="C117">
        <f t="shared" si="33"/>
        <v>8</v>
      </c>
      <c r="D117" s="30">
        <f>'Monthly Data'!N117</f>
        <v>77761792.017680764</v>
      </c>
      <c r="E117" s="33">
        <f t="shared" ref="E117:F117" ca="1" si="35">E105</f>
        <v>0</v>
      </c>
      <c r="F117" s="33">
        <f t="shared" ca="1" si="35"/>
        <v>246.315</v>
      </c>
      <c r="G117" s="33">
        <f>'Monthly Data'!AZ117</f>
        <v>0</v>
      </c>
      <c r="H117" s="33">
        <f>'Monthly Data'!AW117</f>
        <v>240.3</v>
      </c>
      <c r="I117" s="31">
        <f>'Monthly Data'!BS117</f>
        <v>116</v>
      </c>
      <c r="J117" s="33">
        <f>'Monthly Data'!BO117</f>
        <v>0</v>
      </c>
      <c r="K117" s="33">
        <f>'Monthly Data'!BT117</f>
        <v>31</v>
      </c>
      <c r="L117" s="13">
        <f>'Monthly Data'!AK117</f>
        <v>51.199999999999818</v>
      </c>
      <c r="N117" s="18"/>
      <c r="O117" s="18">
        <f ca="1">(E117-G117)*'GS&gt;50 Predicted Monthly'!$X$11</f>
        <v>0</v>
      </c>
      <c r="P117" s="18">
        <f ca="1">(F117-H117)*'GS&gt;50 Predicted Monthly'!$X$12</f>
        <v>282174.71132836398</v>
      </c>
      <c r="Q117" s="18"/>
      <c r="R117" s="18"/>
      <c r="S117" s="18"/>
      <c r="T117" s="18"/>
      <c r="U117" s="18">
        <f t="shared" ca="1" si="26"/>
        <v>78043966.729009122</v>
      </c>
      <c r="X117" s="18"/>
    </row>
    <row r="118" spans="1:24" x14ac:dyDescent="0.2">
      <c r="A118" s="9">
        <v>45536</v>
      </c>
      <c r="B118">
        <f t="shared" si="32"/>
        <v>2024</v>
      </c>
      <c r="C118">
        <f t="shared" si="33"/>
        <v>9</v>
      </c>
      <c r="D118" s="30">
        <f>'Monthly Data'!N118</f>
        <v>71569012.573462665</v>
      </c>
      <c r="E118" s="33">
        <f t="shared" ref="E118:F118" ca="1" si="36">E106</f>
        <v>0</v>
      </c>
      <c r="F118" s="33">
        <f t="shared" ca="1" si="36"/>
        <v>146.80000000000001</v>
      </c>
      <c r="G118" s="33">
        <f>'Monthly Data'!AZ118</f>
        <v>0</v>
      </c>
      <c r="H118" s="33">
        <f>'Monthly Data'!AW118</f>
        <v>148.19999999999999</v>
      </c>
      <c r="I118" s="31">
        <f>'Monthly Data'!BS118</f>
        <v>117</v>
      </c>
      <c r="J118" s="33">
        <f>'Monthly Data'!BO118</f>
        <v>0</v>
      </c>
      <c r="K118" s="33">
        <f>'Monthly Data'!BT118</f>
        <v>30</v>
      </c>
      <c r="L118" s="13">
        <f>'Monthly Data'!AK118</f>
        <v>64.399999999999636</v>
      </c>
      <c r="N118" s="18"/>
      <c r="O118" s="18">
        <f ca="1">(E118-G118)*'GS&gt;50 Predicted Monthly'!$X$11</f>
        <v>0</v>
      </c>
      <c r="P118" s="18">
        <f ca="1">(F118-H118)*'GS&gt;50 Predicted Monthly'!$X$12</f>
        <v>-65676.574540266665</v>
      </c>
      <c r="Q118" s="18"/>
      <c r="R118" s="18"/>
      <c r="S118" s="18"/>
      <c r="T118" s="18"/>
      <c r="U118" s="18">
        <f t="shared" ref="U118:U121" ca="1" si="37">D118+O118+P118</f>
        <v>71503335.998922393</v>
      </c>
      <c r="X118" s="18"/>
    </row>
    <row r="119" spans="1:24" x14ac:dyDescent="0.2">
      <c r="A119" s="9">
        <v>45566</v>
      </c>
      <c r="B119">
        <f t="shared" si="32"/>
        <v>2024</v>
      </c>
      <c r="C119">
        <f t="shared" si="33"/>
        <v>10</v>
      </c>
      <c r="D119" s="30">
        <f>'Monthly Data'!N119</f>
        <v>68521516.309244588</v>
      </c>
      <c r="E119" s="33">
        <f t="shared" ref="E119:F119" ca="1" si="38">E107</f>
        <v>23.589999999999996</v>
      </c>
      <c r="F119" s="33">
        <f t="shared" ca="1" si="38"/>
        <v>36.859999999999992</v>
      </c>
      <c r="G119" s="33">
        <f>'Monthly Data'!AZ119</f>
        <v>8.6000000000000014</v>
      </c>
      <c r="H119" s="33">
        <f>'Monthly Data'!AW119</f>
        <v>47.400000000000006</v>
      </c>
      <c r="I119" s="31">
        <f>'Monthly Data'!BS119</f>
        <v>118</v>
      </c>
      <c r="J119" s="33">
        <f>'Monthly Data'!BO119</f>
        <v>0</v>
      </c>
      <c r="K119" s="33">
        <f>'Monthly Data'!BT119</f>
        <v>31</v>
      </c>
      <c r="L119" s="13">
        <f>'Monthly Data'!AK119</f>
        <v>75.800000000000182</v>
      </c>
      <c r="N119" s="18"/>
      <c r="O119" s="18">
        <f ca="1">(E119-G119)*'GS&gt;50 Predicted Monthly'!$X$11</f>
        <v>273353.734626666</v>
      </c>
      <c r="P119" s="18">
        <f ca="1">(F119-H119)*'GS&gt;50 Predicted Monthly'!$X$12</f>
        <v>-494450.78261030203</v>
      </c>
      <c r="Q119" s="18"/>
      <c r="R119" s="18"/>
      <c r="S119" s="18"/>
      <c r="T119" s="18"/>
      <c r="U119" s="18">
        <f t="shared" ca="1" si="37"/>
        <v>68300419.261260957</v>
      </c>
      <c r="X119" s="18"/>
    </row>
    <row r="120" spans="1:24" x14ac:dyDescent="0.2">
      <c r="A120" s="9">
        <v>45597</v>
      </c>
      <c r="B120">
        <f t="shared" si="32"/>
        <v>2024</v>
      </c>
      <c r="C120">
        <f t="shared" si="33"/>
        <v>11</v>
      </c>
      <c r="D120" s="30">
        <f>'Monthly Data'!N120</f>
        <v>66855346.295026518</v>
      </c>
      <c r="E120" s="33">
        <f t="shared" ref="E120:F120" ca="1" si="39">E108</f>
        <v>134.25000000000003</v>
      </c>
      <c r="F120" s="33">
        <f t="shared" ca="1" si="39"/>
        <v>3.410000000000001</v>
      </c>
      <c r="G120" s="33">
        <f>'Monthly Data'!AZ120</f>
        <v>90.7</v>
      </c>
      <c r="H120" s="33">
        <f>'Monthly Data'!AW120</f>
        <v>9.9000000000000021</v>
      </c>
      <c r="I120" s="31">
        <f>'Monthly Data'!BS120</f>
        <v>119</v>
      </c>
      <c r="J120" s="33">
        <f>'Monthly Data'!BO120</f>
        <v>0</v>
      </c>
      <c r="K120" s="33">
        <f>'Monthly Data'!BT120</f>
        <v>30</v>
      </c>
      <c r="L120" s="13">
        <f>'Monthly Data'!AK120</f>
        <v>75.299999999999727</v>
      </c>
      <c r="N120" s="18"/>
      <c r="O120" s="18">
        <f ca="1">(E120-G120)*'GS&gt;50 Predicted Monthly'!$X$11</f>
        <v>794166.45383531123</v>
      </c>
      <c r="P120" s="18">
        <f ca="1">(F120-H120)*'GS&gt;50 Predicted Monthly'!$X$12</f>
        <v>-304457.83483309834</v>
      </c>
      <c r="Q120" s="18"/>
      <c r="R120" s="18"/>
      <c r="S120" s="18"/>
      <c r="T120" s="18"/>
      <c r="U120" s="18">
        <f t="shared" ca="1" si="37"/>
        <v>67345054.914028734</v>
      </c>
      <c r="X120" s="18"/>
    </row>
    <row r="121" spans="1:24" x14ac:dyDescent="0.2">
      <c r="A121" s="9">
        <v>45627</v>
      </c>
      <c r="B121">
        <f t="shared" si="32"/>
        <v>2024</v>
      </c>
      <c r="C121">
        <f t="shared" si="33"/>
        <v>12</v>
      </c>
      <c r="D121" s="30">
        <f>'Monthly Data'!N121</f>
        <v>69388792.820808396</v>
      </c>
      <c r="E121" s="33">
        <f t="shared" ref="E121:F121" ca="1" si="40">E109</f>
        <v>262.99</v>
      </c>
      <c r="F121" s="33">
        <f t="shared" ca="1" si="40"/>
        <v>0</v>
      </c>
      <c r="G121" s="33">
        <f>'Monthly Data'!AZ121</f>
        <v>276.80000000000007</v>
      </c>
      <c r="H121" s="33">
        <f>'Monthly Data'!AW121</f>
        <v>0</v>
      </c>
      <c r="I121" s="31">
        <f>'Monthly Data'!BS121</f>
        <v>120</v>
      </c>
      <c r="J121" s="33">
        <f>'Monthly Data'!BO121</f>
        <v>1</v>
      </c>
      <c r="K121" s="33">
        <f>'Monthly Data'!BT121</f>
        <v>31</v>
      </c>
      <c r="L121" s="13">
        <f>'Monthly Data'!AK121</f>
        <v>94.699999999999818</v>
      </c>
      <c r="N121" s="18"/>
      <c r="O121" s="18">
        <f ca="1">(E121-G121)*'GS&gt;50 Predicted Monthly'!$X$11</f>
        <v>-251835.5620543212</v>
      </c>
      <c r="P121" s="18">
        <f ca="1">(F121-H121)*'GS&gt;50 Predicted Monthly'!$X$12</f>
        <v>0</v>
      </c>
      <c r="Q121" s="18"/>
      <c r="R121" s="18"/>
      <c r="S121" s="18"/>
      <c r="T121" s="18"/>
      <c r="U121" s="18">
        <f t="shared" ca="1" si="37"/>
        <v>69136957.258754075</v>
      </c>
      <c r="X121" s="18"/>
    </row>
    <row r="122" spans="1:24" x14ac:dyDescent="0.2">
      <c r="A122" s="9">
        <v>45658</v>
      </c>
      <c r="B122">
        <f t="shared" si="32"/>
        <v>2025</v>
      </c>
      <c r="C122">
        <f t="shared" si="33"/>
        <v>1</v>
      </c>
      <c r="D122" s="30"/>
      <c r="E122" s="358">
        <f t="shared" ref="E122:F129" ca="1" si="41">E110</f>
        <v>384.56000000000006</v>
      </c>
      <c r="F122" s="358">
        <f t="shared" ca="1" si="41"/>
        <v>0</v>
      </c>
      <c r="G122" s="33"/>
      <c r="H122" s="33"/>
      <c r="I122" s="31">
        <f t="shared" ref="I122:I145" si="42">I121+1</f>
        <v>121</v>
      </c>
      <c r="J122" s="358">
        <f t="shared" ref="J122:J145" si="43">J110</f>
        <v>0</v>
      </c>
      <c r="K122" s="358">
        <f t="shared" ref="K122:K145" si="44">K74</f>
        <v>31</v>
      </c>
      <c r="L122" s="13">
        <f>Economic!R196</f>
        <v>61.236666666666224</v>
      </c>
      <c r="N122" s="18">
        <f>'GS&gt;50 Predicted Monthly'!$X$10</f>
        <v>12654537.4440873</v>
      </c>
      <c r="O122" s="18">
        <f ca="1">E122*'GS&gt;50 Predicted Monthly'!$X$11</f>
        <v>7012735.9698486142</v>
      </c>
      <c r="P122" s="18">
        <f ca="1">F122*'GS&gt;50 Predicted Monthly'!$X$12</f>
        <v>0</v>
      </c>
      <c r="Q122" s="18">
        <f>I122*'GS&gt;50 Predicted Monthly'!$X$13</f>
        <v>-8049249.002395926</v>
      </c>
      <c r="R122" s="18">
        <f>J122*'GS&gt;50 Predicted Monthly'!$X$14</f>
        <v>0</v>
      </c>
      <c r="S122" s="18">
        <f>K122*'GS&gt;50 Predicted Monthly'!$X$15</f>
        <v>59070853.247044139</v>
      </c>
      <c r="T122" s="18">
        <f>L122*'GS&gt;50 Predicted Monthly'!$X$16</f>
        <v>429072.96887142956</v>
      </c>
      <c r="U122" s="18">
        <f t="shared" ref="U122:U133" ca="1" si="45">SUM(N122:T122)</f>
        <v>71117950.627455562</v>
      </c>
      <c r="X122" s="18"/>
    </row>
    <row r="123" spans="1:24" x14ac:dyDescent="0.2">
      <c r="A123" s="9">
        <v>45689</v>
      </c>
      <c r="B123">
        <f t="shared" si="32"/>
        <v>2025</v>
      </c>
      <c r="C123">
        <f t="shared" si="33"/>
        <v>2</v>
      </c>
      <c r="D123" s="30"/>
      <c r="E123" s="358">
        <f t="shared" ca="1" si="41"/>
        <v>338.02</v>
      </c>
      <c r="F123" s="358">
        <f t="shared" ca="1" si="41"/>
        <v>0</v>
      </c>
      <c r="G123" s="33"/>
      <c r="H123" s="33"/>
      <c r="I123" s="31">
        <f t="shared" si="42"/>
        <v>122</v>
      </c>
      <c r="J123" s="358">
        <f t="shared" si="43"/>
        <v>0</v>
      </c>
      <c r="K123" s="358">
        <f t="shared" si="44"/>
        <v>28</v>
      </c>
      <c r="L123" s="13">
        <f>Economic!R197</f>
        <v>61.236666666666224</v>
      </c>
      <c r="N123" s="18">
        <f>'GS&gt;50 Predicted Monthly'!$X$10</f>
        <v>12654537.4440873</v>
      </c>
      <c r="O123" s="18">
        <f ca="1">E123*'GS&gt;50 Predicted Monthly'!$X$11</f>
        <v>6164044.6550037134</v>
      </c>
      <c r="P123" s="18">
        <f ca="1">F123*'GS&gt;50 Predicted Monthly'!$X$12</f>
        <v>0</v>
      </c>
      <c r="Q123" s="18">
        <f>I123*'GS&gt;50 Predicted Monthly'!$X$13</f>
        <v>-8115771.721423992</v>
      </c>
      <c r="R123" s="18">
        <f>J123*'GS&gt;50 Predicted Monthly'!$X$14</f>
        <v>0</v>
      </c>
      <c r="S123" s="18">
        <f>K123*'GS&gt;50 Predicted Monthly'!$X$15</f>
        <v>53354319.061846316</v>
      </c>
      <c r="T123" s="18">
        <f>L123*'GS&gt;50 Predicted Monthly'!$X$16</f>
        <v>429072.96887142956</v>
      </c>
      <c r="U123" s="18">
        <f t="shared" ca="1" si="45"/>
        <v>64486202.40838477</v>
      </c>
      <c r="X123" s="18"/>
    </row>
    <row r="124" spans="1:24" x14ac:dyDescent="0.2">
      <c r="A124" s="9">
        <v>45717</v>
      </c>
      <c r="B124">
        <f t="shared" si="32"/>
        <v>2025</v>
      </c>
      <c r="C124">
        <f t="shared" si="33"/>
        <v>3</v>
      </c>
      <c r="D124" s="30"/>
      <c r="E124" s="358">
        <f t="shared" ca="1" si="41"/>
        <v>252.67</v>
      </c>
      <c r="F124" s="358">
        <f t="shared" ca="1" si="41"/>
        <v>0</v>
      </c>
      <c r="G124" s="33"/>
      <c r="H124" s="33"/>
      <c r="I124" s="31">
        <f t="shared" si="42"/>
        <v>123</v>
      </c>
      <c r="J124" s="358">
        <f t="shared" si="43"/>
        <v>0</v>
      </c>
      <c r="K124" s="358">
        <f t="shared" si="44"/>
        <v>31</v>
      </c>
      <c r="L124" s="13">
        <f>Economic!R198</f>
        <v>61.383333333333212</v>
      </c>
      <c r="N124" s="18">
        <f>'GS&gt;50 Predicted Monthly'!$X$10</f>
        <v>12654537.4440873</v>
      </c>
      <c r="O124" s="18">
        <f ca="1">E124*'GS&gt;50 Predicted Monthly'!$X$11</f>
        <v>4607624.2914022496</v>
      </c>
      <c r="P124" s="18">
        <f ca="1">F124*'GS&gt;50 Predicted Monthly'!$X$12</f>
        <v>0</v>
      </c>
      <c r="Q124" s="18">
        <f>I124*'GS&gt;50 Predicted Monthly'!$X$13</f>
        <v>-8182294.4404520569</v>
      </c>
      <c r="R124" s="18">
        <f>J124*'GS&gt;50 Predicted Monthly'!$X$14</f>
        <v>0</v>
      </c>
      <c r="S124" s="18">
        <f>K124*'GS&gt;50 Predicted Monthly'!$X$15</f>
        <v>59070853.247044139</v>
      </c>
      <c r="T124" s="18">
        <f>L124*'GS&gt;50 Predicted Monthly'!$X$16</f>
        <v>430100.63261485042</v>
      </c>
      <c r="U124" s="18">
        <f t="shared" ca="1" si="45"/>
        <v>68580821.174696475</v>
      </c>
      <c r="X124" s="18"/>
    </row>
    <row r="125" spans="1:24" x14ac:dyDescent="0.2">
      <c r="A125" s="9">
        <v>45748</v>
      </c>
      <c r="B125">
        <f t="shared" si="32"/>
        <v>2025</v>
      </c>
      <c r="C125">
        <f t="shared" si="33"/>
        <v>4</v>
      </c>
      <c r="D125" s="30"/>
      <c r="E125" s="358">
        <f t="shared" ca="1" si="41"/>
        <v>112.07000000000001</v>
      </c>
      <c r="F125" s="358">
        <f t="shared" ca="1" si="41"/>
        <v>2.6300000000000003</v>
      </c>
      <c r="G125" s="33"/>
      <c r="H125" s="33"/>
      <c r="I125" s="31">
        <f t="shared" si="42"/>
        <v>124</v>
      </c>
      <c r="J125" s="358">
        <f t="shared" si="43"/>
        <v>0</v>
      </c>
      <c r="K125" s="358">
        <f t="shared" si="44"/>
        <v>30</v>
      </c>
      <c r="L125" s="13">
        <f>Economic!R199</f>
        <v>61.646666666666533</v>
      </c>
      <c r="N125" s="18">
        <f>'GS&gt;50 Predicted Monthly'!$X$10</f>
        <v>12654537.4440873</v>
      </c>
      <c r="O125" s="18">
        <f ca="1">E125*'GS&gt;50 Predicted Monthly'!$X$11</f>
        <v>2043679.3221888239</v>
      </c>
      <c r="P125" s="18">
        <f ca="1">F125*'GS&gt;50 Predicted Monthly'!$X$12</f>
        <v>123378.13645778869</v>
      </c>
      <c r="Q125" s="18">
        <f>I125*'GS&gt;50 Predicted Monthly'!$X$13</f>
        <v>-8248817.1594801228</v>
      </c>
      <c r="R125" s="18">
        <f>J125*'GS&gt;50 Predicted Monthly'!$X$14</f>
        <v>0</v>
      </c>
      <c r="S125" s="18">
        <f>K125*'GS&gt;50 Predicted Monthly'!$X$15</f>
        <v>57165341.851978198</v>
      </c>
      <c r="T125" s="18">
        <f>L125*'GS&gt;50 Predicted Monthly'!$X$16</f>
        <v>431945.75615417003</v>
      </c>
      <c r="U125" s="18">
        <f t="shared" ca="1" si="45"/>
        <v>64170065.35138616</v>
      </c>
    </row>
    <row r="126" spans="1:24" x14ac:dyDescent="0.2">
      <c r="A126" s="9">
        <v>45778</v>
      </c>
      <c r="B126">
        <f t="shared" si="32"/>
        <v>2025</v>
      </c>
      <c r="C126">
        <f t="shared" si="33"/>
        <v>5</v>
      </c>
      <c r="D126" s="30"/>
      <c r="E126" s="358">
        <f t="shared" ca="1" si="41"/>
        <v>19.18</v>
      </c>
      <c r="F126" s="358">
        <f t="shared" ca="1" si="41"/>
        <v>50.489999999999995</v>
      </c>
      <c r="G126" s="33"/>
      <c r="H126" s="33"/>
      <c r="I126" s="31">
        <f t="shared" si="42"/>
        <v>125</v>
      </c>
      <c r="J126" s="358">
        <f t="shared" si="43"/>
        <v>0</v>
      </c>
      <c r="K126" s="358">
        <f t="shared" si="44"/>
        <v>31</v>
      </c>
      <c r="L126" s="13">
        <f>Economic!R200</f>
        <v>61.998333333332994</v>
      </c>
      <c r="N126" s="18">
        <f>'GS&gt;50 Predicted Monthly'!$X$10</f>
        <v>12654537.4440873</v>
      </c>
      <c r="O126" s="18">
        <f ca="1">E126*'GS&gt;50 Predicted Monthly'!$X$11</f>
        <v>349761.48299796233</v>
      </c>
      <c r="P126" s="18">
        <f ca="1">F126*'GS&gt;50 Predicted Monthly'!$X$12</f>
        <v>2368578.7489557983</v>
      </c>
      <c r="Q126" s="18">
        <f>I126*'GS&gt;50 Predicted Monthly'!$X$13</f>
        <v>-8315339.8785081878</v>
      </c>
      <c r="R126" s="18">
        <f>J126*'GS&gt;50 Predicted Monthly'!$X$14</f>
        <v>0</v>
      </c>
      <c r="S126" s="18">
        <f>K126*'GS&gt;50 Predicted Monthly'!$X$15</f>
        <v>59070853.247044139</v>
      </c>
      <c r="T126" s="18">
        <f>L126*'GS&gt;50 Predicted Monthly'!$X$16</f>
        <v>434409.8135389564</v>
      </c>
      <c r="U126" s="18">
        <f t="shared" ca="1" si="45"/>
        <v>66562800.858115971</v>
      </c>
    </row>
    <row r="127" spans="1:24" x14ac:dyDescent="0.2">
      <c r="A127" s="9">
        <v>45809</v>
      </c>
      <c r="B127">
        <f t="shared" si="32"/>
        <v>2025</v>
      </c>
      <c r="C127">
        <f t="shared" si="33"/>
        <v>6</v>
      </c>
      <c r="D127" s="30"/>
      <c r="E127" s="358">
        <f t="shared" ca="1" si="41"/>
        <v>0</v>
      </c>
      <c r="F127" s="358">
        <f t="shared" ca="1" si="41"/>
        <v>154.05000000000001</v>
      </c>
      <c r="G127" s="33"/>
      <c r="H127" s="33"/>
      <c r="I127" s="31">
        <f t="shared" si="42"/>
        <v>126</v>
      </c>
      <c r="J127" s="358">
        <f t="shared" si="43"/>
        <v>0</v>
      </c>
      <c r="K127" s="358">
        <f t="shared" si="44"/>
        <v>30</v>
      </c>
      <c r="L127" s="13">
        <f>Economic!R201</f>
        <v>62.204999999999927</v>
      </c>
      <c r="N127" s="18">
        <f>'GS&gt;50 Predicted Monthly'!$X$10</f>
        <v>12654537.4440873</v>
      </c>
      <c r="O127" s="18">
        <f ca="1">E127*'GS&gt;50 Predicted Monthly'!$X$11</f>
        <v>0</v>
      </c>
      <c r="P127" s="18">
        <f ca="1">F127*'GS&gt;50 Predicted Monthly'!$X$12</f>
        <v>7226768.7913773181</v>
      </c>
      <c r="Q127" s="18">
        <f>I127*'GS&gt;50 Predicted Monthly'!$X$13</f>
        <v>-8381862.5975362537</v>
      </c>
      <c r="R127" s="18">
        <f>J127*'GS&gt;50 Predicted Monthly'!$X$14</f>
        <v>0</v>
      </c>
      <c r="S127" s="18">
        <f>K127*'GS&gt;50 Predicted Monthly'!$X$15</f>
        <v>57165341.851978198</v>
      </c>
      <c r="T127" s="18">
        <f>L127*'GS&gt;50 Predicted Monthly'!$X$16</f>
        <v>435857.88517741172</v>
      </c>
      <c r="U127" s="18">
        <f t="shared" ca="1" si="45"/>
        <v>69100643.375083983</v>
      </c>
    </row>
    <row r="128" spans="1:24" x14ac:dyDescent="0.2">
      <c r="A128" s="9">
        <v>45839</v>
      </c>
      <c r="B128">
        <f t="shared" si="32"/>
        <v>2025</v>
      </c>
      <c r="C128">
        <f t="shared" si="33"/>
        <v>7</v>
      </c>
      <c r="D128" s="30"/>
      <c r="E128" s="358">
        <f t="shared" ca="1" si="41"/>
        <v>0</v>
      </c>
      <c r="F128" s="358">
        <f t="shared" ca="1" si="41"/>
        <v>267.66999999999996</v>
      </c>
      <c r="G128" s="33"/>
      <c r="H128" s="33"/>
      <c r="I128" s="31">
        <f t="shared" si="42"/>
        <v>127</v>
      </c>
      <c r="J128" s="358">
        <f t="shared" si="43"/>
        <v>0</v>
      </c>
      <c r="K128" s="358">
        <f t="shared" si="44"/>
        <v>31</v>
      </c>
      <c r="L128" s="13">
        <f>Economic!R202</f>
        <v>62.386666666666315</v>
      </c>
      <c r="N128" s="18">
        <f>'GS&gt;50 Predicted Monthly'!$X$10</f>
        <v>12654537.4440873</v>
      </c>
      <c r="O128" s="18">
        <f ca="1">E128*'GS&gt;50 Predicted Monthly'!$X$11</f>
        <v>0</v>
      </c>
      <c r="P128" s="18">
        <f ca="1">F128*'GS&gt;50 Predicted Monthly'!$X$12</f>
        <v>12556891.933709616</v>
      </c>
      <c r="Q128" s="18">
        <f>I128*'GS&gt;50 Predicted Monthly'!$X$13</f>
        <v>-8448385.3165643197</v>
      </c>
      <c r="R128" s="18">
        <f>J128*'GS&gt;50 Predicted Monthly'!$X$14</f>
        <v>0</v>
      </c>
      <c r="S128" s="18">
        <f>K128*'GS&gt;50 Predicted Monthly'!$X$15</f>
        <v>59070853.247044139</v>
      </c>
      <c r="T128" s="18">
        <f>L128*'GS&gt;50 Predicted Monthly'!$X$16</f>
        <v>437130.78685959871</v>
      </c>
      <c r="U128" s="18">
        <f t="shared" ca="1" si="45"/>
        <v>76271028.095136344</v>
      </c>
    </row>
    <row r="129" spans="1:21" x14ac:dyDescent="0.2">
      <c r="A129" s="9">
        <v>45870</v>
      </c>
      <c r="B129">
        <f t="shared" si="32"/>
        <v>2025</v>
      </c>
      <c r="C129">
        <f t="shared" si="33"/>
        <v>8</v>
      </c>
      <c r="D129" s="30"/>
      <c r="E129" s="358">
        <f t="shared" ca="1" si="41"/>
        <v>0</v>
      </c>
      <c r="F129" s="358">
        <f t="shared" ca="1" si="41"/>
        <v>246.315</v>
      </c>
      <c r="G129" s="33"/>
      <c r="H129" s="33"/>
      <c r="I129" s="31">
        <f t="shared" si="42"/>
        <v>128</v>
      </c>
      <c r="J129" s="358">
        <f t="shared" si="43"/>
        <v>0</v>
      </c>
      <c r="K129" s="358">
        <f t="shared" si="44"/>
        <v>31</v>
      </c>
      <c r="L129" s="13">
        <f>Economic!R203</f>
        <v>62.428333333333285</v>
      </c>
      <c r="N129" s="18">
        <f>'GS&gt;50 Predicted Monthly'!$X$10</f>
        <v>12654537.4440873</v>
      </c>
      <c r="O129" s="18">
        <f ca="1">E129*'GS&gt;50 Predicted Monthly'!$X$11</f>
        <v>0</v>
      </c>
      <c r="P129" s="18">
        <f ca="1">F129*'GS&gt;50 Predicted Monthly'!$X$12</f>
        <v>11555089.612775749</v>
      </c>
      <c r="Q129" s="18">
        <f>I129*'GS&gt;50 Predicted Monthly'!$X$13</f>
        <v>-8514908.0355923846</v>
      </c>
      <c r="R129" s="18">
        <f>J129*'GS&gt;50 Predicted Monthly'!$X$14</f>
        <v>0</v>
      </c>
      <c r="S129" s="18">
        <f>K129*'GS&gt;50 Predicted Monthly'!$X$15</f>
        <v>59070853.247044139</v>
      </c>
      <c r="T129" s="18">
        <f>L129*'GS&gt;50 Predicted Monthly'!$X$16</f>
        <v>437422.73678670841</v>
      </c>
      <c r="U129" s="18">
        <f t="shared" ca="1" si="45"/>
        <v>75202995.005101517</v>
      </c>
    </row>
    <row r="130" spans="1:21" x14ac:dyDescent="0.2">
      <c r="A130" s="9">
        <v>45901</v>
      </c>
      <c r="B130">
        <f t="shared" si="32"/>
        <v>2025</v>
      </c>
      <c r="C130">
        <f t="shared" si="33"/>
        <v>9</v>
      </c>
      <c r="D130" s="30"/>
      <c r="E130" s="358">
        <f t="shared" ref="E130:F145" ca="1" si="46">E118</f>
        <v>0</v>
      </c>
      <c r="F130" s="358">
        <f t="shared" ca="1" si="46"/>
        <v>146.80000000000001</v>
      </c>
      <c r="G130" s="33"/>
      <c r="H130" s="33"/>
      <c r="I130" s="31">
        <f t="shared" si="42"/>
        <v>129</v>
      </c>
      <c r="J130" s="358">
        <f t="shared" si="43"/>
        <v>0</v>
      </c>
      <c r="K130" s="358">
        <f t="shared" si="44"/>
        <v>30</v>
      </c>
      <c r="L130" s="13">
        <f>Economic!R204</f>
        <v>62.569999999999709</v>
      </c>
      <c r="N130" s="18">
        <f>'GS&gt;50 Predicted Monthly'!$X$10</f>
        <v>12654537.4440873</v>
      </c>
      <c r="O130" s="18">
        <f ca="1">E130*'GS&gt;50 Predicted Monthly'!$X$11</f>
        <v>0</v>
      </c>
      <c r="P130" s="18">
        <f ca="1">F130*'GS&gt;50 Predicted Monthly'!$X$12</f>
        <v>6886657.9589366456</v>
      </c>
      <c r="Q130" s="18">
        <f>I130*'GS&gt;50 Predicted Monthly'!$X$13</f>
        <v>-8581430.7546204496</v>
      </c>
      <c r="R130" s="18">
        <f>J130*'GS&gt;50 Predicted Monthly'!$X$14</f>
        <v>0</v>
      </c>
      <c r="S130" s="18">
        <f>K130*'GS&gt;50 Predicted Monthly'!$X$15</f>
        <v>57165341.851978198</v>
      </c>
      <c r="T130" s="18">
        <f>L130*'GS&gt;50 Predicted Monthly'!$X$16</f>
        <v>438415.36653887236</v>
      </c>
      <c r="U130" s="18">
        <f t="shared" ca="1" si="45"/>
        <v>68563521.866920561</v>
      </c>
    </row>
    <row r="131" spans="1:21" x14ac:dyDescent="0.2">
      <c r="A131" s="9">
        <v>45931</v>
      </c>
      <c r="B131">
        <f t="shared" si="32"/>
        <v>2025</v>
      </c>
      <c r="C131">
        <f t="shared" si="33"/>
        <v>10</v>
      </c>
      <c r="D131" s="30"/>
      <c r="E131" s="358">
        <f t="shared" ca="1" si="46"/>
        <v>23.589999999999996</v>
      </c>
      <c r="F131" s="358">
        <f t="shared" ca="1" si="46"/>
        <v>36.859999999999992</v>
      </c>
      <c r="G131" s="33"/>
      <c r="H131" s="33"/>
      <c r="I131" s="31">
        <f t="shared" si="42"/>
        <v>130</v>
      </c>
      <c r="J131" s="358">
        <f t="shared" si="43"/>
        <v>0</v>
      </c>
      <c r="K131" s="358">
        <f t="shared" si="44"/>
        <v>31</v>
      </c>
      <c r="L131" s="13">
        <f>Economic!R205</f>
        <v>62.70833333333303</v>
      </c>
      <c r="N131" s="18">
        <f>'GS&gt;50 Predicted Monthly'!$X$10</f>
        <v>12654537.4440873</v>
      </c>
      <c r="O131" s="18">
        <f ca="1">E131*'GS&gt;50 Predicted Monthly'!$X$11</f>
        <v>430181.09405223833</v>
      </c>
      <c r="P131" s="18">
        <f ca="1">F131*'GS&gt;50 Predicted Monthly'!$X$12</f>
        <v>1729170.3839673344</v>
      </c>
      <c r="Q131" s="18">
        <f>I131*'GS&gt;50 Predicted Monthly'!$X$13</f>
        <v>-8647953.4736485165</v>
      </c>
      <c r="R131" s="18">
        <f>J131*'GS&gt;50 Predicted Monthly'!$X$14</f>
        <v>0</v>
      </c>
      <c r="S131" s="18">
        <f>K131*'GS&gt;50 Predicted Monthly'!$X$15</f>
        <v>59070853.247044139</v>
      </c>
      <c r="T131" s="18">
        <f>L131*'GS&gt;50 Predicted Monthly'!$X$16</f>
        <v>439384.64029686939</v>
      </c>
      <c r="U131" s="18">
        <f t="shared" ca="1" si="45"/>
        <v>65676173.335799366</v>
      </c>
    </row>
    <row r="132" spans="1:21" x14ac:dyDescent="0.2">
      <c r="A132" s="9">
        <v>45962</v>
      </c>
      <c r="B132">
        <f t="shared" si="32"/>
        <v>2025</v>
      </c>
      <c r="C132">
        <f t="shared" si="33"/>
        <v>11</v>
      </c>
      <c r="D132" s="30"/>
      <c r="E132" s="358">
        <f t="shared" ca="1" si="46"/>
        <v>134.25000000000003</v>
      </c>
      <c r="F132" s="358">
        <f t="shared" ca="1" si="46"/>
        <v>3.410000000000001</v>
      </c>
      <c r="G132" s="33"/>
      <c r="H132" s="33"/>
      <c r="I132" s="31">
        <f t="shared" si="42"/>
        <v>131</v>
      </c>
      <c r="J132" s="358">
        <f t="shared" si="43"/>
        <v>0</v>
      </c>
      <c r="K132" s="358">
        <f t="shared" si="44"/>
        <v>30</v>
      </c>
      <c r="L132" s="13">
        <f>Economic!R206</f>
        <v>62.759999999999764</v>
      </c>
      <c r="N132" s="18">
        <f>'GS&gt;50 Predicted Monthly'!$X$10</f>
        <v>12654537.4440873</v>
      </c>
      <c r="O132" s="18">
        <f ca="1">E132*'GS&gt;50 Predicted Monthly'!$X$11</f>
        <v>2448148.023591056</v>
      </c>
      <c r="P132" s="18">
        <f ca="1">F132*'GS&gt;50 Predicted Monthly'!$X$12</f>
        <v>159969.37084450931</v>
      </c>
      <c r="Q132" s="18">
        <f>I132*'GS&gt;50 Predicted Monthly'!$X$13</f>
        <v>-8714476.1926765814</v>
      </c>
      <c r="R132" s="18">
        <f>J132*'GS&gt;50 Predicted Monthly'!$X$14</f>
        <v>0</v>
      </c>
      <c r="S132" s="18">
        <f>K132*'GS&gt;50 Predicted Monthly'!$X$15</f>
        <v>57165341.851978198</v>
      </c>
      <c r="T132" s="18">
        <f>L132*'GS&gt;50 Predicted Monthly'!$X$16</f>
        <v>439746.65820648323</v>
      </c>
      <c r="U132" s="18">
        <f t="shared" ca="1" si="45"/>
        <v>64153267.156030968</v>
      </c>
    </row>
    <row r="133" spans="1:21" x14ac:dyDescent="0.2">
      <c r="A133" s="9">
        <v>45992</v>
      </c>
      <c r="B133">
        <f t="shared" si="32"/>
        <v>2025</v>
      </c>
      <c r="C133">
        <f t="shared" si="33"/>
        <v>12</v>
      </c>
      <c r="D133" s="30"/>
      <c r="E133" s="358">
        <f t="shared" ca="1" si="46"/>
        <v>262.99</v>
      </c>
      <c r="F133" s="358">
        <f t="shared" ca="1" si="46"/>
        <v>0</v>
      </c>
      <c r="G133" s="33"/>
      <c r="H133" s="33"/>
      <c r="I133" s="31">
        <f t="shared" si="42"/>
        <v>132</v>
      </c>
      <c r="J133" s="358">
        <f t="shared" si="43"/>
        <v>1</v>
      </c>
      <c r="K133" s="358">
        <f t="shared" si="44"/>
        <v>31</v>
      </c>
      <c r="L133" s="13">
        <f>Economic!R207</f>
        <v>62.926666666666279</v>
      </c>
      <c r="N133" s="18">
        <f>'GS&gt;50 Predicted Monthly'!$X$10</f>
        <v>12654537.4440873</v>
      </c>
      <c r="O133" s="18">
        <f ca="1">E133*'GS&gt;50 Predicted Monthly'!$X$11</f>
        <v>4795817.1227129363</v>
      </c>
      <c r="P133" s="18">
        <f ca="1">F133*'GS&gt;50 Predicted Monthly'!$X$12</f>
        <v>0</v>
      </c>
      <c r="Q133" s="18">
        <f>I133*'GS&gt;50 Predicted Monthly'!$X$13</f>
        <v>-8780998.9117046464</v>
      </c>
      <c r="R133" s="18">
        <f>J133*'GS&gt;50 Predicted Monthly'!$X$14</f>
        <v>-2455659.1490839599</v>
      </c>
      <c r="S133" s="18">
        <f>K133*'GS&gt;50 Predicted Monthly'!$X$15</f>
        <v>59070853.247044139</v>
      </c>
      <c r="T133" s="18">
        <f>L133*'GS&gt;50 Predicted Monthly'!$X$16</f>
        <v>440914.45791491237</v>
      </c>
      <c r="U133" s="18">
        <f t="shared" ca="1" si="45"/>
        <v>65725464.210970677</v>
      </c>
    </row>
    <row r="134" spans="1:21" x14ac:dyDescent="0.2">
      <c r="A134" s="9">
        <v>46023</v>
      </c>
      <c r="B134">
        <f t="shared" ref="B134:B145" si="47">YEAR(A134)</f>
        <v>2026</v>
      </c>
      <c r="C134">
        <f t="shared" ref="C134:C145" si="48">MONTH(A134)</f>
        <v>1</v>
      </c>
      <c r="D134" s="30"/>
      <c r="E134" s="358">
        <f t="shared" ca="1" si="46"/>
        <v>384.56000000000006</v>
      </c>
      <c r="F134" s="358">
        <f t="shared" ca="1" si="46"/>
        <v>0</v>
      </c>
      <c r="G134" s="33"/>
      <c r="H134" s="33"/>
      <c r="I134" s="31">
        <f t="shared" si="42"/>
        <v>133</v>
      </c>
      <c r="J134" s="358">
        <f t="shared" si="43"/>
        <v>0</v>
      </c>
      <c r="K134" s="358">
        <f t="shared" si="44"/>
        <v>31</v>
      </c>
      <c r="L134" s="13">
        <f>Economic!R208</f>
        <v>41.089803333332839</v>
      </c>
      <c r="N134" s="18">
        <f>'GS&gt;50 Predicted Monthly'!$X$10</f>
        <v>12654537.4440873</v>
      </c>
      <c r="O134" s="18">
        <f ca="1">E134*'GS&gt;50 Predicted Monthly'!$X$11</f>
        <v>7012735.9698486142</v>
      </c>
      <c r="P134" s="18">
        <f ca="1">F134*'GS&gt;50 Predicted Monthly'!$X$12</f>
        <v>0</v>
      </c>
      <c r="Q134" s="18">
        <f>I134*'GS&gt;50 Predicted Monthly'!$X$13</f>
        <v>-8847521.6307327114</v>
      </c>
      <c r="R134" s="18">
        <f>J134*'GS&gt;50 Predicted Monthly'!$X$14</f>
        <v>0</v>
      </c>
      <c r="S134" s="18">
        <f>K134*'GS&gt;50 Predicted Monthly'!$X$15</f>
        <v>59070853.247044139</v>
      </c>
      <c r="T134" s="18">
        <f>L134*'GS&gt;50 Predicted Monthly'!$X$16</f>
        <v>287907.96211272781</v>
      </c>
      <c r="U134" s="18">
        <f t="shared" ref="U134:U145" ca="1" si="49">SUM(N134:T134)</f>
        <v>70178512.99236007</v>
      </c>
    </row>
    <row r="135" spans="1:21" x14ac:dyDescent="0.2">
      <c r="A135" s="9">
        <v>46054</v>
      </c>
      <c r="B135">
        <f t="shared" si="47"/>
        <v>2026</v>
      </c>
      <c r="C135">
        <f t="shared" si="48"/>
        <v>2</v>
      </c>
      <c r="D135" s="30"/>
      <c r="E135" s="358">
        <f t="shared" ca="1" si="46"/>
        <v>338.02</v>
      </c>
      <c r="F135" s="358">
        <f t="shared" ca="1" si="46"/>
        <v>0</v>
      </c>
      <c r="G135" s="33"/>
      <c r="H135" s="33"/>
      <c r="I135" s="31">
        <f t="shared" si="42"/>
        <v>134</v>
      </c>
      <c r="J135" s="358">
        <f t="shared" si="43"/>
        <v>0</v>
      </c>
      <c r="K135" s="358">
        <f t="shared" si="44"/>
        <v>28</v>
      </c>
      <c r="L135" s="13">
        <f>Economic!R209</f>
        <v>41.089803333332839</v>
      </c>
      <c r="N135" s="18">
        <f>'GS&gt;50 Predicted Monthly'!$X$10</f>
        <v>12654537.4440873</v>
      </c>
      <c r="O135" s="18">
        <f ca="1">E135*'GS&gt;50 Predicted Monthly'!$X$11</f>
        <v>6164044.6550037134</v>
      </c>
      <c r="P135" s="18">
        <f ca="1">F135*'GS&gt;50 Predicted Monthly'!$X$12</f>
        <v>0</v>
      </c>
      <c r="Q135" s="18">
        <f>I135*'GS&gt;50 Predicted Monthly'!$X$13</f>
        <v>-8914044.3497607782</v>
      </c>
      <c r="R135" s="18">
        <f>J135*'GS&gt;50 Predicted Monthly'!$X$14</f>
        <v>0</v>
      </c>
      <c r="S135" s="18">
        <f>K135*'GS&gt;50 Predicted Monthly'!$X$15</f>
        <v>53354319.061846316</v>
      </c>
      <c r="T135" s="18">
        <f>L135*'GS&gt;50 Predicted Monthly'!$X$16</f>
        <v>287907.96211272781</v>
      </c>
      <c r="U135" s="18">
        <f t="shared" ca="1" si="49"/>
        <v>63546764.773289278</v>
      </c>
    </row>
    <row r="136" spans="1:21" x14ac:dyDescent="0.2">
      <c r="A136" s="9">
        <v>46082</v>
      </c>
      <c r="B136">
        <f t="shared" si="47"/>
        <v>2026</v>
      </c>
      <c r="C136">
        <f t="shared" si="48"/>
        <v>3</v>
      </c>
      <c r="D136" s="30"/>
      <c r="E136" s="358">
        <f t="shared" ca="1" si="46"/>
        <v>252.67</v>
      </c>
      <c r="F136" s="358">
        <f t="shared" ca="1" si="46"/>
        <v>0</v>
      </c>
      <c r="G136" s="33"/>
      <c r="H136" s="33"/>
      <c r="I136" s="31">
        <f t="shared" si="42"/>
        <v>135</v>
      </c>
      <c r="J136" s="358">
        <f t="shared" si="43"/>
        <v>0</v>
      </c>
      <c r="K136" s="358">
        <f t="shared" si="44"/>
        <v>31</v>
      </c>
      <c r="L136" s="13">
        <f>Economic!R210</f>
        <v>41.188216666666449</v>
      </c>
      <c r="N136" s="18">
        <f>'GS&gt;50 Predicted Monthly'!$X$10</f>
        <v>12654537.4440873</v>
      </c>
      <c r="O136" s="18">
        <f ca="1">E136*'GS&gt;50 Predicted Monthly'!$X$11</f>
        <v>4607624.2914022496</v>
      </c>
      <c r="P136" s="18">
        <f ca="1">F136*'GS&gt;50 Predicted Monthly'!$X$12</f>
        <v>0</v>
      </c>
      <c r="Q136" s="18">
        <f>I136*'GS&gt;50 Predicted Monthly'!$X$13</f>
        <v>-8980567.0687888432</v>
      </c>
      <c r="R136" s="18">
        <f>J136*'GS&gt;50 Predicted Monthly'!$X$14</f>
        <v>0</v>
      </c>
      <c r="S136" s="18">
        <f>K136*'GS&gt;50 Predicted Monthly'!$X$15</f>
        <v>59070853.247044139</v>
      </c>
      <c r="T136" s="18">
        <f>L136*'GS&gt;50 Predicted Monthly'!$X$16</f>
        <v>288597.52448456368</v>
      </c>
      <c r="U136" s="18">
        <f t="shared" ca="1" si="49"/>
        <v>67641045.438229412</v>
      </c>
    </row>
    <row r="137" spans="1:21" x14ac:dyDescent="0.2">
      <c r="A137" s="9">
        <v>46113</v>
      </c>
      <c r="B137">
        <f t="shared" si="47"/>
        <v>2026</v>
      </c>
      <c r="C137">
        <f t="shared" si="48"/>
        <v>4</v>
      </c>
      <c r="D137" s="30"/>
      <c r="E137" s="358">
        <f t="shared" ca="1" si="46"/>
        <v>112.07000000000001</v>
      </c>
      <c r="F137" s="358">
        <f t="shared" ca="1" si="46"/>
        <v>2.6300000000000003</v>
      </c>
      <c r="G137" s="33"/>
      <c r="H137" s="33"/>
      <c r="I137" s="31">
        <f t="shared" si="42"/>
        <v>136</v>
      </c>
      <c r="J137" s="358">
        <f t="shared" si="43"/>
        <v>0</v>
      </c>
      <c r="K137" s="358">
        <f t="shared" si="44"/>
        <v>30</v>
      </c>
      <c r="L137" s="13">
        <f>Economic!R211</f>
        <v>41.364913333332879</v>
      </c>
      <c r="N137" s="18">
        <f>'GS&gt;50 Predicted Monthly'!$X$10</f>
        <v>12654537.4440873</v>
      </c>
      <c r="O137" s="18">
        <f ca="1">E137*'GS&gt;50 Predicted Monthly'!$X$11</f>
        <v>2043679.3221888239</v>
      </c>
      <c r="P137" s="18">
        <f ca="1">F137*'GS&gt;50 Predicted Monthly'!$X$12</f>
        <v>123378.13645778869</v>
      </c>
      <c r="Q137" s="18">
        <f>I137*'GS&gt;50 Predicted Monthly'!$X$13</f>
        <v>-9047089.7878169082</v>
      </c>
      <c r="R137" s="18">
        <f>J137*'GS&gt;50 Predicted Monthly'!$X$14</f>
        <v>0</v>
      </c>
      <c r="S137" s="18">
        <f>K137*'GS&gt;50 Predicted Monthly'!$X$15</f>
        <v>57165341.851978198</v>
      </c>
      <c r="T137" s="18">
        <f>L137*'GS&gt;50 Predicted Monthly'!$X$16</f>
        <v>289835.60237944557</v>
      </c>
      <c r="U137" s="18">
        <f t="shared" ca="1" si="49"/>
        <v>63229682.569274649</v>
      </c>
    </row>
    <row r="138" spans="1:21" x14ac:dyDescent="0.2">
      <c r="A138" s="9">
        <v>46143</v>
      </c>
      <c r="B138">
        <f t="shared" si="47"/>
        <v>2026</v>
      </c>
      <c r="C138">
        <f t="shared" si="48"/>
        <v>5</v>
      </c>
      <c r="D138" s="30"/>
      <c r="E138" s="358">
        <f t="shared" ca="1" si="46"/>
        <v>19.18</v>
      </c>
      <c r="F138" s="358">
        <f t="shared" ca="1" si="46"/>
        <v>50.489999999999995</v>
      </c>
      <c r="G138" s="33"/>
      <c r="H138" s="33"/>
      <c r="I138" s="31">
        <f t="shared" si="42"/>
        <v>137</v>
      </c>
      <c r="J138" s="358">
        <f t="shared" si="43"/>
        <v>0</v>
      </c>
      <c r="K138" s="358">
        <f t="shared" si="44"/>
        <v>31</v>
      </c>
      <c r="L138" s="13">
        <f>Economic!R212</f>
        <v>41.600881666666282</v>
      </c>
      <c r="N138" s="18">
        <f>'GS&gt;50 Predicted Monthly'!$X$10</f>
        <v>12654537.4440873</v>
      </c>
      <c r="O138" s="18">
        <f ca="1">E138*'GS&gt;50 Predicted Monthly'!$X$11</f>
        <v>349761.48299796233</v>
      </c>
      <c r="P138" s="18">
        <f ca="1">F138*'GS&gt;50 Predicted Monthly'!$X$12</f>
        <v>2368578.7489557983</v>
      </c>
      <c r="Q138" s="18">
        <f>I138*'GS&gt;50 Predicted Monthly'!$X$13</f>
        <v>-9113612.5068449751</v>
      </c>
      <c r="R138" s="18">
        <f>J138*'GS&gt;50 Predicted Monthly'!$X$14</f>
        <v>0</v>
      </c>
      <c r="S138" s="18">
        <f>K138*'GS&gt;50 Predicted Monthly'!$X$15</f>
        <v>59070853.247044139</v>
      </c>
      <c r="T138" s="18">
        <f>L138*'GS&gt;50 Predicted Monthly'!$X$16</f>
        <v>291488.98488463863</v>
      </c>
      <c r="U138" s="18">
        <f t="shared" ca="1" si="49"/>
        <v>65621607.401124872</v>
      </c>
    </row>
    <row r="139" spans="1:21" x14ac:dyDescent="0.2">
      <c r="A139" s="9">
        <v>46174</v>
      </c>
      <c r="B139">
        <f t="shared" si="47"/>
        <v>2026</v>
      </c>
      <c r="C139">
        <f t="shared" si="48"/>
        <v>6</v>
      </c>
      <c r="D139" s="30"/>
      <c r="E139" s="358">
        <f t="shared" ca="1" si="46"/>
        <v>0</v>
      </c>
      <c r="F139" s="358">
        <f t="shared" ca="1" si="46"/>
        <v>154.05000000000001</v>
      </c>
      <c r="G139" s="33"/>
      <c r="H139" s="33"/>
      <c r="I139" s="31">
        <f t="shared" si="42"/>
        <v>138</v>
      </c>
      <c r="J139" s="358">
        <f t="shared" si="43"/>
        <v>0</v>
      </c>
      <c r="K139" s="358">
        <f t="shared" si="44"/>
        <v>30</v>
      </c>
      <c r="L139" s="13">
        <f>Economic!R213</f>
        <v>41.739554999999655</v>
      </c>
      <c r="N139" s="18">
        <f>'GS&gt;50 Predicted Monthly'!$X$10</f>
        <v>12654537.4440873</v>
      </c>
      <c r="O139" s="18">
        <f ca="1">E139*'GS&gt;50 Predicted Monthly'!$X$11</f>
        <v>0</v>
      </c>
      <c r="P139" s="18">
        <f ca="1">F139*'GS&gt;50 Predicted Monthly'!$X$12</f>
        <v>7226768.7913773181</v>
      </c>
      <c r="Q139" s="18">
        <f>I139*'GS&gt;50 Predicted Monthly'!$X$13</f>
        <v>-9180135.22587304</v>
      </c>
      <c r="R139" s="18">
        <f>J139*'GS&gt;50 Predicted Monthly'!$X$14</f>
        <v>0</v>
      </c>
      <c r="S139" s="18">
        <f>K139*'GS&gt;50 Predicted Monthly'!$X$15</f>
        <v>57165341.851978198</v>
      </c>
      <c r="T139" s="18">
        <f>L139*'GS&gt;50 Predicted Monthly'!$X$16</f>
        <v>292460.64095404121</v>
      </c>
      <c r="U139" s="18">
        <f t="shared" ca="1" si="49"/>
        <v>68158973.502523825</v>
      </c>
    </row>
    <row r="140" spans="1:21" x14ac:dyDescent="0.2">
      <c r="A140" s="9">
        <v>46204</v>
      </c>
      <c r="B140">
        <f t="shared" si="47"/>
        <v>2026</v>
      </c>
      <c r="C140">
        <f t="shared" si="48"/>
        <v>7</v>
      </c>
      <c r="D140" s="30"/>
      <c r="E140" s="358">
        <f t="shared" ca="1" si="46"/>
        <v>0</v>
      </c>
      <c r="F140" s="358">
        <f t="shared" ca="1" si="46"/>
        <v>267.66999999999996</v>
      </c>
      <c r="G140" s="33"/>
      <c r="H140" s="33"/>
      <c r="I140" s="31">
        <f t="shared" si="42"/>
        <v>139</v>
      </c>
      <c r="J140" s="358">
        <f t="shared" si="43"/>
        <v>0</v>
      </c>
      <c r="K140" s="358">
        <f t="shared" si="44"/>
        <v>31</v>
      </c>
      <c r="L140" s="13">
        <f>Economic!R214</f>
        <v>41.861453333332975</v>
      </c>
      <c r="N140" s="18">
        <f>'GS&gt;50 Predicted Monthly'!$X$10</f>
        <v>12654537.4440873</v>
      </c>
      <c r="O140" s="18">
        <f ca="1">E140*'GS&gt;50 Predicted Monthly'!$X$11</f>
        <v>0</v>
      </c>
      <c r="P140" s="18">
        <f ca="1">F140*'GS&gt;50 Predicted Monthly'!$X$12</f>
        <v>12556891.933709616</v>
      </c>
      <c r="Q140" s="18">
        <f>I140*'GS&gt;50 Predicted Monthly'!$X$13</f>
        <v>-9246657.944901105</v>
      </c>
      <c r="R140" s="18">
        <f>J140*'GS&gt;50 Predicted Monthly'!$X$14</f>
        <v>0</v>
      </c>
      <c r="S140" s="18">
        <f>K140*'GS&gt;50 Predicted Monthly'!$X$15</f>
        <v>59070853.247044139</v>
      </c>
      <c r="T140" s="18">
        <f>L140*'GS&gt;50 Predicted Monthly'!$X$16</f>
        <v>293314.75798278989</v>
      </c>
      <c r="U140" s="18">
        <f t="shared" ca="1" si="49"/>
        <v>75328939.437922746</v>
      </c>
    </row>
    <row r="141" spans="1:21" x14ac:dyDescent="0.2">
      <c r="A141" s="9">
        <v>46235</v>
      </c>
      <c r="B141">
        <f t="shared" si="47"/>
        <v>2026</v>
      </c>
      <c r="C141">
        <f t="shared" si="48"/>
        <v>8</v>
      </c>
      <c r="D141" s="30"/>
      <c r="E141" s="358">
        <f t="shared" ca="1" si="46"/>
        <v>0</v>
      </c>
      <c r="F141" s="358">
        <f t="shared" ca="1" si="46"/>
        <v>246.315</v>
      </c>
      <c r="G141" s="33"/>
      <c r="H141" s="33"/>
      <c r="I141" s="31">
        <f t="shared" si="42"/>
        <v>140</v>
      </c>
      <c r="J141" s="358">
        <f t="shared" si="43"/>
        <v>0</v>
      </c>
      <c r="K141" s="358">
        <f t="shared" si="44"/>
        <v>31</v>
      </c>
      <c r="L141" s="13">
        <f>Economic!R215</f>
        <v>41.889411666666092</v>
      </c>
      <c r="N141" s="18">
        <f>'GS&gt;50 Predicted Monthly'!$X$10</f>
        <v>12654537.4440873</v>
      </c>
      <c r="O141" s="18">
        <f ca="1">E141*'GS&gt;50 Predicted Monthly'!$X$11</f>
        <v>0</v>
      </c>
      <c r="P141" s="18">
        <f ca="1">F141*'GS&gt;50 Predicted Monthly'!$X$12</f>
        <v>11555089.612775749</v>
      </c>
      <c r="Q141" s="18">
        <f>I141*'GS&gt;50 Predicted Monthly'!$X$13</f>
        <v>-9313180.66392917</v>
      </c>
      <c r="R141" s="18">
        <f>J141*'GS&gt;50 Predicted Monthly'!$X$14</f>
        <v>0</v>
      </c>
      <c r="S141" s="18">
        <f>K141*'GS&gt;50 Predicted Monthly'!$X$15</f>
        <v>59070853.247044139</v>
      </c>
      <c r="T141" s="18">
        <f>L141*'GS&gt;50 Predicted Monthly'!$X$16</f>
        <v>293510.65638387756</v>
      </c>
      <c r="U141" s="18">
        <f t="shared" ca="1" si="49"/>
        <v>74260810.296361893</v>
      </c>
    </row>
    <row r="142" spans="1:21" x14ac:dyDescent="0.2">
      <c r="A142" s="9">
        <v>46266</v>
      </c>
      <c r="B142">
        <f t="shared" si="47"/>
        <v>2026</v>
      </c>
      <c r="C142">
        <f t="shared" si="48"/>
        <v>9</v>
      </c>
      <c r="D142" s="30"/>
      <c r="E142" s="358">
        <f t="shared" ca="1" si="46"/>
        <v>0</v>
      </c>
      <c r="F142" s="358">
        <f t="shared" ca="1" si="46"/>
        <v>146.80000000000001</v>
      </c>
      <c r="G142" s="33"/>
      <c r="H142" s="33"/>
      <c r="I142" s="31">
        <f t="shared" si="42"/>
        <v>141</v>
      </c>
      <c r="J142" s="358">
        <f t="shared" si="43"/>
        <v>0</v>
      </c>
      <c r="K142" s="358">
        <f t="shared" si="44"/>
        <v>30</v>
      </c>
      <c r="L142" s="13">
        <f>Economic!R216</f>
        <v>41.984469999999419</v>
      </c>
      <c r="N142" s="18">
        <f>'GS&gt;50 Predicted Monthly'!$X$10</f>
        <v>12654537.4440873</v>
      </c>
      <c r="O142" s="18">
        <f ca="1">E142*'GS&gt;50 Predicted Monthly'!$X$11</f>
        <v>0</v>
      </c>
      <c r="P142" s="18">
        <f ca="1">F142*'GS&gt;50 Predicted Monthly'!$X$12</f>
        <v>6886657.9589366456</v>
      </c>
      <c r="Q142" s="18">
        <f>I142*'GS&gt;50 Predicted Monthly'!$X$13</f>
        <v>-9379703.3829572368</v>
      </c>
      <c r="R142" s="18">
        <f>J142*'GS&gt;50 Predicted Monthly'!$X$14</f>
        <v>0</v>
      </c>
      <c r="S142" s="18">
        <f>K142*'GS&gt;50 Predicted Monthly'!$X$15</f>
        <v>57165341.851978198</v>
      </c>
      <c r="T142" s="18">
        <f>L142*'GS&gt;50 Predicted Monthly'!$X$16</f>
        <v>294176.71094758069</v>
      </c>
      <c r="U142" s="18">
        <f t="shared" ca="1" si="49"/>
        <v>67621010.582992494</v>
      </c>
    </row>
    <row r="143" spans="1:21" x14ac:dyDescent="0.2">
      <c r="A143" s="9">
        <v>46296</v>
      </c>
      <c r="B143">
        <f t="shared" si="47"/>
        <v>2026</v>
      </c>
      <c r="C143">
        <f t="shared" si="48"/>
        <v>10</v>
      </c>
      <c r="D143" s="30"/>
      <c r="E143" s="358">
        <f t="shared" ca="1" si="46"/>
        <v>23.589999999999996</v>
      </c>
      <c r="F143" s="358">
        <f t="shared" ca="1" si="46"/>
        <v>36.859999999999992</v>
      </c>
      <c r="G143" s="33"/>
      <c r="H143" s="33"/>
      <c r="I143" s="31">
        <f t="shared" si="42"/>
        <v>142</v>
      </c>
      <c r="J143" s="358">
        <f t="shared" si="43"/>
        <v>0</v>
      </c>
      <c r="K143" s="358">
        <f t="shared" si="44"/>
        <v>31</v>
      </c>
      <c r="L143" s="13">
        <f>Economic!R217</f>
        <v>42.077291666666497</v>
      </c>
      <c r="N143" s="18">
        <f>'GS&gt;50 Predicted Monthly'!$X$10</f>
        <v>12654537.4440873</v>
      </c>
      <c r="O143" s="18">
        <f ca="1">E143*'GS&gt;50 Predicted Monthly'!$X$11</f>
        <v>430181.09405223833</v>
      </c>
      <c r="P143" s="18">
        <f ca="1">F143*'GS&gt;50 Predicted Monthly'!$X$12</f>
        <v>1729170.3839673344</v>
      </c>
      <c r="Q143" s="18">
        <f>I143*'GS&gt;50 Predicted Monthly'!$X$13</f>
        <v>-9446226.1019853018</v>
      </c>
      <c r="R143" s="18">
        <f>J143*'GS&gt;50 Predicted Monthly'!$X$14</f>
        <v>0</v>
      </c>
      <c r="S143" s="18">
        <f>K143*'GS&gt;50 Predicted Monthly'!$X$15</f>
        <v>59070853.247044139</v>
      </c>
      <c r="T143" s="18">
        <f>L143*'GS&gt;50 Predicted Monthly'!$X$16</f>
        <v>294827.09363919962</v>
      </c>
      <c r="U143" s="18">
        <f t="shared" ca="1" si="49"/>
        <v>64733343.160804912</v>
      </c>
    </row>
    <row r="144" spans="1:21" x14ac:dyDescent="0.2">
      <c r="A144" s="9">
        <v>46327</v>
      </c>
      <c r="B144">
        <f t="shared" si="47"/>
        <v>2026</v>
      </c>
      <c r="C144">
        <f t="shared" si="48"/>
        <v>11</v>
      </c>
      <c r="D144" s="30"/>
      <c r="E144" s="358">
        <f t="shared" ca="1" si="46"/>
        <v>134.25000000000003</v>
      </c>
      <c r="F144" s="358">
        <f t="shared" ca="1" si="46"/>
        <v>3.410000000000001</v>
      </c>
      <c r="G144" s="33"/>
      <c r="H144" s="33"/>
      <c r="I144" s="31">
        <f t="shared" si="42"/>
        <v>143</v>
      </c>
      <c r="J144" s="358">
        <f t="shared" si="43"/>
        <v>0</v>
      </c>
      <c r="K144" s="358">
        <f t="shared" si="44"/>
        <v>30</v>
      </c>
      <c r="L144" s="13">
        <f>Economic!R218</f>
        <v>42.111959999999726</v>
      </c>
      <c r="N144" s="18">
        <f>'GS&gt;50 Predicted Monthly'!$X$10</f>
        <v>12654537.4440873</v>
      </c>
      <c r="O144" s="18">
        <f ca="1">E144*'GS&gt;50 Predicted Monthly'!$X$11</f>
        <v>2448148.023591056</v>
      </c>
      <c r="P144" s="18">
        <f ca="1">F144*'GS&gt;50 Predicted Monthly'!$X$12</f>
        <v>159969.37084450931</v>
      </c>
      <c r="Q144" s="18">
        <f>I144*'GS&gt;50 Predicted Monthly'!$X$13</f>
        <v>-9512748.8210133668</v>
      </c>
      <c r="R144" s="18">
        <f>J144*'GS&gt;50 Predicted Monthly'!$X$14</f>
        <v>0</v>
      </c>
      <c r="S144" s="18">
        <f>K144*'GS&gt;50 Predicted Monthly'!$X$15</f>
        <v>57165341.851978198</v>
      </c>
      <c r="T144" s="18">
        <f>L144*'GS&gt;50 Predicted Monthly'!$X$16</f>
        <v>295070.00765654945</v>
      </c>
      <c r="U144" s="18">
        <f t="shared" ca="1" si="49"/>
        <v>63210317.877144247</v>
      </c>
    </row>
    <row r="145" spans="1:21" x14ac:dyDescent="0.2">
      <c r="A145" s="9">
        <v>46357</v>
      </c>
      <c r="B145">
        <f t="shared" si="47"/>
        <v>2026</v>
      </c>
      <c r="C145">
        <f t="shared" si="48"/>
        <v>12</v>
      </c>
      <c r="D145" s="30"/>
      <c r="E145" s="358">
        <f t="shared" ca="1" si="46"/>
        <v>262.99</v>
      </c>
      <c r="F145" s="358">
        <f t="shared" ca="1" si="46"/>
        <v>0</v>
      </c>
      <c r="G145" s="33"/>
      <c r="H145" s="33"/>
      <c r="I145" s="31">
        <f t="shared" si="42"/>
        <v>144</v>
      </c>
      <c r="J145" s="358">
        <f t="shared" si="43"/>
        <v>1</v>
      </c>
      <c r="K145" s="358">
        <f t="shared" si="44"/>
        <v>31</v>
      </c>
      <c r="L145" s="13">
        <f>Economic!R219</f>
        <v>42.223793333333106</v>
      </c>
      <c r="N145" s="18">
        <f>'GS&gt;50 Predicted Monthly'!$X$10</f>
        <v>12654537.4440873</v>
      </c>
      <c r="O145" s="18">
        <f ca="1">E145*'GS&gt;50 Predicted Monthly'!$X$11</f>
        <v>4795817.1227129363</v>
      </c>
      <c r="P145" s="18">
        <f ca="1">F145*'GS&gt;50 Predicted Monthly'!$X$12</f>
        <v>0</v>
      </c>
      <c r="Q145" s="18">
        <f>I145*'GS&gt;50 Predicted Monthly'!$X$13</f>
        <v>-9579271.5400414318</v>
      </c>
      <c r="R145" s="18">
        <f>J145*'GS&gt;50 Predicted Monthly'!$X$14</f>
        <v>-2455659.1490839599</v>
      </c>
      <c r="S145" s="18">
        <f>K145*'GS&gt;50 Predicted Monthly'!$X$15</f>
        <v>59070853.247044139</v>
      </c>
      <c r="T145" s="18">
        <f>L145*'GS&gt;50 Predicted Monthly'!$X$16</f>
        <v>295853.60126090643</v>
      </c>
      <c r="U145" s="18">
        <f t="shared" ca="1" si="49"/>
        <v>64782130.725979894</v>
      </c>
    </row>
    <row r="195" spans="9:25" x14ac:dyDescent="0.2">
      <c r="I195" s="18"/>
      <c r="J195" s="18"/>
      <c r="O195" s="18"/>
      <c r="P195" s="18"/>
      <c r="Q195" s="18"/>
      <c r="R195" s="18"/>
      <c r="S195" s="18"/>
      <c r="T195" s="18"/>
      <c r="U195" s="18"/>
      <c r="V195" s="18"/>
      <c r="W195" s="18"/>
      <c r="X195" s="18"/>
      <c r="Y195" s="18"/>
    </row>
    <row r="196" spans="9:25" x14ac:dyDescent="0.2">
      <c r="I196" s="18"/>
      <c r="J196" s="18"/>
      <c r="O196" s="18"/>
      <c r="P196" s="18"/>
      <c r="Q196" s="18"/>
      <c r="R196" s="18"/>
      <c r="S196" s="18"/>
      <c r="T196" s="18"/>
      <c r="U196" s="18"/>
      <c r="V196" s="18"/>
      <c r="W196" s="18"/>
      <c r="X196" s="18"/>
      <c r="Y196" s="18"/>
    </row>
    <row r="197" spans="9:25" x14ac:dyDescent="0.2">
      <c r="I197" s="18"/>
      <c r="J197" s="18"/>
      <c r="O197" s="18"/>
      <c r="P197" s="18"/>
      <c r="Q197" s="18"/>
      <c r="R197" s="18"/>
      <c r="S197" s="18"/>
      <c r="T197" s="18"/>
      <c r="U197" s="18"/>
      <c r="V197" s="18"/>
      <c r="W197" s="18"/>
      <c r="X197" s="18"/>
      <c r="Y197" s="18"/>
    </row>
    <row r="198" spans="9:25" x14ac:dyDescent="0.2">
      <c r="I198" s="18"/>
      <c r="J198" s="18"/>
      <c r="O198" s="18"/>
      <c r="P198" s="18"/>
      <c r="Q198" s="18"/>
      <c r="R198" s="18"/>
      <c r="S198" s="18"/>
      <c r="T198" s="18"/>
      <c r="U198" s="18"/>
      <c r="V198" s="18"/>
      <c r="W198" s="18"/>
      <c r="X198" s="18"/>
      <c r="Y198" s="18"/>
    </row>
    <row r="199" spans="9:25" x14ac:dyDescent="0.2">
      <c r="I199" s="18"/>
      <c r="J199" s="18"/>
      <c r="O199" s="18"/>
      <c r="P199" s="18"/>
      <c r="Q199" s="18"/>
      <c r="R199" s="18"/>
      <c r="S199" s="18"/>
      <c r="T199" s="18"/>
      <c r="U199" s="18"/>
      <c r="V199" s="18"/>
      <c r="W199" s="18"/>
      <c r="X199" s="18"/>
      <c r="Y199" s="18"/>
    </row>
    <row r="200" spans="9:25" x14ac:dyDescent="0.2">
      <c r="I200" s="18"/>
      <c r="J200" s="18"/>
      <c r="O200" s="18"/>
      <c r="P200" s="18"/>
      <c r="Q200" s="18"/>
      <c r="R200" s="18"/>
      <c r="S200" s="18"/>
      <c r="T200" s="18"/>
      <c r="U200" s="18"/>
      <c r="V200" s="18"/>
      <c r="W200" s="18"/>
      <c r="X200" s="18"/>
      <c r="Y200" s="18"/>
    </row>
    <row r="201" spans="9:25" x14ac:dyDescent="0.2">
      <c r="I201" s="18"/>
      <c r="J201" s="18"/>
      <c r="O201" s="18"/>
      <c r="P201" s="18"/>
      <c r="Q201" s="18"/>
      <c r="R201" s="18"/>
      <c r="S201" s="18"/>
      <c r="T201" s="18"/>
      <c r="U201" s="18"/>
      <c r="V201" s="18"/>
      <c r="W201" s="18"/>
      <c r="X201" s="18"/>
      <c r="Y201" s="18"/>
    </row>
    <row r="202" spans="9:25" x14ac:dyDescent="0.2">
      <c r="I202" s="18"/>
      <c r="J202" s="18"/>
      <c r="O202" s="18"/>
      <c r="P202" s="18"/>
      <c r="Q202" s="18"/>
      <c r="R202" s="18"/>
      <c r="S202" s="18"/>
      <c r="T202" s="18"/>
      <c r="U202" s="18"/>
      <c r="V202" s="18"/>
      <c r="W202" s="18"/>
      <c r="X202" s="18"/>
      <c r="Y202" s="18"/>
    </row>
    <row r="204" spans="9:25" x14ac:dyDescent="0.2">
      <c r="N204" s="31"/>
      <c r="O204" s="31"/>
      <c r="P204" s="31"/>
      <c r="Q204" s="31"/>
      <c r="R204" s="31"/>
      <c r="S204" s="31"/>
      <c r="T204" s="31"/>
      <c r="U204" s="31"/>
      <c r="V204" s="31"/>
      <c r="W204" s="31"/>
      <c r="X204" s="31"/>
      <c r="Y204" s="31"/>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1">
    <tabColor rgb="FFFF0000"/>
  </sheetPr>
  <dimension ref="B2:AW60"/>
  <sheetViews>
    <sheetView topLeftCell="X1" workbookViewId="0">
      <selection activeCell="AM17" sqref="AM17"/>
    </sheetView>
  </sheetViews>
  <sheetFormatPr defaultRowHeight="12.75" x14ac:dyDescent="0.2"/>
  <cols>
    <col min="3" max="5" width="13" bestFit="1" customWidth="1"/>
    <col min="6" max="6" width="5" customWidth="1"/>
    <col min="7" max="7" width="13.83203125" customWidth="1"/>
    <col min="8" max="8" width="13" customWidth="1"/>
    <col min="9" max="11" width="15.33203125" customWidth="1"/>
    <col min="12" max="12" width="11.1640625" bestFit="1" customWidth="1"/>
    <col min="13" max="13" width="7.6640625" customWidth="1"/>
    <col min="14" max="14" width="14.83203125" customWidth="1"/>
    <col min="15" max="16" width="13" bestFit="1" customWidth="1"/>
    <col min="17" max="17" width="3.83203125" customWidth="1"/>
    <col min="18" max="20" width="13" bestFit="1" customWidth="1"/>
    <col min="21" max="21" width="13" customWidth="1"/>
    <col min="22" max="22" width="17" customWidth="1"/>
    <col min="23" max="23" width="11.33203125" customWidth="1"/>
    <col min="24" max="24" width="5.83203125" bestFit="1" customWidth="1"/>
    <col min="25" max="25" width="14.83203125" customWidth="1"/>
    <col min="26" max="26" width="12.33203125" customWidth="1"/>
    <col min="27" max="27" width="13" bestFit="1" customWidth="1"/>
    <col min="28" max="28" width="3.33203125" customWidth="1"/>
    <col min="29" max="29" width="13" bestFit="1" customWidth="1"/>
    <col min="30" max="30" width="12.33203125" customWidth="1"/>
    <col min="31" max="31" width="13" bestFit="1" customWidth="1"/>
    <col min="32" max="32" width="13.33203125" customWidth="1"/>
    <col min="33" max="33" width="16.33203125" customWidth="1"/>
    <col min="34" max="34" width="12.1640625" bestFit="1" customWidth="1"/>
    <col min="35" max="35" width="14.1640625" bestFit="1" customWidth="1"/>
    <col min="36" max="36" width="11.5" customWidth="1"/>
    <col min="37" max="37" width="9.6640625" customWidth="1"/>
    <col min="38" max="38" width="11.33203125" customWidth="1"/>
    <col min="39" max="39" width="13.33203125" customWidth="1"/>
    <col min="42" max="42" width="14.5" customWidth="1"/>
    <col min="43" max="43" width="13.33203125" bestFit="1" customWidth="1"/>
    <col min="44" max="44" width="12.6640625" customWidth="1"/>
    <col min="45" max="45" width="10.6640625" bestFit="1" customWidth="1"/>
    <col min="47" max="47" width="12.83203125" bestFit="1" customWidth="1"/>
  </cols>
  <sheetData>
    <row r="2" spans="2:49" x14ac:dyDescent="0.2">
      <c r="B2" s="549" t="s">
        <v>105</v>
      </c>
      <c r="C2" s="549"/>
      <c r="D2" s="549"/>
      <c r="E2" s="549"/>
      <c r="F2" s="549"/>
      <c r="G2" s="549"/>
      <c r="H2" s="549"/>
      <c r="I2" s="549"/>
      <c r="J2" s="549"/>
      <c r="K2" s="549"/>
      <c r="M2" s="549" t="s">
        <v>116</v>
      </c>
      <c r="N2" s="549"/>
      <c r="O2" s="549"/>
      <c r="P2" s="549"/>
      <c r="Q2" s="549"/>
      <c r="R2" s="549"/>
      <c r="S2" s="549"/>
      <c r="T2" s="549"/>
      <c r="U2" s="549"/>
      <c r="V2" s="549"/>
      <c r="X2" s="549" t="s">
        <v>117</v>
      </c>
      <c r="Y2" s="549"/>
      <c r="Z2" s="549"/>
      <c r="AA2" s="549"/>
      <c r="AB2" s="549"/>
      <c r="AC2" s="549"/>
      <c r="AD2" s="549"/>
      <c r="AE2" s="549"/>
      <c r="AF2" s="549"/>
      <c r="AG2" s="549"/>
      <c r="AI2" s="549" t="s">
        <v>130</v>
      </c>
      <c r="AJ2" s="549"/>
      <c r="AK2" s="549"/>
      <c r="AL2" s="549"/>
      <c r="AM2" s="549"/>
      <c r="AO2" s="549" t="s">
        <v>41</v>
      </c>
      <c r="AP2" s="549"/>
      <c r="AQ2" s="549"/>
      <c r="AR2" s="549"/>
      <c r="AS2" s="549"/>
    </row>
    <row r="3" spans="2:49" s="354" customFormat="1" ht="38.25" x14ac:dyDescent="0.2">
      <c r="B3" s="353" t="s">
        <v>0</v>
      </c>
      <c r="C3" s="353" t="s">
        <v>106</v>
      </c>
      <c r="D3" s="353" t="s">
        <v>107</v>
      </c>
      <c r="E3" s="353" t="s">
        <v>108</v>
      </c>
      <c r="F3" s="353"/>
      <c r="G3" s="353" t="s">
        <v>129</v>
      </c>
      <c r="H3" s="353" t="s">
        <v>107</v>
      </c>
      <c r="I3" s="353" t="s">
        <v>109</v>
      </c>
      <c r="J3" s="353" t="s">
        <v>424</v>
      </c>
      <c r="K3" s="353" t="s">
        <v>426</v>
      </c>
      <c r="M3" s="353" t="s">
        <v>0</v>
      </c>
      <c r="N3" s="353" t="s">
        <v>106</v>
      </c>
      <c r="O3" s="353" t="s">
        <v>107</v>
      </c>
      <c r="P3" s="353" t="s">
        <v>108</v>
      </c>
      <c r="Q3" s="353"/>
      <c r="R3" s="353" t="s">
        <v>191</v>
      </c>
      <c r="S3" s="353" t="s">
        <v>107</v>
      </c>
      <c r="T3" s="353" t="s">
        <v>109</v>
      </c>
      <c r="U3" s="353" t="s">
        <v>424</v>
      </c>
      <c r="V3" s="353" t="s">
        <v>426</v>
      </c>
      <c r="X3" s="353" t="s">
        <v>0</v>
      </c>
      <c r="Y3" s="353" t="s">
        <v>106</v>
      </c>
      <c r="Z3" s="353" t="s">
        <v>107</v>
      </c>
      <c r="AA3" s="353" t="s">
        <v>108</v>
      </c>
      <c r="AB3" s="353"/>
      <c r="AC3" s="353" t="s">
        <v>129</v>
      </c>
      <c r="AD3" s="353" t="s">
        <v>107</v>
      </c>
      <c r="AE3" s="353" t="s">
        <v>109</v>
      </c>
      <c r="AF3" s="353" t="s">
        <v>492</v>
      </c>
      <c r="AG3" s="353" t="s">
        <v>426</v>
      </c>
      <c r="AI3" s="355" t="s">
        <v>0</v>
      </c>
      <c r="AJ3" s="356" t="s">
        <v>106</v>
      </c>
      <c r="AK3" s="356" t="s">
        <v>131</v>
      </c>
      <c r="AL3" s="356" t="s">
        <v>132</v>
      </c>
      <c r="AM3" s="356" t="s">
        <v>133</v>
      </c>
      <c r="AO3" s="355" t="s">
        <v>0</v>
      </c>
      <c r="AP3" s="355" t="s">
        <v>106</v>
      </c>
      <c r="AQ3" s="355" t="s">
        <v>194</v>
      </c>
      <c r="AR3" s="356" t="s">
        <v>132</v>
      </c>
      <c r="AS3" s="356" t="s">
        <v>133</v>
      </c>
    </row>
    <row r="4" spans="2:49" x14ac:dyDescent="0.2">
      <c r="B4" s="348"/>
      <c r="C4" s="348" t="s">
        <v>110</v>
      </c>
      <c r="D4" s="348" t="s">
        <v>111</v>
      </c>
      <c r="E4" s="348" t="s">
        <v>112</v>
      </c>
      <c r="F4" s="348"/>
      <c r="G4" s="348" t="s">
        <v>113</v>
      </c>
      <c r="H4" s="348" t="s">
        <v>114</v>
      </c>
      <c r="I4" s="348" t="s">
        <v>115</v>
      </c>
      <c r="J4" s="348" t="s">
        <v>158</v>
      </c>
      <c r="K4" s="348" t="s">
        <v>425</v>
      </c>
      <c r="M4" s="348"/>
      <c r="N4" s="348" t="s">
        <v>110</v>
      </c>
      <c r="O4" s="348" t="s">
        <v>111</v>
      </c>
      <c r="P4" s="348" t="s">
        <v>112</v>
      </c>
      <c r="Q4" s="348"/>
      <c r="R4" s="348" t="s">
        <v>113</v>
      </c>
      <c r="S4" s="348" t="s">
        <v>114</v>
      </c>
      <c r="T4" s="348" t="s">
        <v>115</v>
      </c>
      <c r="U4" s="348" t="s">
        <v>158</v>
      </c>
      <c r="V4" s="348" t="s">
        <v>425</v>
      </c>
      <c r="X4" s="348"/>
      <c r="Y4" s="348" t="s">
        <v>110</v>
      </c>
      <c r="Z4" s="348" t="s">
        <v>111</v>
      </c>
      <c r="AA4" s="348" t="s">
        <v>112</v>
      </c>
      <c r="AB4" s="348"/>
      <c r="AC4" s="348" t="s">
        <v>113</v>
      </c>
      <c r="AD4" s="348" t="s">
        <v>114</v>
      </c>
      <c r="AE4" s="348" t="s">
        <v>115</v>
      </c>
      <c r="AF4" s="348" t="s">
        <v>158</v>
      </c>
      <c r="AG4" s="348" t="s">
        <v>425</v>
      </c>
      <c r="AI4" s="350"/>
      <c r="AJ4" s="350" t="s">
        <v>110</v>
      </c>
      <c r="AK4" s="350" t="s">
        <v>111</v>
      </c>
      <c r="AL4" s="350" t="s">
        <v>299</v>
      </c>
      <c r="AM4" s="350" t="s">
        <v>476</v>
      </c>
      <c r="AO4" s="350"/>
      <c r="AP4" s="350" t="s">
        <v>110</v>
      </c>
      <c r="AQ4" s="350" t="s">
        <v>111</v>
      </c>
      <c r="AR4" s="350" t="s">
        <v>299</v>
      </c>
      <c r="AS4" s="350" t="s">
        <v>476</v>
      </c>
    </row>
    <row r="5" spans="2:49" x14ac:dyDescent="0.2">
      <c r="B5" s="348"/>
      <c r="C5" s="348"/>
      <c r="D5" s="348"/>
      <c r="E5" s="348"/>
      <c r="F5" s="348"/>
      <c r="G5" s="348"/>
      <c r="H5" s="348"/>
      <c r="I5" s="348"/>
      <c r="J5" s="348"/>
      <c r="K5" s="348"/>
      <c r="M5" s="348"/>
      <c r="N5" s="348"/>
      <c r="O5" s="348"/>
      <c r="P5" s="348"/>
      <c r="Q5" s="348"/>
      <c r="R5" s="348"/>
      <c r="S5" s="348"/>
      <c r="T5" s="348"/>
      <c r="U5" s="348"/>
      <c r="V5" s="348"/>
      <c r="X5" s="348"/>
      <c r="Y5" s="348"/>
      <c r="Z5" s="348"/>
      <c r="AA5" s="348"/>
      <c r="AB5" s="348"/>
      <c r="AC5" s="348"/>
      <c r="AD5" s="348"/>
      <c r="AE5" s="348"/>
      <c r="AF5" s="348"/>
      <c r="AG5" s="348"/>
      <c r="AI5" s="350"/>
      <c r="AJ5" s="350"/>
      <c r="AK5" s="350"/>
      <c r="AL5" s="350"/>
      <c r="AM5" s="350"/>
      <c r="AO5" s="350"/>
      <c r="AP5" s="350"/>
      <c r="AQ5" s="350"/>
      <c r="AR5" s="350"/>
      <c r="AS5" s="350"/>
    </row>
    <row r="6" spans="2:49" x14ac:dyDescent="0.2">
      <c r="B6" s="41">
        <v>2015</v>
      </c>
      <c r="C6" s="42">
        <f>SUMIF('Monthly Data'!$B:$B,B6,'Monthly Data'!D:D)</f>
        <v>530999846</v>
      </c>
      <c r="D6" s="42">
        <f>SUMIF('Monthly Data'!$B:$B,B6,'Monthly Data'!E:E)</f>
        <v>1891014.2572060227</v>
      </c>
      <c r="E6" s="42">
        <f t="shared" ref="E6:E9" si="0">C6+D6</f>
        <v>532890860.25720602</v>
      </c>
      <c r="F6" s="42"/>
      <c r="G6" s="42">
        <f ca="1">SUMIF('Res Normalized Monthly'!$B:$B,B6,'Res Normalized Monthly'!$Q:$Q)</f>
        <v>541351968.77968085</v>
      </c>
      <c r="H6" s="42">
        <f t="shared" ref="H6:H10" si="1">D6</f>
        <v>1891014.2572060227</v>
      </c>
      <c r="I6" s="42">
        <f t="shared" ref="I6:I9" ca="1" si="2">G6-H6</f>
        <v>539460954.52247477</v>
      </c>
      <c r="J6" s="42"/>
      <c r="K6" s="42">
        <f t="shared" ref="K6:K14" ca="1" si="3">I6+J6</f>
        <v>539460954.52247477</v>
      </c>
      <c r="M6" s="41">
        <v>2015</v>
      </c>
      <c r="N6" s="42">
        <f>SUMIF('Monthly Data'!$B:$B,M6,'Monthly Data'!H:H)</f>
        <v>170245509</v>
      </c>
      <c r="O6" s="42">
        <f>SUMIF('Monthly Data'!$B:$B,M6,'Monthly Data'!I:I)</f>
        <v>1972780.4821097199</v>
      </c>
      <c r="P6" s="42">
        <f t="shared" ref="P6:P9" si="4">N6+O6</f>
        <v>172218289.48210973</v>
      </c>
      <c r="Q6" s="42"/>
      <c r="R6" s="42">
        <f ca="1">SUMIF('GS&lt;50 Normalized Monthly'!$B:$B,M6,'GS&lt;50 Normalized Monthly'!S:$S)</f>
        <v>171550276.65221488</v>
      </c>
      <c r="S6" s="42">
        <f t="shared" ref="S6:S10" si="5">O6</f>
        <v>1972780.4821097199</v>
      </c>
      <c r="T6" s="42">
        <f t="shared" ref="T6" ca="1" si="6">R6-S6</f>
        <v>169577496.17010516</v>
      </c>
      <c r="U6" s="42"/>
      <c r="V6" s="42">
        <f t="shared" ref="V6:V14" ca="1" si="7">T6+U6</f>
        <v>169577496.17010516</v>
      </c>
      <c r="X6" s="41">
        <v>2015</v>
      </c>
      <c r="Y6" s="42">
        <f>SUMIF('Monthly Data'!$B:$B,X6,'Monthly Data'!L:L)</f>
        <v>907051642</v>
      </c>
      <c r="Z6" s="42">
        <f>SUMIF('Monthly Data'!$B:$B,X6,'Monthly Data'!M:M)</f>
        <v>3569772.8462855099</v>
      </c>
      <c r="AA6" s="42">
        <f t="shared" ref="AA6:AA9" si="8">Y6+Z6</f>
        <v>910621414.84628546</v>
      </c>
      <c r="AB6" s="42"/>
      <c r="AC6" s="42">
        <f ca="1">SUMIF('GS&gt;50 Normalized Monthly'!$B:$B,X6,'GS&gt;50 Normalized Monthly'!$S:$S)</f>
        <v>914940592.92510986</v>
      </c>
      <c r="AD6" s="42">
        <f t="shared" ref="AD6:AD10" si="9">Z6</f>
        <v>3569772.8462855099</v>
      </c>
      <c r="AE6" s="42">
        <f t="shared" ref="AE6:AE9" ca="1" si="10">AC6-AD6</f>
        <v>911370820.0788244</v>
      </c>
      <c r="AF6" s="42"/>
      <c r="AG6" s="42">
        <f t="shared" ref="AG6:AG14" ca="1" si="11">AE6+AF6</f>
        <v>911370820.0788244</v>
      </c>
      <c r="AI6" s="41">
        <v>2015</v>
      </c>
      <c r="AJ6" s="42">
        <f>SUMIF('Monthly Data'!$B:$B,AI6,'Monthly Data'!Q:Q)</f>
        <v>9918681</v>
      </c>
      <c r="AK6" s="42">
        <f>'Customer Count'!O5</f>
        <v>15228.583333333334</v>
      </c>
      <c r="AL6" s="42">
        <f t="shared" ref="AL6:AL14" si="12">AJ6/AK6</f>
        <v>651.32000678548559</v>
      </c>
      <c r="AM6" s="42">
        <f t="shared" ref="AM6:AM17" si="13">AL6*AK6</f>
        <v>9918681</v>
      </c>
      <c r="AO6" s="41">
        <v>2015</v>
      </c>
      <c r="AP6" s="42">
        <f>SUMIF('Monthly Data'!$B:$B,AO6,'Monthly Data'!T:T)</f>
        <v>3110148</v>
      </c>
      <c r="AQ6" s="42">
        <f>'Customer Count'!S5</f>
        <v>556.75</v>
      </c>
      <c r="AR6" s="42">
        <f t="shared" ref="AR6:AR9" si="14">AP6/AQ6</f>
        <v>5586.2559497081274</v>
      </c>
      <c r="AS6" s="42">
        <f t="shared" ref="AS6:AS7" si="15">AR6*AQ6</f>
        <v>3110148</v>
      </c>
    </row>
    <row r="7" spans="2:49" x14ac:dyDescent="0.2">
      <c r="B7" s="41">
        <f t="shared" ref="B7:B15" si="16">B6+1</f>
        <v>2016</v>
      </c>
      <c r="C7" s="42">
        <f>SUMIF('Monthly Data'!$B:$B,B7,'Monthly Data'!D:D)</f>
        <v>545123880</v>
      </c>
      <c r="D7" s="42">
        <f>SUMIF('Monthly Data'!$B:$B,B7,'Monthly Data'!E:E)</f>
        <v>7621480.6575362328</v>
      </c>
      <c r="E7" s="42">
        <f t="shared" si="0"/>
        <v>552745360.65753627</v>
      </c>
      <c r="F7" s="42"/>
      <c r="G7" s="42">
        <f ca="1">SUMIF('Res Normalized Monthly'!$B:$B,B7,'Res Normalized Monthly'!$Q:$Q)</f>
        <v>547234567.03939569</v>
      </c>
      <c r="H7" s="42">
        <f t="shared" si="1"/>
        <v>7621480.6575362328</v>
      </c>
      <c r="I7" s="42">
        <f t="shared" ca="1" si="2"/>
        <v>539613086.38185942</v>
      </c>
      <c r="J7" s="42"/>
      <c r="K7" s="42">
        <f t="shared" ca="1" si="3"/>
        <v>539613086.38185942</v>
      </c>
      <c r="M7" s="41">
        <f t="shared" ref="M7:M15" si="17">M6+1</f>
        <v>2016</v>
      </c>
      <c r="N7" s="42">
        <f>SUMIF('Monthly Data'!$B:$B,M7,'Monthly Data'!H:H)</f>
        <v>169905557</v>
      </c>
      <c r="O7" s="42">
        <f>SUMIF('Monthly Data'!$B:$B,M7,'Monthly Data'!I:I)</f>
        <v>4979764.0176311312</v>
      </c>
      <c r="P7" s="42">
        <f t="shared" si="4"/>
        <v>174885321.01763114</v>
      </c>
      <c r="Q7" s="42"/>
      <c r="R7" s="42">
        <f ca="1">SUMIF('GS&lt;50 Normalized Monthly'!$B:$B,M7,'GS&lt;50 Normalized Monthly'!S:$S)</f>
        <v>172409506.54125133</v>
      </c>
      <c r="S7" s="42">
        <f t="shared" si="5"/>
        <v>4979764.0176311312</v>
      </c>
      <c r="T7" s="42">
        <f t="shared" ref="T7:T17" ca="1" si="18">R7-S7</f>
        <v>167429742.52362019</v>
      </c>
      <c r="U7" s="42"/>
      <c r="V7" s="42">
        <f t="shared" ca="1" si="7"/>
        <v>167429742.52362019</v>
      </c>
      <c r="X7" s="41">
        <f t="shared" ref="X7:X15" si="19">X6+1</f>
        <v>2016</v>
      </c>
      <c r="Y7" s="42">
        <f>SUMIF('Monthly Data'!$B:$B,X7,'Monthly Data'!L:L)</f>
        <v>920835908</v>
      </c>
      <c r="Z7" s="42">
        <f>SUMIF('Monthly Data'!$B:$B,X7,'Monthly Data'!M:M)</f>
        <v>11994112.282067642</v>
      </c>
      <c r="AA7" s="42">
        <f t="shared" si="8"/>
        <v>932830020.28206766</v>
      </c>
      <c r="AB7" s="42"/>
      <c r="AC7" s="42">
        <f ca="1">SUMIF('GS&gt;50 Normalized Monthly'!$B:$B,X7,'GS&gt;50 Normalized Monthly'!$S:$S)</f>
        <v>905686799.77462828</v>
      </c>
      <c r="AD7" s="42">
        <f t="shared" si="9"/>
        <v>11994112.282067642</v>
      </c>
      <c r="AE7" s="42">
        <f t="shared" ca="1" si="10"/>
        <v>893692687.49256063</v>
      </c>
      <c r="AF7" s="42"/>
      <c r="AG7" s="42">
        <f t="shared" ca="1" si="11"/>
        <v>893692687.49256063</v>
      </c>
      <c r="AI7" s="41">
        <f t="shared" ref="AI7:AI15" si="20">AI6+1</f>
        <v>2016</v>
      </c>
      <c r="AJ7" s="42">
        <f>SUMIF('Monthly Data'!$B:$B,AI7,'Monthly Data'!Q:Q)</f>
        <v>9945876</v>
      </c>
      <c r="AK7" s="42">
        <f>'Customer Count'!O6</f>
        <v>15252.666666666666</v>
      </c>
      <c r="AL7" s="42">
        <f t="shared" si="12"/>
        <v>652.07456619607501</v>
      </c>
      <c r="AM7" s="42">
        <f t="shared" si="13"/>
        <v>9945876</v>
      </c>
      <c r="AO7" s="41">
        <f t="shared" ref="AO7:AO15" si="21">AO6+1</f>
        <v>2016</v>
      </c>
      <c r="AP7" s="42">
        <f>SUMIF('Monthly Data'!$B:$B,AO7,'Monthly Data'!T:T)</f>
        <v>3115033</v>
      </c>
      <c r="AQ7" s="42">
        <f>'Customer Count'!S6</f>
        <v>559.08333333333337</v>
      </c>
      <c r="AR7" s="42">
        <f t="shared" si="14"/>
        <v>5571.6792368460274</v>
      </c>
      <c r="AS7" s="42">
        <f t="shared" si="15"/>
        <v>3115033</v>
      </c>
    </row>
    <row r="8" spans="2:49" x14ac:dyDescent="0.2">
      <c r="B8" s="41">
        <f t="shared" si="16"/>
        <v>2017</v>
      </c>
      <c r="C8" s="42">
        <f>SUMIF('Monthly Data'!$B:$B,B8,'Monthly Data'!D:D)</f>
        <v>501428451</v>
      </c>
      <c r="D8" s="42">
        <f>SUMIF('Monthly Data'!$B:$B,B8,'Monthly Data'!E:E)</f>
        <v>21666660.886670321</v>
      </c>
      <c r="E8" s="42">
        <f t="shared" si="0"/>
        <v>523095111.88667035</v>
      </c>
      <c r="F8" s="42"/>
      <c r="G8" s="42">
        <f ca="1">SUMIF('Res Normalized Monthly'!$B:$B,B8,'Res Normalized Monthly'!$Q:$Q)</f>
        <v>549429442.81330526</v>
      </c>
      <c r="H8" s="42">
        <f t="shared" si="1"/>
        <v>21666660.886670321</v>
      </c>
      <c r="I8" s="42">
        <f t="shared" ca="1" si="2"/>
        <v>527762781.92663491</v>
      </c>
      <c r="J8" s="42"/>
      <c r="K8" s="42">
        <f t="shared" ca="1" si="3"/>
        <v>527762781.92663491</v>
      </c>
      <c r="M8" s="41">
        <f t="shared" si="17"/>
        <v>2017</v>
      </c>
      <c r="N8" s="42">
        <f>SUMIF('Monthly Data'!$B:$B,M8,'Monthly Data'!H:H)</f>
        <v>166894185</v>
      </c>
      <c r="O8" s="42">
        <f>SUMIF('Monthly Data'!$B:$B,M8,'Monthly Data'!I:I)</f>
        <v>6947328.4542513443</v>
      </c>
      <c r="P8" s="42">
        <f t="shared" si="4"/>
        <v>173841513.45425135</v>
      </c>
      <c r="Q8" s="42"/>
      <c r="R8" s="42">
        <f ca="1">SUMIF('GS&lt;50 Normalized Monthly'!$B:$B,M8,'GS&lt;50 Normalized Monthly'!S:$S)</f>
        <v>173956836.04288605</v>
      </c>
      <c r="S8" s="42">
        <f t="shared" si="5"/>
        <v>6947328.4542513443</v>
      </c>
      <c r="T8" s="42">
        <f t="shared" ca="1" si="18"/>
        <v>167009507.5886347</v>
      </c>
      <c r="U8" s="42"/>
      <c r="V8" s="42">
        <f t="shared" ca="1" si="7"/>
        <v>167009507.5886347</v>
      </c>
      <c r="X8" s="41">
        <f t="shared" si="19"/>
        <v>2017</v>
      </c>
      <c r="Y8" s="42">
        <f>SUMIF('Monthly Data'!$B:$B,X8,'Monthly Data'!L:L)</f>
        <v>885596225</v>
      </c>
      <c r="Z8" s="42">
        <f>SUMIF('Monthly Data'!$B:$B,X8,'Monthly Data'!M:M)</f>
        <v>20636183.241984829</v>
      </c>
      <c r="AA8" s="42">
        <f t="shared" si="8"/>
        <v>906232408.24198484</v>
      </c>
      <c r="AB8" s="42"/>
      <c r="AC8" s="42">
        <f ca="1">SUMIF('GS&gt;50 Normalized Monthly'!$B:$B,X8,'GS&gt;50 Normalized Monthly'!$S:$S)</f>
        <v>896590634.36314428</v>
      </c>
      <c r="AD8" s="42">
        <f t="shared" si="9"/>
        <v>20636183.241984829</v>
      </c>
      <c r="AE8" s="42">
        <f t="shared" ca="1" si="10"/>
        <v>875954451.12115943</v>
      </c>
      <c r="AF8" s="42"/>
      <c r="AG8" s="42">
        <f t="shared" ca="1" si="11"/>
        <v>875954451.12115943</v>
      </c>
      <c r="AI8" s="41">
        <f t="shared" si="20"/>
        <v>2017</v>
      </c>
      <c r="AJ8" s="42">
        <f>SUMIF('Monthly Data'!$B:$B,AI8,'Monthly Data'!Q:Q)</f>
        <v>11286654.700000001</v>
      </c>
      <c r="AK8" s="42">
        <f>'Customer Count'!O7</f>
        <v>17184</v>
      </c>
      <c r="AL8" s="42">
        <f t="shared" si="12"/>
        <v>656.81184241154574</v>
      </c>
      <c r="AM8" s="42">
        <f t="shared" si="13"/>
        <v>11286654.700000001</v>
      </c>
      <c r="AO8" s="41">
        <f t="shared" si="21"/>
        <v>2017</v>
      </c>
      <c r="AP8" s="42">
        <f>SUMIF('Monthly Data'!$B:$B,AO8,'Monthly Data'!T:T)</f>
        <v>3130244</v>
      </c>
      <c r="AQ8" s="42">
        <f>'Customer Count'!S7</f>
        <v>561.91666666666663</v>
      </c>
      <c r="AR8" s="42">
        <f t="shared" si="14"/>
        <v>5570.6551979830938</v>
      </c>
      <c r="AS8" s="42">
        <f>AR8*AQ8</f>
        <v>3130244</v>
      </c>
    </row>
    <row r="9" spans="2:49" x14ac:dyDescent="0.2">
      <c r="B9" s="41">
        <f t="shared" si="16"/>
        <v>2018</v>
      </c>
      <c r="C9" s="42">
        <f>SUMIF('Monthly Data'!$B:$B,B9,'Monthly Data'!D:D)</f>
        <v>536801589</v>
      </c>
      <c r="D9" s="42">
        <f>SUMIF('Monthly Data'!$B:$B,B9,'Monthly Data'!E:E)</f>
        <v>29652646.376723751</v>
      </c>
      <c r="E9" s="42">
        <f t="shared" si="0"/>
        <v>566454235.37672377</v>
      </c>
      <c r="F9" s="43"/>
      <c r="G9" s="42">
        <f ca="1">SUMIF('Res Normalized Monthly'!$B:$B,B9,'Res Normalized Monthly'!$Q:$Q)</f>
        <v>554132551.1224947</v>
      </c>
      <c r="H9" s="42">
        <f t="shared" si="1"/>
        <v>29652646.376723751</v>
      </c>
      <c r="I9" s="42">
        <f t="shared" ca="1" si="2"/>
        <v>524479904.74577093</v>
      </c>
      <c r="J9" s="42"/>
      <c r="K9" s="42">
        <f t="shared" ca="1" si="3"/>
        <v>524479904.74577093</v>
      </c>
      <c r="M9" s="41">
        <f t="shared" si="17"/>
        <v>2018</v>
      </c>
      <c r="N9" s="42">
        <f>SUMIF('Monthly Data'!$B:$B,M9,'Monthly Data'!H:H)</f>
        <v>174257110</v>
      </c>
      <c r="O9" s="42">
        <f>SUMIF('Monthly Data'!$B:$B,M9,'Monthly Data'!I:I)</f>
        <v>9419590.0386150163</v>
      </c>
      <c r="P9" s="42">
        <f t="shared" si="4"/>
        <v>183676700.03861502</v>
      </c>
      <c r="Q9" s="43"/>
      <c r="R9" s="42">
        <f ca="1">SUMIF('GS&lt;50 Normalized Monthly'!$B:$B,M9,'GS&lt;50 Normalized Monthly'!S:$S)</f>
        <v>175917753.57018435</v>
      </c>
      <c r="S9" s="42">
        <f t="shared" si="5"/>
        <v>9419590.0386150163</v>
      </c>
      <c r="T9" s="42">
        <f t="shared" ca="1" si="18"/>
        <v>166498163.53156933</v>
      </c>
      <c r="U9" s="42"/>
      <c r="V9" s="42">
        <f t="shared" ca="1" si="7"/>
        <v>166498163.53156933</v>
      </c>
      <c r="X9" s="41">
        <f t="shared" si="19"/>
        <v>2018</v>
      </c>
      <c r="Y9" s="42">
        <f>SUMIF('Monthly Data'!$B:$B,X9,'Monthly Data'!L:L)</f>
        <v>874283086</v>
      </c>
      <c r="Z9" s="42">
        <f>SUMIF('Monthly Data'!$B:$B,X9,'Monthly Data'!M:M)</f>
        <v>28000905.707872517</v>
      </c>
      <c r="AA9" s="42">
        <f t="shared" si="8"/>
        <v>902283991.70787251</v>
      </c>
      <c r="AB9" s="43"/>
      <c r="AC9" s="42">
        <f ca="1">SUMIF('GS&gt;50 Normalized Monthly'!$B:$B,X9,'GS&gt;50 Normalized Monthly'!$S:$S)</f>
        <v>887901926.88075137</v>
      </c>
      <c r="AD9" s="42">
        <f t="shared" si="9"/>
        <v>28000905.707872517</v>
      </c>
      <c r="AE9" s="42">
        <f t="shared" ca="1" si="10"/>
        <v>859901021.17287886</v>
      </c>
      <c r="AF9" s="42"/>
      <c r="AG9" s="42">
        <f t="shared" ca="1" si="11"/>
        <v>859901021.17287886</v>
      </c>
      <c r="AI9" s="41">
        <f t="shared" si="20"/>
        <v>2018</v>
      </c>
      <c r="AJ9" s="42">
        <f>SUMIF('Monthly Data'!$B:$B,AI9,'Monthly Data'!Q:Q)</f>
        <v>6528022.6000000006</v>
      </c>
      <c r="AK9" s="42">
        <f>'Customer Count'!O8</f>
        <v>17184</v>
      </c>
      <c r="AL9" s="42">
        <f t="shared" si="12"/>
        <v>379.88958333333335</v>
      </c>
      <c r="AM9" s="42">
        <f t="shared" si="13"/>
        <v>6528022.6000000006</v>
      </c>
      <c r="AO9" s="41">
        <f t="shared" si="21"/>
        <v>2018</v>
      </c>
      <c r="AP9" s="42">
        <f>SUMIF('Monthly Data'!$B:$B,AO9,'Monthly Data'!T:T)</f>
        <v>3138478</v>
      </c>
      <c r="AQ9" s="42">
        <f>'Customer Count'!S8</f>
        <v>563.33333333333337</v>
      </c>
      <c r="AR9" s="42">
        <f t="shared" si="14"/>
        <v>5571.2627218934904</v>
      </c>
      <c r="AS9" s="42">
        <f>AR9*AQ9</f>
        <v>3138478</v>
      </c>
      <c r="AW9" s="75"/>
    </row>
    <row r="10" spans="2:49" x14ac:dyDescent="0.2">
      <c r="B10" s="41">
        <f t="shared" si="16"/>
        <v>2019</v>
      </c>
      <c r="C10" s="42">
        <f>SUMIF('Monthly Data'!$B:$B,B10,'Monthly Data'!D:D)</f>
        <v>512580883</v>
      </c>
      <c r="D10" s="42">
        <f>SUMIF('Monthly Data'!$B:$B,B10,'Monthly Data'!E:E)</f>
        <v>31473060.837847497</v>
      </c>
      <c r="E10" s="42">
        <f t="shared" ref="E10:E12" si="22">C10+D10</f>
        <v>544053943.83784747</v>
      </c>
      <c r="F10" s="43"/>
      <c r="G10" s="42">
        <f ca="1">SUMIF('Res Normalized Monthly'!$B:$B,B10,'Res Normalized Monthly'!$Q:$Q)</f>
        <v>559886648.10306692</v>
      </c>
      <c r="H10" s="42">
        <f t="shared" si="1"/>
        <v>31473060.837847497</v>
      </c>
      <c r="I10" s="42">
        <f t="shared" ref="I10:I12" ca="1" si="23">G10-H10</f>
        <v>528413587.26521945</v>
      </c>
      <c r="J10" s="42"/>
      <c r="K10" s="42">
        <f t="shared" ca="1" si="3"/>
        <v>528413587.26521945</v>
      </c>
      <c r="M10" s="41">
        <f t="shared" si="17"/>
        <v>2019</v>
      </c>
      <c r="N10" s="42">
        <f>SUMIF('Monthly Data'!$B:$B,M10,'Monthly Data'!H:H)</f>
        <v>170703484</v>
      </c>
      <c r="O10" s="42">
        <f>SUMIF('Monthly Data'!$B:$B,M10,'Monthly Data'!I:I)</f>
        <v>11500521.013404086</v>
      </c>
      <c r="P10" s="42">
        <f t="shared" ref="P10:P12" si="24">N10+O10</f>
        <v>182204005.01340407</v>
      </c>
      <c r="Q10" s="43"/>
      <c r="R10" s="42">
        <f ca="1">SUMIF('GS&lt;50 Normalized Monthly'!$B:$B,M10,'GS&lt;50 Normalized Monthly'!S:$S)</f>
        <v>176954931.92005631</v>
      </c>
      <c r="S10" s="42">
        <f t="shared" si="5"/>
        <v>11500521.013404086</v>
      </c>
      <c r="T10" s="42">
        <f t="shared" ca="1" si="18"/>
        <v>165454410.90665221</v>
      </c>
      <c r="U10" s="42"/>
      <c r="V10" s="42">
        <f t="shared" ca="1" si="7"/>
        <v>165454410.90665221</v>
      </c>
      <c r="X10" s="41">
        <f t="shared" si="19"/>
        <v>2019</v>
      </c>
      <c r="Y10" s="42">
        <f>SUMIF('Monthly Data'!$B:$B,X10,'Monthly Data'!L:L)</f>
        <v>837536595</v>
      </c>
      <c r="Z10" s="42">
        <f>SUMIF('Monthly Data'!$B:$B,X10,'Monthly Data'!M:M)</f>
        <v>33676293.340903282</v>
      </c>
      <c r="AA10" s="42">
        <f t="shared" ref="AA10:AA12" si="25">Y10+Z10</f>
        <v>871212888.34090328</v>
      </c>
      <c r="AB10" s="43"/>
      <c r="AC10" s="42">
        <f ca="1">SUMIF('GS&gt;50 Normalized Monthly'!$B:$B,X10,'GS&gt;50 Normalized Monthly'!$S:$S)</f>
        <v>880143722.20603633</v>
      </c>
      <c r="AD10" s="42">
        <f t="shared" si="9"/>
        <v>33676293.340903282</v>
      </c>
      <c r="AE10" s="42">
        <f t="shared" ref="AE10:AE12" ca="1" si="26">AC10-AD10</f>
        <v>846467428.86513305</v>
      </c>
      <c r="AF10" s="42"/>
      <c r="AG10" s="42">
        <f t="shared" ca="1" si="11"/>
        <v>846467428.86513305</v>
      </c>
      <c r="AI10" s="41">
        <f t="shared" si="20"/>
        <v>2019</v>
      </c>
      <c r="AJ10" s="42">
        <f>SUMIF('Monthly Data'!$B:$B,AI10,'Monthly Data'!Q:Q)</f>
        <v>5537652.8999999994</v>
      </c>
      <c r="AK10" s="42">
        <f>'Customer Count'!O9</f>
        <v>17184</v>
      </c>
      <c r="AL10" s="42">
        <f t="shared" si="12"/>
        <v>322.25633729050276</v>
      </c>
      <c r="AM10" s="42">
        <f t="shared" ref="AM10:AM12" si="27">AL10*AK10</f>
        <v>5537652.8999999994</v>
      </c>
      <c r="AO10" s="41">
        <f t="shared" si="21"/>
        <v>2019</v>
      </c>
      <c r="AP10" s="42">
        <f>SUMIF('Monthly Data'!$B:$B,AO10,'Monthly Data'!T:T)</f>
        <v>3144191</v>
      </c>
      <c r="AQ10" s="42">
        <f>'Customer Count'!S9</f>
        <v>561.5</v>
      </c>
      <c r="AR10" s="42">
        <f t="shared" ref="AR10:AR12" si="28">AP10/AQ10</f>
        <v>5599.6277827248441</v>
      </c>
      <c r="AS10" s="42">
        <f>AR10*AQ10</f>
        <v>3144191</v>
      </c>
      <c r="AW10" s="75"/>
    </row>
    <row r="11" spans="2:49" x14ac:dyDescent="0.2">
      <c r="B11" s="41">
        <f t="shared" si="16"/>
        <v>2020</v>
      </c>
      <c r="C11" s="42">
        <f>SUMIF('Monthly Data'!$B:$B,B11,'Monthly Data'!D:D)</f>
        <v>555286631</v>
      </c>
      <c r="D11" s="42">
        <f>SUMIF('Monthly Data'!$B:$B,B11,'Monthly Data'!E:E)</f>
        <v>31460656.625149347</v>
      </c>
      <c r="E11" s="42">
        <f t="shared" si="22"/>
        <v>586747287.62514937</v>
      </c>
      <c r="F11" s="42"/>
      <c r="G11" s="42">
        <f ca="1">SUMIF('Res Normalized Monthly'!$B:$B,B11,'Res Normalized Monthly'!$Q:$Q)</f>
        <v>565521563.32763457</v>
      </c>
      <c r="H11" s="42">
        <f t="shared" ref="H11:H14" si="29">D11</f>
        <v>31460656.625149347</v>
      </c>
      <c r="I11" s="42">
        <f t="shared" ca="1" si="23"/>
        <v>534060906.7024852</v>
      </c>
      <c r="J11" s="42"/>
      <c r="K11" s="42">
        <f t="shared" ca="1" si="3"/>
        <v>534060906.7024852</v>
      </c>
      <c r="M11" s="41">
        <f t="shared" si="17"/>
        <v>2020</v>
      </c>
      <c r="N11" s="42">
        <f>SUMIF('Monthly Data'!$B:$B,M11,'Monthly Data'!H:H)</f>
        <v>153322573</v>
      </c>
      <c r="O11" s="42">
        <f>SUMIF('Monthly Data'!$B:$B,M11,'Monthly Data'!I:I)</f>
        <v>12081676.783982042</v>
      </c>
      <c r="P11" s="42">
        <f t="shared" si="24"/>
        <v>165404249.78398204</v>
      </c>
      <c r="Q11" s="42"/>
      <c r="R11" s="42">
        <f ca="1">SUMIF('GS&lt;50 Normalized Monthly'!$B:$B,M11,'GS&lt;50 Normalized Monthly'!S:$S)</f>
        <v>177301396.07755589</v>
      </c>
      <c r="S11" s="42">
        <f t="shared" ref="S11:S13" si="30">O11</f>
        <v>12081676.783982042</v>
      </c>
      <c r="T11" s="42">
        <f t="shared" ref="T11:T14" ca="1" si="31">R11-S11</f>
        <v>165219719.29357386</v>
      </c>
      <c r="U11" s="42"/>
      <c r="V11" s="42">
        <f t="shared" ca="1" si="7"/>
        <v>165219719.29357386</v>
      </c>
      <c r="X11" s="41">
        <f t="shared" si="19"/>
        <v>2020</v>
      </c>
      <c r="Y11" s="42">
        <f>SUMIF('Monthly Data'!$B:$B,X11,'Monthly Data'!L:L)</f>
        <v>787632949</v>
      </c>
      <c r="Z11" s="42">
        <f>SUMIF('Monthly Data'!$B:$B,X11,'Monthly Data'!M:M)</f>
        <v>36581938.515852936</v>
      </c>
      <c r="AA11" s="42">
        <f t="shared" si="25"/>
        <v>824214887.51585293</v>
      </c>
      <c r="AB11" s="42"/>
      <c r="AC11" s="42">
        <f ca="1">SUMIF('GS&gt;50 Normalized Monthly'!$B:$B,X11,'GS&gt;50 Normalized Monthly'!$S:$S)</f>
        <v>850324976.19009829</v>
      </c>
      <c r="AD11" s="42">
        <f t="shared" ref="AD11:AD14" si="32">Z11</f>
        <v>36581938.515852936</v>
      </c>
      <c r="AE11" s="42">
        <f t="shared" ca="1" si="26"/>
        <v>813743037.67424536</v>
      </c>
      <c r="AF11" s="42"/>
      <c r="AG11" s="42">
        <f t="shared" ca="1" si="11"/>
        <v>813743037.67424536</v>
      </c>
      <c r="AI11" s="41">
        <f t="shared" si="20"/>
        <v>2020</v>
      </c>
      <c r="AJ11" s="42">
        <f>SUMIF('Monthly Data'!$B:$B,AI11,'Monthly Data'!Q:Q)</f>
        <v>5409836</v>
      </c>
      <c r="AK11" s="42">
        <f>'Customer Count'!O10</f>
        <v>17185.333333333332</v>
      </c>
      <c r="AL11" s="42">
        <f t="shared" si="12"/>
        <v>314.79377763984797</v>
      </c>
      <c r="AM11" s="42">
        <f t="shared" si="27"/>
        <v>5409836</v>
      </c>
      <c r="AO11" s="41">
        <f t="shared" si="21"/>
        <v>2020</v>
      </c>
      <c r="AP11" s="42">
        <f>SUMIF('Monthly Data'!$B:$B,AO11,'Monthly Data'!T:T)</f>
        <v>3140725</v>
      </c>
      <c r="AQ11" s="42">
        <f>'Customer Count'!S10</f>
        <v>576</v>
      </c>
      <c r="AR11" s="42">
        <f t="shared" si="28"/>
        <v>5452.6475694444443</v>
      </c>
      <c r="AS11" s="42">
        <f t="shared" ref="AS11:AS14" si="33">AR11*AQ11</f>
        <v>3140725</v>
      </c>
      <c r="AW11" s="75"/>
    </row>
    <row r="12" spans="2:49" x14ac:dyDescent="0.2">
      <c r="B12" s="41">
        <f t="shared" si="16"/>
        <v>2021</v>
      </c>
      <c r="C12" s="42">
        <f>SUMIF('Monthly Data'!$B:$B,B12,'Monthly Data'!D:D)</f>
        <v>550878084</v>
      </c>
      <c r="D12" s="42">
        <f>SUMIF('Monthly Data'!$B:$B,B12,'Monthly Data'!E:E)</f>
        <v>31501292.225126073</v>
      </c>
      <c r="E12" s="42">
        <f t="shared" si="22"/>
        <v>582379376.22512603</v>
      </c>
      <c r="F12" s="43"/>
      <c r="G12" s="42">
        <f ca="1">SUMIF('Res Normalized Monthly'!$B:$B,B12,'Res Normalized Monthly'!$Q:$Q)</f>
        <v>555389904.06505203</v>
      </c>
      <c r="H12" s="42">
        <f t="shared" si="29"/>
        <v>31501292.225126073</v>
      </c>
      <c r="I12" s="42">
        <f t="shared" ca="1" si="23"/>
        <v>523888611.83992594</v>
      </c>
      <c r="J12" s="42"/>
      <c r="K12" s="42">
        <f t="shared" ca="1" si="3"/>
        <v>523888611.83992594</v>
      </c>
      <c r="M12" s="41">
        <f t="shared" si="17"/>
        <v>2021</v>
      </c>
      <c r="N12" s="42">
        <f>SUMIF('Monthly Data'!$B:$B,M12,'Monthly Data'!H:H)</f>
        <v>156917865</v>
      </c>
      <c r="O12" s="42">
        <f>SUMIF('Monthly Data'!$B:$B,M12,'Monthly Data'!I:I)</f>
        <v>12501503.838213963</v>
      </c>
      <c r="P12" s="42">
        <f t="shared" si="24"/>
        <v>169419368.83821395</v>
      </c>
      <c r="Q12" s="43"/>
      <c r="R12" s="42">
        <f ca="1">SUMIF('GS&lt;50 Normalized Monthly'!$B:$B,M12,'GS&lt;50 Normalized Monthly'!S:$S)</f>
        <v>180163402.42043597</v>
      </c>
      <c r="S12" s="42">
        <f t="shared" si="30"/>
        <v>12501503.838213963</v>
      </c>
      <c r="T12" s="42">
        <f t="shared" ca="1" si="31"/>
        <v>167661898.58222201</v>
      </c>
      <c r="U12" s="42"/>
      <c r="V12" s="42">
        <f t="shared" ca="1" si="7"/>
        <v>167661898.58222201</v>
      </c>
      <c r="X12" s="41">
        <f t="shared" si="19"/>
        <v>2021</v>
      </c>
      <c r="Y12" s="42">
        <f>SUMIF('Monthly Data'!$B:$B,X12,'Monthly Data'!L:L)</f>
        <v>797368549</v>
      </c>
      <c r="Z12" s="42">
        <f>SUMIF('Monthly Data'!$B:$B,X12,'Monthly Data'!M:M)</f>
        <v>39758301.191827103</v>
      </c>
      <c r="AA12" s="42">
        <f t="shared" si="25"/>
        <v>837126850.19182706</v>
      </c>
      <c r="AB12" s="43"/>
      <c r="AC12" s="42">
        <f ca="1">SUMIF('GS&gt;50 Normalized Monthly'!$B:$B,X12,'GS&gt;50 Normalized Monthly'!$S:$S)</f>
        <v>865497557.19932771</v>
      </c>
      <c r="AD12" s="42">
        <f t="shared" si="32"/>
        <v>39758301.191827103</v>
      </c>
      <c r="AE12" s="42">
        <f t="shared" ca="1" si="26"/>
        <v>825739256.00750065</v>
      </c>
      <c r="AF12" s="42"/>
      <c r="AG12" s="42">
        <f t="shared" ca="1" si="11"/>
        <v>825739256.00750065</v>
      </c>
      <c r="AI12" s="41">
        <f t="shared" si="20"/>
        <v>2021</v>
      </c>
      <c r="AJ12" s="42">
        <f>SUMIF('Monthly Data'!$B:$B,AI12,'Monthly Data'!Q:Q)</f>
        <v>5543828</v>
      </c>
      <c r="AK12" s="42">
        <f>'Customer Count'!O11</f>
        <v>17189</v>
      </c>
      <c r="AL12" s="42">
        <f t="shared" si="12"/>
        <v>322.52184536622258</v>
      </c>
      <c r="AM12" s="42">
        <f t="shared" si="27"/>
        <v>5543828</v>
      </c>
      <c r="AO12" s="41">
        <f t="shared" si="21"/>
        <v>2021</v>
      </c>
      <c r="AP12" s="42">
        <f>SUMIF('Monthly Data'!$B:$B,AO12,'Monthly Data'!T:T)</f>
        <v>3135184</v>
      </c>
      <c r="AQ12" s="42">
        <f>'Customer Count'!S11</f>
        <v>573.58333333333337</v>
      </c>
      <c r="AR12" s="42">
        <f t="shared" si="28"/>
        <v>5465.9607729187846</v>
      </c>
      <c r="AS12" s="42">
        <f t="shared" si="33"/>
        <v>3135183.9999999995</v>
      </c>
      <c r="AW12" s="75"/>
    </row>
    <row r="13" spans="2:49" x14ac:dyDescent="0.2">
      <c r="B13" s="41">
        <f t="shared" si="16"/>
        <v>2022</v>
      </c>
      <c r="C13" s="42">
        <f>SUMIF('Monthly Data'!$B:$B,B13,'Monthly Data'!D:D)</f>
        <v>543063322</v>
      </c>
      <c r="D13" s="42">
        <f>SUMIF('Monthly Data'!$B:$B,B13,'Monthly Data'!E:E)</f>
        <v>31618374.746524349</v>
      </c>
      <c r="E13" s="42">
        <f t="shared" ref="E13:E15" si="34">C13+D13</f>
        <v>574681696.74652433</v>
      </c>
      <c r="F13" s="43"/>
      <c r="G13" s="42">
        <f ca="1">SUMIF('Res Normalized Monthly'!$B:$B,B13,'Res Normalized Monthly'!$Q:$Q)</f>
        <v>566252951.43650103</v>
      </c>
      <c r="H13" s="42">
        <f t="shared" si="29"/>
        <v>31618374.746524349</v>
      </c>
      <c r="I13" s="42">
        <f t="shared" ref="I13:I15" ca="1" si="35">G13-H13</f>
        <v>534634576.68997669</v>
      </c>
      <c r="J13" s="42"/>
      <c r="K13" s="42">
        <f t="shared" ca="1" si="3"/>
        <v>534634576.68997669</v>
      </c>
      <c r="M13" s="41">
        <f t="shared" si="17"/>
        <v>2022</v>
      </c>
      <c r="N13" s="42">
        <f>SUMIF('Monthly Data'!$B:$B,M13,'Monthly Data'!H:H)</f>
        <v>167739015</v>
      </c>
      <c r="O13" s="42">
        <f>SUMIF('Monthly Data'!$B:$B,M13,'Monthly Data'!I:I)</f>
        <v>13383161.7576367</v>
      </c>
      <c r="P13" s="42">
        <f t="shared" ref="P13:P14" si="36">N13+O13</f>
        <v>181122176.7576367</v>
      </c>
      <c r="Q13" s="43"/>
      <c r="R13" s="42">
        <f ca="1">SUMIF('GS&lt;50 Normalized Monthly'!$B:$B,M13,'GS&lt;50 Normalized Monthly'!S:$S)</f>
        <v>180887834.69829619</v>
      </c>
      <c r="S13" s="42">
        <f t="shared" si="30"/>
        <v>13383161.7576367</v>
      </c>
      <c r="T13" s="42">
        <f t="shared" ca="1" si="31"/>
        <v>167504672.94065949</v>
      </c>
      <c r="U13" s="42"/>
      <c r="V13" s="42">
        <f t="shared" ca="1" si="7"/>
        <v>167504672.94065949</v>
      </c>
      <c r="X13" s="41">
        <f t="shared" si="19"/>
        <v>2022</v>
      </c>
      <c r="Y13" s="42">
        <f>SUMIF('Monthly Data'!$B:$B,X13,'Monthly Data'!L:L)</f>
        <v>812199013</v>
      </c>
      <c r="Z13" s="42">
        <f>SUMIF('Monthly Data'!$B:$B,X13,'Monthly Data'!M:M)</f>
        <v>43798668.374049872</v>
      </c>
      <c r="AA13" s="42">
        <f t="shared" ref="AA13:AA14" si="37">Y13+Z13</f>
        <v>855997681.3740499</v>
      </c>
      <c r="AB13" s="43"/>
      <c r="AC13" s="42">
        <f ca="1">SUMIF('GS&gt;50 Normalized Monthly'!$B:$B,X13,'GS&gt;50 Normalized Monthly'!$S:$S)</f>
        <v>858769351.86744785</v>
      </c>
      <c r="AD13" s="42">
        <f t="shared" si="32"/>
        <v>43798668.374049872</v>
      </c>
      <c r="AE13" s="42">
        <f t="shared" ref="AE13:AE14" ca="1" si="38">AC13-AD13</f>
        <v>814970683.49339795</v>
      </c>
      <c r="AF13" s="42"/>
      <c r="AG13" s="42">
        <f t="shared" ca="1" si="11"/>
        <v>814970683.49339795</v>
      </c>
      <c r="AI13" s="41">
        <f t="shared" si="20"/>
        <v>2022</v>
      </c>
      <c r="AJ13" s="42">
        <f>SUMIF('Monthly Data'!$B:$B,AI13,'Monthly Data'!Q:Q)</f>
        <v>5550156</v>
      </c>
      <c r="AK13" s="42">
        <f>'Customer Count'!O12</f>
        <v>17201</v>
      </c>
      <c r="AL13" s="42">
        <f t="shared" si="12"/>
        <v>322.66472879483752</v>
      </c>
      <c r="AM13" s="42">
        <f t="shared" ref="AM13:AM14" si="39">AL13*AK13</f>
        <v>5550156</v>
      </c>
      <c r="AO13" s="41">
        <f t="shared" si="21"/>
        <v>2022</v>
      </c>
      <c r="AP13" s="42">
        <f>SUMIF('Monthly Data'!$B:$B,AO13,'Monthly Data'!T:T)</f>
        <v>3146746</v>
      </c>
      <c r="AQ13" s="42">
        <f>'Customer Count'!S12</f>
        <v>573.5</v>
      </c>
      <c r="AR13" s="42">
        <f t="shared" ref="AR13:AR14" si="40">AP13/AQ13</f>
        <v>5486.9154315605929</v>
      </c>
      <c r="AS13" s="42">
        <f t="shared" si="33"/>
        <v>3146746</v>
      </c>
      <c r="AW13" s="75"/>
    </row>
    <row r="14" spans="2:49" x14ac:dyDescent="0.2">
      <c r="B14" s="41">
        <f t="shared" si="16"/>
        <v>2023</v>
      </c>
      <c r="C14" s="42">
        <f>SUMIF('Monthly Data'!$B:$B,B14,'Monthly Data'!D:D)</f>
        <v>520495248</v>
      </c>
      <c r="D14" s="42">
        <f>SUMIF('Monthly Data'!$B:$B,B14,'Monthly Data'!E:E)</f>
        <v>31967273.05124563</v>
      </c>
      <c r="E14" s="42">
        <f t="shared" si="34"/>
        <v>552462521.05124569</v>
      </c>
      <c r="F14" s="42"/>
      <c r="G14" s="42">
        <f ca="1">SUMIF('Res Normalized Monthly'!$B:$B,B14,'Res Normalized Monthly'!$Q:$Q)</f>
        <v>573873049.70781684</v>
      </c>
      <c r="H14" s="42">
        <f t="shared" si="29"/>
        <v>31967273.05124563</v>
      </c>
      <c r="I14" s="42">
        <f t="shared" ca="1" si="35"/>
        <v>541905776.65657115</v>
      </c>
      <c r="J14" s="42"/>
      <c r="K14" s="42">
        <f t="shared" ca="1" si="3"/>
        <v>541905776.65657115</v>
      </c>
      <c r="M14" s="41">
        <f t="shared" si="17"/>
        <v>2023</v>
      </c>
      <c r="N14" s="42">
        <f>SUMIF('Monthly Data'!$B:$B,M14,'Monthly Data'!H:H)</f>
        <v>169521838</v>
      </c>
      <c r="O14" s="42">
        <f>SUMIF('Monthly Data'!$B:$B,M14,'Monthly Data'!I:I)</f>
        <v>14292957.500310611</v>
      </c>
      <c r="P14" s="42">
        <f t="shared" si="36"/>
        <v>183814795.5003106</v>
      </c>
      <c r="Q14" s="42"/>
      <c r="R14" s="42">
        <f ca="1">SUMIF('GS&lt;50 Normalized Monthly'!$B:$B,M14,'GS&lt;50 Normalized Monthly'!S:$S)</f>
        <v>181737015.58854797</v>
      </c>
      <c r="S14" s="42">
        <f>O14</f>
        <v>14292957.500310611</v>
      </c>
      <c r="T14" s="42">
        <f t="shared" ca="1" si="31"/>
        <v>167444058.08823738</v>
      </c>
      <c r="U14" s="42"/>
      <c r="V14" s="42">
        <f t="shared" ca="1" si="7"/>
        <v>167444058.08823738</v>
      </c>
      <c r="X14" s="41">
        <f t="shared" si="19"/>
        <v>2023</v>
      </c>
      <c r="Y14" s="42">
        <f>SUMIF('Monthly Data'!$B:$B,X14,'Monthly Data'!L:L)</f>
        <v>785675948</v>
      </c>
      <c r="Z14" s="42">
        <f>SUMIF('Monthly Data'!$B:$B,X14,'Monthly Data'!M:M)</f>
        <v>49392722.62611682</v>
      </c>
      <c r="AA14" s="42">
        <f t="shared" si="37"/>
        <v>835068670.62611687</v>
      </c>
      <c r="AB14" s="42"/>
      <c r="AC14" s="42">
        <f ca="1">SUMIF('GS&gt;50 Normalized Monthly'!$B:$B,X14,'GS&gt;50 Normalized Monthly'!$S:$S)</f>
        <v>841536554.5982964</v>
      </c>
      <c r="AD14" s="42">
        <f t="shared" si="32"/>
        <v>49392722.62611682</v>
      </c>
      <c r="AE14" s="42">
        <f t="shared" ca="1" si="38"/>
        <v>792143831.97217953</v>
      </c>
      <c r="AF14" s="42"/>
      <c r="AG14" s="42">
        <f t="shared" ca="1" si="11"/>
        <v>792143831.97217953</v>
      </c>
      <c r="AI14" s="41">
        <f t="shared" si="20"/>
        <v>2023</v>
      </c>
      <c r="AJ14" s="42">
        <f>SUMIF('Monthly Data'!$B:$B,AI14,'Monthly Data'!Q:Q)</f>
        <v>5553781</v>
      </c>
      <c r="AK14" s="42">
        <f>'Customer Count'!O13</f>
        <v>17210</v>
      </c>
      <c r="AL14" s="42">
        <f t="shared" si="12"/>
        <v>322.7066240557815</v>
      </c>
      <c r="AM14" s="42">
        <f t="shared" si="39"/>
        <v>5553781</v>
      </c>
      <c r="AO14" s="41">
        <f t="shared" si="21"/>
        <v>2023</v>
      </c>
      <c r="AP14" s="42">
        <f>SUMIF('Monthly Data'!$B:$B,AO14,'Monthly Data'!T:T)</f>
        <v>3168511</v>
      </c>
      <c r="AQ14" s="42">
        <f>'Customer Count'!S13</f>
        <v>575.08333333333337</v>
      </c>
      <c r="AR14" s="42">
        <f t="shared" si="40"/>
        <v>5509.6554122590924</v>
      </c>
      <c r="AS14" s="42">
        <f t="shared" si="33"/>
        <v>3168511</v>
      </c>
      <c r="AW14" s="75"/>
    </row>
    <row r="15" spans="2:49" s="78" customFormat="1" x14ac:dyDescent="0.2">
      <c r="B15" s="41">
        <f t="shared" si="16"/>
        <v>2024</v>
      </c>
      <c r="C15" s="42">
        <f>SUMIF('Monthly Data'!$B:$B,B15,'Monthly Data'!D:D)</f>
        <v>540051923.88</v>
      </c>
      <c r="D15" s="42">
        <f>SUMIF('Monthly Data'!$B:$B,B15,'Monthly Data'!E:E)</f>
        <v>32820220.007317048</v>
      </c>
      <c r="E15" s="42">
        <f t="shared" si="34"/>
        <v>572872143.88731706</v>
      </c>
      <c r="F15" s="43"/>
      <c r="G15" s="42">
        <f ca="1">SUMIF('Res Normalized Monthly'!$B:$B,B15,'Res Normalized Monthly'!$Q:$Q)</f>
        <v>578969673.25729585</v>
      </c>
      <c r="H15" s="42">
        <f t="shared" ref="H15" si="41">D15</f>
        <v>32820220.007317048</v>
      </c>
      <c r="I15" s="42">
        <f t="shared" ca="1" si="35"/>
        <v>546149453.24997878</v>
      </c>
      <c r="J15" s="42"/>
      <c r="K15" s="42">
        <f t="shared" ref="K15" ca="1" si="42">I15+J15</f>
        <v>546149453.24997878</v>
      </c>
      <c r="M15" s="41">
        <f t="shared" si="17"/>
        <v>2024</v>
      </c>
      <c r="N15" s="42">
        <f>SUMIF('Monthly Data'!$B:$B,M15,'Monthly Data'!H:H)</f>
        <v>168919666.52000001</v>
      </c>
      <c r="O15" s="42">
        <f>SUMIF('Monthly Data'!$B:$B,M15,'Monthly Data'!I:I)</f>
        <v>15221787.1262563</v>
      </c>
      <c r="P15" s="42">
        <f t="shared" ref="P15" si="43">N15+O15</f>
        <v>184141453.6462563</v>
      </c>
      <c r="Q15" s="42"/>
      <c r="R15" s="42">
        <f ca="1">SUMIF('GS&lt;50 Normalized Monthly'!$B:$B,M15,'GS&lt;50 Normalized Monthly'!S:$S)</f>
        <v>182301582.00755709</v>
      </c>
      <c r="S15" s="42">
        <f>O15</f>
        <v>15221787.1262563</v>
      </c>
      <c r="T15" s="42">
        <f t="shared" ref="T15" ca="1" si="44">R15-S15</f>
        <v>167079794.88130081</v>
      </c>
      <c r="U15" s="42"/>
      <c r="V15" s="42">
        <f t="shared" ref="V15" ca="1" si="45">T15+U15</f>
        <v>167079794.88130081</v>
      </c>
      <c r="W15"/>
      <c r="X15" s="41">
        <f t="shared" si="19"/>
        <v>2024</v>
      </c>
      <c r="Y15" s="42">
        <f>SUMIF('Monthly Data'!$B:$B,X15,'Monthly Data'!L:L)</f>
        <v>796891425.15999985</v>
      </c>
      <c r="Z15" s="42">
        <f>SUMIF('Monthly Data'!$B:$B,X15,'Monthly Data'!M:M)</f>
        <v>56173988.92809476</v>
      </c>
      <c r="AA15" s="42">
        <f t="shared" ref="AA15" si="46">Y15+Z15</f>
        <v>853065414.08809459</v>
      </c>
      <c r="AB15" s="42"/>
      <c r="AC15" s="42">
        <f ca="1">SUMIF('GS&gt;50 Normalized Monthly'!$B:$B,X15,'GS&gt;50 Normalized Monthly'!$S:$S)</f>
        <v>830858279.36347163</v>
      </c>
      <c r="AD15" s="42">
        <f t="shared" ref="AD15" si="47">Z15</f>
        <v>56173988.92809476</v>
      </c>
      <c r="AE15" s="42">
        <f t="shared" ref="AE15" ca="1" si="48">AC15-AD15</f>
        <v>774684290.43537688</v>
      </c>
      <c r="AF15" s="42"/>
      <c r="AG15" s="42">
        <f t="shared" ref="AG15" ca="1" si="49">AE15+AF15</f>
        <v>774684290.43537688</v>
      </c>
      <c r="AH15"/>
      <c r="AI15" s="41">
        <f t="shared" si="20"/>
        <v>2024</v>
      </c>
      <c r="AJ15" s="42">
        <f>SUMIF('Monthly Data'!$B:$B,AI15,'Monthly Data'!Q:Q)</f>
        <v>5595608.9199999999</v>
      </c>
      <c r="AK15" s="42">
        <f>'Customer Count'!O14</f>
        <v>17309.75</v>
      </c>
      <c r="AL15" s="42">
        <f t="shared" ref="AL15" si="50">AJ15/AK15</f>
        <v>323.26341628273082</v>
      </c>
      <c r="AM15" s="42">
        <f t="shared" ref="AM15" si="51">AL15*AK15</f>
        <v>5595608.9199999999</v>
      </c>
      <c r="AN15"/>
      <c r="AO15" s="41">
        <f t="shared" si="21"/>
        <v>2024</v>
      </c>
      <c r="AP15" s="42">
        <f>SUMIF('Monthly Data'!$B:$B,AO15,'Monthly Data'!T:T)</f>
        <v>3283469.76</v>
      </c>
      <c r="AQ15" s="42">
        <f>'Customer Count'!S14</f>
        <v>578.91666666666663</v>
      </c>
      <c r="AR15" s="42">
        <f t="shared" ref="AR15" si="52">AP15/AQ15</f>
        <v>5671.7485418166116</v>
      </c>
      <c r="AS15" s="42">
        <f t="shared" ref="AS15" si="53">AR15*AQ15</f>
        <v>3283469.76</v>
      </c>
    </row>
    <row r="16" spans="2:49" s="78" customFormat="1" x14ac:dyDescent="0.2">
      <c r="B16" s="44">
        <f t="shared" ref="B16:B17" si="54">B15+1</f>
        <v>2025</v>
      </c>
      <c r="C16" s="44"/>
      <c r="D16" s="44"/>
      <c r="E16" s="44"/>
      <c r="F16" s="44"/>
      <c r="G16" s="43">
        <f ca="1">SUMIF('Res Normalized Monthly'!$B:$B,B16,'Res Normalized Monthly'!$Q:$Q)</f>
        <v>581774486.18325925</v>
      </c>
      <c r="H16" s="43">
        <f>CDM!J28</f>
        <v>32465886.415995933</v>
      </c>
      <c r="I16" s="43">
        <f ca="1">G16-H16</f>
        <v>549308599.76726329</v>
      </c>
      <c r="J16" s="43">
        <f ca="1">'Total Additional-Lost Loads'!E16</f>
        <v>2151227.975506308</v>
      </c>
      <c r="K16" s="43">
        <f t="shared" ref="K16:K17" ca="1" si="55">I16+J16</f>
        <v>551459827.7427696</v>
      </c>
      <c r="L16" s="357"/>
      <c r="M16" s="44">
        <f t="shared" ref="M16:M17" si="56">M15+1</f>
        <v>2025</v>
      </c>
      <c r="N16" s="44"/>
      <c r="O16" s="44"/>
      <c r="P16" s="44"/>
      <c r="Q16" s="44"/>
      <c r="R16" s="43">
        <f ca="1">SUMIF('GS&lt;50 Normalized Monthly'!$B:$B,M16,'GS&lt;50 Normalized Monthly'!S:$S)</f>
        <v>183053762.66115808</v>
      </c>
      <c r="S16" s="43">
        <f>CDM!K28</f>
        <v>13843184.791206934</v>
      </c>
      <c r="T16" s="43">
        <f t="shared" ca="1" si="18"/>
        <v>169210577.86995116</v>
      </c>
      <c r="U16" s="43">
        <f ca="1">'Total Additional-Lost Loads'!E17</f>
        <v>554992.55546922388</v>
      </c>
      <c r="V16" s="43">
        <f t="shared" ref="V16:V17" ca="1" si="57">T16+U16</f>
        <v>169765570.42542037</v>
      </c>
      <c r="X16" s="44">
        <f t="shared" ref="X16:X17" si="58">X15+1</f>
        <v>2025</v>
      </c>
      <c r="Y16" s="44"/>
      <c r="Z16" s="44"/>
      <c r="AA16" s="44"/>
      <c r="AB16" s="44"/>
      <c r="AC16" s="43">
        <f ca="1">SUMIF('GS&gt;50 Normalized Monthly'!$B:$B,X16,'GS&gt;50 Normalized Monthly'!$S:$S)</f>
        <v>819610933.46508241</v>
      </c>
      <c r="AD16" s="43">
        <f>CDM!L28</f>
        <v>53816060.608285025</v>
      </c>
      <c r="AE16" s="43">
        <f ca="1">AC16-AD16</f>
        <v>765794872.85679734</v>
      </c>
      <c r="AF16" s="43">
        <f>'Total Additional-Lost Loads'!E18+'Total Additional-Lost Loads'!E26</f>
        <v>-3496233.8832699014</v>
      </c>
      <c r="AG16" s="43">
        <f t="shared" ref="AG16:AG17" ca="1" si="59">AE16+AF16</f>
        <v>762298638.97352743</v>
      </c>
      <c r="AI16" s="44">
        <f t="shared" ref="AI16:AI17" si="60">AI15+1</f>
        <v>2025</v>
      </c>
      <c r="AJ16" s="44"/>
      <c r="AK16" s="43">
        <f>'Customer Count'!O19</f>
        <v>17328.949378578214</v>
      </c>
      <c r="AL16" s="43">
        <f>AL15</f>
        <v>323.26341628273082</v>
      </c>
      <c r="AM16" s="43">
        <f t="shared" si="13"/>
        <v>5601815.3767096987</v>
      </c>
      <c r="AO16" s="44">
        <f t="shared" ref="AO16:AO17" si="61">AO15+1</f>
        <v>2025</v>
      </c>
      <c r="AP16" s="44"/>
      <c r="AQ16" s="43">
        <f>'Customer Count'!S19</f>
        <v>581.43295914678447</v>
      </c>
      <c r="AR16" s="43">
        <f t="shared" ref="AR16:AR17" si="62">AR15</f>
        <v>5671.7485418166116</v>
      </c>
      <c r="AS16" s="43">
        <f>AR16*AQ16</f>
        <v>3297741.5382048921</v>
      </c>
    </row>
    <row r="17" spans="2:47" s="78" customFormat="1" x14ac:dyDescent="0.2">
      <c r="B17" s="44">
        <f t="shared" si="54"/>
        <v>2026</v>
      </c>
      <c r="C17" s="44"/>
      <c r="D17" s="44"/>
      <c r="E17" s="44"/>
      <c r="F17" s="44"/>
      <c r="G17" s="43">
        <f ca="1">SUMIF('Res Normalized Monthly'!$B:$B,B17,'Res Normalized Monthly'!$Q:$Q)</f>
        <v>583399476.71133101</v>
      </c>
      <c r="H17" s="43">
        <f>CDM!J29</f>
        <v>32183999.329667073</v>
      </c>
      <c r="I17" s="43">
        <f ca="1">G17-H17</f>
        <v>551215477.38166392</v>
      </c>
      <c r="J17" s="43">
        <f ca="1">'Total Additional-Lost Loads'!F16</f>
        <v>5782995.2372359484</v>
      </c>
      <c r="K17" s="43">
        <f t="shared" ca="1" si="55"/>
        <v>556998472.61889982</v>
      </c>
      <c r="M17" s="44">
        <f t="shared" si="56"/>
        <v>2026</v>
      </c>
      <c r="N17" s="44"/>
      <c r="O17" s="44"/>
      <c r="P17" s="44"/>
      <c r="Q17" s="44"/>
      <c r="R17" s="43">
        <f ca="1">SUMIF('GS&lt;50 Normalized Monthly'!$B:$B,M17,'GS&lt;50 Normalized Monthly'!S:$S)</f>
        <v>184297206.39396638</v>
      </c>
      <c r="S17" s="43">
        <f>CDM!K29</f>
        <v>13253184.117465999</v>
      </c>
      <c r="T17" s="43">
        <f t="shared" ca="1" si="18"/>
        <v>171044022.27650037</v>
      </c>
      <c r="U17" s="43">
        <f ca="1">'Total Additional-Lost Loads'!F17</f>
        <v>1504346.6141727823</v>
      </c>
      <c r="V17" s="43">
        <f t="shared" ca="1" si="57"/>
        <v>172548368.89067316</v>
      </c>
      <c r="X17" s="44">
        <f t="shared" si="58"/>
        <v>2026</v>
      </c>
      <c r="Y17" s="44"/>
      <c r="Z17" s="44"/>
      <c r="AA17" s="44"/>
      <c r="AB17" s="44"/>
      <c r="AC17" s="43">
        <f ca="1">SUMIF('GS&gt;50 Normalized Monthly'!$B:$B,X17,'GS&gt;50 Normalized Monthly'!$S:$S)</f>
        <v>808313138.75800836</v>
      </c>
      <c r="AD17" s="43">
        <f>CDM!L29</f>
        <v>53250266.03118223</v>
      </c>
      <c r="AE17" s="43">
        <f ca="1">AC17-AD17</f>
        <v>755062872.72682619</v>
      </c>
      <c r="AF17" s="43">
        <f>'Total Additional-Lost Loads'!F18+'Total Additional-Lost Loads'!F26</f>
        <v>-4503942.4044443732</v>
      </c>
      <c r="AG17" s="43">
        <f t="shared" ca="1" si="59"/>
        <v>750558930.32238185</v>
      </c>
      <c r="AI17" s="44">
        <f t="shared" si="60"/>
        <v>2026</v>
      </c>
      <c r="AJ17" s="44"/>
      <c r="AK17" s="43">
        <f>'Customer Count'!O20</f>
        <v>17348.176575020057</v>
      </c>
      <c r="AL17" s="43">
        <f>AL16</f>
        <v>323.26341628273082</v>
      </c>
      <c r="AM17" s="43">
        <f t="shared" si="13"/>
        <v>5608030.8259170279</v>
      </c>
      <c r="AO17" s="44">
        <f t="shared" si="61"/>
        <v>2026</v>
      </c>
      <c r="AP17" s="44"/>
      <c r="AQ17" s="43">
        <f>'Customer Count'!S20</f>
        <v>583.96070924930689</v>
      </c>
      <c r="AR17" s="43">
        <f t="shared" si="62"/>
        <v>5671.7485418166116</v>
      </c>
      <c r="AS17" s="43">
        <f>AR17*AQ17</f>
        <v>3312078.3011629507</v>
      </c>
      <c r="AU17" s="404"/>
    </row>
    <row r="45" spans="2:33" x14ac:dyDescent="0.2">
      <c r="B45" s="549" t="s">
        <v>105</v>
      </c>
      <c r="C45" s="549"/>
      <c r="D45" s="549"/>
      <c r="E45" s="549"/>
      <c r="F45" s="549"/>
      <c r="G45" s="549"/>
      <c r="H45" s="549"/>
      <c r="I45" s="549"/>
      <c r="J45" s="549"/>
      <c r="K45" s="549"/>
      <c r="M45" s="549" t="s">
        <v>116</v>
      </c>
      <c r="N45" s="549"/>
      <c r="O45" s="549"/>
      <c r="P45" s="549"/>
      <c r="Q45" s="549"/>
      <c r="R45" s="549"/>
      <c r="S45" s="549"/>
      <c r="T45" s="549"/>
      <c r="U45" s="549"/>
      <c r="V45" s="549"/>
      <c r="X45" s="549" t="s">
        <v>117</v>
      </c>
      <c r="Y45" s="549"/>
      <c r="Z45" s="549"/>
      <c r="AA45" s="549"/>
      <c r="AB45" s="549"/>
      <c r="AC45" s="549"/>
      <c r="AD45" s="549"/>
      <c r="AE45" s="549"/>
      <c r="AF45" s="549"/>
      <c r="AG45" s="549"/>
    </row>
    <row r="46" spans="2:33" ht="38.25" x14ac:dyDescent="0.2">
      <c r="B46" s="353" t="s">
        <v>0</v>
      </c>
      <c r="C46" s="353" t="s">
        <v>106</v>
      </c>
      <c r="D46" s="353" t="s">
        <v>107</v>
      </c>
      <c r="E46" s="353" t="s">
        <v>108</v>
      </c>
      <c r="F46" s="353"/>
      <c r="G46" s="353" t="s">
        <v>129</v>
      </c>
      <c r="H46" s="353" t="s">
        <v>107</v>
      </c>
      <c r="I46" s="353" t="s">
        <v>109</v>
      </c>
      <c r="J46" s="353" t="s">
        <v>424</v>
      </c>
      <c r="K46" s="353" t="s">
        <v>426</v>
      </c>
      <c r="L46" s="354"/>
      <c r="M46" s="353" t="s">
        <v>0</v>
      </c>
      <c r="N46" s="353" t="s">
        <v>106</v>
      </c>
      <c r="O46" s="353" t="s">
        <v>107</v>
      </c>
      <c r="P46" s="353" t="s">
        <v>108</v>
      </c>
      <c r="Q46" s="353"/>
      <c r="R46" s="353" t="s">
        <v>191</v>
      </c>
      <c r="S46" s="353" t="s">
        <v>107</v>
      </c>
      <c r="T46" s="353" t="s">
        <v>109</v>
      </c>
      <c r="U46" s="353" t="s">
        <v>424</v>
      </c>
      <c r="V46" s="353" t="s">
        <v>426</v>
      </c>
      <c r="W46" s="354"/>
      <c r="X46" s="353" t="s">
        <v>0</v>
      </c>
      <c r="Y46" s="353" t="s">
        <v>106</v>
      </c>
      <c r="Z46" s="353" t="s">
        <v>107</v>
      </c>
      <c r="AA46" s="353" t="s">
        <v>108</v>
      </c>
      <c r="AB46" s="353"/>
      <c r="AC46" s="353" t="s">
        <v>129</v>
      </c>
      <c r="AD46" s="353" t="s">
        <v>107</v>
      </c>
      <c r="AE46" s="353" t="s">
        <v>109</v>
      </c>
      <c r="AF46" s="353" t="s">
        <v>492</v>
      </c>
      <c r="AG46" s="353" t="s">
        <v>426</v>
      </c>
    </row>
    <row r="47" spans="2:33" s="39" customFormat="1" x14ac:dyDescent="0.2">
      <c r="B47" s="466"/>
      <c r="C47" s="466" t="s">
        <v>110</v>
      </c>
      <c r="D47" s="466" t="s">
        <v>111</v>
      </c>
      <c r="E47" s="466" t="s">
        <v>112</v>
      </c>
      <c r="F47" s="466"/>
      <c r="G47" s="466" t="s">
        <v>113</v>
      </c>
      <c r="H47" s="466" t="s">
        <v>114</v>
      </c>
      <c r="I47" s="466" t="s">
        <v>115</v>
      </c>
      <c r="J47" s="466" t="s">
        <v>158</v>
      </c>
      <c r="K47" s="466" t="s">
        <v>425</v>
      </c>
      <c r="M47" s="466"/>
      <c r="N47" s="466" t="s">
        <v>110</v>
      </c>
      <c r="O47" s="466" t="s">
        <v>111</v>
      </c>
      <c r="P47" s="466" t="s">
        <v>112</v>
      </c>
      <c r="Q47" s="466"/>
      <c r="R47" s="466" t="s">
        <v>113</v>
      </c>
      <c r="S47" s="466" t="s">
        <v>114</v>
      </c>
      <c r="T47" s="466" t="s">
        <v>115</v>
      </c>
      <c r="U47" s="466" t="s">
        <v>158</v>
      </c>
      <c r="V47" s="466" t="s">
        <v>425</v>
      </c>
      <c r="X47" s="466"/>
      <c r="Y47" s="466" t="s">
        <v>110</v>
      </c>
      <c r="Z47" s="466" t="s">
        <v>111</v>
      </c>
      <c r="AA47" s="466" t="s">
        <v>112</v>
      </c>
      <c r="AB47" s="466"/>
      <c r="AC47" s="466" t="s">
        <v>113</v>
      </c>
      <c r="AD47" s="466" t="s">
        <v>114</v>
      </c>
      <c r="AE47" s="466" t="s">
        <v>115</v>
      </c>
      <c r="AF47" s="466" t="s">
        <v>158</v>
      </c>
      <c r="AG47" s="466" t="s">
        <v>425</v>
      </c>
    </row>
    <row r="48" spans="2:33" s="39" customFormat="1" x14ac:dyDescent="0.2">
      <c r="B48" s="466"/>
      <c r="C48" s="466"/>
      <c r="D48" s="466"/>
      <c r="E48" s="466"/>
      <c r="F48" s="466"/>
      <c r="G48" s="466"/>
      <c r="H48" s="466"/>
      <c r="I48" s="466"/>
      <c r="J48" s="466"/>
      <c r="K48" s="466"/>
      <c r="M48" s="466"/>
      <c r="N48" s="466"/>
      <c r="O48" s="466"/>
      <c r="P48" s="466"/>
      <c r="Q48" s="466"/>
      <c r="R48" s="466"/>
      <c r="S48" s="466"/>
      <c r="T48" s="466"/>
      <c r="U48" s="466"/>
      <c r="V48" s="466"/>
      <c r="X48" s="466"/>
      <c r="Y48" s="466"/>
      <c r="Z48" s="466"/>
      <c r="AA48" s="466"/>
      <c r="AB48" s="466"/>
      <c r="AC48" s="466"/>
      <c r="AD48" s="466"/>
      <c r="AE48" s="466"/>
      <c r="AF48" s="466"/>
      <c r="AG48" s="466"/>
    </row>
    <row r="49" spans="2:34" x14ac:dyDescent="0.2">
      <c r="B49" s="41">
        <v>2015</v>
      </c>
      <c r="C49" s="42">
        <f>SUMIF('Monthly Data'!$B:$B,B49,'Monthly Data'!D:D)</f>
        <v>530999846</v>
      </c>
      <c r="D49" s="42">
        <f>SUMIF('Monthly Data'!$B:$B,B49,'Monthly Data'!E:E)</f>
        <v>1891014.2572060227</v>
      </c>
      <c r="E49" s="42">
        <f t="shared" ref="E49:E57" si="63">C49+D49</f>
        <v>532890860.25720602</v>
      </c>
      <c r="F49" s="42"/>
      <c r="G49" s="42">
        <f ca="1">SUMIF('Res Normalized Monthly WN'!$B:$B,B49,'Res Normalized Monthly WN'!$S:$S)</f>
        <v>536944748.94281244</v>
      </c>
      <c r="H49" s="42">
        <f t="shared" ref="H49:H57" si="64">D49</f>
        <v>1891014.2572060227</v>
      </c>
      <c r="I49" s="42">
        <f t="shared" ref="I49:I57" ca="1" si="65">G49-H49</f>
        <v>535053734.68560642</v>
      </c>
      <c r="J49" s="42"/>
      <c r="K49" s="42">
        <f t="shared" ref="K49:K57" ca="1" si="66">I49+J49</f>
        <v>535053734.68560642</v>
      </c>
      <c r="L49" s="8"/>
      <c r="M49" s="41">
        <v>2015</v>
      </c>
      <c r="N49" s="42">
        <f>SUMIF('Monthly Data'!$B:$B,M49,'Monthly Data'!H:H)</f>
        <v>170245509</v>
      </c>
      <c r="O49" s="42">
        <f>SUMIF('Monthly Data'!$B:$B,M49,'Monthly Data'!I:I)</f>
        <v>1972780.4821097199</v>
      </c>
      <c r="P49" s="42">
        <f t="shared" ref="P49:P57" si="67">N49+O49</f>
        <v>172218289.48210973</v>
      </c>
      <c r="Q49" s="42"/>
      <c r="R49" s="42">
        <f ca="1">SUMIF('GS&lt;50 Normalized Monthly WN'!$B:$B,M49,'GS&lt;50 Normalized Monthly WN'!U:$U)</f>
        <v>172123973.15526715</v>
      </c>
      <c r="S49" s="42">
        <f t="shared" ref="S49:S56" si="68">O49</f>
        <v>1972780.4821097199</v>
      </c>
      <c r="T49" s="42">
        <f t="shared" ref="T49:T60" ca="1" si="69">R49-S49</f>
        <v>170151192.67315742</v>
      </c>
      <c r="U49" s="42"/>
      <c r="V49" s="42">
        <f t="shared" ref="V49:V57" ca="1" si="70">T49+U49</f>
        <v>170151192.67315742</v>
      </c>
      <c r="W49" s="8"/>
      <c r="X49" s="41">
        <v>2015</v>
      </c>
      <c r="Y49" s="42">
        <f>SUMIF('Monthly Data'!$B:$B,X49,'Monthly Data'!L:L)</f>
        <v>907051642</v>
      </c>
      <c r="Z49" s="42">
        <f>SUMIF('Monthly Data'!$B:$B,X49,'Monthly Data'!M:M)</f>
        <v>3569772.8462855099</v>
      </c>
      <c r="AA49" s="42">
        <f t="shared" ref="AA49:AA57" si="71">Y49+Z49</f>
        <v>910621414.84628546</v>
      </c>
      <c r="AB49" s="42"/>
      <c r="AC49" s="42">
        <f ca="1">SUMIF('GS&gt;50 Normalized Monthly WN'!$B:$B,X49,'GS&gt;50 Normalized Monthly WN'!$U:$U)</f>
        <v>909972666.45964038</v>
      </c>
      <c r="AD49" s="42">
        <f t="shared" ref="AD49:AD57" si="72">Z49</f>
        <v>3569772.8462855099</v>
      </c>
      <c r="AE49" s="42">
        <f t="shared" ref="AE49:AE57" ca="1" si="73">AC49-AD49</f>
        <v>906402893.61335492</v>
      </c>
      <c r="AF49" s="42"/>
      <c r="AG49" s="42">
        <f t="shared" ref="AG49:AG57" ca="1" si="74">AE49+AF49</f>
        <v>906402893.61335492</v>
      </c>
      <c r="AH49" s="8"/>
    </row>
    <row r="50" spans="2:34" x14ac:dyDescent="0.2">
      <c r="B50" s="41">
        <f t="shared" ref="B50:B58" si="75">B49+1</f>
        <v>2016</v>
      </c>
      <c r="C50" s="42">
        <f>SUMIF('Monthly Data'!$B:$B,B50,'Monthly Data'!D:D)</f>
        <v>545123880</v>
      </c>
      <c r="D50" s="42">
        <f>SUMIF('Monthly Data'!$B:$B,B50,'Monthly Data'!E:E)</f>
        <v>7621480.6575362328</v>
      </c>
      <c r="E50" s="42">
        <f t="shared" si="63"/>
        <v>552745360.65753627</v>
      </c>
      <c r="F50" s="42"/>
      <c r="G50" s="42">
        <f ca="1">SUMIF('Res Normalized Monthly WN'!$B:$B,B50,'Res Normalized Monthly WN'!$S:$S)</f>
        <v>542014882.50199199</v>
      </c>
      <c r="H50" s="42">
        <f t="shared" si="64"/>
        <v>7621480.6575362328</v>
      </c>
      <c r="I50" s="42">
        <f t="shared" ca="1" si="65"/>
        <v>534393401.84445578</v>
      </c>
      <c r="J50" s="42"/>
      <c r="K50" s="42">
        <f t="shared" ca="1" si="66"/>
        <v>534393401.84445578</v>
      </c>
      <c r="L50" s="8"/>
      <c r="M50" s="41">
        <f t="shared" ref="M50:M58" si="76">M49+1</f>
        <v>2016</v>
      </c>
      <c r="N50" s="42">
        <f>SUMIF('Monthly Data'!$B:$B,M50,'Monthly Data'!H:H)</f>
        <v>169905557</v>
      </c>
      <c r="O50" s="42">
        <f>SUMIF('Monthly Data'!$B:$B,M50,'Monthly Data'!I:I)</f>
        <v>4979764.0176311312</v>
      </c>
      <c r="P50" s="42">
        <f t="shared" si="67"/>
        <v>174885321.01763114</v>
      </c>
      <c r="Q50" s="42"/>
      <c r="R50" s="42">
        <f ca="1">SUMIF('GS&lt;50 Normalized Monthly WN'!$B:$B,M50,'GS&lt;50 Normalized Monthly WN'!U:$U)</f>
        <v>173481167.19866252</v>
      </c>
      <c r="S50" s="42">
        <f t="shared" si="68"/>
        <v>4979764.0176311312</v>
      </c>
      <c r="T50" s="42">
        <f t="shared" ca="1" si="69"/>
        <v>168501403.18103138</v>
      </c>
      <c r="U50" s="42"/>
      <c r="V50" s="42">
        <f t="shared" ca="1" si="70"/>
        <v>168501403.18103138</v>
      </c>
      <c r="W50" s="8"/>
      <c r="X50" s="41">
        <f t="shared" ref="X50:X58" si="77">X49+1</f>
        <v>2016</v>
      </c>
      <c r="Y50" s="42">
        <f>SUMIF('Monthly Data'!$B:$B,X50,'Monthly Data'!L:L)</f>
        <v>920835908</v>
      </c>
      <c r="Z50" s="42">
        <f>SUMIF('Monthly Data'!$B:$B,X50,'Monthly Data'!M:M)</f>
        <v>11994112.282067642</v>
      </c>
      <c r="AA50" s="42">
        <f t="shared" si="71"/>
        <v>932830020.28206766</v>
      </c>
      <c r="AB50" s="42"/>
      <c r="AC50" s="42">
        <f ca="1">SUMIF('GS&gt;50 Normalized Monthly WN'!$B:$B,X50,'GS&gt;50 Normalized Monthly WN'!$U:$U)</f>
        <v>926788436.63002491</v>
      </c>
      <c r="AD50" s="42">
        <f t="shared" si="72"/>
        <v>11994112.282067642</v>
      </c>
      <c r="AE50" s="42">
        <f t="shared" ca="1" si="73"/>
        <v>914794324.34795725</v>
      </c>
      <c r="AF50" s="42"/>
      <c r="AG50" s="42">
        <f t="shared" ca="1" si="74"/>
        <v>914794324.34795725</v>
      </c>
      <c r="AH50" s="8"/>
    </row>
    <row r="51" spans="2:34" x14ac:dyDescent="0.2">
      <c r="B51" s="41">
        <f t="shared" si="75"/>
        <v>2017</v>
      </c>
      <c r="C51" s="42">
        <f>SUMIF('Monthly Data'!$B:$B,B51,'Monthly Data'!D:D)</f>
        <v>501428451</v>
      </c>
      <c r="D51" s="42">
        <f>SUMIF('Monthly Data'!$B:$B,B51,'Monthly Data'!E:E)</f>
        <v>21666660.886670321</v>
      </c>
      <c r="E51" s="42">
        <f t="shared" si="63"/>
        <v>523095111.88667035</v>
      </c>
      <c r="F51" s="42"/>
      <c r="G51" s="42">
        <f ca="1">SUMIF('Res Normalized Monthly WN'!$B:$B,B51,'Res Normalized Monthly WN'!$S:$S)</f>
        <v>528607836.77861643</v>
      </c>
      <c r="H51" s="42">
        <f t="shared" si="64"/>
        <v>21666660.886670321</v>
      </c>
      <c r="I51" s="42">
        <f t="shared" ca="1" si="65"/>
        <v>506941175.89194608</v>
      </c>
      <c r="J51" s="42"/>
      <c r="K51" s="42">
        <f t="shared" ca="1" si="66"/>
        <v>506941175.89194608</v>
      </c>
      <c r="L51" s="8"/>
      <c r="M51" s="41">
        <f t="shared" si="76"/>
        <v>2017</v>
      </c>
      <c r="N51" s="42">
        <f>SUMIF('Monthly Data'!$B:$B,M51,'Monthly Data'!H:H)</f>
        <v>166894185</v>
      </c>
      <c r="O51" s="42">
        <f>SUMIF('Monthly Data'!$B:$B,M51,'Monthly Data'!I:I)</f>
        <v>6947328.4542513443</v>
      </c>
      <c r="P51" s="42">
        <f t="shared" si="67"/>
        <v>173841513.45425135</v>
      </c>
      <c r="Q51" s="42"/>
      <c r="R51" s="42">
        <f ca="1">SUMIF('GS&lt;50 Normalized Monthly WN'!$B:$B,M51,'GS&lt;50 Normalized Monthly WN'!U:$U)</f>
        <v>174703720.81257394</v>
      </c>
      <c r="S51" s="42">
        <f t="shared" si="68"/>
        <v>6947328.4542513443</v>
      </c>
      <c r="T51" s="42">
        <f t="shared" ca="1" si="69"/>
        <v>167756392.35832259</v>
      </c>
      <c r="U51" s="42"/>
      <c r="V51" s="42">
        <f t="shared" ca="1" si="70"/>
        <v>167756392.35832259</v>
      </c>
      <c r="W51" s="8"/>
      <c r="X51" s="41">
        <f t="shared" si="77"/>
        <v>2017</v>
      </c>
      <c r="Y51" s="42">
        <f>SUMIF('Monthly Data'!$B:$B,X51,'Monthly Data'!L:L)</f>
        <v>885596225</v>
      </c>
      <c r="Z51" s="42">
        <f>SUMIF('Monthly Data'!$B:$B,X51,'Monthly Data'!M:M)</f>
        <v>20636183.241984829</v>
      </c>
      <c r="AA51" s="42">
        <f t="shared" si="71"/>
        <v>906232408.24198484</v>
      </c>
      <c r="AB51" s="42"/>
      <c r="AC51" s="42">
        <f ca="1">SUMIF('GS&gt;50 Normalized Monthly WN'!$B:$B,X51,'GS&gt;50 Normalized Monthly WN'!$U:$U)</f>
        <v>909420416.23020983</v>
      </c>
      <c r="AD51" s="42">
        <f t="shared" si="72"/>
        <v>20636183.241984829</v>
      </c>
      <c r="AE51" s="42">
        <f t="shared" ca="1" si="73"/>
        <v>888784232.98822498</v>
      </c>
      <c r="AF51" s="42"/>
      <c r="AG51" s="42">
        <f t="shared" ca="1" si="74"/>
        <v>888784232.98822498</v>
      </c>
      <c r="AH51" s="8"/>
    </row>
    <row r="52" spans="2:34" x14ac:dyDescent="0.2">
      <c r="B52" s="41">
        <f t="shared" si="75"/>
        <v>2018</v>
      </c>
      <c r="C52" s="42">
        <f>SUMIF('Monthly Data'!$B:$B,B52,'Monthly Data'!D:D)</f>
        <v>536801589</v>
      </c>
      <c r="D52" s="42">
        <f>SUMIF('Monthly Data'!$B:$B,B52,'Monthly Data'!E:E)</f>
        <v>29652646.376723751</v>
      </c>
      <c r="E52" s="42">
        <f t="shared" si="63"/>
        <v>566454235.37672377</v>
      </c>
      <c r="F52" s="43"/>
      <c r="G52" s="42">
        <f ca="1">SUMIF('Res Normalized Monthly WN'!$B:$B,B52,'Res Normalized Monthly WN'!$S:$S)</f>
        <v>556221053.31413853</v>
      </c>
      <c r="H52" s="42">
        <f t="shared" si="64"/>
        <v>29652646.376723751</v>
      </c>
      <c r="I52" s="42">
        <f t="shared" ca="1" si="65"/>
        <v>526568406.93741477</v>
      </c>
      <c r="J52" s="42"/>
      <c r="K52" s="42">
        <f t="shared" ca="1" si="66"/>
        <v>526568406.93741477</v>
      </c>
      <c r="L52" s="8"/>
      <c r="M52" s="41">
        <f t="shared" si="76"/>
        <v>2018</v>
      </c>
      <c r="N52" s="42">
        <f>SUMIF('Monthly Data'!$B:$B,M52,'Monthly Data'!H:H)</f>
        <v>174257110</v>
      </c>
      <c r="O52" s="42">
        <f>SUMIF('Monthly Data'!$B:$B,M52,'Monthly Data'!I:I)</f>
        <v>9419590.0386150163</v>
      </c>
      <c r="P52" s="42">
        <f t="shared" si="67"/>
        <v>183676700.03861502</v>
      </c>
      <c r="Q52" s="43"/>
      <c r="R52" s="42">
        <f ca="1">SUMIF('GS&lt;50 Normalized Monthly WN'!$B:$B,M52,'GS&lt;50 Normalized Monthly WN'!U:$U)</f>
        <v>181572143.05567476</v>
      </c>
      <c r="S52" s="42">
        <f t="shared" si="68"/>
        <v>9419590.0386150163</v>
      </c>
      <c r="T52" s="42">
        <f t="shared" ca="1" si="69"/>
        <v>172152553.01705974</v>
      </c>
      <c r="U52" s="42"/>
      <c r="V52" s="42">
        <f t="shared" ca="1" si="70"/>
        <v>172152553.01705974</v>
      </c>
      <c r="W52" s="8"/>
      <c r="X52" s="41">
        <f t="shared" si="77"/>
        <v>2018</v>
      </c>
      <c r="Y52" s="42">
        <f>SUMIF('Monthly Data'!$B:$B,X52,'Monthly Data'!L:L)</f>
        <v>874283086</v>
      </c>
      <c r="Z52" s="42">
        <f>SUMIF('Monthly Data'!$B:$B,X52,'Monthly Data'!M:M)</f>
        <v>28000905.707872517</v>
      </c>
      <c r="AA52" s="42">
        <f t="shared" si="71"/>
        <v>902283991.70787251</v>
      </c>
      <c r="AB52" s="43"/>
      <c r="AC52" s="42">
        <f ca="1">SUMIF('GS&gt;50 Normalized Monthly WN'!$B:$B,X52,'GS&gt;50 Normalized Monthly WN'!$U:$U)</f>
        <v>894498851.41437161</v>
      </c>
      <c r="AD52" s="42">
        <f t="shared" si="72"/>
        <v>28000905.707872517</v>
      </c>
      <c r="AE52" s="42">
        <f t="shared" ca="1" si="73"/>
        <v>866497945.7064991</v>
      </c>
      <c r="AF52" s="42"/>
      <c r="AG52" s="42">
        <f t="shared" ca="1" si="74"/>
        <v>866497945.7064991</v>
      </c>
      <c r="AH52" s="8"/>
    </row>
    <row r="53" spans="2:34" x14ac:dyDescent="0.2">
      <c r="B53" s="41">
        <f t="shared" si="75"/>
        <v>2019</v>
      </c>
      <c r="C53" s="42">
        <f>SUMIF('Monthly Data'!$B:$B,B53,'Monthly Data'!D:D)</f>
        <v>512580883</v>
      </c>
      <c r="D53" s="42">
        <f>SUMIF('Monthly Data'!$B:$B,B53,'Monthly Data'!E:E)</f>
        <v>31473060.837847497</v>
      </c>
      <c r="E53" s="42">
        <f t="shared" si="63"/>
        <v>544053943.83784747</v>
      </c>
      <c r="F53" s="43"/>
      <c r="G53" s="42">
        <f ca="1">SUMIF('Res Normalized Monthly WN'!$B:$B,B53,'Res Normalized Monthly WN'!$S:$S)</f>
        <v>551315704.29994094</v>
      </c>
      <c r="H53" s="42">
        <f t="shared" si="64"/>
        <v>31473060.837847497</v>
      </c>
      <c r="I53" s="42">
        <f t="shared" ca="1" si="65"/>
        <v>519842643.46209347</v>
      </c>
      <c r="J53" s="42"/>
      <c r="K53" s="42">
        <f t="shared" ca="1" si="66"/>
        <v>519842643.46209347</v>
      </c>
      <c r="L53" s="8"/>
      <c r="M53" s="41">
        <f t="shared" si="76"/>
        <v>2019</v>
      </c>
      <c r="N53" s="42">
        <f>SUMIF('Monthly Data'!$B:$B,M53,'Monthly Data'!H:H)</f>
        <v>170703484</v>
      </c>
      <c r="O53" s="42">
        <f>SUMIF('Monthly Data'!$B:$B,M53,'Monthly Data'!I:I)</f>
        <v>11500521.013404086</v>
      </c>
      <c r="P53" s="42">
        <f t="shared" si="67"/>
        <v>182204005.01340407</v>
      </c>
      <c r="Q53" s="43"/>
      <c r="R53" s="42">
        <f ca="1">SUMIF('GS&lt;50 Normalized Monthly WN'!$B:$B,M53,'GS&lt;50 Normalized Monthly WN'!U:$U)</f>
        <v>182485359.49265441</v>
      </c>
      <c r="S53" s="42">
        <f t="shared" si="68"/>
        <v>11500521.013404086</v>
      </c>
      <c r="T53" s="42">
        <f t="shared" ca="1" si="69"/>
        <v>170984838.47925031</v>
      </c>
      <c r="U53" s="42"/>
      <c r="V53" s="42">
        <f t="shared" ca="1" si="70"/>
        <v>170984838.47925031</v>
      </c>
      <c r="W53" s="8"/>
      <c r="X53" s="41">
        <f t="shared" si="77"/>
        <v>2019</v>
      </c>
      <c r="Y53" s="42">
        <f>SUMIF('Monthly Data'!$B:$B,X53,'Monthly Data'!L:L)</f>
        <v>837536595</v>
      </c>
      <c r="Z53" s="42">
        <f>SUMIF('Monthly Data'!$B:$B,X53,'Monthly Data'!M:M)</f>
        <v>33676293.340903282</v>
      </c>
      <c r="AA53" s="42">
        <f t="shared" si="71"/>
        <v>871212888.34090328</v>
      </c>
      <c r="AB53" s="43"/>
      <c r="AC53" s="42">
        <f ca="1">SUMIF('GS&gt;50 Normalized Monthly WN'!$B:$B,X53,'GS&gt;50 Normalized Monthly WN'!$U:$U)</f>
        <v>873366836.22929347</v>
      </c>
      <c r="AD53" s="42">
        <f t="shared" si="72"/>
        <v>33676293.340903282</v>
      </c>
      <c r="AE53" s="42">
        <f t="shared" ca="1" si="73"/>
        <v>839690542.88839018</v>
      </c>
      <c r="AF53" s="42"/>
      <c r="AG53" s="42">
        <f t="shared" ca="1" si="74"/>
        <v>839690542.88839018</v>
      </c>
      <c r="AH53" s="8"/>
    </row>
    <row r="54" spans="2:34" x14ac:dyDescent="0.2">
      <c r="B54" s="41">
        <f t="shared" si="75"/>
        <v>2020</v>
      </c>
      <c r="C54" s="42">
        <f>SUMIF('Monthly Data'!$B:$B,B54,'Monthly Data'!D:D)</f>
        <v>555286631</v>
      </c>
      <c r="D54" s="42">
        <f>SUMIF('Monthly Data'!$B:$B,B54,'Monthly Data'!E:E)</f>
        <v>31460656.625149347</v>
      </c>
      <c r="E54" s="42">
        <f t="shared" si="63"/>
        <v>586747287.62514937</v>
      </c>
      <c r="F54" s="42"/>
      <c r="G54" s="42">
        <f ca="1">SUMIF('Res Normalized Monthly WN'!$B:$B,B54,'Res Normalized Monthly WN'!$S:$S)</f>
        <v>587566143.80977035</v>
      </c>
      <c r="H54" s="42">
        <f t="shared" si="64"/>
        <v>31460656.625149347</v>
      </c>
      <c r="I54" s="42">
        <f t="shared" ca="1" si="65"/>
        <v>556105487.18462098</v>
      </c>
      <c r="J54" s="42"/>
      <c r="K54" s="42">
        <f t="shared" ca="1" si="66"/>
        <v>556105487.18462098</v>
      </c>
      <c r="L54" s="8"/>
      <c r="M54" s="41">
        <f t="shared" si="76"/>
        <v>2020</v>
      </c>
      <c r="N54" s="42">
        <f>SUMIF('Monthly Data'!$B:$B,M54,'Monthly Data'!H:H)</f>
        <v>153322573</v>
      </c>
      <c r="O54" s="42">
        <f>SUMIF('Monthly Data'!$B:$B,M54,'Monthly Data'!I:I)</f>
        <v>12081676.783982042</v>
      </c>
      <c r="P54" s="42">
        <f t="shared" si="67"/>
        <v>165404249.78398204</v>
      </c>
      <c r="Q54" s="42"/>
      <c r="R54" s="42">
        <f ca="1">SUMIF('GS&lt;50 Normalized Monthly WN'!$B:$B,M54,'GS&lt;50 Normalized Monthly WN'!U:$U)</f>
        <v>165779672.28316566</v>
      </c>
      <c r="S54" s="42">
        <f t="shared" si="68"/>
        <v>12081676.783982042</v>
      </c>
      <c r="T54" s="42">
        <f t="shared" ca="1" si="69"/>
        <v>153697995.49918362</v>
      </c>
      <c r="U54" s="42"/>
      <c r="V54" s="42">
        <f t="shared" ca="1" si="70"/>
        <v>153697995.49918362</v>
      </c>
      <c r="W54" s="8"/>
      <c r="X54" s="41">
        <f t="shared" si="77"/>
        <v>2020</v>
      </c>
      <c r="Y54" s="42">
        <f>SUMIF('Monthly Data'!$B:$B,X54,'Monthly Data'!L:L)</f>
        <v>787632949</v>
      </c>
      <c r="Z54" s="42">
        <f>SUMIF('Monthly Data'!$B:$B,X54,'Monthly Data'!M:M)</f>
        <v>36581938.515852936</v>
      </c>
      <c r="AA54" s="42">
        <f t="shared" si="71"/>
        <v>824214887.51585293</v>
      </c>
      <c r="AB54" s="42"/>
      <c r="AC54" s="42">
        <f ca="1">SUMIF('GS&gt;50 Normalized Monthly WN'!$B:$B,X54,'GS&gt;50 Normalized Monthly WN'!$U:$U)</f>
        <v>826314642.83090901</v>
      </c>
      <c r="AD54" s="42">
        <f t="shared" si="72"/>
        <v>36581938.515852936</v>
      </c>
      <c r="AE54" s="42">
        <f t="shared" ca="1" si="73"/>
        <v>789732704.31505609</v>
      </c>
      <c r="AF54" s="42"/>
      <c r="AG54" s="42">
        <f t="shared" ca="1" si="74"/>
        <v>789732704.31505609</v>
      </c>
      <c r="AH54" s="8"/>
    </row>
    <row r="55" spans="2:34" x14ac:dyDescent="0.2">
      <c r="B55" s="41">
        <f t="shared" si="75"/>
        <v>2021</v>
      </c>
      <c r="C55" s="42">
        <f>SUMIF('Monthly Data'!$B:$B,B55,'Monthly Data'!D:D)</f>
        <v>550878084</v>
      </c>
      <c r="D55" s="42">
        <f>SUMIF('Monthly Data'!$B:$B,B55,'Monthly Data'!E:E)</f>
        <v>31501292.225126073</v>
      </c>
      <c r="E55" s="42">
        <f t="shared" si="63"/>
        <v>582379376.22512603</v>
      </c>
      <c r="F55" s="43"/>
      <c r="G55" s="42">
        <f ca="1">SUMIF('Res Normalized Monthly WN'!$B:$B,B55,'Res Normalized Monthly WN'!$S:$S)</f>
        <v>577333602.04440629</v>
      </c>
      <c r="H55" s="42">
        <f t="shared" si="64"/>
        <v>31501292.225126073</v>
      </c>
      <c r="I55" s="42">
        <f t="shared" ca="1" si="65"/>
        <v>545832309.81928027</v>
      </c>
      <c r="J55" s="42"/>
      <c r="K55" s="42">
        <f t="shared" ca="1" si="66"/>
        <v>545832309.81928027</v>
      </c>
      <c r="L55" s="8"/>
      <c r="M55" s="41">
        <f t="shared" si="76"/>
        <v>2021</v>
      </c>
      <c r="N55" s="42">
        <f>SUMIF('Monthly Data'!$B:$B,M55,'Monthly Data'!H:H)</f>
        <v>156917865</v>
      </c>
      <c r="O55" s="42">
        <f>SUMIF('Monthly Data'!$B:$B,M55,'Monthly Data'!I:I)</f>
        <v>12501503.838213963</v>
      </c>
      <c r="P55" s="42">
        <f t="shared" si="67"/>
        <v>169419368.83821395</v>
      </c>
      <c r="Q55" s="43"/>
      <c r="R55" s="42">
        <f ca="1">SUMIF('GS&lt;50 Normalized Monthly WN'!$B:$B,M55,'GS&lt;50 Normalized Monthly WN'!U:$U)</f>
        <v>169059027.63268104</v>
      </c>
      <c r="S55" s="42">
        <f t="shared" si="68"/>
        <v>12501503.838213963</v>
      </c>
      <c r="T55" s="42">
        <f t="shared" ca="1" si="69"/>
        <v>156557523.79446709</v>
      </c>
      <c r="U55" s="42"/>
      <c r="V55" s="42">
        <f t="shared" ca="1" si="70"/>
        <v>156557523.79446709</v>
      </c>
      <c r="W55" s="8"/>
      <c r="X55" s="41">
        <f t="shared" si="77"/>
        <v>2021</v>
      </c>
      <c r="Y55" s="42">
        <f>SUMIF('Monthly Data'!$B:$B,X55,'Monthly Data'!L:L)</f>
        <v>797368549</v>
      </c>
      <c r="Z55" s="42">
        <f>SUMIF('Monthly Data'!$B:$B,X55,'Monthly Data'!M:M)</f>
        <v>39758301.191827103</v>
      </c>
      <c r="AA55" s="42">
        <f t="shared" si="71"/>
        <v>837126850.19182706</v>
      </c>
      <c r="AB55" s="43"/>
      <c r="AC55" s="42">
        <f ca="1">SUMIF('GS&gt;50 Normalized Monthly WN'!$B:$B,X55,'GS&gt;50 Normalized Monthly WN'!$U:$U)</f>
        <v>835260822.25652075</v>
      </c>
      <c r="AD55" s="42">
        <f t="shared" si="72"/>
        <v>39758301.191827103</v>
      </c>
      <c r="AE55" s="42">
        <f t="shared" ca="1" si="73"/>
        <v>795502521.06469369</v>
      </c>
      <c r="AF55" s="42"/>
      <c r="AG55" s="42">
        <f t="shared" ca="1" si="74"/>
        <v>795502521.06469369</v>
      </c>
      <c r="AH55" s="8"/>
    </row>
    <row r="56" spans="2:34" x14ac:dyDescent="0.2">
      <c r="B56" s="41">
        <f t="shared" si="75"/>
        <v>2022</v>
      </c>
      <c r="C56" s="42">
        <f>SUMIF('Monthly Data'!$B:$B,B56,'Monthly Data'!D:D)</f>
        <v>543063322</v>
      </c>
      <c r="D56" s="42">
        <f>SUMIF('Monthly Data'!$B:$B,B56,'Monthly Data'!E:E)</f>
        <v>31618374.746524349</v>
      </c>
      <c r="E56" s="42">
        <f t="shared" si="63"/>
        <v>574681696.74652433</v>
      </c>
      <c r="F56" s="43"/>
      <c r="G56" s="42">
        <f ca="1">SUMIF('Res Normalized Monthly WN'!$B:$B,B56,'Res Normalized Monthly WN'!$S:$S)</f>
        <v>573803772.81510794</v>
      </c>
      <c r="H56" s="42">
        <f t="shared" si="64"/>
        <v>31618374.746524349</v>
      </c>
      <c r="I56" s="42">
        <f t="shared" ca="1" si="65"/>
        <v>542185398.06858361</v>
      </c>
      <c r="J56" s="42"/>
      <c r="K56" s="42">
        <f t="shared" ca="1" si="66"/>
        <v>542185398.06858361</v>
      </c>
      <c r="L56" s="8"/>
      <c r="M56" s="41">
        <f t="shared" si="76"/>
        <v>2022</v>
      </c>
      <c r="N56" s="42">
        <f>SUMIF('Monthly Data'!$B:$B,M56,'Monthly Data'!H:H)</f>
        <v>167739015</v>
      </c>
      <c r="O56" s="42">
        <f>SUMIF('Monthly Data'!$B:$B,M56,'Monthly Data'!I:I)</f>
        <v>13383161.7576367</v>
      </c>
      <c r="P56" s="42">
        <f t="shared" si="67"/>
        <v>181122176.7576367</v>
      </c>
      <c r="Q56" s="43"/>
      <c r="R56" s="42">
        <f ca="1">SUMIF('GS&lt;50 Normalized Monthly WN'!$B:$B,M56,'GS&lt;50 Normalized Monthly WN'!U:$U)</f>
        <v>180528980.39669424</v>
      </c>
      <c r="S56" s="42">
        <f t="shared" si="68"/>
        <v>13383161.7576367</v>
      </c>
      <c r="T56" s="42">
        <f t="shared" ca="1" si="69"/>
        <v>167145818.63905755</v>
      </c>
      <c r="U56" s="42"/>
      <c r="V56" s="42">
        <f t="shared" ca="1" si="70"/>
        <v>167145818.63905755</v>
      </c>
      <c r="W56" s="8"/>
      <c r="X56" s="41">
        <f t="shared" si="77"/>
        <v>2022</v>
      </c>
      <c r="Y56" s="42">
        <f>SUMIF('Monthly Data'!$B:$B,X56,'Monthly Data'!L:L)</f>
        <v>812199013</v>
      </c>
      <c r="Z56" s="42">
        <f>SUMIF('Monthly Data'!$B:$B,X56,'Monthly Data'!M:M)</f>
        <v>43798668.374049872</v>
      </c>
      <c r="AA56" s="42">
        <f t="shared" si="71"/>
        <v>855997681.3740499</v>
      </c>
      <c r="AB56" s="43"/>
      <c r="AC56" s="42">
        <f ca="1">SUMIF('GS&gt;50 Normalized Monthly WN'!$B:$B,X56,'GS&gt;50 Normalized Monthly WN'!$U:$U)</f>
        <v>854231676.91366458</v>
      </c>
      <c r="AD56" s="42">
        <f t="shared" si="72"/>
        <v>43798668.374049872</v>
      </c>
      <c r="AE56" s="42">
        <f t="shared" ca="1" si="73"/>
        <v>810433008.53961468</v>
      </c>
      <c r="AF56" s="42"/>
      <c r="AG56" s="42">
        <f t="shared" ca="1" si="74"/>
        <v>810433008.53961468</v>
      </c>
      <c r="AH56" s="8"/>
    </row>
    <row r="57" spans="2:34" x14ac:dyDescent="0.2">
      <c r="B57" s="41">
        <f t="shared" si="75"/>
        <v>2023</v>
      </c>
      <c r="C57" s="42">
        <f>SUMIF('Monthly Data'!$B:$B,B57,'Monthly Data'!D:D)</f>
        <v>520495248</v>
      </c>
      <c r="D57" s="42">
        <f>SUMIF('Monthly Data'!$B:$B,B57,'Monthly Data'!E:E)</f>
        <v>31967273.05124563</v>
      </c>
      <c r="E57" s="42">
        <f t="shared" si="63"/>
        <v>552462521.05124569</v>
      </c>
      <c r="F57" s="42"/>
      <c r="G57" s="42">
        <f ca="1">SUMIF('Res Normalized Monthly WN'!$B:$B,B57,'Res Normalized Monthly WN'!$S:$S)</f>
        <v>558848050.02809262</v>
      </c>
      <c r="H57" s="42">
        <f t="shared" si="64"/>
        <v>31967273.05124563</v>
      </c>
      <c r="I57" s="42">
        <f t="shared" ca="1" si="65"/>
        <v>526880776.97684699</v>
      </c>
      <c r="J57" s="42"/>
      <c r="K57" s="42">
        <f t="shared" ca="1" si="66"/>
        <v>526880776.97684699</v>
      </c>
      <c r="L57" s="8"/>
      <c r="M57" s="41">
        <f t="shared" si="76"/>
        <v>2023</v>
      </c>
      <c r="N57" s="42">
        <f>SUMIF('Monthly Data'!$B:$B,M57,'Monthly Data'!H:H)</f>
        <v>169521838</v>
      </c>
      <c r="O57" s="42">
        <f>SUMIF('Monthly Data'!$B:$B,M57,'Monthly Data'!I:I)</f>
        <v>14292957.500310611</v>
      </c>
      <c r="P57" s="42">
        <f t="shared" si="67"/>
        <v>183814795.5003106</v>
      </c>
      <c r="Q57" s="42"/>
      <c r="R57" s="42">
        <f ca="1">SUMIF('GS&lt;50 Normalized Monthly WN'!$B:$B,M57,'GS&lt;50 Normalized Monthly WN'!U:$U)</f>
        <v>185486340.30899277</v>
      </c>
      <c r="S57" s="42">
        <f>O57</f>
        <v>14292957.500310611</v>
      </c>
      <c r="T57" s="42">
        <f t="shared" ca="1" si="69"/>
        <v>171193382.80868217</v>
      </c>
      <c r="U57" s="42"/>
      <c r="V57" s="42">
        <f t="shared" ca="1" si="70"/>
        <v>171193382.80868217</v>
      </c>
      <c r="W57" s="8"/>
      <c r="X57" s="41">
        <f t="shared" si="77"/>
        <v>2023</v>
      </c>
      <c r="Y57" s="42">
        <f>SUMIF('Monthly Data'!$B:$B,X57,'Monthly Data'!L:L)</f>
        <v>785675948</v>
      </c>
      <c r="Z57" s="42">
        <f>SUMIF('Monthly Data'!$B:$B,X57,'Monthly Data'!M:M)</f>
        <v>49392722.62611682</v>
      </c>
      <c r="AA57" s="42">
        <f t="shared" si="71"/>
        <v>835068670.62611687</v>
      </c>
      <c r="AB57" s="42"/>
      <c r="AC57" s="42">
        <f ca="1">SUMIF('GS&gt;50 Normalized Monthly WN'!$B:$B,X57,'GS&gt;50 Normalized Monthly WN'!$U:$U)</f>
        <v>841416039.7358638</v>
      </c>
      <c r="AD57" s="42">
        <f t="shared" si="72"/>
        <v>49392722.62611682</v>
      </c>
      <c r="AE57" s="42">
        <f t="shared" ca="1" si="73"/>
        <v>792023317.10974693</v>
      </c>
      <c r="AF57" s="42"/>
      <c r="AG57" s="42">
        <f t="shared" ca="1" si="74"/>
        <v>792023317.10974693</v>
      </c>
      <c r="AH57" s="8"/>
    </row>
    <row r="58" spans="2:34" x14ac:dyDescent="0.2">
      <c r="B58" s="41">
        <f t="shared" si="75"/>
        <v>2024</v>
      </c>
      <c r="C58" s="42">
        <f>SUMIF('Monthly Data'!$B:$B,B58,'Monthly Data'!D:D)</f>
        <v>540051923.88</v>
      </c>
      <c r="D58" s="42">
        <f>SUMIF('Monthly Data'!$B:$B,B58,'Monthly Data'!E:E)</f>
        <v>32820220.007317048</v>
      </c>
      <c r="E58" s="42">
        <f t="shared" ref="E58" si="78">C58+D58</f>
        <v>572872143.88731706</v>
      </c>
      <c r="F58" s="42"/>
      <c r="G58" s="42">
        <f ca="1">SUMIF('Res Normalized Monthly WN'!$B:$B,B58,'Res Normalized Monthly WN'!$S:$S)</f>
        <v>575726743.01646852</v>
      </c>
      <c r="H58" s="42">
        <f t="shared" ref="H58" si="79">D58</f>
        <v>32820220.007317048</v>
      </c>
      <c r="I58" s="42">
        <f t="shared" ref="I58" ca="1" si="80">G58-H58</f>
        <v>542906523.00915146</v>
      </c>
      <c r="J58" s="42"/>
      <c r="K58" s="42">
        <f t="shared" ref="K58" ca="1" si="81">I58+J58</f>
        <v>542906523.00915146</v>
      </c>
      <c r="L58" s="8"/>
      <c r="M58" s="41">
        <f t="shared" si="76"/>
        <v>2024</v>
      </c>
      <c r="N58" s="42">
        <f>SUMIF('Monthly Data'!$B:$B,M58,'Monthly Data'!H:H)</f>
        <v>168919666.52000001</v>
      </c>
      <c r="O58" s="42">
        <f>SUMIF('Monthly Data'!$B:$B,M58,'Monthly Data'!I:I)</f>
        <v>15221787.1262563</v>
      </c>
      <c r="P58" s="42">
        <f t="shared" ref="P58" si="82">N58+O58</f>
        <v>184141453.6462563</v>
      </c>
      <c r="Q58" s="42"/>
      <c r="R58" s="42">
        <f ca="1">SUMIF('GS&lt;50 Normalized Monthly WN'!$B:$B,M58,'GS&lt;50 Normalized Monthly WN'!U:$U)</f>
        <v>185507489.19604439</v>
      </c>
      <c r="S58" s="42">
        <f>O58</f>
        <v>15221787.1262563</v>
      </c>
      <c r="T58" s="42">
        <f t="shared" ref="T58" ca="1" si="83">R58-S58</f>
        <v>170285702.0697881</v>
      </c>
      <c r="U58" s="42"/>
      <c r="V58" s="42">
        <f t="shared" ref="V58" ca="1" si="84">T58+U58</f>
        <v>170285702.0697881</v>
      </c>
      <c r="W58" s="8"/>
      <c r="X58" s="41">
        <f t="shared" si="77"/>
        <v>2024</v>
      </c>
      <c r="Y58" s="42">
        <f>SUMIF('Monthly Data'!$B:$B,X58,'Monthly Data'!L:L)</f>
        <v>796891425.15999985</v>
      </c>
      <c r="Z58" s="42">
        <f>SUMIF('Monthly Data'!$B:$B,X58,'Monthly Data'!M:M)</f>
        <v>56173988.92809476</v>
      </c>
      <c r="AA58" s="42">
        <f t="shared" ref="AA58" si="85">Y58+Z58</f>
        <v>853065414.08809459</v>
      </c>
      <c r="AB58" s="42"/>
      <c r="AC58" s="42">
        <f ca="1">SUMIF('GS&gt;50 Normalized Monthly WN'!$B:$B,X58,'GS&gt;50 Normalized Monthly WN'!$U:$U)</f>
        <v>857383838.51455688</v>
      </c>
      <c r="AD58" s="42">
        <f t="shared" ref="AD58" si="86">Z58</f>
        <v>56173988.92809476</v>
      </c>
      <c r="AE58" s="42">
        <f t="shared" ref="AE58" ca="1" si="87">AC58-AD58</f>
        <v>801209849.58646214</v>
      </c>
      <c r="AF58" s="42"/>
      <c r="AG58" s="42">
        <f t="shared" ref="AG58" ca="1" si="88">AE58+AF58</f>
        <v>801209849.58646214</v>
      </c>
      <c r="AH58" s="8"/>
    </row>
    <row r="59" spans="2:34" x14ac:dyDescent="0.2">
      <c r="B59" s="44">
        <f>B58+1</f>
        <v>2025</v>
      </c>
      <c r="C59" s="44"/>
      <c r="D59" s="44"/>
      <c r="E59" s="44"/>
      <c r="F59" s="44"/>
      <c r="G59" s="42">
        <f ca="1">SUMIF('Res Normalized Monthly WN'!$B:$B,B59,'Res Normalized Monthly WN'!$S:$S)</f>
        <v>581774486.18325925</v>
      </c>
      <c r="H59" s="43">
        <f>CDM!J28</f>
        <v>32465886.415995933</v>
      </c>
      <c r="I59" s="43">
        <f ca="1">G59-H59</f>
        <v>549308599.76726329</v>
      </c>
      <c r="J59" s="43">
        <f ca="1">'Total Additional-Lost Loads'!E16</f>
        <v>2151227.975506308</v>
      </c>
      <c r="K59" s="43">
        <f t="shared" ref="K59:K60" ca="1" si="89">I59+J59</f>
        <v>551459827.7427696</v>
      </c>
      <c r="L59" s="8"/>
      <c r="M59" s="44">
        <f>M58+1</f>
        <v>2025</v>
      </c>
      <c r="N59" s="44"/>
      <c r="O59" s="44"/>
      <c r="P59" s="44"/>
      <c r="Q59" s="44"/>
      <c r="R59" s="43">
        <f ca="1">SUMIF('GS&lt;50 Normalized Monthly WN'!$B:$B,M59,'GS&lt;50 Normalized Monthly WN'!U:$U)</f>
        <v>183053762.66115808</v>
      </c>
      <c r="S59" s="43">
        <f>CDM!K28</f>
        <v>13843184.791206934</v>
      </c>
      <c r="T59" s="43">
        <f t="shared" ca="1" si="69"/>
        <v>169210577.86995116</v>
      </c>
      <c r="U59" s="43">
        <f ca="1">'Total Additional-Lost Loads'!E17</f>
        <v>554992.55546922388</v>
      </c>
      <c r="V59" s="43">
        <f t="shared" ref="V59:V60" ca="1" si="90">T59+U59</f>
        <v>169765570.42542037</v>
      </c>
      <c r="W59" s="8"/>
      <c r="X59" s="44">
        <f>X58+1</f>
        <v>2025</v>
      </c>
      <c r="Y59" s="44"/>
      <c r="Z59" s="44"/>
      <c r="AA59" s="44"/>
      <c r="AB59" s="44"/>
      <c r="AC59" s="43">
        <f ca="1">SUMIF('GS&gt;50 Normalized Monthly WN'!$B:$B,X59,'GS&gt;50 Normalized Monthly WN'!$U:$U)</f>
        <v>819610933.46508241</v>
      </c>
      <c r="AD59" s="43">
        <f>CDM!L28</f>
        <v>53816060.608285025</v>
      </c>
      <c r="AE59" s="43">
        <f ca="1">AC59-AD59</f>
        <v>765794872.85679734</v>
      </c>
      <c r="AF59" s="43">
        <f>'Total Additional-Lost Loads'!E18+'Total Additional-Lost Loads'!E26</f>
        <v>-3496233.8832699014</v>
      </c>
      <c r="AG59" s="43">
        <f t="shared" ref="AG59:AG60" ca="1" si="91">AE59+AF59</f>
        <v>762298638.97352743</v>
      </c>
      <c r="AH59" s="8"/>
    </row>
    <row r="60" spans="2:34" x14ac:dyDescent="0.2">
      <c r="B60" s="44">
        <f t="shared" ref="B60" si="92">B59+1</f>
        <v>2026</v>
      </c>
      <c r="C60" s="44"/>
      <c r="D60" s="44"/>
      <c r="E60" s="44"/>
      <c r="F60" s="44"/>
      <c r="G60" s="42">
        <f ca="1">SUMIF('Res Normalized Monthly WN'!$B:$B,B60,'Res Normalized Monthly WN'!$S:$S)</f>
        <v>583399476.71133101</v>
      </c>
      <c r="H60" s="43">
        <f>CDM!J29</f>
        <v>32183999.329667073</v>
      </c>
      <c r="I60" s="43">
        <f ca="1">G60-H60</f>
        <v>551215477.38166392</v>
      </c>
      <c r="J60" s="43">
        <f ca="1">'Total Additional-Lost Loads'!F16</f>
        <v>5782995.2372359484</v>
      </c>
      <c r="K60" s="43">
        <f t="shared" ca="1" si="89"/>
        <v>556998472.61889982</v>
      </c>
      <c r="L60" s="8"/>
      <c r="M60" s="44">
        <f t="shared" ref="M60" si="93">M59+1</f>
        <v>2026</v>
      </c>
      <c r="N60" s="44"/>
      <c r="O60" s="44"/>
      <c r="P60" s="44"/>
      <c r="Q60" s="44"/>
      <c r="R60" s="43">
        <f ca="1">SUMIF('GS&lt;50 Normalized Monthly WN'!$B:$B,M60,'GS&lt;50 Normalized Monthly WN'!U:$U)</f>
        <v>184297206.39396638</v>
      </c>
      <c r="S60" s="43">
        <f>CDM!K29</f>
        <v>13253184.117465999</v>
      </c>
      <c r="T60" s="43">
        <f t="shared" ca="1" si="69"/>
        <v>171044022.27650037</v>
      </c>
      <c r="U60" s="43">
        <f ca="1">'Total Additional-Lost Loads'!F17</f>
        <v>1504346.6141727823</v>
      </c>
      <c r="V60" s="43">
        <f t="shared" ca="1" si="90"/>
        <v>172548368.89067316</v>
      </c>
      <c r="W60" s="8"/>
      <c r="X60" s="44">
        <f t="shared" ref="X60" si="94">X59+1</f>
        <v>2026</v>
      </c>
      <c r="Y60" s="44"/>
      <c r="Z60" s="44"/>
      <c r="AA60" s="44"/>
      <c r="AB60" s="44"/>
      <c r="AC60" s="43">
        <f ca="1">SUMIF('GS&gt;50 Normalized Monthly WN'!$B:$B,X60,'GS&gt;50 Normalized Monthly WN'!$U:$U)</f>
        <v>808313138.75800836</v>
      </c>
      <c r="AD60" s="43">
        <f>CDM!L29</f>
        <v>53250266.03118223</v>
      </c>
      <c r="AE60" s="43">
        <f ca="1">AC60-AD60</f>
        <v>755062872.72682619</v>
      </c>
      <c r="AF60" s="43">
        <f>'Total Additional-Lost Loads'!F18+'Total Additional-Lost Loads'!F26</f>
        <v>-4503942.4044443732</v>
      </c>
      <c r="AG60" s="43">
        <f t="shared" ca="1" si="91"/>
        <v>750558930.32238185</v>
      </c>
      <c r="AH60" s="8"/>
    </row>
  </sheetData>
  <mergeCells count="8">
    <mergeCell ref="B45:K45"/>
    <mergeCell ref="M45:V45"/>
    <mergeCell ref="X45:AG45"/>
    <mergeCell ref="AI2:AM2"/>
    <mergeCell ref="AO2:AS2"/>
    <mergeCell ref="B2:K2"/>
    <mergeCell ref="M2:V2"/>
    <mergeCell ref="X2:AG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79998168889431442"/>
  </sheetPr>
  <dimension ref="A2:AL307"/>
  <sheetViews>
    <sheetView topLeftCell="P1" workbookViewId="0">
      <selection activeCell="AD9" sqref="AD9"/>
    </sheetView>
  </sheetViews>
  <sheetFormatPr defaultColWidth="9.33203125" defaultRowHeight="13.15" customHeight="1" x14ac:dyDescent="0.2"/>
  <cols>
    <col min="1" max="1" width="11.33203125" bestFit="1" customWidth="1"/>
    <col min="4" max="7" width="10.33203125" bestFit="1" customWidth="1"/>
    <col min="8" max="9" width="9.33203125" bestFit="1" customWidth="1"/>
    <col min="10" max="10" width="12.6640625" bestFit="1" customWidth="1"/>
    <col min="11" max="11" width="15.5" bestFit="1" customWidth="1"/>
    <col min="12" max="12" width="19.5" bestFit="1" customWidth="1"/>
    <col min="13" max="21" width="11" customWidth="1"/>
    <col min="24" max="24" width="12" customWidth="1"/>
    <col min="25" max="25" width="8.33203125" customWidth="1"/>
    <col min="26" max="26" width="14" bestFit="1" customWidth="1"/>
    <col min="27" max="27" width="13.5" bestFit="1" customWidth="1"/>
    <col min="28" max="28" width="13" bestFit="1" customWidth="1"/>
    <col min="29" max="29" width="18.83203125" customWidth="1"/>
    <col min="30" max="30" width="12.5" customWidth="1"/>
    <col min="31" max="31" width="2.33203125" customWidth="1"/>
    <col min="32" max="32" width="11.33203125" customWidth="1"/>
    <col min="33" max="34" width="14.33203125" bestFit="1" customWidth="1"/>
    <col min="35" max="36" width="9.5" bestFit="1" customWidth="1"/>
  </cols>
  <sheetData>
    <row r="2" spans="1:38" ht="13.15" customHeight="1" x14ac:dyDescent="0.2">
      <c r="A2" t="s">
        <v>15</v>
      </c>
      <c r="B2" t="s">
        <v>0</v>
      </c>
      <c r="D2" t="s">
        <v>17</v>
      </c>
      <c r="E2" t="s">
        <v>20</v>
      </c>
      <c r="F2" t="s">
        <v>18</v>
      </c>
      <c r="G2" t="s">
        <v>21</v>
      </c>
      <c r="H2" t="s">
        <v>19</v>
      </c>
      <c r="I2" t="s">
        <v>22</v>
      </c>
      <c r="J2" t="s">
        <v>200</v>
      </c>
      <c r="K2" t="s">
        <v>201</v>
      </c>
      <c r="L2" t="s">
        <v>202</v>
      </c>
      <c r="M2" t="s">
        <v>206</v>
      </c>
      <c r="N2" t="s">
        <v>207</v>
      </c>
      <c r="O2" t="s">
        <v>208</v>
      </c>
      <c r="P2" t="str">
        <f>D2</f>
        <v>Ont_FTEAdj</v>
      </c>
      <c r="Q2" t="str">
        <f>E2</f>
        <v>Ont_FTE</v>
      </c>
      <c r="R2" t="str">
        <f t="shared" ref="R2:S2" si="0">F2</f>
        <v>Tor_FTEAdj</v>
      </c>
      <c r="S2" t="str">
        <f t="shared" si="0"/>
        <v>Tor_FTE</v>
      </c>
      <c r="T2" t="str">
        <f>J2</f>
        <v>ON GDP</v>
      </c>
      <c r="U2" t="str">
        <f>M2</f>
        <v>OEA_GDP</v>
      </c>
      <c r="V2" t="str">
        <f t="shared" ref="V2:W2" si="1">N2</f>
        <v>OEA_Services</v>
      </c>
      <c r="W2" t="str">
        <f t="shared" si="1"/>
        <v>OEA_Transport&amp;WH</v>
      </c>
      <c r="AD2" s="9"/>
      <c r="AE2" s="9"/>
      <c r="AF2" s="9"/>
      <c r="AG2" s="9"/>
      <c r="AH2" s="9"/>
      <c r="AI2" s="9"/>
      <c r="AJ2" s="9"/>
      <c r="AK2" s="9"/>
      <c r="AL2" s="9"/>
    </row>
    <row r="3" spans="1:38" ht="13.15" customHeight="1" x14ac:dyDescent="0.2">
      <c r="D3" s="523" t="s">
        <v>203</v>
      </c>
      <c r="E3" s="523"/>
      <c r="F3" s="523"/>
      <c r="G3" s="523"/>
      <c r="H3" s="523"/>
      <c r="I3" s="523"/>
      <c r="J3" s="524" t="s">
        <v>204</v>
      </c>
      <c r="K3" s="524"/>
      <c r="L3" s="524"/>
      <c r="M3" s="524" t="s">
        <v>205</v>
      </c>
      <c r="N3" s="524"/>
      <c r="O3" s="524"/>
      <c r="P3" s="111" t="s">
        <v>463</v>
      </c>
      <c r="Q3" s="111" t="s">
        <v>463</v>
      </c>
      <c r="R3" s="111" t="s">
        <v>463</v>
      </c>
      <c r="S3" s="111" t="s">
        <v>463</v>
      </c>
      <c r="T3" s="111" t="s">
        <v>463</v>
      </c>
      <c r="U3" s="111" t="s">
        <v>463</v>
      </c>
      <c r="V3" s="111" t="s">
        <v>463</v>
      </c>
      <c r="W3" s="111" t="s">
        <v>463</v>
      </c>
      <c r="AD3" s="9"/>
      <c r="AE3" s="9"/>
      <c r="AF3" s="9"/>
      <c r="AG3" s="9"/>
      <c r="AH3" s="9"/>
      <c r="AI3" s="9"/>
      <c r="AJ3" s="9"/>
      <c r="AK3" s="9"/>
      <c r="AL3" s="9"/>
    </row>
    <row r="4" spans="1:38" ht="13.15" customHeight="1" x14ac:dyDescent="0.2">
      <c r="A4" s="9">
        <v>39814</v>
      </c>
      <c r="B4">
        <f>YEAR(A4)</f>
        <v>2009</v>
      </c>
      <c r="C4" t="s">
        <v>182</v>
      </c>
      <c r="D4" s="18">
        <v>6549.8</v>
      </c>
      <c r="E4" s="18">
        <v>6508.3</v>
      </c>
      <c r="F4" s="18">
        <v>2842.1</v>
      </c>
      <c r="G4" s="18">
        <v>2835.9</v>
      </c>
      <c r="H4" s="18">
        <v>360.1</v>
      </c>
      <c r="I4" s="18">
        <v>357.9</v>
      </c>
      <c r="J4" s="18">
        <v>635504.19999999995</v>
      </c>
      <c r="K4" s="18">
        <v>491032.1</v>
      </c>
      <c r="L4" s="18">
        <v>43515.6</v>
      </c>
      <c r="M4" s="8">
        <v>635531</v>
      </c>
      <c r="N4" s="8">
        <v>488177</v>
      </c>
      <c r="O4" s="18">
        <v>24508</v>
      </c>
      <c r="P4" s="18"/>
      <c r="Q4" s="18"/>
      <c r="R4" s="18"/>
      <c r="S4" s="18"/>
      <c r="T4" s="18"/>
      <c r="U4" s="18"/>
      <c r="V4" s="18"/>
      <c r="W4" s="18"/>
      <c r="Z4" t="s">
        <v>538</v>
      </c>
    </row>
    <row r="5" spans="1:38" ht="13.15" customHeight="1" x14ac:dyDescent="0.25">
      <c r="A5" s="9">
        <v>39845</v>
      </c>
      <c r="B5">
        <f t="shared" ref="B5:B68" si="2">YEAR(A5)</f>
        <v>2009</v>
      </c>
      <c r="C5" t="s">
        <v>182</v>
      </c>
      <c r="D5" s="18">
        <v>6518.6</v>
      </c>
      <c r="E5" s="18">
        <v>6440.5</v>
      </c>
      <c r="F5" s="18">
        <v>2838</v>
      </c>
      <c r="G5" s="18">
        <v>2820.5</v>
      </c>
      <c r="H5" s="18">
        <v>364</v>
      </c>
      <c r="I5" s="18">
        <v>357.4</v>
      </c>
      <c r="J5" s="18">
        <v>635504.19999999995</v>
      </c>
      <c r="K5" s="18">
        <v>491032.1</v>
      </c>
      <c r="L5" s="18">
        <v>43515.6</v>
      </c>
      <c r="M5" s="8">
        <v>635531</v>
      </c>
      <c r="N5" s="8">
        <v>488177</v>
      </c>
      <c r="O5" s="18">
        <v>24508</v>
      </c>
      <c r="P5" s="18"/>
      <c r="Q5" s="18"/>
      <c r="R5" s="18"/>
      <c r="S5" s="18"/>
      <c r="T5" s="18"/>
      <c r="U5" s="18"/>
      <c r="V5" s="18"/>
      <c r="W5" s="18"/>
      <c r="AE5" s="97"/>
    </row>
    <row r="6" spans="1:38" ht="13.15" customHeight="1" x14ac:dyDescent="0.2">
      <c r="A6" s="9">
        <v>39873</v>
      </c>
      <c r="B6">
        <f t="shared" si="2"/>
        <v>2009</v>
      </c>
      <c r="C6" t="s">
        <v>182</v>
      </c>
      <c r="D6" s="18">
        <v>6477.9</v>
      </c>
      <c r="E6" s="18">
        <v>6369.7</v>
      </c>
      <c r="F6" s="18">
        <v>2839.9</v>
      </c>
      <c r="G6" s="18">
        <v>2804.5</v>
      </c>
      <c r="H6" s="18">
        <v>369.5</v>
      </c>
      <c r="I6" s="18">
        <v>361.3</v>
      </c>
      <c r="J6" s="18">
        <v>635504.19999999995</v>
      </c>
      <c r="K6" s="18">
        <v>491032.1</v>
      </c>
      <c r="L6" s="18">
        <v>43515.6</v>
      </c>
      <c r="M6" s="8">
        <v>635531</v>
      </c>
      <c r="N6" s="8">
        <v>488177</v>
      </c>
      <c r="O6" s="18">
        <v>24508</v>
      </c>
      <c r="P6" s="18"/>
      <c r="Q6" s="18"/>
      <c r="R6" s="18"/>
      <c r="S6" s="18"/>
      <c r="T6" s="18"/>
      <c r="U6" s="18"/>
      <c r="V6" s="18"/>
      <c r="W6" s="18"/>
      <c r="Y6" s="98"/>
      <c r="Z6" s="99" t="s">
        <v>24</v>
      </c>
      <c r="AA6" s="100" t="s">
        <v>27</v>
      </c>
      <c r="AB6" s="100" t="s">
        <v>26</v>
      </c>
      <c r="AC6" s="100" t="s">
        <v>25</v>
      </c>
      <c r="AD6" s="100" t="s">
        <v>157</v>
      </c>
      <c r="AE6" s="101"/>
    </row>
    <row r="7" spans="1:38" ht="13.15" customHeight="1" x14ac:dyDescent="0.2">
      <c r="A7" s="9">
        <v>39904</v>
      </c>
      <c r="B7">
        <f t="shared" si="2"/>
        <v>2009</v>
      </c>
      <c r="C7" t="s">
        <v>183</v>
      </c>
      <c r="D7" s="18">
        <v>6456.7</v>
      </c>
      <c r="E7" s="18">
        <v>6367.3</v>
      </c>
      <c r="F7" s="18">
        <v>2843.4</v>
      </c>
      <c r="G7" s="18">
        <v>2816.6</v>
      </c>
      <c r="H7" s="18">
        <v>373.1</v>
      </c>
      <c r="I7" s="18">
        <v>367</v>
      </c>
      <c r="J7" s="18">
        <v>635504.19999999995</v>
      </c>
      <c r="K7" s="18">
        <v>491032.1</v>
      </c>
      <c r="L7" s="18">
        <v>43515.6</v>
      </c>
      <c r="M7" s="8">
        <v>629230</v>
      </c>
      <c r="N7" s="8">
        <v>488140</v>
      </c>
      <c r="O7" s="18">
        <v>24128</v>
      </c>
      <c r="P7" s="18"/>
      <c r="Q7" s="18"/>
      <c r="R7" s="18"/>
      <c r="S7" s="18"/>
      <c r="U7" s="18">
        <f>M7-M4</f>
        <v>-6301</v>
      </c>
      <c r="V7" s="18">
        <f t="shared" ref="V7:W15" si="3">N7-N4</f>
        <v>-37</v>
      </c>
      <c r="W7" s="18">
        <f t="shared" si="3"/>
        <v>-380</v>
      </c>
      <c r="Y7" s="102"/>
      <c r="Z7" s="406">
        <v>45737</v>
      </c>
      <c r="AA7" s="406">
        <v>45638</v>
      </c>
      <c r="AB7" s="406">
        <v>45734</v>
      </c>
      <c r="AC7" s="406">
        <v>45735</v>
      </c>
      <c r="AE7" s="103"/>
    </row>
    <row r="8" spans="1:38" ht="13.15" customHeight="1" x14ac:dyDescent="0.2">
      <c r="A8" s="9">
        <v>39934</v>
      </c>
      <c r="B8">
        <f t="shared" si="2"/>
        <v>2009</v>
      </c>
      <c r="C8" t="s">
        <v>183</v>
      </c>
      <c r="D8" s="18">
        <v>6430.9</v>
      </c>
      <c r="E8" s="18">
        <v>6393.3</v>
      </c>
      <c r="F8" s="18">
        <v>2837.3</v>
      </c>
      <c r="G8" s="18">
        <v>2824.5</v>
      </c>
      <c r="H8" s="18">
        <v>376.1</v>
      </c>
      <c r="I8" s="18">
        <v>375.4</v>
      </c>
      <c r="J8" s="18">
        <v>635504.19999999995</v>
      </c>
      <c r="K8" s="18">
        <v>491032.1</v>
      </c>
      <c r="L8" s="18">
        <v>43515.6</v>
      </c>
      <c r="M8" s="8">
        <v>629230</v>
      </c>
      <c r="N8" s="8">
        <v>488140</v>
      </c>
      <c r="O8" s="18">
        <v>24128</v>
      </c>
      <c r="P8" s="18"/>
      <c r="Q8" s="18"/>
      <c r="R8" s="18"/>
      <c r="S8" s="18"/>
      <c r="U8" s="18">
        <f t="shared" ref="U8:U15" si="4">M8-M5</f>
        <v>-6301</v>
      </c>
      <c r="V8" s="18">
        <f t="shared" si="3"/>
        <v>-37</v>
      </c>
      <c r="W8" s="18">
        <f t="shared" si="3"/>
        <v>-380</v>
      </c>
      <c r="X8" s="39"/>
      <c r="Y8" s="102">
        <v>2023</v>
      </c>
      <c r="Z8" s="36">
        <v>1.7000000000000001E-2</v>
      </c>
      <c r="AA8" s="36">
        <v>1.7000000000000001E-2</v>
      </c>
      <c r="AB8" s="36">
        <v>1.7000000000000001E-2</v>
      </c>
      <c r="AC8" s="36"/>
      <c r="AD8" s="64">
        <f>AVERAGE(Z8,AB8:AC8)</f>
        <v>1.7000000000000001E-2</v>
      </c>
      <c r="AE8" s="104"/>
    </row>
    <row r="9" spans="1:38" ht="13.15" customHeight="1" x14ac:dyDescent="0.25">
      <c r="A9" s="9">
        <v>39965</v>
      </c>
      <c r="B9">
        <f t="shared" si="2"/>
        <v>2009</v>
      </c>
      <c r="C9" t="s">
        <v>183</v>
      </c>
      <c r="D9" s="18">
        <v>6408.5</v>
      </c>
      <c r="E9" s="18">
        <v>6447.1</v>
      </c>
      <c r="F9" s="18">
        <v>2810.4</v>
      </c>
      <c r="G9" s="18">
        <v>2820.1</v>
      </c>
      <c r="H9" s="18">
        <v>373.9</v>
      </c>
      <c r="I9" s="18">
        <v>377.5</v>
      </c>
      <c r="J9" s="18">
        <v>635504.19999999995</v>
      </c>
      <c r="K9" s="18">
        <v>491032.1</v>
      </c>
      <c r="L9" s="18">
        <v>43515.6</v>
      </c>
      <c r="M9" s="8">
        <v>629230</v>
      </c>
      <c r="N9" s="8">
        <v>488140</v>
      </c>
      <c r="O9" s="18">
        <v>24128</v>
      </c>
      <c r="P9" s="18"/>
      <c r="Q9" s="18"/>
      <c r="R9" s="18"/>
      <c r="S9" s="18"/>
      <c r="U9" s="18">
        <f t="shared" si="4"/>
        <v>-6301</v>
      </c>
      <c r="V9" s="18">
        <f t="shared" si="3"/>
        <v>-37</v>
      </c>
      <c r="W9" s="18">
        <f t="shared" si="3"/>
        <v>-380</v>
      </c>
      <c r="X9" s="105" t="s">
        <v>16</v>
      </c>
      <c r="Y9" s="102">
        <v>2024</v>
      </c>
      <c r="Z9" s="36">
        <v>1.4999999999999999E-2</v>
      </c>
      <c r="AA9" s="36">
        <v>7.0000000000000001E-3</v>
      </c>
      <c r="AB9" s="36">
        <v>1.4999999999999999E-2</v>
      </c>
      <c r="AC9" s="36">
        <v>1.2999999999999999E-2</v>
      </c>
      <c r="AD9" s="64">
        <f t="shared" ref="AD9:AD11" si="5">AVERAGE(Z9,AB9:AC9)</f>
        <v>1.4333333333333332E-2</v>
      </c>
      <c r="AE9" s="104"/>
    </row>
    <row r="10" spans="1:38" ht="13.15" customHeight="1" x14ac:dyDescent="0.2">
      <c r="A10" s="9">
        <v>39995</v>
      </c>
      <c r="B10">
        <f t="shared" si="2"/>
        <v>2009</v>
      </c>
      <c r="C10" t="s">
        <v>184</v>
      </c>
      <c r="D10" s="18">
        <v>6405.4</v>
      </c>
      <c r="E10" s="18">
        <v>6488.2</v>
      </c>
      <c r="F10" s="18">
        <v>2796.2</v>
      </c>
      <c r="G10" s="18">
        <v>2818</v>
      </c>
      <c r="H10" s="18">
        <v>370.5</v>
      </c>
      <c r="I10" s="18">
        <v>375.2</v>
      </c>
      <c r="J10" s="18">
        <v>635504.19999999995</v>
      </c>
      <c r="K10" s="18">
        <v>491032.1</v>
      </c>
      <c r="L10" s="18">
        <v>43515.6</v>
      </c>
      <c r="M10" s="8">
        <v>633497</v>
      </c>
      <c r="N10" s="8">
        <v>490848</v>
      </c>
      <c r="O10" s="18">
        <v>23719</v>
      </c>
      <c r="P10" s="18"/>
      <c r="Q10" s="18"/>
      <c r="R10" s="18"/>
      <c r="S10" s="18"/>
      <c r="U10" s="18">
        <f t="shared" si="4"/>
        <v>4267</v>
      </c>
      <c r="V10" s="18">
        <f t="shared" si="3"/>
        <v>2708</v>
      </c>
      <c r="W10" s="18">
        <f t="shared" si="3"/>
        <v>-409</v>
      </c>
      <c r="X10" s="39"/>
      <c r="Y10" s="102">
        <v>2025</v>
      </c>
      <c r="Z10" s="95">
        <v>-2E-3</v>
      </c>
      <c r="AA10" s="95">
        <v>1.2E-2</v>
      </c>
      <c r="AB10" s="95">
        <v>1.6E-2</v>
      </c>
      <c r="AC10" s="95">
        <v>0.01</v>
      </c>
      <c r="AD10" s="64">
        <f t="shared" si="5"/>
        <v>8.0000000000000002E-3</v>
      </c>
      <c r="AE10" s="104"/>
    </row>
    <row r="11" spans="1:38" ht="13.15" customHeight="1" x14ac:dyDescent="0.2">
      <c r="A11" s="9">
        <v>40026</v>
      </c>
      <c r="B11">
        <f t="shared" si="2"/>
        <v>2009</v>
      </c>
      <c r="C11" t="s">
        <v>184</v>
      </c>
      <c r="D11" s="18">
        <v>6409.8</v>
      </c>
      <c r="E11" s="18">
        <v>6507.5</v>
      </c>
      <c r="F11" s="18">
        <v>2791.5</v>
      </c>
      <c r="G11" s="18">
        <v>2817</v>
      </c>
      <c r="H11" s="18">
        <v>366.7</v>
      </c>
      <c r="I11" s="18">
        <v>372.1</v>
      </c>
      <c r="J11" s="18">
        <v>635504.19999999995</v>
      </c>
      <c r="K11" s="18">
        <v>491032.1</v>
      </c>
      <c r="L11" s="18">
        <v>43515.6</v>
      </c>
      <c r="M11" s="8">
        <v>633497</v>
      </c>
      <c r="N11" s="8">
        <v>490848</v>
      </c>
      <c r="O11" s="18">
        <v>23719</v>
      </c>
      <c r="P11" s="18"/>
      <c r="Q11" s="18"/>
      <c r="R11" s="18"/>
      <c r="S11" s="18"/>
      <c r="U11" s="18">
        <f t="shared" si="4"/>
        <v>4267</v>
      </c>
      <c r="V11" s="18">
        <f t="shared" si="3"/>
        <v>2708</v>
      </c>
      <c r="W11" s="18">
        <f t="shared" si="3"/>
        <v>-409</v>
      </c>
      <c r="Y11" s="102">
        <v>2026</v>
      </c>
      <c r="Z11" s="408">
        <v>2E-3</v>
      </c>
      <c r="AA11" s="408">
        <v>1.4999999999999999E-2</v>
      </c>
      <c r="AB11" s="408">
        <v>1.2999999999999999E-2</v>
      </c>
      <c r="AC11" s="408">
        <v>8.9999999999999993E-3</v>
      </c>
      <c r="AD11" s="64">
        <f t="shared" si="5"/>
        <v>8.0000000000000002E-3</v>
      </c>
      <c r="AE11" s="103"/>
    </row>
    <row r="12" spans="1:38" ht="13.15" customHeight="1" x14ac:dyDescent="0.2">
      <c r="A12" s="9">
        <v>40057</v>
      </c>
      <c r="B12">
        <f t="shared" si="2"/>
        <v>2009</v>
      </c>
      <c r="C12" t="s">
        <v>184</v>
      </c>
      <c r="D12" s="18">
        <v>6425.6</v>
      </c>
      <c r="E12" s="18">
        <v>6488.5</v>
      </c>
      <c r="F12" s="18">
        <v>2796.5</v>
      </c>
      <c r="G12" s="18">
        <v>2808.4</v>
      </c>
      <c r="H12" s="18">
        <v>367.3</v>
      </c>
      <c r="I12" s="18">
        <v>370.3</v>
      </c>
      <c r="J12" s="18">
        <v>635504.19999999995</v>
      </c>
      <c r="K12" s="18">
        <v>491032.1</v>
      </c>
      <c r="L12" s="18">
        <v>43515.6</v>
      </c>
      <c r="M12" s="8">
        <v>633497</v>
      </c>
      <c r="N12" s="8">
        <v>490848</v>
      </c>
      <c r="O12" s="18">
        <v>23719</v>
      </c>
      <c r="P12" s="18"/>
      <c r="Q12" s="18"/>
      <c r="R12" s="18"/>
      <c r="S12" s="18"/>
      <c r="U12" s="18">
        <f>M12-M9</f>
        <v>4267</v>
      </c>
      <c r="V12" s="18">
        <f t="shared" si="3"/>
        <v>2708</v>
      </c>
      <c r="W12" s="18">
        <f t="shared" si="3"/>
        <v>-409</v>
      </c>
      <c r="Y12" s="102"/>
      <c r="Z12" s="408"/>
      <c r="AD12" s="64"/>
      <c r="AE12" s="103"/>
    </row>
    <row r="13" spans="1:38" ht="13.15" customHeight="1" x14ac:dyDescent="0.25">
      <c r="A13" s="9">
        <v>40087</v>
      </c>
      <c r="B13">
        <f t="shared" si="2"/>
        <v>2009</v>
      </c>
      <c r="C13" t="s">
        <v>185</v>
      </c>
      <c r="D13" s="18">
        <v>6441.6</v>
      </c>
      <c r="E13" s="18">
        <v>6487.7</v>
      </c>
      <c r="F13" s="18">
        <v>2803.9</v>
      </c>
      <c r="G13" s="18">
        <v>2811.8</v>
      </c>
      <c r="H13" s="18">
        <v>370.7</v>
      </c>
      <c r="I13" s="18">
        <v>373.6</v>
      </c>
      <c r="J13" s="18">
        <v>635504.19999999995</v>
      </c>
      <c r="K13" s="18">
        <v>491032.1</v>
      </c>
      <c r="L13" s="18">
        <v>43515.6</v>
      </c>
      <c r="M13" s="8">
        <v>643759</v>
      </c>
      <c r="N13" s="8">
        <v>496964</v>
      </c>
      <c r="O13" s="18">
        <v>23655</v>
      </c>
      <c r="P13" s="18"/>
      <c r="Q13" s="18"/>
      <c r="R13" s="18"/>
      <c r="S13" s="18"/>
      <c r="U13" s="18">
        <f t="shared" si="4"/>
        <v>10262</v>
      </c>
      <c r="V13" s="18">
        <f t="shared" si="3"/>
        <v>6116</v>
      </c>
      <c r="W13" s="18">
        <f t="shared" si="3"/>
        <v>-64</v>
      </c>
      <c r="Y13" s="106"/>
      <c r="AD13" s="64"/>
      <c r="AE13" s="103"/>
    </row>
    <row r="14" spans="1:38" ht="13.15" customHeight="1" x14ac:dyDescent="0.2">
      <c r="A14" s="9">
        <v>40118</v>
      </c>
      <c r="B14">
        <f t="shared" si="2"/>
        <v>2009</v>
      </c>
      <c r="C14" t="s">
        <v>185</v>
      </c>
      <c r="D14" s="18">
        <v>6462.8</v>
      </c>
      <c r="E14" s="18">
        <v>6480.3</v>
      </c>
      <c r="F14" s="18">
        <v>2815.8</v>
      </c>
      <c r="G14" s="18">
        <v>2817.5</v>
      </c>
      <c r="H14" s="18">
        <v>371.3</v>
      </c>
      <c r="I14" s="18">
        <v>372</v>
      </c>
      <c r="J14" s="18">
        <v>635504.19999999995</v>
      </c>
      <c r="K14" s="18">
        <v>491032.1</v>
      </c>
      <c r="L14" s="18">
        <v>43515.6</v>
      </c>
      <c r="M14" s="8">
        <v>643759</v>
      </c>
      <c r="N14" s="8">
        <v>496964</v>
      </c>
      <c r="O14" s="18">
        <v>23655</v>
      </c>
      <c r="P14" s="18"/>
      <c r="Q14" s="18"/>
      <c r="R14" s="18"/>
      <c r="S14" s="18"/>
      <c r="U14" s="18">
        <f t="shared" si="4"/>
        <v>10262</v>
      </c>
      <c r="V14" s="18">
        <f t="shared" si="3"/>
        <v>6116</v>
      </c>
      <c r="W14" s="18">
        <f t="shared" si="3"/>
        <v>-64</v>
      </c>
      <c r="X14" s="39"/>
      <c r="Y14" s="102"/>
      <c r="Z14" s="406">
        <v>45737</v>
      </c>
      <c r="AA14" s="406">
        <v>45638</v>
      </c>
      <c r="AB14" s="406">
        <v>45734</v>
      </c>
      <c r="AC14" s="406">
        <v>45735</v>
      </c>
      <c r="AE14" s="104"/>
    </row>
    <row r="15" spans="1:38" ht="13.15" customHeight="1" x14ac:dyDescent="0.2">
      <c r="A15" s="9">
        <v>40148</v>
      </c>
      <c r="B15">
        <f t="shared" si="2"/>
        <v>2009</v>
      </c>
      <c r="C15" t="s">
        <v>185</v>
      </c>
      <c r="D15" s="18">
        <v>6465.1</v>
      </c>
      <c r="E15" s="18">
        <v>6473.4</v>
      </c>
      <c r="F15" s="18">
        <v>2823.8</v>
      </c>
      <c r="G15" s="18">
        <v>2834.8</v>
      </c>
      <c r="H15" s="18">
        <v>368.7</v>
      </c>
      <c r="I15" s="18">
        <v>369</v>
      </c>
      <c r="J15" s="18">
        <v>635504.19999999995</v>
      </c>
      <c r="K15" s="18">
        <v>491032.1</v>
      </c>
      <c r="L15" s="18">
        <v>43515.6</v>
      </c>
      <c r="M15" s="8">
        <v>643759</v>
      </c>
      <c r="N15" s="8">
        <v>496964</v>
      </c>
      <c r="O15" s="18">
        <v>23655</v>
      </c>
      <c r="P15" s="18"/>
      <c r="Q15" s="18"/>
      <c r="R15" s="18"/>
      <c r="S15" s="18"/>
      <c r="U15" s="18">
        <f t="shared" si="4"/>
        <v>10262</v>
      </c>
      <c r="V15" s="18">
        <f t="shared" si="3"/>
        <v>6116</v>
      </c>
      <c r="W15" s="18">
        <f t="shared" si="3"/>
        <v>-64</v>
      </c>
      <c r="X15" s="39"/>
      <c r="Y15" s="102">
        <v>2023</v>
      </c>
      <c r="Z15" s="36">
        <v>2.4E-2</v>
      </c>
      <c r="AA15" s="36">
        <v>2.4E-2</v>
      </c>
      <c r="AB15" s="36">
        <v>3.1E-2</v>
      </c>
      <c r="AC15" s="36"/>
      <c r="AD15" s="64">
        <f>AVERAGE(Z15,AB15:AC15)</f>
        <v>2.75E-2</v>
      </c>
      <c r="AE15" s="104"/>
    </row>
    <row r="16" spans="1:38" ht="13.15" customHeight="1" x14ac:dyDescent="0.25">
      <c r="A16" s="9">
        <v>40179</v>
      </c>
      <c r="B16">
        <f t="shared" si="2"/>
        <v>2010</v>
      </c>
      <c r="C16" t="str">
        <f>C4</f>
        <v>Q1</v>
      </c>
      <c r="D16" s="18">
        <v>6469.3</v>
      </c>
      <c r="E16" s="18">
        <v>6432.6</v>
      </c>
      <c r="F16" s="18">
        <v>2836.8</v>
      </c>
      <c r="G16" s="18">
        <v>2831.9</v>
      </c>
      <c r="H16" s="18">
        <v>365.3</v>
      </c>
      <c r="I16" s="18">
        <v>362.5</v>
      </c>
      <c r="J16" s="18">
        <v>654982.6</v>
      </c>
      <c r="K16" s="18">
        <v>502407.1</v>
      </c>
      <c r="L16" s="18">
        <v>43294.9</v>
      </c>
      <c r="M16" s="8">
        <v>648340</v>
      </c>
      <c r="N16" s="8">
        <v>497939</v>
      </c>
      <c r="O16" s="18">
        <v>24217</v>
      </c>
      <c r="P16" s="18">
        <f>D16-D4</f>
        <v>-80.5</v>
      </c>
      <c r="Q16" s="18">
        <f t="shared" ref="Q16:S16" si="6">E16-E4</f>
        <v>-75.699999999999818</v>
      </c>
      <c r="R16" s="18">
        <f>F16-F4</f>
        <v>-5.2999999999997272</v>
      </c>
      <c r="S16" s="18">
        <f t="shared" si="6"/>
        <v>-4</v>
      </c>
      <c r="T16" s="31">
        <f>J16-J4</f>
        <v>19478.400000000023</v>
      </c>
      <c r="U16" s="18">
        <f>M16-M13</f>
        <v>4581</v>
      </c>
      <c r="V16" s="18">
        <f t="shared" ref="V16:W31" si="7">N16-N13</f>
        <v>975</v>
      </c>
      <c r="W16" s="18">
        <f t="shared" si="7"/>
        <v>562</v>
      </c>
      <c r="X16" s="105" t="s">
        <v>23</v>
      </c>
      <c r="Y16" s="102">
        <v>2024</v>
      </c>
      <c r="Z16" s="36">
        <v>1.6E-2</v>
      </c>
      <c r="AA16" s="36">
        <v>1.4999999999999999E-2</v>
      </c>
      <c r="AB16" s="36">
        <v>1.7000000000000001E-2</v>
      </c>
      <c r="AC16" s="36">
        <v>1.7000000000000001E-2</v>
      </c>
      <c r="AD16" s="64">
        <f t="shared" ref="AD16:AD18" si="8">AVERAGE(Z16,AB16:AC16)</f>
        <v>1.6666666666666666E-2</v>
      </c>
      <c r="AE16" s="104"/>
    </row>
    <row r="17" spans="1:31" ht="13.15" customHeight="1" x14ac:dyDescent="0.2">
      <c r="A17" s="9">
        <v>40210</v>
      </c>
      <c r="B17">
        <f t="shared" si="2"/>
        <v>2010</v>
      </c>
      <c r="C17" t="str">
        <f t="shared" ref="C17:C80" si="9">C5</f>
        <v>Q1</v>
      </c>
      <c r="D17" s="18">
        <v>6459.8</v>
      </c>
      <c r="E17" s="18">
        <v>6385.6</v>
      </c>
      <c r="F17" s="18">
        <v>2842.3</v>
      </c>
      <c r="G17" s="18">
        <v>2825.6</v>
      </c>
      <c r="H17" s="18">
        <v>363.5</v>
      </c>
      <c r="I17" s="18">
        <v>357.9</v>
      </c>
      <c r="J17" s="18">
        <v>654982.6</v>
      </c>
      <c r="K17" s="18">
        <v>502407.1</v>
      </c>
      <c r="L17" s="18">
        <v>43294.9</v>
      </c>
      <c r="M17" s="8">
        <v>648340</v>
      </c>
      <c r="N17" s="8">
        <v>497939</v>
      </c>
      <c r="O17" s="18">
        <v>24217</v>
      </c>
      <c r="P17" s="18">
        <f t="shared" ref="P17:P80" si="10">D17-D5</f>
        <v>-58.800000000000182</v>
      </c>
      <c r="Q17" s="18">
        <f t="shared" ref="Q17:Q80" si="11">E17-E5</f>
        <v>-54.899999999999636</v>
      </c>
      <c r="R17" s="18">
        <f t="shared" ref="R17:R80" si="12">F17-F5</f>
        <v>4.3000000000001819</v>
      </c>
      <c r="S17" s="18">
        <f t="shared" ref="S17:S80" si="13">G17-G5</f>
        <v>5.0999999999999091</v>
      </c>
      <c r="T17" s="31">
        <f t="shared" ref="T17:T80" si="14">J17-J5</f>
        <v>19478.400000000023</v>
      </c>
      <c r="U17" s="18">
        <f t="shared" ref="U17:U80" si="15">M17-M14</f>
        <v>4581</v>
      </c>
      <c r="V17" s="18">
        <f t="shared" si="7"/>
        <v>975</v>
      </c>
      <c r="W17" s="18">
        <f t="shared" si="7"/>
        <v>562</v>
      </c>
      <c r="X17" s="39"/>
      <c r="Y17" s="102">
        <v>2025</v>
      </c>
      <c r="Z17" s="36">
        <v>6.0000000000000001E-3</v>
      </c>
      <c r="AA17" s="36">
        <v>1.0999999999999999E-2</v>
      </c>
      <c r="AB17" s="36">
        <v>1.2999999999999999E-2</v>
      </c>
      <c r="AC17" s="36">
        <v>1.4E-2</v>
      </c>
      <c r="AD17" s="64">
        <f t="shared" si="8"/>
        <v>1.1000000000000001E-2</v>
      </c>
      <c r="AE17" s="104"/>
    </row>
    <row r="18" spans="1:31" ht="13.15" customHeight="1" x14ac:dyDescent="0.2">
      <c r="A18" s="9">
        <v>40238</v>
      </c>
      <c r="B18">
        <f t="shared" si="2"/>
        <v>2010</v>
      </c>
      <c r="C18" t="str">
        <f t="shared" si="9"/>
        <v>Q1</v>
      </c>
      <c r="D18" s="18">
        <v>6471.5</v>
      </c>
      <c r="E18" s="18">
        <v>6365</v>
      </c>
      <c r="F18" s="18">
        <v>2849.8</v>
      </c>
      <c r="G18" s="18">
        <v>2813.8</v>
      </c>
      <c r="H18" s="18">
        <v>364.2</v>
      </c>
      <c r="I18" s="18">
        <v>357.3</v>
      </c>
      <c r="J18" s="18">
        <v>654982.6</v>
      </c>
      <c r="K18" s="18">
        <v>502407.1</v>
      </c>
      <c r="L18" s="18">
        <v>43294.9</v>
      </c>
      <c r="M18" s="8">
        <v>648340</v>
      </c>
      <c r="N18" s="8">
        <v>497939</v>
      </c>
      <c r="O18" s="18">
        <v>24217</v>
      </c>
      <c r="P18" s="18">
        <f t="shared" si="10"/>
        <v>-6.3999999999996362</v>
      </c>
      <c r="Q18" s="18">
        <f t="shared" si="11"/>
        <v>-4.6999999999998181</v>
      </c>
      <c r="R18" s="18">
        <f t="shared" si="12"/>
        <v>9.9000000000000909</v>
      </c>
      <c r="S18" s="18">
        <f t="shared" si="13"/>
        <v>9.3000000000001819</v>
      </c>
      <c r="T18" s="31">
        <f t="shared" si="14"/>
        <v>19478.400000000023</v>
      </c>
      <c r="U18" s="18">
        <f t="shared" si="15"/>
        <v>4581</v>
      </c>
      <c r="V18" s="18">
        <f t="shared" si="7"/>
        <v>975</v>
      </c>
      <c r="W18" s="18">
        <f t="shared" si="7"/>
        <v>562</v>
      </c>
      <c r="X18" s="39"/>
      <c r="Y18" s="102">
        <v>2026</v>
      </c>
      <c r="Z18" s="36">
        <v>6.0000000000000001E-3</v>
      </c>
      <c r="AA18" s="36">
        <v>1.7000000000000001E-2</v>
      </c>
      <c r="AB18" s="36">
        <v>7.0000000000000001E-3</v>
      </c>
      <c r="AC18" s="36">
        <v>3.0000000000000001E-3</v>
      </c>
      <c r="AD18" s="64">
        <f t="shared" si="8"/>
        <v>5.3333333333333332E-3</v>
      </c>
      <c r="AE18" s="104"/>
    </row>
    <row r="19" spans="1:31" ht="13.15" customHeight="1" x14ac:dyDescent="0.2">
      <c r="A19" s="9">
        <v>40269</v>
      </c>
      <c r="B19">
        <f t="shared" si="2"/>
        <v>2010</v>
      </c>
      <c r="C19" t="str">
        <f t="shared" si="9"/>
        <v>Q2</v>
      </c>
      <c r="D19" s="18">
        <v>6481.4</v>
      </c>
      <c r="E19" s="18">
        <v>6392.9</v>
      </c>
      <c r="F19" s="18">
        <v>2844.4</v>
      </c>
      <c r="G19" s="18">
        <v>2815.5</v>
      </c>
      <c r="H19" s="18">
        <v>362.4</v>
      </c>
      <c r="I19" s="18">
        <v>357.9</v>
      </c>
      <c r="J19" s="18">
        <v>654982.6</v>
      </c>
      <c r="K19" s="18">
        <v>502407.1</v>
      </c>
      <c r="L19" s="18">
        <v>43294.9</v>
      </c>
      <c r="M19" s="8">
        <v>652851</v>
      </c>
      <c r="N19" s="8">
        <v>500483</v>
      </c>
      <c r="O19" s="18">
        <v>24768</v>
      </c>
      <c r="P19" s="18">
        <f t="shared" si="10"/>
        <v>24.699999999999818</v>
      </c>
      <c r="Q19" s="18">
        <f t="shared" si="11"/>
        <v>25.599999999999454</v>
      </c>
      <c r="R19" s="18">
        <f t="shared" si="12"/>
        <v>1</v>
      </c>
      <c r="S19" s="18">
        <f t="shared" si="13"/>
        <v>-1.0999999999999091</v>
      </c>
      <c r="T19" s="31">
        <f t="shared" si="14"/>
        <v>19478.400000000023</v>
      </c>
      <c r="U19" s="18">
        <f t="shared" si="15"/>
        <v>4511</v>
      </c>
      <c r="V19" s="18">
        <f t="shared" si="7"/>
        <v>2544</v>
      </c>
      <c r="W19" s="18">
        <f t="shared" si="7"/>
        <v>551</v>
      </c>
      <c r="Y19" s="107"/>
      <c r="Z19" s="110"/>
      <c r="AA19" s="110"/>
      <c r="AB19" s="110"/>
      <c r="AC19" s="110"/>
      <c r="AD19" s="108"/>
      <c r="AE19" s="109"/>
    </row>
    <row r="20" spans="1:31" ht="13.15" customHeight="1" x14ac:dyDescent="0.2">
      <c r="A20" s="9">
        <v>40299</v>
      </c>
      <c r="B20">
        <f t="shared" si="2"/>
        <v>2010</v>
      </c>
      <c r="C20" t="str">
        <f t="shared" si="9"/>
        <v>Q2</v>
      </c>
      <c r="D20" s="18">
        <v>6512.4</v>
      </c>
      <c r="E20" s="18">
        <v>6473.6</v>
      </c>
      <c r="F20" s="18">
        <v>2847.5</v>
      </c>
      <c r="G20" s="18">
        <v>2831.7</v>
      </c>
      <c r="H20" s="18">
        <v>362.5</v>
      </c>
      <c r="I20" s="18">
        <v>362.4</v>
      </c>
      <c r="J20" s="18">
        <v>654982.6</v>
      </c>
      <c r="K20" s="18">
        <v>502407.1</v>
      </c>
      <c r="L20" s="18">
        <v>43294.9</v>
      </c>
      <c r="M20" s="8">
        <v>652851</v>
      </c>
      <c r="N20" s="8">
        <v>500483</v>
      </c>
      <c r="O20" s="18">
        <v>24768</v>
      </c>
      <c r="P20" s="18">
        <f t="shared" si="10"/>
        <v>81.5</v>
      </c>
      <c r="Q20" s="18">
        <f t="shared" si="11"/>
        <v>80.300000000000182</v>
      </c>
      <c r="R20" s="18">
        <f t="shared" si="12"/>
        <v>10.199999999999818</v>
      </c>
      <c r="S20" s="18">
        <f t="shared" si="13"/>
        <v>7.1999999999998181</v>
      </c>
      <c r="T20" s="31">
        <f t="shared" si="14"/>
        <v>19478.400000000023</v>
      </c>
      <c r="U20" s="18">
        <f t="shared" si="15"/>
        <v>4511</v>
      </c>
      <c r="V20" s="18">
        <f t="shared" si="7"/>
        <v>2544</v>
      </c>
      <c r="W20" s="18">
        <f t="shared" si="7"/>
        <v>551</v>
      </c>
    </row>
    <row r="21" spans="1:31" ht="13.15" customHeight="1" x14ac:dyDescent="0.2">
      <c r="A21" s="9">
        <v>40330</v>
      </c>
      <c r="B21">
        <f t="shared" si="2"/>
        <v>2010</v>
      </c>
      <c r="C21" t="str">
        <f t="shared" si="9"/>
        <v>Q2</v>
      </c>
      <c r="D21" s="18">
        <v>6541.8</v>
      </c>
      <c r="E21" s="18">
        <v>6580</v>
      </c>
      <c r="F21" s="18">
        <v>2859.9</v>
      </c>
      <c r="G21" s="18">
        <v>2867.7</v>
      </c>
      <c r="H21" s="18">
        <v>367.1</v>
      </c>
      <c r="I21" s="18">
        <v>370.6</v>
      </c>
      <c r="J21" s="18">
        <v>654982.6</v>
      </c>
      <c r="K21" s="18">
        <v>502407.1</v>
      </c>
      <c r="L21" s="18">
        <v>43294.9</v>
      </c>
      <c r="M21" s="8">
        <v>652851</v>
      </c>
      <c r="N21" s="8">
        <v>500483</v>
      </c>
      <c r="O21" s="18">
        <v>24768</v>
      </c>
      <c r="P21" s="18">
        <f t="shared" si="10"/>
        <v>133.30000000000018</v>
      </c>
      <c r="Q21" s="18">
        <f t="shared" si="11"/>
        <v>132.89999999999964</v>
      </c>
      <c r="R21" s="18">
        <f t="shared" si="12"/>
        <v>49.5</v>
      </c>
      <c r="S21" s="18">
        <f t="shared" si="13"/>
        <v>47.599999999999909</v>
      </c>
      <c r="T21" s="31">
        <f t="shared" si="14"/>
        <v>19478.400000000023</v>
      </c>
      <c r="U21" s="18">
        <f t="shared" si="15"/>
        <v>4511</v>
      </c>
      <c r="V21" s="18">
        <f t="shared" si="7"/>
        <v>2544</v>
      </c>
      <c r="W21" s="18">
        <f t="shared" si="7"/>
        <v>551</v>
      </c>
      <c r="X21" s="508" t="s">
        <v>541</v>
      </c>
      <c r="Y21" s="65"/>
      <c r="Z21" s="427" t="s">
        <v>540</v>
      </c>
      <c r="AA21" s="407" t="s">
        <v>513</v>
      </c>
      <c r="AB21" s="407" t="s">
        <v>539</v>
      </c>
      <c r="AC21" s="407" t="s">
        <v>497</v>
      </c>
      <c r="AD21" s="407"/>
      <c r="AE21" s="407"/>
    </row>
    <row r="22" spans="1:31" ht="13.15" customHeight="1" x14ac:dyDescent="0.2">
      <c r="A22" s="9">
        <v>40360</v>
      </c>
      <c r="B22">
        <f t="shared" si="2"/>
        <v>2010</v>
      </c>
      <c r="C22" t="str">
        <f t="shared" si="9"/>
        <v>Q3</v>
      </c>
      <c r="D22" s="18">
        <v>6567.3</v>
      </c>
      <c r="E22" s="18">
        <v>6649.8</v>
      </c>
      <c r="F22" s="18">
        <v>2878.7</v>
      </c>
      <c r="G22" s="18">
        <v>2899.6</v>
      </c>
      <c r="H22" s="18">
        <v>372.1</v>
      </c>
      <c r="I22" s="18">
        <v>375.5</v>
      </c>
      <c r="J22" s="18">
        <v>654982.6</v>
      </c>
      <c r="K22" s="18">
        <v>502407.1</v>
      </c>
      <c r="L22" s="18">
        <v>43294.9</v>
      </c>
      <c r="M22" s="8">
        <v>657695</v>
      </c>
      <c r="N22" s="8">
        <v>504031</v>
      </c>
      <c r="O22" s="18">
        <v>25253</v>
      </c>
      <c r="P22" s="18">
        <f t="shared" si="10"/>
        <v>161.90000000000055</v>
      </c>
      <c r="Q22" s="18">
        <f t="shared" si="11"/>
        <v>161.60000000000036</v>
      </c>
      <c r="R22" s="18">
        <f t="shared" si="12"/>
        <v>82.5</v>
      </c>
      <c r="S22" s="18">
        <f t="shared" si="13"/>
        <v>81.599999999999909</v>
      </c>
      <c r="T22" s="31">
        <f t="shared" si="14"/>
        <v>19478.400000000023</v>
      </c>
      <c r="U22" s="18">
        <f t="shared" si="15"/>
        <v>4844</v>
      </c>
      <c r="V22" s="18">
        <f t="shared" si="7"/>
        <v>3548</v>
      </c>
      <c r="W22" s="18">
        <f t="shared" si="7"/>
        <v>485</v>
      </c>
      <c r="Y22" s="11"/>
      <c r="Z22" s="407"/>
      <c r="AA22" s="407" t="s">
        <v>542</v>
      </c>
      <c r="AB22" s="407"/>
      <c r="AC22" s="407"/>
      <c r="AD22" s="407"/>
      <c r="AE22" s="407"/>
    </row>
    <row r="23" spans="1:31" ht="13.15" customHeight="1" x14ac:dyDescent="0.2">
      <c r="A23" s="9">
        <v>40391</v>
      </c>
      <c r="B23">
        <f t="shared" si="2"/>
        <v>2010</v>
      </c>
      <c r="C23" t="str">
        <f t="shared" si="9"/>
        <v>Q3</v>
      </c>
      <c r="D23" s="18">
        <v>6581.9</v>
      </c>
      <c r="E23" s="18">
        <v>6676.2</v>
      </c>
      <c r="F23" s="18">
        <v>2895.3</v>
      </c>
      <c r="G23" s="18">
        <v>2928.4</v>
      </c>
      <c r="H23" s="18">
        <v>377.6</v>
      </c>
      <c r="I23" s="18">
        <v>378.9</v>
      </c>
      <c r="J23" s="18">
        <v>654982.6</v>
      </c>
      <c r="K23" s="18">
        <v>502407.1</v>
      </c>
      <c r="L23" s="18">
        <v>43294.9</v>
      </c>
      <c r="M23" s="8">
        <v>657695</v>
      </c>
      <c r="N23" s="8">
        <v>504031</v>
      </c>
      <c r="O23" s="18">
        <v>25253</v>
      </c>
      <c r="P23" s="18">
        <f t="shared" si="10"/>
        <v>172.09999999999945</v>
      </c>
      <c r="Q23" s="18">
        <f t="shared" si="11"/>
        <v>168.69999999999982</v>
      </c>
      <c r="R23" s="18">
        <f t="shared" si="12"/>
        <v>103.80000000000018</v>
      </c>
      <c r="S23" s="18">
        <f t="shared" si="13"/>
        <v>111.40000000000009</v>
      </c>
      <c r="T23" s="31">
        <f t="shared" si="14"/>
        <v>19478.400000000023</v>
      </c>
      <c r="U23" s="18">
        <f t="shared" si="15"/>
        <v>4844</v>
      </c>
      <c r="V23" s="18">
        <f t="shared" si="7"/>
        <v>3548</v>
      </c>
      <c r="W23" s="18">
        <f t="shared" si="7"/>
        <v>485</v>
      </c>
      <c r="X23" s="10"/>
      <c r="Y23" s="12"/>
      <c r="Z23" s="407"/>
      <c r="AA23" s="407"/>
      <c r="AB23" s="407"/>
      <c r="AC23" s="407"/>
      <c r="AD23" s="407"/>
      <c r="AE23" s="407"/>
    </row>
    <row r="24" spans="1:31" ht="13.15" customHeight="1" x14ac:dyDescent="0.2">
      <c r="A24" s="9">
        <v>40422</v>
      </c>
      <c r="B24">
        <f t="shared" si="2"/>
        <v>2010</v>
      </c>
      <c r="C24" t="str">
        <f t="shared" si="9"/>
        <v>Q3</v>
      </c>
      <c r="D24" s="18">
        <v>6581</v>
      </c>
      <c r="E24" s="18">
        <v>6639</v>
      </c>
      <c r="F24" s="18">
        <v>2891.8</v>
      </c>
      <c r="G24" s="18">
        <v>2912</v>
      </c>
      <c r="H24" s="18">
        <v>378.2</v>
      </c>
      <c r="I24" s="18">
        <v>377.1</v>
      </c>
      <c r="J24" s="18">
        <v>654982.6</v>
      </c>
      <c r="K24" s="18">
        <v>502407.1</v>
      </c>
      <c r="L24" s="18">
        <v>43294.9</v>
      </c>
      <c r="M24" s="8">
        <v>657695</v>
      </c>
      <c r="N24" s="8">
        <v>504031</v>
      </c>
      <c r="O24" s="18">
        <v>25253</v>
      </c>
      <c r="P24" s="18">
        <f t="shared" si="10"/>
        <v>155.39999999999964</v>
      </c>
      <c r="Q24" s="18">
        <f t="shared" si="11"/>
        <v>150.5</v>
      </c>
      <c r="R24" s="18">
        <f t="shared" si="12"/>
        <v>95.300000000000182</v>
      </c>
      <c r="S24" s="18">
        <f t="shared" si="13"/>
        <v>103.59999999999991</v>
      </c>
      <c r="T24" s="31">
        <f t="shared" si="14"/>
        <v>19478.400000000023</v>
      </c>
      <c r="U24" s="18">
        <f t="shared" si="15"/>
        <v>4844</v>
      </c>
      <c r="V24" s="18">
        <f t="shared" si="7"/>
        <v>3548</v>
      </c>
      <c r="W24" s="18">
        <f t="shared" si="7"/>
        <v>485</v>
      </c>
    </row>
    <row r="25" spans="1:31" ht="13.15" customHeight="1" x14ac:dyDescent="0.2">
      <c r="A25" s="9">
        <v>40452</v>
      </c>
      <c r="B25">
        <f t="shared" si="2"/>
        <v>2010</v>
      </c>
      <c r="C25" t="str">
        <f t="shared" si="9"/>
        <v>Q4</v>
      </c>
      <c r="D25" s="18">
        <v>6579.4</v>
      </c>
      <c r="E25" s="18">
        <v>6618.1</v>
      </c>
      <c r="F25" s="18">
        <v>2893.7</v>
      </c>
      <c r="G25" s="18">
        <v>2907.8</v>
      </c>
      <c r="H25" s="18">
        <v>375.6</v>
      </c>
      <c r="I25" s="18">
        <v>374.8</v>
      </c>
      <c r="J25" s="18">
        <v>654982.6</v>
      </c>
      <c r="K25" s="18">
        <v>502407.1</v>
      </c>
      <c r="L25" s="18">
        <v>43294.9</v>
      </c>
      <c r="M25" s="8">
        <v>661043</v>
      </c>
      <c r="N25" s="8">
        <v>507176</v>
      </c>
      <c r="O25" s="18">
        <v>25817</v>
      </c>
      <c r="P25" s="18">
        <f t="shared" si="10"/>
        <v>137.79999999999927</v>
      </c>
      <c r="Q25" s="18">
        <f t="shared" si="11"/>
        <v>130.40000000000055</v>
      </c>
      <c r="R25" s="18">
        <f t="shared" si="12"/>
        <v>89.799999999999727</v>
      </c>
      <c r="S25" s="18">
        <f t="shared" si="13"/>
        <v>96</v>
      </c>
      <c r="T25" s="31">
        <f t="shared" si="14"/>
        <v>19478.400000000023</v>
      </c>
      <c r="U25" s="18">
        <f t="shared" si="15"/>
        <v>3348</v>
      </c>
      <c r="V25" s="18">
        <f t="shared" si="7"/>
        <v>3145</v>
      </c>
      <c r="W25" s="18">
        <f t="shared" si="7"/>
        <v>564</v>
      </c>
      <c r="AD25" s="405"/>
    </row>
    <row r="26" spans="1:31" ht="13.15" customHeight="1" x14ac:dyDescent="0.2">
      <c r="A26" s="9">
        <v>40483</v>
      </c>
      <c r="B26">
        <f t="shared" si="2"/>
        <v>2010</v>
      </c>
      <c r="C26" t="str">
        <f t="shared" si="9"/>
        <v>Q4</v>
      </c>
      <c r="D26" s="18">
        <v>6584.4</v>
      </c>
      <c r="E26" s="18">
        <v>6600</v>
      </c>
      <c r="F26" s="18">
        <v>2893.6</v>
      </c>
      <c r="G26" s="18">
        <v>2895.2</v>
      </c>
      <c r="H26" s="18">
        <v>373.2</v>
      </c>
      <c r="I26" s="18">
        <v>372.7</v>
      </c>
      <c r="J26" s="18">
        <v>654982.6</v>
      </c>
      <c r="K26" s="18">
        <v>502407.1</v>
      </c>
      <c r="L26" s="18">
        <v>43294.9</v>
      </c>
      <c r="M26" s="8">
        <v>661043</v>
      </c>
      <c r="N26" s="8">
        <v>507176</v>
      </c>
      <c r="O26" s="18">
        <v>25817</v>
      </c>
      <c r="P26" s="18">
        <f t="shared" si="10"/>
        <v>121.59999999999945</v>
      </c>
      <c r="Q26" s="18">
        <f t="shared" si="11"/>
        <v>119.69999999999982</v>
      </c>
      <c r="R26" s="18">
        <f t="shared" si="12"/>
        <v>77.799999999999727</v>
      </c>
      <c r="S26" s="18">
        <f t="shared" si="13"/>
        <v>77.699999999999818</v>
      </c>
      <c r="T26" s="31">
        <f t="shared" si="14"/>
        <v>19478.400000000023</v>
      </c>
      <c r="U26" s="18">
        <f t="shared" si="15"/>
        <v>3348</v>
      </c>
      <c r="V26" s="18">
        <f t="shared" si="7"/>
        <v>3145</v>
      </c>
      <c r="W26" s="18">
        <f t="shared" si="7"/>
        <v>564</v>
      </c>
    </row>
    <row r="27" spans="1:31" ht="13.15" customHeight="1" x14ac:dyDescent="0.2">
      <c r="A27" s="9">
        <v>40513</v>
      </c>
      <c r="B27">
        <f t="shared" si="2"/>
        <v>2010</v>
      </c>
      <c r="C27" t="str">
        <f t="shared" si="9"/>
        <v>Q4</v>
      </c>
      <c r="D27" s="18">
        <v>6598</v>
      </c>
      <c r="E27" s="18">
        <v>6605.7</v>
      </c>
      <c r="F27" s="18">
        <v>2918.5</v>
      </c>
      <c r="G27" s="18">
        <v>2927.8</v>
      </c>
      <c r="H27" s="18">
        <v>370.2</v>
      </c>
      <c r="I27" s="18">
        <v>369.9</v>
      </c>
      <c r="J27" s="18">
        <v>654982.6</v>
      </c>
      <c r="K27" s="18">
        <v>502407.1</v>
      </c>
      <c r="L27" s="18">
        <v>43294.9</v>
      </c>
      <c r="M27" s="8">
        <v>661043</v>
      </c>
      <c r="N27" s="8">
        <v>507176</v>
      </c>
      <c r="O27" s="18">
        <v>25817</v>
      </c>
      <c r="P27" s="18">
        <f t="shared" si="10"/>
        <v>132.89999999999964</v>
      </c>
      <c r="Q27" s="18">
        <f t="shared" si="11"/>
        <v>132.30000000000018</v>
      </c>
      <c r="R27" s="18">
        <f t="shared" si="12"/>
        <v>94.699999999999818</v>
      </c>
      <c r="S27" s="18">
        <f t="shared" si="13"/>
        <v>93</v>
      </c>
      <c r="T27" s="31">
        <f t="shared" si="14"/>
        <v>19478.400000000023</v>
      </c>
      <c r="U27" s="18">
        <f t="shared" si="15"/>
        <v>3348</v>
      </c>
      <c r="V27" s="18">
        <f t="shared" si="7"/>
        <v>3145</v>
      </c>
      <c r="W27" s="18">
        <f t="shared" si="7"/>
        <v>564</v>
      </c>
      <c r="AB27" s="64"/>
      <c r="AD27" s="9"/>
    </row>
    <row r="28" spans="1:31" ht="13.15" customHeight="1" x14ac:dyDescent="0.2">
      <c r="A28" s="9">
        <v>40544</v>
      </c>
      <c r="B28">
        <f t="shared" si="2"/>
        <v>2011</v>
      </c>
      <c r="C28" t="str">
        <f t="shared" si="9"/>
        <v>Q1</v>
      </c>
      <c r="D28" s="18">
        <v>6621.4</v>
      </c>
      <c r="E28" s="18">
        <v>6584.4</v>
      </c>
      <c r="F28" s="18">
        <v>2938.5</v>
      </c>
      <c r="G28" s="18">
        <v>2934.1</v>
      </c>
      <c r="H28" s="18">
        <v>370.2</v>
      </c>
      <c r="I28" s="18">
        <v>367.5</v>
      </c>
      <c r="J28" s="18">
        <v>672348</v>
      </c>
      <c r="K28" s="18">
        <v>514610.8</v>
      </c>
      <c r="L28" s="18">
        <v>44537.8</v>
      </c>
      <c r="M28" s="8">
        <v>666325</v>
      </c>
      <c r="N28" s="8">
        <v>511455</v>
      </c>
      <c r="O28" s="18">
        <v>26146</v>
      </c>
      <c r="P28" s="18">
        <f t="shared" si="10"/>
        <v>152.09999999999945</v>
      </c>
      <c r="Q28" s="18">
        <f t="shared" si="11"/>
        <v>151.79999999999927</v>
      </c>
      <c r="R28" s="18">
        <f t="shared" si="12"/>
        <v>101.69999999999982</v>
      </c>
      <c r="S28" s="18">
        <f t="shared" si="13"/>
        <v>102.19999999999982</v>
      </c>
      <c r="T28" s="31">
        <f t="shared" si="14"/>
        <v>17365.400000000023</v>
      </c>
      <c r="U28" s="18">
        <f t="shared" si="15"/>
        <v>5282</v>
      </c>
      <c r="V28" s="18">
        <f t="shared" si="7"/>
        <v>4279</v>
      </c>
      <c r="W28" s="18">
        <f t="shared" si="7"/>
        <v>329</v>
      </c>
      <c r="AD28" s="9"/>
    </row>
    <row r="29" spans="1:31" ht="13.15" customHeight="1" x14ac:dyDescent="0.2">
      <c r="A29" s="9">
        <v>40575</v>
      </c>
      <c r="B29">
        <f t="shared" si="2"/>
        <v>2011</v>
      </c>
      <c r="C29" t="str">
        <f t="shared" si="9"/>
        <v>Q1</v>
      </c>
      <c r="D29" s="18">
        <v>6627.3</v>
      </c>
      <c r="E29" s="18">
        <v>6550.1</v>
      </c>
      <c r="F29" s="18">
        <v>2947.4</v>
      </c>
      <c r="G29" s="18">
        <v>2929.4</v>
      </c>
      <c r="H29" s="18">
        <v>367.2</v>
      </c>
      <c r="I29" s="18">
        <v>363.2</v>
      </c>
      <c r="J29" s="18">
        <v>672348</v>
      </c>
      <c r="K29" s="18">
        <v>514610.8</v>
      </c>
      <c r="L29" s="18">
        <v>44537.8</v>
      </c>
      <c r="M29" s="8">
        <v>666325</v>
      </c>
      <c r="N29" s="8">
        <v>511455</v>
      </c>
      <c r="O29" s="18">
        <v>26146</v>
      </c>
      <c r="P29" s="18">
        <f t="shared" si="10"/>
        <v>167.5</v>
      </c>
      <c r="Q29" s="18">
        <f t="shared" si="11"/>
        <v>164.5</v>
      </c>
      <c r="R29" s="18">
        <f t="shared" si="12"/>
        <v>105.09999999999991</v>
      </c>
      <c r="S29" s="18">
        <f t="shared" si="13"/>
        <v>103.80000000000018</v>
      </c>
      <c r="T29" s="31">
        <f t="shared" si="14"/>
        <v>17365.400000000023</v>
      </c>
      <c r="U29" s="18">
        <f t="shared" si="15"/>
        <v>5282</v>
      </c>
      <c r="V29" s="18">
        <f t="shared" si="7"/>
        <v>4279</v>
      </c>
      <c r="W29" s="18">
        <f t="shared" si="7"/>
        <v>329</v>
      </c>
      <c r="AD29" s="9"/>
    </row>
    <row r="30" spans="1:31" ht="13.15" customHeight="1" x14ac:dyDescent="0.2">
      <c r="A30" s="9">
        <v>40603</v>
      </c>
      <c r="B30">
        <f t="shared" si="2"/>
        <v>2011</v>
      </c>
      <c r="C30" t="str">
        <f t="shared" si="9"/>
        <v>Q1</v>
      </c>
      <c r="D30" s="18">
        <v>6634.7</v>
      </c>
      <c r="E30" s="18">
        <v>6523.8</v>
      </c>
      <c r="F30" s="18">
        <v>2938.7</v>
      </c>
      <c r="G30" s="18">
        <v>2901.9</v>
      </c>
      <c r="H30" s="18">
        <v>368.1</v>
      </c>
      <c r="I30" s="18">
        <v>362.8</v>
      </c>
      <c r="J30" s="18">
        <v>672348</v>
      </c>
      <c r="K30" s="18">
        <v>514610.8</v>
      </c>
      <c r="L30" s="18">
        <v>44537.8</v>
      </c>
      <c r="M30" s="8">
        <v>666325</v>
      </c>
      <c r="N30" s="8">
        <v>511455</v>
      </c>
      <c r="O30" s="18">
        <v>26146</v>
      </c>
      <c r="P30" s="18">
        <f t="shared" si="10"/>
        <v>163.19999999999982</v>
      </c>
      <c r="Q30" s="18">
        <f t="shared" si="11"/>
        <v>158.80000000000018</v>
      </c>
      <c r="R30" s="18">
        <f t="shared" si="12"/>
        <v>88.899999999999636</v>
      </c>
      <c r="S30" s="18">
        <f t="shared" si="13"/>
        <v>88.099999999999909</v>
      </c>
      <c r="T30" s="31">
        <f t="shared" si="14"/>
        <v>17365.400000000023</v>
      </c>
      <c r="U30" s="18">
        <f t="shared" si="15"/>
        <v>5282</v>
      </c>
      <c r="V30" s="18">
        <f t="shared" si="7"/>
        <v>4279</v>
      </c>
      <c r="W30" s="18">
        <f t="shared" si="7"/>
        <v>329</v>
      </c>
      <c r="X30" s="10"/>
      <c r="AD30" s="9"/>
    </row>
    <row r="31" spans="1:31" ht="13.15" customHeight="1" x14ac:dyDescent="0.2">
      <c r="A31" s="9">
        <v>40634</v>
      </c>
      <c r="B31">
        <f t="shared" si="2"/>
        <v>2011</v>
      </c>
      <c r="C31" t="str">
        <f t="shared" si="9"/>
        <v>Q2</v>
      </c>
      <c r="D31" s="18">
        <v>6641.1</v>
      </c>
      <c r="E31" s="18">
        <v>6550.1</v>
      </c>
      <c r="F31" s="18">
        <v>2929.9</v>
      </c>
      <c r="G31" s="18">
        <v>2898.7</v>
      </c>
      <c r="H31" s="18">
        <v>370.3</v>
      </c>
      <c r="I31" s="18">
        <v>367.3</v>
      </c>
      <c r="J31" s="18">
        <v>672348</v>
      </c>
      <c r="K31" s="18">
        <v>514610.8</v>
      </c>
      <c r="L31" s="18">
        <v>44537.8</v>
      </c>
      <c r="M31" s="8">
        <v>666349</v>
      </c>
      <c r="N31" s="8">
        <v>511193</v>
      </c>
      <c r="O31" s="18">
        <v>25763</v>
      </c>
      <c r="P31" s="18">
        <f t="shared" si="10"/>
        <v>159.70000000000073</v>
      </c>
      <c r="Q31" s="18">
        <f t="shared" si="11"/>
        <v>157.20000000000073</v>
      </c>
      <c r="R31" s="18">
        <f t="shared" si="12"/>
        <v>85.5</v>
      </c>
      <c r="S31" s="18">
        <f t="shared" si="13"/>
        <v>83.199999999999818</v>
      </c>
      <c r="T31" s="31">
        <f t="shared" si="14"/>
        <v>17365.400000000023</v>
      </c>
      <c r="U31" s="18">
        <f t="shared" si="15"/>
        <v>24</v>
      </c>
      <c r="V31" s="18">
        <f t="shared" si="7"/>
        <v>-262</v>
      </c>
      <c r="W31" s="18">
        <f t="shared" si="7"/>
        <v>-383</v>
      </c>
      <c r="AC31" s="39"/>
      <c r="AD31" s="9"/>
    </row>
    <row r="32" spans="1:31" ht="13.15" customHeight="1" x14ac:dyDescent="0.2">
      <c r="A32" s="9">
        <v>40664</v>
      </c>
      <c r="B32">
        <f t="shared" si="2"/>
        <v>2011</v>
      </c>
      <c r="C32" t="str">
        <f t="shared" si="9"/>
        <v>Q2</v>
      </c>
      <c r="D32" s="18">
        <v>6649.8</v>
      </c>
      <c r="E32" s="18">
        <v>6614.9</v>
      </c>
      <c r="F32" s="18">
        <v>2930.2</v>
      </c>
      <c r="G32" s="18">
        <v>2912</v>
      </c>
      <c r="H32" s="18">
        <v>374.2</v>
      </c>
      <c r="I32" s="18">
        <v>375.8</v>
      </c>
      <c r="J32" s="18">
        <v>672348</v>
      </c>
      <c r="K32" s="18">
        <v>514610.8</v>
      </c>
      <c r="L32" s="18">
        <v>44537.8</v>
      </c>
      <c r="M32" s="8">
        <v>666349</v>
      </c>
      <c r="N32" s="8">
        <v>511193</v>
      </c>
      <c r="O32" s="18">
        <v>25763</v>
      </c>
      <c r="P32" s="18">
        <f t="shared" si="10"/>
        <v>137.40000000000055</v>
      </c>
      <c r="Q32" s="18">
        <f t="shared" si="11"/>
        <v>141.29999999999927</v>
      </c>
      <c r="R32" s="18">
        <f t="shared" si="12"/>
        <v>82.699999999999818</v>
      </c>
      <c r="S32" s="18">
        <f t="shared" si="13"/>
        <v>80.300000000000182</v>
      </c>
      <c r="T32" s="31">
        <f t="shared" si="14"/>
        <v>17365.400000000023</v>
      </c>
      <c r="U32" s="18">
        <f t="shared" si="15"/>
        <v>24</v>
      </c>
      <c r="V32" s="18">
        <f t="shared" ref="V32:V95" si="16">N32-N29</f>
        <v>-262</v>
      </c>
      <c r="W32" s="18">
        <f t="shared" ref="W32:W95" si="17">O32-O29</f>
        <v>-383</v>
      </c>
      <c r="AD32" s="9"/>
    </row>
    <row r="33" spans="1:30" ht="13.15" customHeight="1" x14ac:dyDescent="0.2">
      <c r="A33" s="9">
        <v>40695</v>
      </c>
      <c r="B33">
        <f t="shared" si="2"/>
        <v>2011</v>
      </c>
      <c r="C33" t="str">
        <f t="shared" si="9"/>
        <v>Q2</v>
      </c>
      <c r="D33" s="18">
        <v>6667.8</v>
      </c>
      <c r="E33" s="18">
        <v>6711.7</v>
      </c>
      <c r="F33" s="18">
        <v>2934.9</v>
      </c>
      <c r="G33" s="18">
        <v>2941</v>
      </c>
      <c r="H33" s="18">
        <v>374.7</v>
      </c>
      <c r="I33" s="18">
        <v>379.6</v>
      </c>
      <c r="J33" s="18">
        <v>672348</v>
      </c>
      <c r="K33" s="18">
        <v>514610.8</v>
      </c>
      <c r="L33" s="18">
        <v>44537.8</v>
      </c>
      <c r="M33" s="8">
        <v>666349</v>
      </c>
      <c r="N33" s="8">
        <v>511193</v>
      </c>
      <c r="O33" s="18">
        <v>25763</v>
      </c>
      <c r="P33" s="18">
        <f t="shared" si="10"/>
        <v>126</v>
      </c>
      <c r="Q33" s="18">
        <f t="shared" si="11"/>
        <v>131.69999999999982</v>
      </c>
      <c r="R33" s="18">
        <f t="shared" si="12"/>
        <v>75</v>
      </c>
      <c r="S33" s="18">
        <f t="shared" si="13"/>
        <v>73.300000000000182</v>
      </c>
      <c r="T33" s="31">
        <f t="shared" si="14"/>
        <v>17365.400000000023</v>
      </c>
      <c r="U33" s="18">
        <f t="shared" si="15"/>
        <v>24</v>
      </c>
      <c r="V33" s="18">
        <f t="shared" si="16"/>
        <v>-262</v>
      </c>
      <c r="W33" s="18">
        <f t="shared" si="17"/>
        <v>-383</v>
      </c>
      <c r="AC33" s="64"/>
      <c r="AD33" s="9"/>
    </row>
    <row r="34" spans="1:30" ht="13.15" customHeight="1" x14ac:dyDescent="0.2">
      <c r="A34" s="9">
        <v>40725</v>
      </c>
      <c r="B34">
        <f t="shared" si="2"/>
        <v>2011</v>
      </c>
      <c r="C34" t="str">
        <f t="shared" si="9"/>
        <v>Q3</v>
      </c>
      <c r="D34" s="18">
        <v>6670.9</v>
      </c>
      <c r="E34" s="18">
        <v>6761.1</v>
      </c>
      <c r="F34" s="18">
        <v>2928.1</v>
      </c>
      <c r="G34" s="18">
        <v>2949.3</v>
      </c>
      <c r="H34" s="18">
        <v>374.4</v>
      </c>
      <c r="I34" s="18">
        <v>378.6</v>
      </c>
      <c r="J34" s="18">
        <v>672348</v>
      </c>
      <c r="K34" s="18">
        <v>514610.8</v>
      </c>
      <c r="L34" s="18">
        <v>44537.8</v>
      </c>
      <c r="M34" s="8">
        <v>676081</v>
      </c>
      <c r="N34" s="8">
        <v>516672</v>
      </c>
      <c r="O34" s="18">
        <v>25947</v>
      </c>
      <c r="P34" s="18">
        <f t="shared" si="10"/>
        <v>103.59999999999945</v>
      </c>
      <c r="Q34" s="18">
        <f t="shared" si="11"/>
        <v>111.30000000000018</v>
      </c>
      <c r="R34" s="18">
        <f t="shared" si="12"/>
        <v>49.400000000000091</v>
      </c>
      <c r="S34" s="18">
        <f t="shared" si="13"/>
        <v>49.700000000000273</v>
      </c>
      <c r="T34" s="31">
        <f t="shared" si="14"/>
        <v>17365.400000000023</v>
      </c>
      <c r="U34" s="18">
        <f t="shared" si="15"/>
        <v>9732</v>
      </c>
      <c r="V34" s="18">
        <f t="shared" si="16"/>
        <v>5479</v>
      </c>
      <c r="W34" s="18">
        <f t="shared" si="17"/>
        <v>184</v>
      </c>
      <c r="AC34" s="64"/>
      <c r="AD34" s="9"/>
    </row>
    <row r="35" spans="1:30" ht="13.15" customHeight="1" x14ac:dyDescent="0.2">
      <c r="A35" s="9">
        <v>40756</v>
      </c>
      <c r="B35">
        <f t="shared" si="2"/>
        <v>2011</v>
      </c>
      <c r="C35" t="str">
        <f t="shared" si="9"/>
        <v>Q3</v>
      </c>
      <c r="D35" s="18">
        <v>6682.8</v>
      </c>
      <c r="E35" s="18">
        <v>6782.7</v>
      </c>
      <c r="F35" s="18">
        <v>2922.7</v>
      </c>
      <c r="G35" s="18">
        <v>2957.5</v>
      </c>
      <c r="H35" s="18">
        <v>371.1</v>
      </c>
      <c r="I35" s="18">
        <v>371.3</v>
      </c>
      <c r="J35" s="18">
        <v>672348</v>
      </c>
      <c r="K35" s="18">
        <v>514610.8</v>
      </c>
      <c r="L35" s="18">
        <v>44537.8</v>
      </c>
      <c r="M35" s="8">
        <v>676081</v>
      </c>
      <c r="N35" s="8">
        <v>516672</v>
      </c>
      <c r="O35" s="18">
        <v>25947</v>
      </c>
      <c r="P35" s="18">
        <f t="shared" si="10"/>
        <v>100.90000000000055</v>
      </c>
      <c r="Q35" s="18">
        <f t="shared" si="11"/>
        <v>106.5</v>
      </c>
      <c r="R35" s="18">
        <f t="shared" si="12"/>
        <v>27.399999999999636</v>
      </c>
      <c r="S35" s="18">
        <f t="shared" si="13"/>
        <v>29.099999999999909</v>
      </c>
      <c r="T35" s="31">
        <f t="shared" si="14"/>
        <v>17365.400000000023</v>
      </c>
      <c r="U35" s="18">
        <f t="shared" si="15"/>
        <v>9732</v>
      </c>
      <c r="V35" s="18">
        <f t="shared" si="16"/>
        <v>5479</v>
      </c>
      <c r="W35" s="18">
        <f t="shared" si="17"/>
        <v>184</v>
      </c>
      <c r="AD35" s="9"/>
    </row>
    <row r="36" spans="1:30" ht="13.15" customHeight="1" x14ac:dyDescent="0.2">
      <c r="A36" s="9">
        <v>40787</v>
      </c>
      <c r="B36">
        <f t="shared" si="2"/>
        <v>2011</v>
      </c>
      <c r="C36" t="str">
        <f t="shared" si="9"/>
        <v>Q3</v>
      </c>
      <c r="D36" s="18">
        <v>6673.9</v>
      </c>
      <c r="E36" s="18">
        <v>6733.8</v>
      </c>
      <c r="F36" s="18">
        <v>2918.3</v>
      </c>
      <c r="G36" s="18">
        <v>2940.6</v>
      </c>
      <c r="H36" s="18">
        <v>370.9</v>
      </c>
      <c r="I36" s="18">
        <v>368.8</v>
      </c>
      <c r="J36" s="18">
        <v>672348</v>
      </c>
      <c r="K36" s="18">
        <v>514610.8</v>
      </c>
      <c r="L36" s="18">
        <v>44537.8</v>
      </c>
      <c r="M36" s="8">
        <v>676081</v>
      </c>
      <c r="N36" s="8">
        <v>516672</v>
      </c>
      <c r="O36" s="18">
        <v>25947</v>
      </c>
      <c r="P36" s="18">
        <f t="shared" si="10"/>
        <v>92.899999999999636</v>
      </c>
      <c r="Q36" s="18">
        <f t="shared" si="11"/>
        <v>94.800000000000182</v>
      </c>
      <c r="R36" s="18">
        <f t="shared" si="12"/>
        <v>26.5</v>
      </c>
      <c r="S36" s="18">
        <f t="shared" si="13"/>
        <v>28.599999999999909</v>
      </c>
      <c r="T36" s="31">
        <f t="shared" si="14"/>
        <v>17365.400000000023</v>
      </c>
      <c r="U36" s="18">
        <f t="shared" si="15"/>
        <v>9732</v>
      </c>
      <c r="V36" s="18">
        <f t="shared" si="16"/>
        <v>5479</v>
      </c>
      <c r="W36" s="18">
        <f t="shared" si="17"/>
        <v>184</v>
      </c>
      <c r="AD36" s="9"/>
    </row>
    <row r="37" spans="1:30" ht="13.15" customHeight="1" x14ac:dyDescent="0.2">
      <c r="A37" s="9">
        <v>40817</v>
      </c>
      <c r="B37">
        <f t="shared" si="2"/>
        <v>2011</v>
      </c>
      <c r="C37" t="str">
        <f t="shared" si="9"/>
        <v>Q4</v>
      </c>
      <c r="D37" s="18">
        <v>6664.1</v>
      </c>
      <c r="E37" s="18">
        <v>6699.4</v>
      </c>
      <c r="F37" s="18">
        <v>2912.1</v>
      </c>
      <c r="G37" s="18">
        <v>2925.9</v>
      </c>
      <c r="H37" s="18">
        <v>374.1</v>
      </c>
      <c r="I37" s="18">
        <v>372.4</v>
      </c>
      <c r="J37" s="18">
        <v>672348</v>
      </c>
      <c r="K37" s="18">
        <v>514610.8</v>
      </c>
      <c r="L37" s="18">
        <v>44537.8</v>
      </c>
      <c r="M37" s="8">
        <v>680638</v>
      </c>
      <c r="N37" s="8">
        <v>519123</v>
      </c>
      <c r="O37" s="18">
        <v>25679</v>
      </c>
      <c r="P37" s="18">
        <f t="shared" si="10"/>
        <v>84.700000000000728</v>
      </c>
      <c r="Q37" s="18">
        <f t="shared" si="11"/>
        <v>81.299999999999272</v>
      </c>
      <c r="R37" s="18">
        <f t="shared" si="12"/>
        <v>18.400000000000091</v>
      </c>
      <c r="S37" s="18">
        <f t="shared" si="13"/>
        <v>18.099999999999909</v>
      </c>
      <c r="T37" s="31">
        <f t="shared" si="14"/>
        <v>17365.400000000023</v>
      </c>
      <c r="U37" s="18">
        <f t="shared" si="15"/>
        <v>4557</v>
      </c>
      <c r="V37" s="18">
        <f t="shared" si="16"/>
        <v>2451</v>
      </c>
      <c r="W37" s="18">
        <f t="shared" si="17"/>
        <v>-268</v>
      </c>
      <c r="AD37" s="9"/>
    </row>
    <row r="38" spans="1:30" ht="13.15" customHeight="1" x14ac:dyDescent="0.2">
      <c r="A38" s="9">
        <v>40848</v>
      </c>
      <c r="B38">
        <f t="shared" si="2"/>
        <v>2011</v>
      </c>
      <c r="C38" t="str">
        <f t="shared" si="9"/>
        <v>Q4</v>
      </c>
      <c r="D38" s="18">
        <v>6657.6</v>
      </c>
      <c r="E38" s="18">
        <v>6666.5</v>
      </c>
      <c r="F38" s="18">
        <v>2908.5</v>
      </c>
      <c r="G38" s="18">
        <v>2909.9</v>
      </c>
      <c r="H38" s="18">
        <v>381.9</v>
      </c>
      <c r="I38" s="18">
        <v>380.2</v>
      </c>
      <c r="J38" s="18">
        <v>672348</v>
      </c>
      <c r="K38" s="18">
        <v>514610.8</v>
      </c>
      <c r="L38" s="18">
        <v>44537.8</v>
      </c>
      <c r="M38" s="8">
        <v>680638</v>
      </c>
      <c r="N38" s="8">
        <v>519123</v>
      </c>
      <c r="O38" s="18">
        <v>25679</v>
      </c>
      <c r="P38" s="18">
        <f t="shared" si="10"/>
        <v>73.200000000000728</v>
      </c>
      <c r="Q38" s="18">
        <f t="shared" si="11"/>
        <v>66.5</v>
      </c>
      <c r="R38" s="18">
        <f t="shared" si="12"/>
        <v>14.900000000000091</v>
      </c>
      <c r="S38" s="18">
        <f t="shared" si="13"/>
        <v>14.700000000000273</v>
      </c>
      <c r="T38" s="31">
        <f t="shared" si="14"/>
        <v>17365.400000000023</v>
      </c>
      <c r="U38" s="18">
        <f t="shared" si="15"/>
        <v>4557</v>
      </c>
      <c r="V38" s="18">
        <f t="shared" si="16"/>
        <v>2451</v>
      </c>
      <c r="W38" s="18">
        <f t="shared" si="17"/>
        <v>-268</v>
      </c>
      <c r="AD38" s="9"/>
    </row>
    <row r="39" spans="1:30" ht="13.15" customHeight="1" x14ac:dyDescent="0.2">
      <c r="A39" s="9">
        <v>40878</v>
      </c>
      <c r="B39">
        <f t="shared" si="2"/>
        <v>2011</v>
      </c>
      <c r="C39" t="str">
        <f t="shared" si="9"/>
        <v>Q4</v>
      </c>
      <c r="D39" s="18">
        <v>6657.4</v>
      </c>
      <c r="E39" s="18">
        <v>6662.6</v>
      </c>
      <c r="F39" s="18">
        <v>2903</v>
      </c>
      <c r="G39" s="18">
        <v>2910.1</v>
      </c>
      <c r="H39" s="18">
        <v>387</v>
      </c>
      <c r="I39" s="18">
        <v>385.9</v>
      </c>
      <c r="J39" s="18">
        <v>672348</v>
      </c>
      <c r="K39" s="18">
        <v>514610.8</v>
      </c>
      <c r="L39" s="18">
        <v>44537.8</v>
      </c>
      <c r="M39" s="8">
        <v>680638</v>
      </c>
      <c r="N39" s="8">
        <v>519123</v>
      </c>
      <c r="O39" s="18">
        <v>25679</v>
      </c>
      <c r="P39" s="18">
        <f t="shared" si="10"/>
        <v>59.399999999999636</v>
      </c>
      <c r="Q39" s="18">
        <f t="shared" si="11"/>
        <v>56.900000000000546</v>
      </c>
      <c r="R39" s="18">
        <f t="shared" si="12"/>
        <v>-15.5</v>
      </c>
      <c r="S39" s="18">
        <f t="shared" si="13"/>
        <v>-17.700000000000273</v>
      </c>
      <c r="T39" s="31">
        <f t="shared" si="14"/>
        <v>17365.400000000023</v>
      </c>
      <c r="U39" s="18">
        <f t="shared" si="15"/>
        <v>4557</v>
      </c>
      <c r="V39" s="18">
        <f t="shared" si="16"/>
        <v>2451</v>
      </c>
      <c r="W39" s="18">
        <f t="shared" si="17"/>
        <v>-268</v>
      </c>
      <c r="AA39" s="11"/>
      <c r="AD39" s="9"/>
    </row>
    <row r="40" spans="1:30" ht="13.15" customHeight="1" x14ac:dyDescent="0.2">
      <c r="A40" s="9">
        <v>40909</v>
      </c>
      <c r="B40">
        <f t="shared" si="2"/>
        <v>2012</v>
      </c>
      <c r="C40" t="str">
        <f t="shared" si="9"/>
        <v>Q1</v>
      </c>
      <c r="D40" s="18">
        <v>6662.5</v>
      </c>
      <c r="E40" s="18">
        <v>6626</v>
      </c>
      <c r="F40" s="18">
        <v>2903.3</v>
      </c>
      <c r="G40" s="18">
        <v>2898.2</v>
      </c>
      <c r="H40" s="18">
        <v>388.3</v>
      </c>
      <c r="I40" s="18">
        <v>385.5</v>
      </c>
      <c r="J40" s="18">
        <v>682023.2</v>
      </c>
      <c r="K40" s="18">
        <v>521910.5</v>
      </c>
      <c r="L40" s="18">
        <v>45220.800000000003</v>
      </c>
      <c r="M40" s="8">
        <v>681365</v>
      </c>
      <c r="N40" s="8">
        <v>520232</v>
      </c>
      <c r="O40" s="18">
        <v>25585</v>
      </c>
      <c r="P40" s="18">
        <f t="shared" si="10"/>
        <v>41.100000000000364</v>
      </c>
      <c r="Q40" s="18">
        <f t="shared" si="11"/>
        <v>41.600000000000364</v>
      </c>
      <c r="R40" s="18">
        <f t="shared" si="12"/>
        <v>-35.199999999999818</v>
      </c>
      <c r="S40" s="18">
        <f t="shared" si="13"/>
        <v>-35.900000000000091</v>
      </c>
      <c r="T40" s="31">
        <f t="shared" si="14"/>
        <v>9675.1999999999534</v>
      </c>
      <c r="U40" s="18">
        <f t="shared" si="15"/>
        <v>727</v>
      </c>
      <c r="V40" s="18">
        <f t="shared" si="16"/>
        <v>1109</v>
      </c>
      <c r="W40" s="18">
        <f t="shared" si="17"/>
        <v>-94</v>
      </c>
      <c r="AA40" s="64"/>
      <c r="AC40" s="35"/>
      <c r="AD40" s="9"/>
    </row>
    <row r="41" spans="1:30" ht="13.15" customHeight="1" x14ac:dyDescent="0.2">
      <c r="A41" s="9">
        <v>40940</v>
      </c>
      <c r="B41">
        <f t="shared" si="2"/>
        <v>2012</v>
      </c>
      <c r="C41" t="str">
        <f t="shared" si="9"/>
        <v>Q1</v>
      </c>
      <c r="D41" s="18">
        <v>6656.6</v>
      </c>
      <c r="E41" s="18">
        <v>6581.8</v>
      </c>
      <c r="F41" s="18">
        <v>2901.2</v>
      </c>
      <c r="G41" s="18">
        <v>2881</v>
      </c>
      <c r="H41" s="18">
        <v>387.3</v>
      </c>
      <c r="I41" s="18">
        <v>384.8</v>
      </c>
      <c r="J41" s="18">
        <v>682023.2</v>
      </c>
      <c r="K41" s="18">
        <v>521910.5</v>
      </c>
      <c r="L41" s="18">
        <v>45220.800000000003</v>
      </c>
      <c r="M41" s="8">
        <v>681365</v>
      </c>
      <c r="N41" s="8">
        <v>520232</v>
      </c>
      <c r="O41" s="18">
        <v>25585</v>
      </c>
      <c r="P41" s="18">
        <f t="shared" si="10"/>
        <v>29.300000000000182</v>
      </c>
      <c r="Q41" s="18">
        <f t="shared" si="11"/>
        <v>31.699999999999818</v>
      </c>
      <c r="R41" s="18">
        <f t="shared" si="12"/>
        <v>-46.200000000000273</v>
      </c>
      <c r="S41" s="18">
        <f t="shared" si="13"/>
        <v>-48.400000000000091</v>
      </c>
      <c r="T41" s="31">
        <f t="shared" si="14"/>
        <v>9675.1999999999534</v>
      </c>
      <c r="U41" s="18">
        <f t="shared" si="15"/>
        <v>727</v>
      </c>
      <c r="V41" s="18">
        <f t="shared" si="16"/>
        <v>1109</v>
      </c>
      <c r="W41" s="18">
        <f t="shared" si="17"/>
        <v>-94</v>
      </c>
      <c r="AA41" s="64"/>
      <c r="AC41" s="35"/>
      <c r="AD41" s="9"/>
    </row>
    <row r="42" spans="1:30" ht="13.15" customHeight="1" x14ac:dyDescent="0.2">
      <c r="A42" s="9">
        <v>40969</v>
      </c>
      <c r="B42">
        <f t="shared" si="2"/>
        <v>2012</v>
      </c>
      <c r="C42" t="str">
        <f t="shared" si="9"/>
        <v>Q1</v>
      </c>
      <c r="D42" s="18">
        <v>6667.9</v>
      </c>
      <c r="E42" s="18">
        <v>6559.2</v>
      </c>
      <c r="F42" s="18">
        <v>2907.4</v>
      </c>
      <c r="G42" s="18">
        <v>2869.6</v>
      </c>
      <c r="H42" s="18">
        <v>383.5</v>
      </c>
      <c r="I42" s="18">
        <v>379.4</v>
      </c>
      <c r="J42" s="18">
        <v>682023.2</v>
      </c>
      <c r="K42" s="18">
        <v>521910.5</v>
      </c>
      <c r="L42" s="18">
        <v>45220.800000000003</v>
      </c>
      <c r="M42" s="8">
        <v>681365</v>
      </c>
      <c r="N42" s="8">
        <v>520232</v>
      </c>
      <c r="O42" s="18">
        <v>25585</v>
      </c>
      <c r="P42" s="18">
        <f t="shared" si="10"/>
        <v>33.199999999999818</v>
      </c>
      <c r="Q42" s="18">
        <f t="shared" si="11"/>
        <v>35.399999999999636</v>
      </c>
      <c r="R42" s="18">
        <f t="shared" si="12"/>
        <v>-31.299999999999727</v>
      </c>
      <c r="S42" s="18">
        <f t="shared" si="13"/>
        <v>-32.300000000000182</v>
      </c>
      <c r="T42" s="31">
        <f t="shared" si="14"/>
        <v>9675.1999999999534</v>
      </c>
      <c r="U42" s="18">
        <f t="shared" si="15"/>
        <v>727</v>
      </c>
      <c r="V42" s="18">
        <f t="shared" si="16"/>
        <v>1109</v>
      </c>
      <c r="W42" s="18">
        <f t="shared" si="17"/>
        <v>-94</v>
      </c>
      <c r="AA42" s="77"/>
      <c r="AC42" s="35"/>
      <c r="AD42" s="9"/>
    </row>
    <row r="43" spans="1:30" ht="13.15" customHeight="1" x14ac:dyDescent="0.2">
      <c r="A43" s="9">
        <v>41000</v>
      </c>
      <c r="B43">
        <f t="shared" si="2"/>
        <v>2012</v>
      </c>
      <c r="C43" t="str">
        <f t="shared" si="9"/>
        <v>Q2</v>
      </c>
      <c r="D43" s="18">
        <v>6681</v>
      </c>
      <c r="E43" s="18">
        <v>6594.3</v>
      </c>
      <c r="F43" s="18">
        <v>2912.5</v>
      </c>
      <c r="G43" s="18">
        <v>2883</v>
      </c>
      <c r="H43" s="18">
        <v>382.1</v>
      </c>
      <c r="I43" s="18">
        <v>378.5</v>
      </c>
      <c r="J43" s="18">
        <v>682023.2</v>
      </c>
      <c r="K43" s="18">
        <v>521910.5</v>
      </c>
      <c r="L43" s="18">
        <v>45220.800000000003</v>
      </c>
      <c r="M43" s="8">
        <v>682343</v>
      </c>
      <c r="N43" s="8">
        <v>520127</v>
      </c>
      <c r="O43" s="18">
        <v>25601</v>
      </c>
      <c r="P43" s="18">
        <f t="shared" si="10"/>
        <v>39.899999999999636</v>
      </c>
      <c r="Q43" s="18">
        <f t="shared" si="11"/>
        <v>44.199999999999818</v>
      </c>
      <c r="R43" s="18">
        <f t="shared" si="12"/>
        <v>-17.400000000000091</v>
      </c>
      <c r="S43" s="18">
        <f t="shared" si="13"/>
        <v>-15.699999999999818</v>
      </c>
      <c r="T43" s="31">
        <f t="shared" si="14"/>
        <v>9675.1999999999534</v>
      </c>
      <c r="U43" s="18">
        <f t="shared" si="15"/>
        <v>978</v>
      </c>
      <c r="V43" s="18">
        <f t="shared" si="16"/>
        <v>-105</v>
      </c>
      <c r="W43" s="18">
        <f t="shared" si="17"/>
        <v>16</v>
      </c>
      <c r="AA43" s="64"/>
      <c r="AC43" s="35"/>
      <c r="AD43" s="9"/>
    </row>
    <row r="44" spans="1:30" ht="13.15" customHeight="1" x14ac:dyDescent="0.2">
      <c r="A44" s="9">
        <v>41030</v>
      </c>
      <c r="B44">
        <f t="shared" si="2"/>
        <v>2012</v>
      </c>
      <c r="C44" t="str">
        <f t="shared" si="9"/>
        <v>Q2</v>
      </c>
      <c r="D44" s="18">
        <v>6690.2</v>
      </c>
      <c r="E44" s="18">
        <v>6657.6</v>
      </c>
      <c r="F44" s="18">
        <v>2917.9</v>
      </c>
      <c r="G44" s="18">
        <v>2902.3</v>
      </c>
      <c r="H44" s="18">
        <v>375.7</v>
      </c>
      <c r="I44" s="18">
        <v>375</v>
      </c>
      <c r="J44" s="18">
        <v>682023.2</v>
      </c>
      <c r="K44" s="18">
        <v>521910.5</v>
      </c>
      <c r="L44" s="18">
        <v>45220.800000000003</v>
      </c>
      <c r="M44" s="8">
        <v>682343</v>
      </c>
      <c r="N44" s="8">
        <v>520127</v>
      </c>
      <c r="O44" s="18">
        <v>25601</v>
      </c>
      <c r="P44" s="18">
        <f t="shared" si="10"/>
        <v>40.399999999999636</v>
      </c>
      <c r="Q44" s="18">
        <f t="shared" si="11"/>
        <v>42.700000000000728</v>
      </c>
      <c r="R44" s="18">
        <f t="shared" si="12"/>
        <v>-12.299999999999727</v>
      </c>
      <c r="S44" s="18">
        <f t="shared" si="13"/>
        <v>-9.6999999999998181</v>
      </c>
      <c r="T44" s="31">
        <f t="shared" si="14"/>
        <v>9675.1999999999534</v>
      </c>
      <c r="U44" s="18">
        <f t="shared" si="15"/>
        <v>978</v>
      </c>
      <c r="V44" s="18">
        <f t="shared" si="16"/>
        <v>-105</v>
      </c>
      <c r="W44" s="18">
        <f t="shared" si="17"/>
        <v>16</v>
      </c>
      <c r="AA44" s="64"/>
      <c r="AC44" s="35"/>
      <c r="AD44" s="9"/>
    </row>
    <row r="45" spans="1:30" ht="13.15" customHeight="1" x14ac:dyDescent="0.2">
      <c r="A45" s="9">
        <v>41061</v>
      </c>
      <c r="B45">
        <f t="shared" si="2"/>
        <v>2012</v>
      </c>
      <c r="C45" t="str">
        <f t="shared" si="9"/>
        <v>Q2</v>
      </c>
      <c r="D45" s="18">
        <v>6685.4</v>
      </c>
      <c r="E45" s="18">
        <v>6727.5</v>
      </c>
      <c r="F45" s="18">
        <v>2928.6</v>
      </c>
      <c r="G45" s="18">
        <v>2937.8</v>
      </c>
      <c r="H45" s="18">
        <v>370.5</v>
      </c>
      <c r="I45" s="18">
        <v>372.9</v>
      </c>
      <c r="J45" s="18">
        <v>682023.2</v>
      </c>
      <c r="K45" s="18">
        <v>521910.5</v>
      </c>
      <c r="L45" s="18">
        <v>45220.800000000003</v>
      </c>
      <c r="M45" s="8">
        <v>682343</v>
      </c>
      <c r="N45" s="8">
        <v>520127</v>
      </c>
      <c r="O45" s="18">
        <v>25601</v>
      </c>
      <c r="P45" s="18">
        <f t="shared" si="10"/>
        <v>17.599999999999454</v>
      </c>
      <c r="Q45" s="18">
        <f t="shared" si="11"/>
        <v>15.800000000000182</v>
      </c>
      <c r="R45" s="18">
        <f t="shared" si="12"/>
        <v>-6.3000000000001819</v>
      </c>
      <c r="S45" s="18">
        <f t="shared" si="13"/>
        <v>-3.1999999999998181</v>
      </c>
      <c r="T45" s="31">
        <f t="shared" si="14"/>
        <v>9675.1999999999534</v>
      </c>
      <c r="U45" s="18">
        <f t="shared" si="15"/>
        <v>978</v>
      </c>
      <c r="V45" s="18">
        <f t="shared" si="16"/>
        <v>-105</v>
      </c>
      <c r="W45" s="18">
        <f t="shared" si="17"/>
        <v>16</v>
      </c>
      <c r="AD45" s="9"/>
    </row>
    <row r="46" spans="1:30" ht="13.15" customHeight="1" x14ac:dyDescent="0.2">
      <c r="A46" s="9">
        <v>41091</v>
      </c>
      <c r="B46">
        <f t="shared" si="2"/>
        <v>2012</v>
      </c>
      <c r="C46" t="str">
        <f t="shared" si="9"/>
        <v>Q3</v>
      </c>
      <c r="D46" s="18">
        <v>6687.7</v>
      </c>
      <c r="E46" s="18">
        <v>6772.9</v>
      </c>
      <c r="F46" s="18">
        <v>2949.2</v>
      </c>
      <c r="G46" s="18">
        <v>2965.9</v>
      </c>
      <c r="H46" s="18">
        <v>367.4</v>
      </c>
      <c r="I46" s="18">
        <v>371.9</v>
      </c>
      <c r="J46" s="18">
        <v>682023.2</v>
      </c>
      <c r="K46" s="18">
        <v>521910.5</v>
      </c>
      <c r="L46" s="18">
        <v>45220.800000000003</v>
      </c>
      <c r="M46" s="8">
        <v>682199</v>
      </c>
      <c r="N46" s="8">
        <v>523003</v>
      </c>
      <c r="O46" s="18">
        <v>26073</v>
      </c>
      <c r="P46" s="18">
        <f t="shared" si="10"/>
        <v>16.800000000000182</v>
      </c>
      <c r="Q46" s="18">
        <f t="shared" si="11"/>
        <v>11.799999999999272</v>
      </c>
      <c r="R46" s="18">
        <f t="shared" si="12"/>
        <v>21.099999999999909</v>
      </c>
      <c r="S46" s="18">
        <f t="shared" si="13"/>
        <v>16.599999999999909</v>
      </c>
      <c r="T46" s="31">
        <f t="shared" si="14"/>
        <v>9675.1999999999534</v>
      </c>
      <c r="U46" s="18">
        <f t="shared" si="15"/>
        <v>-144</v>
      </c>
      <c r="V46" s="18">
        <f t="shared" si="16"/>
        <v>2876</v>
      </c>
      <c r="W46" s="18">
        <f t="shared" si="17"/>
        <v>472</v>
      </c>
      <c r="AC46" s="35"/>
      <c r="AD46" s="9"/>
    </row>
    <row r="47" spans="1:30" ht="13.15" customHeight="1" x14ac:dyDescent="0.2">
      <c r="A47" s="9">
        <v>41122</v>
      </c>
      <c r="B47">
        <f t="shared" si="2"/>
        <v>2012</v>
      </c>
      <c r="C47" t="str">
        <f t="shared" si="9"/>
        <v>Q3</v>
      </c>
      <c r="D47" s="18">
        <v>6696.7</v>
      </c>
      <c r="E47" s="18">
        <v>6792.8</v>
      </c>
      <c r="F47" s="18">
        <v>2968.4</v>
      </c>
      <c r="G47" s="18">
        <v>2997.9</v>
      </c>
      <c r="H47" s="18">
        <v>372.2</v>
      </c>
      <c r="I47" s="18">
        <v>373.8</v>
      </c>
      <c r="J47" s="18">
        <v>682023.2</v>
      </c>
      <c r="K47" s="18">
        <v>521910.5</v>
      </c>
      <c r="L47" s="18">
        <v>45220.800000000003</v>
      </c>
      <c r="M47" s="8">
        <v>682199</v>
      </c>
      <c r="N47" s="8">
        <v>523003</v>
      </c>
      <c r="O47" s="18">
        <v>26073</v>
      </c>
      <c r="P47" s="18">
        <f t="shared" si="10"/>
        <v>13.899999999999636</v>
      </c>
      <c r="Q47" s="18">
        <f t="shared" si="11"/>
        <v>10.100000000000364</v>
      </c>
      <c r="R47" s="18">
        <f t="shared" si="12"/>
        <v>45.700000000000273</v>
      </c>
      <c r="S47" s="18">
        <f t="shared" si="13"/>
        <v>40.400000000000091</v>
      </c>
      <c r="T47" s="31">
        <f t="shared" si="14"/>
        <v>9675.1999999999534</v>
      </c>
      <c r="U47" s="18">
        <f t="shared" si="15"/>
        <v>-144</v>
      </c>
      <c r="V47" s="18">
        <f t="shared" si="16"/>
        <v>2876</v>
      </c>
      <c r="W47" s="18">
        <f t="shared" si="17"/>
        <v>472</v>
      </c>
      <c r="AC47" s="64"/>
      <c r="AD47" s="9"/>
    </row>
    <row r="48" spans="1:30" ht="13.15" customHeight="1" x14ac:dyDescent="0.2">
      <c r="A48" s="9">
        <v>41153</v>
      </c>
      <c r="B48">
        <f t="shared" si="2"/>
        <v>2012</v>
      </c>
      <c r="C48" t="str">
        <f t="shared" si="9"/>
        <v>Q3</v>
      </c>
      <c r="D48" s="18">
        <v>6714.6</v>
      </c>
      <c r="E48" s="18">
        <v>6769.1</v>
      </c>
      <c r="F48" s="18">
        <v>2985.6</v>
      </c>
      <c r="G48" s="18">
        <v>3001.5</v>
      </c>
      <c r="H48" s="18">
        <v>377.2</v>
      </c>
      <c r="I48" s="18">
        <v>376.1</v>
      </c>
      <c r="J48" s="18">
        <v>682023.2</v>
      </c>
      <c r="K48" s="18">
        <v>521910.5</v>
      </c>
      <c r="L48" s="18">
        <v>45220.800000000003</v>
      </c>
      <c r="M48" s="8">
        <v>682199</v>
      </c>
      <c r="N48" s="8">
        <v>523003</v>
      </c>
      <c r="O48" s="18">
        <v>26073</v>
      </c>
      <c r="P48" s="18">
        <f t="shared" si="10"/>
        <v>40.700000000000728</v>
      </c>
      <c r="Q48" s="18">
        <f t="shared" si="11"/>
        <v>35.300000000000182</v>
      </c>
      <c r="R48" s="18">
        <f t="shared" si="12"/>
        <v>67.299999999999727</v>
      </c>
      <c r="S48" s="18">
        <f t="shared" si="13"/>
        <v>60.900000000000091</v>
      </c>
      <c r="T48" s="31">
        <f t="shared" si="14"/>
        <v>9675.1999999999534</v>
      </c>
      <c r="U48" s="18">
        <f t="shared" si="15"/>
        <v>-144</v>
      </c>
      <c r="V48" s="18">
        <f t="shared" si="16"/>
        <v>2876</v>
      </c>
      <c r="W48" s="18">
        <f t="shared" si="17"/>
        <v>472</v>
      </c>
      <c r="AC48" s="64"/>
      <c r="AD48" s="9"/>
    </row>
    <row r="49" spans="1:30" ht="13.15" customHeight="1" x14ac:dyDescent="0.2">
      <c r="A49" s="9">
        <v>41183</v>
      </c>
      <c r="B49">
        <f t="shared" si="2"/>
        <v>2012</v>
      </c>
      <c r="C49" t="str">
        <f t="shared" si="9"/>
        <v>Q4</v>
      </c>
      <c r="D49" s="18">
        <v>6719.1</v>
      </c>
      <c r="E49" s="18">
        <v>6748.7</v>
      </c>
      <c r="F49" s="18">
        <v>3002.1</v>
      </c>
      <c r="G49" s="18">
        <v>3012.7</v>
      </c>
      <c r="H49" s="18">
        <v>378.7</v>
      </c>
      <c r="I49" s="18">
        <v>375.7</v>
      </c>
      <c r="J49" s="18">
        <v>682023.2</v>
      </c>
      <c r="K49" s="18">
        <v>521910.5</v>
      </c>
      <c r="L49" s="18">
        <v>45220.800000000003</v>
      </c>
      <c r="M49" s="8">
        <v>682186</v>
      </c>
      <c r="N49" s="8">
        <v>524279</v>
      </c>
      <c r="O49" s="18">
        <v>25925</v>
      </c>
      <c r="P49" s="18">
        <f t="shared" si="10"/>
        <v>55</v>
      </c>
      <c r="Q49" s="18">
        <f t="shared" si="11"/>
        <v>49.300000000000182</v>
      </c>
      <c r="R49" s="18">
        <f t="shared" si="12"/>
        <v>90</v>
      </c>
      <c r="S49" s="18">
        <f t="shared" si="13"/>
        <v>86.799999999999727</v>
      </c>
      <c r="T49" s="31">
        <f t="shared" si="14"/>
        <v>9675.1999999999534</v>
      </c>
      <c r="U49" s="18">
        <f t="shared" si="15"/>
        <v>-13</v>
      </c>
      <c r="V49" s="18">
        <f t="shared" si="16"/>
        <v>1276</v>
      </c>
      <c r="W49" s="18">
        <f t="shared" si="17"/>
        <v>-148</v>
      </c>
      <c r="AD49" s="9"/>
    </row>
    <row r="50" spans="1:30" ht="13.15" customHeight="1" x14ac:dyDescent="0.2">
      <c r="A50" s="9">
        <v>41214</v>
      </c>
      <c r="B50">
        <f t="shared" si="2"/>
        <v>2012</v>
      </c>
      <c r="C50" t="str">
        <f t="shared" si="9"/>
        <v>Q4</v>
      </c>
      <c r="D50" s="18">
        <v>6733</v>
      </c>
      <c r="E50" s="18">
        <v>6736.2</v>
      </c>
      <c r="F50" s="18">
        <v>3019.5</v>
      </c>
      <c r="G50" s="18">
        <v>3019</v>
      </c>
      <c r="H50" s="18">
        <v>376.9</v>
      </c>
      <c r="I50" s="18">
        <v>372.8</v>
      </c>
      <c r="J50" s="18">
        <v>682023.2</v>
      </c>
      <c r="K50" s="18">
        <v>521910.5</v>
      </c>
      <c r="L50" s="18">
        <v>45220.800000000003</v>
      </c>
      <c r="M50" s="8">
        <v>682186</v>
      </c>
      <c r="N50" s="8">
        <v>524279</v>
      </c>
      <c r="O50" s="18">
        <v>25925</v>
      </c>
      <c r="P50" s="18">
        <f t="shared" si="10"/>
        <v>75.399999999999636</v>
      </c>
      <c r="Q50" s="18">
        <f t="shared" si="11"/>
        <v>69.699999999999818</v>
      </c>
      <c r="R50" s="18">
        <f t="shared" si="12"/>
        <v>111</v>
      </c>
      <c r="S50" s="18">
        <f t="shared" si="13"/>
        <v>109.09999999999991</v>
      </c>
      <c r="T50" s="31">
        <f t="shared" si="14"/>
        <v>9675.1999999999534</v>
      </c>
      <c r="U50" s="18">
        <f t="shared" si="15"/>
        <v>-13</v>
      </c>
      <c r="V50" s="18">
        <f t="shared" si="16"/>
        <v>1276</v>
      </c>
      <c r="W50" s="18">
        <f t="shared" si="17"/>
        <v>-148</v>
      </c>
      <c r="AD50" s="9"/>
    </row>
    <row r="51" spans="1:30" ht="13.15" customHeight="1" x14ac:dyDescent="0.2">
      <c r="A51" s="9">
        <v>41244</v>
      </c>
      <c r="B51">
        <f t="shared" si="2"/>
        <v>2012</v>
      </c>
      <c r="C51" t="str">
        <f t="shared" si="9"/>
        <v>Q4</v>
      </c>
      <c r="D51" s="18">
        <v>6750</v>
      </c>
      <c r="E51" s="18">
        <v>6755.9</v>
      </c>
      <c r="F51" s="18">
        <v>3030.3</v>
      </c>
      <c r="G51" s="18">
        <v>3033.6</v>
      </c>
      <c r="H51" s="18">
        <v>378.9</v>
      </c>
      <c r="I51" s="18">
        <v>376</v>
      </c>
      <c r="J51" s="18">
        <v>682023.2</v>
      </c>
      <c r="K51" s="18">
        <v>521910.5</v>
      </c>
      <c r="L51" s="18">
        <v>45220.800000000003</v>
      </c>
      <c r="M51" s="8">
        <v>682186</v>
      </c>
      <c r="N51" s="8">
        <v>524279</v>
      </c>
      <c r="O51" s="18">
        <v>25925</v>
      </c>
      <c r="P51" s="18">
        <f t="shared" si="10"/>
        <v>92.600000000000364</v>
      </c>
      <c r="Q51" s="18">
        <f t="shared" si="11"/>
        <v>93.299999999999272</v>
      </c>
      <c r="R51" s="18">
        <f t="shared" si="12"/>
        <v>127.30000000000018</v>
      </c>
      <c r="S51" s="18">
        <f t="shared" si="13"/>
        <v>123.5</v>
      </c>
      <c r="T51" s="31">
        <f t="shared" si="14"/>
        <v>9675.1999999999534</v>
      </c>
      <c r="U51" s="18">
        <f t="shared" si="15"/>
        <v>-13</v>
      </c>
      <c r="V51" s="18">
        <f t="shared" si="16"/>
        <v>1276</v>
      </c>
      <c r="W51" s="18">
        <f t="shared" si="17"/>
        <v>-148</v>
      </c>
      <c r="AD51" s="9"/>
    </row>
    <row r="52" spans="1:30" ht="13.15" customHeight="1" x14ac:dyDescent="0.2">
      <c r="A52" s="9">
        <v>41275</v>
      </c>
      <c r="B52">
        <f t="shared" si="2"/>
        <v>2013</v>
      </c>
      <c r="C52" t="str">
        <f t="shared" si="9"/>
        <v>Q1</v>
      </c>
      <c r="D52" s="18">
        <v>6764.2</v>
      </c>
      <c r="E52" s="18">
        <v>6730.2</v>
      </c>
      <c r="F52" s="18">
        <v>3038</v>
      </c>
      <c r="G52" s="18">
        <v>3030.3</v>
      </c>
      <c r="H52" s="18">
        <v>381</v>
      </c>
      <c r="I52" s="18">
        <v>378.3</v>
      </c>
      <c r="J52" s="18">
        <v>691682.6</v>
      </c>
      <c r="K52" s="18">
        <v>530845.30000000005</v>
      </c>
      <c r="L52" s="18">
        <v>45517.9</v>
      </c>
      <c r="M52" s="8">
        <v>684155</v>
      </c>
      <c r="N52" s="8">
        <v>524495</v>
      </c>
      <c r="O52" s="18">
        <v>25852</v>
      </c>
      <c r="P52" s="18">
        <f t="shared" si="10"/>
        <v>101.69999999999982</v>
      </c>
      <c r="Q52" s="18">
        <f t="shared" si="11"/>
        <v>104.19999999999982</v>
      </c>
      <c r="R52" s="18">
        <f t="shared" si="12"/>
        <v>134.69999999999982</v>
      </c>
      <c r="S52" s="18">
        <f t="shared" si="13"/>
        <v>132.10000000000036</v>
      </c>
      <c r="T52" s="31">
        <f t="shared" si="14"/>
        <v>9659.4000000000233</v>
      </c>
      <c r="U52" s="18">
        <f t="shared" si="15"/>
        <v>1969</v>
      </c>
      <c r="V52" s="18">
        <f t="shared" si="16"/>
        <v>216</v>
      </c>
      <c r="W52" s="18">
        <f t="shared" si="17"/>
        <v>-73</v>
      </c>
      <c r="AD52" s="9"/>
    </row>
    <row r="53" spans="1:30" ht="13.15" customHeight="1" x14ac:dyDescent="0.2">
      <c r="A53" s="9">
        <v>41306</v>
      </c>
      <c r="B53">
        <f t="shared" si="2"/>
        <v>2013</v>
      </c>
      <c r="C53" t="str">
        <f t="shared" si="9"/>
        <v>Q1</v>
      </c>
      <c r="D53" s="18">
        <v>6786.9</v>
      </c>
      <c r="E53" s="18">
        <v>6713.2</v>
      </c>
      <c r="F53" s="18">
        <v>3041.7</v>
      </c>
      <c r="G53" s="18">
        <v>3018.2</v>
      </c>
      <c r="H53" s="18">
        <v>383.9</v>
      </c>
      <c r="I53" s="18">
        <v>383.6</v>
      </c>
      <c r="J53" s="18">
        <v>691682.6</v>
      </c>
      <c r="K53" s="18">
        <v>530845.30000000005</v>
      </c>
      <c r="L53" s="18">
        <v>45517.9</v>
      </c>
      <c r="M53" s="8">
        <v>684155</v>
      </c>
      <c r="N53" s="8">
        <v>524495</v>
      </c>
      <c r="O53" s="18">
        <v>25852</v>
      </c>
      <c r="P53" s="18">
        <f t="shared" si="10"/>
        <v>130.29999999999927</v>
      </c>
      <c r="Q53" s="18">
        <f t="shared" si="11"/>
        <v>131.39999999999964</v>
      </c>
      <c r="R53" s="18">
        <f t="shared" si="12"/>
        <v>140.5</v>
      </c>
      <c r="S53" s="18">
        <f t="shared" si="13"/>
        <v>137.19999999999982</v>
      </c>
      <c r="T53" s="31">
        <f t="shared" si="14"/>
        <v>9659.4000000000233</v>
      </c>
      <c r="U53" s="18">
        <f t="shared" si="15"/>
        <v>1969</v>
      </c>
      <c r="V53" s="18">
        <f t="shared" si="16"/>
        <v>216</v>
      </c>
      <c r="W53" s="18">
        <f t="shared" si="17"/>
        <v>-73</v>
      </c>
      <c r="AD53" s="9"/>
    </row>
    <row r="54" spans="1:30" ht="13.15" customHeight="1" x14ac:dyDescent="0.2">
      <c r="A54" s="9">
        <v>41334</v>
      </c>
      <c r="B54">
        <f t="shared" si="2"/>
        <v>2013</v>
      </c>
      <c r="C54" t="str">
        <f t="shared" si="9"/>
        <v>Q1</v>
      </c>
      <c r="D54" s="18">
        <v>6786.1</v>
      </c>
      <c r="E54" s="18">
        <v>6677.7</v>
      </c>
      <c r="F54" s="18">
        <v>3045.3</v>
      </c>
      <c r="G54" s="18">
        <v>3007</v>
      </c>
      <c r="H54" s="18">
        <v>381.7</v>
      </c>
      <c r="I54" s="18">
        <v>379.6</v>
      </c>
      <c r="J54" s="18">
        <v>691682.6</v>
      </c>
      <c r="K54" s="18">
        <v>530845.30000000005</v>
      </c>
      <c r="L54" s="18">
        <v>45517.9</v>
      </c>
      <c r="M54" s="8">
        <v>684155</v>
      </c>
      <c r="N54" s="8">
        <v>524495</v>
      </c>
      <c r="O54" s="18">
        <v>25852</v>
      </c>
      <c r="P54" s="18">
        <f t="shared" si="10"/>
        <v>118.20000000000073</v>
      </c>
      <c r="Q54" s="18">
        <f t="shared" si="11"/>
        <v>118.5</v>
      </c>
      <c r="R54" s="18">
        <f t="shared" si="12"/>
        <v>137.90000000000009</v>
      </c>
      <c r="S54" s="18">
        <f t="shared" si="13"/>
        <v>137.40000000000009</v>
      </c>
      <c r="T54" s="31">
        <f t="shared" si="14"/>
        <v>9659.4000000000233</v>
      </c>
      <c r="U54" s="18">
        <f t="shared" si="15"/>
        <v>1969</v>
      </c>
      <c r="V54" s="18">
        <f t="shared" si="16"/>
        <v>216</v>
      </c>
      <c r="W54" s="18">
        <f t="shared" si="17"/>
        <v>-73</v>
      </c>
      <c r="AD54" s="9"/>
    </row>
    <row r="55" spans="1:30" ht="13.15" customHeight="1" x14ac:dyDescent="0.2">
      <c r="A55" s="9">
        <v>41365</v>
      </c>
      <c r="B55">
        <f t="shared" si="2"/>
        <v>2013</v>
      </c>
      <c r="C55" t="str">
        <f t="shared" si="9"/>
        <v>Q2</v>
      </c>
      <c r="D55" s="18">
        <v>6794.3</v>
      </c>
      <c r="E55" s="18">
        <v>6706.3</v>
      </c>
      <c r="F55" s="18">
        <v>3057</v>
      </c>
      <c r="G55" s="18">
        <v>3026.3</v>
      </c>
      <c r="H55" s="18">
        <v>378.2</v>
      </c>
      <c r="I55" s="18">
        <v>375.8</v>
      </c>
      <c r="J55" s="18">
        <v>691682.6</v>
      </c>
      <c r="K55" s="18">
        <v>530845.30000000005</v>
      </c>
      <c r="L55" s="18">
        <v>45517.9</v>
      </c>
      <c r="M55" s="8">
        <v>689512</v>
      </c>
      <c r="N55" s="8">
        <v>528562</v>
      </c>
      <c r="O55" s="18">
        <v>26194</v>
      </c>
      <c r="P55" s="18">
        <f t="shared" si="10"/>
        <v>113.30000000000018</v>
      </c>
      <c r="Q55" s="18">
        <f t="shared" si="11"/>
        <v>112</v>
      </c>
      <c r="R55" s="18">
        <f t="shared" si="12"/>
        <v>144.5</v>
      </c>
      <c r="S55" s="18">
        <f t="shared" si="13"/>
        <v>143.30000000000018</v>
      </c>
      <c r="T55" s="31">
        <f t="shared" si="14"/>
        <v>9659.4000000000233</v>
      </c>
      <c r="U55" s="18">
        <f t="shared" si="15"/>
        <v>5357</v>
      </c>
      <c r="V55" s="18">
        <f t="shared" si="16"/>
        <v>4067</v>
      </c>
      <c r="W55" s="18">
        <f t="shared" si="17"/>
        <v>342</v>
      </c>
      <c r="AD55" s="9"/>
    </row>
    <row r="56" spans="1:30" ht="13.15" customHeight="1" x14ac:dyDescent="0.2">
      <c r="A56" s="9">
        <v>41395</v>
      </c>
      <c r="B56">
        <f t="shared" si="2"/>
        <v>2013</v>
      </c>
      <c r="C56" t="str">
        <f t="shared" si="9"/>
        <v>Q2</v>
      </c>
      <c r="D56" s="18">
        <v>6795.3</v>
      </c>
      <c r="E56" s="18">
        <v>6764.2</v>
      </c>
      <c r="F56" s="18">
        <v>3073.7</v>
      </c>
      <c r="G56" s="18">
        <v>3059.1</v>
      </c>
      <c r="H56" s="18">
        <v>376.8</v>
      </c>
      <c r="I56" s="18">
        <v>375.2</v>
      </c>
      <c r="J56" s="18">
        <v>691682.6</v>
      </c>
      <c r="K56" s="18">
        <v>530845.30000000005</v>
      </c>
      <c r="L56" s="18">
        <v>45517.9</v>
      </c>
      <c r="M56" s="8">
        <v>689512</v>
      </c>
      <c r="N56" s="8">
        <v>528562</v>
      </c>
      <c r="O56" s="18">
        <v>26194</v>
      </c>
      <c r="P56" s="18">
        <f t="shared" si="10"/>
        <v>105.10000000000036</v>
      </c>
      <c r="Q56" s="18">
        <f t="shared" si="11"/>
        <v>106.59999999999945</v>
      </c>
      <c r="R56" s="18">
        <f t="shared" si="12"/>
        <v>155.79999999999973</v>
      </c>
      <c r="S56" s="18">
        <f t="shared" si="13"/>
        <v>156.79999999999973</v>
      </c>
      <c r="T56" s="31">
        <f t="shared" si="14"/>
        <v>9659.4000000000233</v>
      </c>
      <c r="U56" s="18">
        <f t="shared" si="15"/>
        <v>5357</v>
      </c>
      <c r="V56" s="18">
        <f t="shared" si="16"/>
        <v>4067</v>
      </c>
      <c r="W56" s="18">
        <f t="shared" si="17"/>
        <v>342</v>
      </c>
      <c r="AD56" s="9"/>
    </row>
    <row r="57" spans="1:30" ht="13.15" customHeight="1" x14ac:dyDescent="0.2">
      <c r="A57" s="9">
        <v>41426</v>
      </c>
      <c r="B57">
        <f t="shared" si="2"/>
        <v>2013</v>
      </c>
      <c r="C57" t="str">
        <f t="shared" si="9"/>
        <v>Q2</v>
      </c>
      <c r="D57" s="18">
        <v>6807.1</v>
      </c>
      <c r="E57" s="18">
        <v>6849.6</v>
      </c>
      <c r="F57" s="18">
        <v>3092.4</v>
      </c>
      <c r="G57" s="18">
        <v>3103.8</v>
      </c>
      <c r="H57" s="18">
        <v>374.6</v>
      </c>
      <c r="I57" s="18">
        <v>376.2</v>
      </c>
      <c r="J57" s="18">
        <v>691682.6</v>
      </c>
      <c r="K57" s="18">
        <v>530845.30000000005</v>
      </c>
      <c r="L57" s="18">
        <v>45517.9</v>
      </c>
      <c r="M57" s="8">
        <v>689512</v>
      </c>
      <c r="N57" s="8">
        <v>528562</v>
      </c>
      <c r="O57" s="18">
        <v>26194</v>
      </c>
      <c r="P57" s="18">
        <f t="shared" si="10"/>
        <v>121.70000000000073</v>
      </c>
      <c r="Q57" s="18">
        <f t="shared" si="11"/>
        <v>122.10000000000036</v>
      </c>
      <c r="R57" s="18">
        <f t="shared" si="12"/>
        <v>163.80000000000018</v>
      </c>
      <c r="S57" s="18">
        <f t="shared" si="13"/>
        <v>166</v>
      </c>
      <c r="T57" s="31">
        <f t="shared" si="14"/>
        <v>9659.4000000000233</v>
      </c>
      <c r="U57" s="18">
        <f t="shared" si="15"/>
        <v>5357</v>
      </c>
      <c r="V57" s="18">
        <f t="shared" si="16"/>
        <v>4067</v>
      </c>
      <c r="W57" s="18">
        <f t="shared" si="17"/>
        <v>342</v>
      </c>
      <c r="AD57" s="9"/>
    </row>
    <row r="58" spans="1:30" ht="13.15" customHeight="1" x14ac:dyDescent="0.2">
      <c r="A58" s="9">
        <v>41456</v>
      </c>
      <c r="B58">
        <f t="shared" si="2"/>
        <v>2013</v>
      </c>
      <c r="C58" t="str">
        <f t="shared" si="9"/>
        <v>Q3</v>
      </c>
      <c r="D58" s="18">
        <v>6810.7</v>
      </c>
      <c r="E58" s="18">
        <v>6898</v>
      </c>
      <c r="F58" s="18">
        <v>3100</v>
      </c>
      <c r="G58" s="18">
        <v>3122.7</v>
      </c>
      <c r="H58" s="18">
        <v>371.6</v>
      </c>
      <c r="I58" s="18">
        <v>375.1</v>
      </c>
      <c r="J58" s="18">
        <v>691682.6</v>
      </c>
      <c r="K58" s="18">
        <v>530845.30000000005</v>
      </c>
      <c r="L58" s="18">
        <v>45517.9</v>
      </c>
      <c r="M58" s="8">
        <v>694293</v>
      </c>
      <c r="N58" s="8">
        <v>533787</v>
      </c>
      <c r="O58" s="18">
        <v>26379</v>
      </c>
      <c r="P58" s="18">
        <f t="shared" si="10"/>
        <v>123</v>
      </c>
      <c r="Q58" s="18">
        <f t="shared" si="11"/>
        <v>125.10000000000036</v>
      </c>
      <c r="R58" s="18">
        <f t="shared" si="12"/>
        <v>150.80000000000018</v>
      </c>
      <c r="S58" s="18">
        <f t="shared" si="13"/>
        <v>156.79999999999973</v>
      </c>
      <c r="T58" s="31">
        <f t="shared" si="14"/>
        <v>9659.4000000000233</v>
      </c>
      <c r="U58" s="18">
        <f t="shared" si="15"/>
        <v>4781</v>
      </c>
      <c r="V58" s="18">
        <f t="shared" si="16"/>
        <v>5225</v>
      </c>
      <c r="W58" s="18">
        <f t="shared" si="17"/>
        <v>185</v>
      </c>
      <c r="AD58" s="9"/>
    </row>
    <row r="59" spans="1:30" ht="13.15" customHeight="1" x14ac:dyDescent="0.2">
      <c r="A59" s="9">
        <v>41487</v>
      </c>
      <c r="B59">
        <f t="shared" si="2"/>
        <v>2013</v>
      </c>
      <c r="C59" t="str">
        <f t="shared" si="9"/>
        <v>Q3</v>
      </c>
      <c r="D59" s="18">
        <v>6812.5</v>
      </c>
      <c r="E59" s="18">
        <v>6910.2</v>
      </c>
      <c r="F59" s="18">
        <v>3110.2</v>
      </c>
      <c r="G59" s="18">
        <v>3145.2</v>
      </c>
      <c r="H59" s="18">
        <v>363.2</v>
      </c>
      <c r="I59" s="18">
        <v>364.9</v>
      </c>
      <c r="J59" s="18">
        <v>691682.6</v>
      </c>
      <c r="K59" s="18">
        <v>530845.30000000005</v>
      </c>
      <c r="L59" s="18">
        <v>45517.9</v>
      </c>
      <c r="M59" s="8">
        <v>694293</v>
      </c>
      <c r="N59" s="8">
        <v>533787</v>
      </c>
      <c r="O59" s="18">
        <v>26379</v>
      </c>
      <c r="P59" s="18">
        <f t="shared" si="10"/>
        <v>115.80000000000018</v>
      </c>
      <c r="Q59" s="18">
        <f t="shared" si="11"/>
        <v>117.39999999999964</v>
      </c>
      <c r="R59" s="18">
        <f t="shared" si="12"/>
        <v>141.79999999999973</v>
      </c>
      <c r="S59" s="18">
        <f t="shared" si="13"/>
        <v>147.29999999999973</v>
      </c>
      <c r="T59" s="31">
        <f t="shared" si="14"/>
        <v>9659.4000000000233</v>
      </c>
      <c r="U59" s="18">
        <f t="shared" si="15"/>
        <v>4781</v>
      </c>
      <c r="V59" s="18">
        <f t="shared" si="16"/>
        <v>5225</v>
      </c>
      <c r="W59" s="18">
        <f t="shared" si="17"/>
        <v>185</v>
      </c>
      <c r="AD59" s="9"/>
    </row>
    <row r="60" spans="1:30" ht="13.15" customHeight="1" x14ac:dyDescent="0.2">
      <c r="A60" s="9">
        <v>41518</v>
      </c>
      <c r="B60">
        <f t="shared" si="2"/>
        <v>2013</v>
      </c>
      <c r="C60" t="str">
        <f t="shared" si="9"/>
        <v>Q3</v>
      </c>
      <c r="D60" s="18">
        <v>6813.6</v>
      </c>
      <c r="E60" s="18">
        <v>6881.2</v>
      </c>
      <c r="F60" s="18">
        <v>3116.8</v>
      </c>
      <c r="G60" s="18">
        <v>3143.4</v>
      </c>
      <c r="H60" s="18">
        <v>360.6</v>
      </c>
      <c r="I60" s="18">
        <v>361.5</v>
      </c>
      <c r="J60" s="18">
        <v>691682.6</v>
      </c>
      <c r="K60" s="18">
        <v>530845.30000000005</v>
      </c>
      <c r="L60" s="18">
        <v>45517.9</v>
      </c>
      <c r="M60" s="8">
        <v>694293</v>
      </c>
      <c r="N60" s="8">
        <v>533787</v>
      </c>
      <c r="O60" s="18">
        <v>26379</v>
      </c>
      <c r="P60" s="18">
        <f t="shared" si="10"/>
        <v>99</v>
      </c>
      <c r="Q60" s="18">
        <f t="shared" si="11"/>
        <v>112.09999999999945</v>
      </c>
      <c r="R60" s="18">
        <f t="shared" si="12"/>
        <v>131.20000000000027</v>
      </c>
      <c r="S60" s="18">
        <f t="shared" si="13"/>
        <v>141.90000000000009</v>
      </c>
      <c r="T60" s="31">
        <f t="shared" si="14"/>
        <v>9659.4000000000233</v>
      </c>
      <c r="U60" s="18">
        <f t="shared" si="15"/>
        <v>4781</v>
      </c>
      <c r="V60" s="18">
        <f t="shared" si="16"/>
        <v>5225</v>
      </c>
      <c r="W60" s="18">
        <f t="shared" si="17"/>
        <v>185</v>
      </c>
      <c r="AD60" s="9"/>
    </row>
    <row r="61" spans="1:30" ht="13.15" customHeight="1" x14ac:dyDescent="0.2">
      <c r="A61" s="9">
        <v>41548</v>
      </c>
      <c r="B61">
        <f t="shared" si="2"/>
        <v>2013</v>
      </c>
      <c r="C61" t="str">
        <f t="shared" si="9"/>
        <v>Q4</v>
      </c>
      <c r="D61" s="18">
        <v>6820.5</v>
      </c>
      <c r="E61" s="18">
        <v>6866.5</v>
      </c>
      <c r="F61" s="18">
        <v>3116</v>
      </c>
      <c r="G61" s="18">
        <v>3136</v>
      </c>
      <c r="H61" s="18">
        <v>362.1</v>
      </c>
      <c r="I61" s="18">
        <v>364.2</v>
      </c>
      <c r="J61" s="18">
        <v>691682.6</v>
      </c>
      <c r="K61" s="18">
        <v>530845.30000000005</v>
      </c>
      <c r="L61" s="18">
        <v>45517.9</v>
      </c>
      <c r="M61" s="8">
        <v>698770</v>
      </c>
      <c r="N61" s="8">
        <v>536538</v>
      </c>
      <c r="O61" s="18">
        <v>26859</v>
      </c>
      <c r="P61" s="18">
        <f t="shared" si="10"/>
        <v>101.39999999999964</v>
      </c>
      <c r="Q61" s="18">
        <f t="shared" si="11"/>
        <v>117.80000000000018</v>
      </c>
      <c r="R61" s="18">
        <f t="shared" si="12"/>
        <v>113.90000000000009</v>
      </c>
      <c r="S61" s="18">
        <f t="shared" si="13"/>
        <v>123.30000000000018</v>
      </c>
      <c r="T61" s="31">
        <f t="shared" si="14"/>
        <v>9659.4000000000233</v>
      </c>
      <c r="U61" s="18">
        <f t="shared" si="15"/>
        <v>4477</v>
      </c>
      <c r="V61" s="18">
        <f t="shared" si="16"/>
        <v>2751</v>
      </c>
      <c r="W61" s="18">
        <f t="shared" si="17"/>
        <v>480</v>
      </c>
      <c r="AD61" s="9"/>
    </row>
    <row r="62" spans="1:30" ht="13.15" customHeight="1" x14ac:dyDescent="0.2">
      <c r="A62" s="9">
        <v>41579</v>
      </c>
      <c r="B62">
        <f t="shared" si="2"/>
        <v>2013</v>
      </c>
      <c r="C62" t="str">
        <f t="shared" si="9"/>
        <v>Q4</v>
      </c>
      <c r="D62" s="18">
        <v>6822</v>
      </c>
      <c r="E62" s="18">
        <v>6838.5</v>
      </c>
      <c r="F62" s="18">
        <v>3113.4</v>
      </c>
      <c r="G62" s="18">
        <v>3119.8</v>
      </c>
      <c r="H62" s="18">
        <v>365.4</v>
      </c>
      <c r="I62" s="18">
        <v>369</v>
      </c>
      <c r="J62" s="18">
        <v>691682.6</v>
      </c>
      <c r="K62" s="18">
        <v>530845.30000000005</v>
      </c>
      <c r="L62" s="18">
        <v>45517.9</v>
      </c>
      <c r="M62" s="8">
        <v>698770</v>
      </c>
      <c r="N62" s="8">
        <v>536538</v>
      </c>
      <c r="O62" s="18">
        <v>26859</v>
      </c>
      <c r="P62" s="18">
        <f t="shared" si="10"/>
        <v>89</v>
      </c>
      <c r="Q62" s="18">
        <f t="shared" si="11"/>
        <v>102.30000000000018</v>
      </c>
      <c r="R62" s="18">
        <f t="shared" si="12"/>
        <v>93.900000000000091</v>
      </c>
      <c r="S62" s="18">
        <f t="shared" si="13"/>
        <v>100.80000000000018</v>
      </c>
      <c r="T62" s="31">
        <f t="shared" si="14"/>
        <v>9659.4000000000233</v>
      </c>
      <c r="U62" s="18">
        <f t="shared" si="15"/>
        <v>4477</v>
      </c>
      <c r="V62" s="18">
        <f t="shared" si="16"/>
        <v>2751</v>
      </c>
      <c r="W62" s="18">
        <f t="shared" si="17"/>
        <v>480</v>
      </c>
      <c r="AD62" s="9"/>
    </row>
    <row r="63" spans="1:30" ht="13.15" customHeight="1" x14ac:dyDescent="0.2">
      <c r="A63" s="9">
        <v>41609</v>
      </c>
      <c r="B63">
        <f t="shared" si="2"/>
        <v>2013</v>
      </c>
      <c r="C63" t="str">
        <f t="shared" si="9"/>
        <v>Q4</v>
      </c>
      <c r="D63" s="18">
        <v>6816.6</v>
      </c>
      <c r="E63" s="18">
        <v>6818.9</v>
      </c>
      <c r="F63" s="18">
        <v>3108.4</v>
      </c>
      <c r="G63" s="18">
        <v>3114.3</v>
      </c>
      <c r="H63" s="18">
        <v>368.4</v>
      </c>
      <c r="I63" s="18">
        <v>373</v>
      </c>
      <c r="J63" s="18">
        <v>691682.6</v>
      </c>
      <c r="K63" s="18">
        <v>530845.30000000005</v>
      </c>
      <c r="L63" s="18">
        <v>45517.9</v>
      </c>
      <c r="M63" s="8">
        <v>698770</v>
      </c>
      <c r="N63" s="8">
        <v>536538</v>
      </c>
      <c r="O63" s="18">
        <v>26859</v>
      </c>
      <c r="P63" s="18">
        <f t="shared" si="10"/>
        <v>66.600000000000364</v>
      </c>
      <c r="Q63" s="18">
        <f t="shared" si="11"/>
        <v>63</v>
      </c>
      <c r="R63" s="18">
        <f t="shared" si="12"/>
        <v>78.099999999999909</v>
      </c>
      <c r="S63" s="18">
        <f t="shared" si="13"/>
        <v>80.700000000000273</v>
      </c>
      <c r="T63" s="31">
        <f t="shared" si="14"/>
        <v>9659.4000000000233</v>
      </c>
      <c r="U63" s="18">
        <f t="shared" si="15"/>
        <v>4477</v>
      </c>
      <c r="V63" s="18">
        <f t="shared" si="16"/>
        <v>2751</v>
      </c>
      <c r="W63" s="18">
        <f t="shared" si="17"/>
        <v>480</v>
      </c>
      <c r="AD63" s="9"/>
    </row>
    <row r="64" spans="1:30" ht="13.15" customHeight="1" x14ac:dyDescent="0.2">
      <c r="A64" s="9">
        <v>41640</v>
      </c>
      <c r="B64">
        <f t="shared" si="2"/>
        <v>2014</v>
      </c>
      <c r="C64" t="str">
        <f t="shared" si="9"/>
        <v>Q1</v>
      </c>
      <c r="D64" s="18">
        <v>6812.5</v>
      </c>
      <c r="E64" s="18">
        <v>6770.4</v>
      </c>
      <c r="F64" s="18">
        <v>3085.3</v>
      </c>
      <c r="G64" s="18">
        <v>3073.2</v>
      </c>
      <c r="H64" s="18">
        <v>370.5</v>
      </c>
      <c r="I64" s="18">
        <v>371.9</v>
      </c>
      <c r="J64" s="18">
        <v>708787.6</v>
      </c>
      <c r="K64" s="18">
        <v>544049.6</v>
      </c>
      <c r="L64" s="18">
        <v>47639.4</v>
      </c>
      <c r="M64" s="8">
        <v>699057</v>
      </c>
      <c r="N64" s="8">
        <v>536675</v>
      </c>
      <c r="O64" s="18">
        <v>27142</v>
      </c>
      <c r="P64" s="18">
        <f t="shared" si="10"/>
        <v>48.300000000000182</v>
      </c>
      <c r="Q64" s="18">
        <f t="shared" si="11"/>
        <v>40.199999999999818</v>
      </c>
      <c r="R64" s="18">
        <f t="shared" si="12"/>
        <v>47.300000000000182</v>
      </c>
      <c r="S64" s="18">
        <f t="shared" si="13"/>
        <v>42.899999999999636</v>
      </c>
      <c r="T64" s="31">
        <f t="shared" si="14"/>
        <v>17105</v>
      </c>
      <c r="U64" s="18">
        <f t="shared" si="15"/>
        <v>287</v>
      </c>
      <c r="V64" s="18">
        <f t="shared" si="16"/>
        <v>137</v>
      </c>
      <c r="W64" s="18">
        <f t="shared" si="17"/>
        <v>283</v>
      </c>
      <c r="AD64" s="9"/>
    </row>
    <row r="65" spans="1:30" ht="13.15" customHeight="1" x14ac:dyDescent="0.2">
      <c r="A65" s="9">
        <v>41671</v>
      </c>
      <c r="B65">
        <f t="shared" si="2"/>
        <v>2014</v>
      </c>
      <c r="C65" t="str">
        <f t="shared" si="9"/>
        <v>Q1</v>
      </c>
      <c r="D65" s="18">
        <v>6810.3</v>
      </c>
      <c r="E65" s="18">
        <v>6732.3</v>
      </c>
      <c r="F65" s="18">
        <v>3086.4</v>
      </c>
      <c r="G65" s="18">
        <v>3059.5</v>
      </c>
      <c r="H65" s="18">
        <v>375.6</v>
      </c>
      <c r="I65" s="18">
        <v>376.9</v>
      </c>
      <c r="J65" s="18">
        <v>708787.6</v>
      </c>
      <c r="K65" s="18">
        <v>544049.6</v>
      </c>
      <c r="L65" s="18">
        <v>47639.4</v>
      </c>
      <c r="M65" s="8">
        <v>699057</v>
      </c>
      <c r="N65" s="8">
        <v>536675</v>
      </c>
      <c r="O65" s="18">
        <v>27142</v>
      </c>
      <c r="P65" s="18">
        <f t="shared" si="10"/>
        <v>23.400000000000546</v>
      </c>
      <c r="Q65" s="18">
        <f t="shared" si="11"/>
        <v>19.100000000000364</v>
      </c>
      <c r="R65" s="18">
        <f t="shared" si="12"/>
        <v>44.700000000000273</v>
      </c>
      <c r="S65" s="18">
        <f t="shared" si="13"/>
        <v>41.300000000000182</v>
      </c>
      <c r="T65" s="31">
        <f t="shared" si="14"/>
        <v>17105</v>
      </c>
      <c r="U65" s="18">
        <f t="shared" si="15"/>
        <v>287</v>
      </c>
      <c r="V65" s="18">
        <f t="shared" si="16"/>
        <v>137</v>
      </c>
      <c r="W65" s="18">
        <f t="shared" si="17"/>
        <v>283</v>
      </c>
      <c r="AD65" s="9"/>
    </row>
    <row r="66" spans="1:30" ht="13.15" customHeight="1" x14ac:dyDescent="0.2">
      <c r="A66" s="9">
        <v>41699</v>
      </c>
      <c r="B66">
        <f t="shared" si="2"/>
        <v>2014</v>
      </c>
      <c r="C66" t="str">
        <f t="shared" si="9"/>
        <v>Q1</v>
      </c>
      <c r="D66" s="18">
        <v>6810.9</v>
      </c>
      <c r="E66" s="18">
        <v>6704.5</v>
      </c>
      <c r="F66" s="18">
        <v>3087.1</v>
      </c>
      <c r="G66" s="18">
        <v>3043</v>
      </c>
      <c r="H66" s="18">
        <v>379.1</v>
      </c>
      <c r="I66" s="18">
        <v>376.9</v>
      </c>
      <c r="J66" s="18">
        <v>708787.6</v>
      </c>
      <c r="K66" s="18">
        <v>544049.6</v>
      </c>
      <c r="L66" s="18">
        <v>47639.4</v>
      </c>
      <c r="M66" s="8">
        <v>699057</v>
      </c>
      <c r="N66" s="8">
        <v>536675</v>
      </c>
      <c r="O66" s="18">
        <v>27142</v>
      </c>
      <c r="P66" s="18">
        <f t="shared" si="10"/>
        <v>24.799999999999272</v>
      </c>
      <c r="Q66" s="18">
        <f t="shared" si="11"/>
        <v>26.800000000000182</v>
      </c>
      <c r="R66" s="18">
        <f t="shared" si="12"/>
        <v>41.799999999999727</v>
      </c>
      <c r="S66" s="18">
        <f t="shared" si="13"/>
        <v>36</v>
      </c>
      <c r="T66" s="31">
        <f t="shared" si="14"/>
        <v>17105</v>
      </c>
      <c r="U66" s="18">
        <f t="shared" si="15"/>
        <v>287</v>
      </c>
      <c r="V66" s="18">
        <f t="shared" si="16"/>
        <v>137</v>
      </c>
      <c r="W66" s="18">
        <f t="shared" si="17"/>
        <v>283</v>
      </c>
      <c r="AD66" s="9"/>
    </row>
    <row r="67" spans="1:30" ht="13.15" customHeight="1" x14ac:dyDescent="0.2">
      <c r="A67" s="9">
        <v>41730</v>
      </c>
      <c r="B67">
        <f t="shared" si="2"/>
        <v>2014</v>
      </c>
      <c r="C67" t="str">
        <f t="shared" si="9"/>
        <v>Q2</v>
      </c>
      <c r="D67" s="18">
        <v>6819.5</v>
      </c>
      <c r="E67" s="18">
        <v>6732.1</v>
      </c>
      <c r="F67" s="18">
        <v>3093.9</v>
      </c>
      <c r="G67" s="18">
        <v>3061.5</v>
      </c>
      <c r="H67" s="18">
        <v>378.3</v>
      </c>
      <c r="I67" s="18">
        <v>376.4</v>
      </c>
      <c r="J67" s="18">
        <v>708787.6</v>
      </c>
      <c r="K67" s="18">
        <v>544049.6</v>
      </c>
      <c r="L67" s="18">
        <v>47639.4</v>
      </c>
      <c r="M67" s="8">
        <v>705966</v>
      </c>
      <c r="N67" s="8">
        <v>541346</v>
      </c>
      <c r="O67" s="18">
        <v>27915</v>
      </c>
      <c r="P67" s="18">
        <f t="shared" si="10"/>
        <v>25.199999999999818</v>
      </c>
      <c r="Q67" s="18">
        <f t="shared" si="11"/>
        <v>25.800000000000182</v>
      </c>
      <c r="R67" s="18">
        <f t="shared" si="12"/>
        <v>36.900000000000091</v>
      </c>
      <c r="S67" s="18">
        <f t="shared" si="13"/>
        <v>35.199999999999818</v>
      </c>
      <c r="T67" s="31">
        <f t="shared" si="14"/>
        <v>17105</v>
      </c>
      <c r="U67" s="18">
        <f t="shared" si="15"/>
        <v>6909</v>
      </c>
      <c r="V67" s="18">
        <f t="shared" si="16"/>
        <v>4671</v>
      </c>
      <c r="W67" s="18">
        <f t="shared" si="17"/>
        <v>773</v>
      </c>
      <c r="AD67" s="9"/>
    </row>
    <row r="68" spans="1:30" ht="13.15" customHeight="1" x14ac:dyDescent="0.2">
      <c r="A68" s="9">
        <v>41760</v>
      </c>
      <c r="B68">
        <f t="shared" si="2"/>
        <v>2014</v>
      </c>
      <c r="C68" t="str">
        <f t="shared" si="9"/>
        <v>Q2</v>
      </c>
      <c r="D68" s="18">
        <v>6821.5</v>
      </c>
      <c r="E68" s="18">
        <v>6790.3</v>
      </c>
      <c r="F68" s="18">
        <v>3081.2</v>
      </c>
      <c r="G68" s="18">
        <v>3069</v>
      </c>
      <c r="H68" s="18">
        <v>376.1</v>
      </c>
      <c r="I68" s="18">
        <v>374</v>
      </c>
      <c r="J68" s="18">
        <v>708787.6</v>
      </c>
      <c r="K68" s="18">
        <v>544049.6</v>
      </c>
      <c r="L68" s="18">
        <v>47639.4</v>
      </c>
      <c r="M68" s="8">
        <v>705966</v>
      </c>
      <c r="N68" s="8">
        <v>541346</v>
      </c>
      <c r="O68" s="18">
        <v>27915</v>
      </c>
      <c r="P68" s="18">
        <f t="shared" si="10"/>
        <v>26.199999999999818</v>
      </c>
      <c r="Q68" s="18">
        <f t="shared" si="11"/>
        <v>26.100000000000364</v>
      </c>
      <c r="R68" s="18">
        <f t="shared" si="12"/>
        <v>7.5</v>
      </c>
      <c r="S68" s="18">
        <f t="shared" si="13"/>
        <v>9.9000000000000909</v>
      </c>
      <c r="T68" s="31">
        <f t="shared" si="14"/>
        <v>17105</v>
      </c>
      <c r="U68" s="18">
        <f t="shared" si="15"/>
        <v>6909</v>
      </c>
      <c r="V68" s="18">
        <f t="shared" si="16"/>
        <v>4671</v>
      </c>
      <c r="W68" s="18">
        <f t="shared" si="17"/>
        <v>773</v>
      </c>
      <c r="AD68" s="9"/>
    </row>
    <row r="69" spans="1:30" ht="13.15" customHeight="1" x14ac:dyDescent="0.2">
      <c r="A69" s="9">
        <v>41791</v>
      </c>
      <c r="B69">
        <f t="shared" ref="B69:B123" si="18">YEAR(A69)</f>
        <v>2014</v>
      </c>
      <c r="C69" t="str">
        <f t="shared" si="9"/>
        <v>Q2</v>
      </c>
      <c r="D69" s="18">
        <v>6826.1</v>
      </c>
      <c r="E69" s="18">
        <v>6875.4</v>
      </c>
      <c r="F69" s="18">
        <v>3066.4</v>
      </c>
      <c r="G69" s="18">
        <v>3085.3</v>
      </c>
      <c r="H69" s="18">
        <v>376.9</v>
      </c>
      <c r="I69" s="18">
        <v>377.5</v>
      </c>
      <c r="J69" s="18">
        <v>708787.6</v>
      </c>
      <c r="K69" s="18">
        <v>544049.6</v>
      </c>
      <c r="L69" s="18">
        <v>47639.4</v>
      </c>
      <c r="M69" s="8">
        <v>705966</v>
      </c>
      <c r="N69" s="8">
        <v>541346</v>
      </c>
      <c r="O69" s="18">
        <v>27915</v>
      </c>
      <c r="P69" s="18">
        <f t="shared" si="10"/>
        <v>19</v>
      </c>
      <c r="Q69" s="18">
        <f t="shared" si="11"/>
        <v>25.799999999999272</v>
      </c>
      <c r="R69" s="18">
        <f t="shared" si="12"/>
        <v>-26</v>
      </c>
      <c r="S69" s="18">
        <f t="shared" si="13"/>
        <v>-18.5</v>
      </c>
      <c r="T69" s="31">
        <f t="shared" si="14"/>
        <v>17105</v>
      </c>
      <c r="U69" s="18">
        <f t="shared" si="15"/>
        <v>6909</v>
      </c>
      <c r="V69" s="18">
        <f t="shared" si="16"/>
        <v>4671</v>
      </c>
      <c r="W69" s="18">
        <f t="shared" si="17"/>
        <v>773</v>
      </c>
      <c r="AD69" s="9"/>
    </row>
    <row r="70" spans="1:30" ht="13.15" customHeight="1" x14ac:dyDescent="0.2">
      <c r="A70" s="9">
        <v>41821</v>
      </c>
      <c r="B70">
        <f t="shared" si="18"/>
        <v>2014</v>
      </c>
      <c r="C70" t="str">
        <f t="shared" si="9"/>
        <v>Q3</v>
      </c>
      <c r="D70" s="18">
        <v>6836.5</v>
      </c>
      <c r="E70" s="18">
        <v>6932</v>
      </c>
      <c r="F70" s="18">
        <v>3045.3</v>
      </c>
      <c r="G70" s="18">
        <v>3077.5</v>
      </c>
      <c r="H70" s="18">
        <v>379.1</v>
      </c>
      <c r="I70" s="18">
        <v>381.4</v>
      </c>
      <c r="J70" s="18">
        <v>708787.6</v>
      </c>
      <c r="K70" s="18">
        <v>544049.6</v>
      </c>
      <c r="L70" s="18">
        <v>47639.4</v>
      </c>
      <c r="M70" s="8">
        <v>713152</v>
      </c>
      <c r="N70" s="8">
        <v>547090</v>
      </c>
      <c r="O70" s="18">
        <v>28402</v>
      </c>
      <c r="P70" s="18">
        <f t="shared" si="10"/>
        <v>25.800000000000182</v>
      </c>
      <c r="Q70" s="18">
        <f t="shared" si="11"/>
        <v>34</v>
      </c>
      <c r="R70" s="18">
        <f t="shared" si="12"/>
        <v>-54.699999999999818</v>
      </c>
      <c r="S70" s="18">
        <f t="shared" si="13"/>
        <v>-45.199999999999818</v>
      </c>
      <c r="T70" s="31">
        <f t="shared" si="14"/>
        <v>17105</v>
      </c>
      <c r="U70" s="18">
        <f t="shared" si="15"/>
        <v>7186</v>
      </c>
      <c r="V70" s="18">
        <f t="shared" si="16"/>
        <v>5744</v>
      </c>
      <c r="W70" s="18">
        <f t="shared" si="17"/>
        <v>487</v>
      </c>
      <c r="AD70" s="9"/>
    </row>
    <row r="71" spans="1:30" ht="13.15" customHeight="1" x14ac:dyDescent="0.2">
      <c r="A71" s="9">
        <v>41852</v>
      </c>
      <c r="B71">
        <f t="shared" si="18"/>
        <v>2014</v>
      </c>
      <c r="C71" t="str">
        <f t="shared" si="9"/>
        <v>Q3</v>
      </c>
      <c r="D71" s="18">
        <v>6842.5</v>
      </c>
      <c r="E71" s="18">
        <v>6947.8</v>
      </c>
      <c r="F71" s="18">
        <v>3037.4</v>
      </c>
      <c r="G71" s="18">
        <v>3079.7</v>
      </c>
      <c r="H71" s="18">
        <v>381.2</v>
      </c>
      <c r="I71" s="18">
        <v>383</v>
      </c>
      <c r="J71" s="18">
        <v>708787.6</v>
      </c>
      <c r="K71" s="18">
        <v>544049.6</v>
      </c>
      <c r="L71" s="18">
        <v>47639.4</v>
      </c>
      <c r="M71" s="8">
        <v>713152</v>
      </c>
      <c r="N71" s="8">
        <v>547090</v>
      </c>
      <c r="O71" s="18">
        <v>28402</v>
      </c>
      <c r="P71" s="18">
        <f t="shared" si="10"/>
        <v>30</v>
      </c>
      <c r="Q71" s="18">
        <f t="shared" si="11"/>
        <v>37.600000000000364</v>
      </c>
      <c r="R71" s="18">
        <f t="shared" si="12"/>
        <v>-72.799999999999727</v>
      </c>
      <c r="S71" s="18">
        <f t="shared" si="13"/>
        <v>-65.5</v>
      </c>
      <c r="T71" s="31">
        <f t="shared" si="14"/>
        <v>17105</v>
      </c>
      <c r="U71" s="18">
        <f t="shared" si="15"/>
        <v>7186</v>
      </c>
      <c r="V71" s="18">
        <f t="shared" si="16"/>
        <v>5744</v>
      </c>
      <c r="W71" s="18">
        <f t="shared" si="17"/>
        <v>487</v>
      </c>
      <c r="AD71" s="9"/>
    </row>
    <row r="72" spans="1:30" ht="13.15" customHeight="1" x14ac:dyDescent="0.2">
      <c r="A72" s="9">
        <v>41883</v>
      </c>
      <c r="B72">
        <f t="shared" si="18"/>
        <v>2014</v>
      </c>
      <c r="C72" t="str">
        <f t="shared" si="9"/>
        <v>Q3</v>
      </c>
      <c r="D72" s="18">
        <v>6853.6</v>
      </c>
      <c r="E72" s="18">
        <v>6917.2</v>
      </c>
      <c r="F72" s="18">
        <v>3035.8</v>
      </c>
      <c r="G72" s="18">
        <v>3066</v>
      </c>
      <c r="H72" s="18">
        <v>379.8</v>
      </c>
      <c r="I72" s="18">
        <v>381.4</v>
      </c>
      <c r="J72" s="18">
        <v>708787.6</v>
      </c>
      <c r="K72" s="18">
        <v>544049.6</v>
      </c>
      <c r="L72" s="18">
        <v>47639.4</v>
      </c>
      <c r="M72" s="8">
        <v>713152</v>
      </c>
      <c r="N72" s="8">
        <v>547090</v>
      </c>
      <c r="O72" s="18">
        <v>28402</v>
      </c>
      <c r="P72" s="18">
        <f t="shared" si="10"/>
        <v>40</v>
      </c>
      <c r="Q72" s="18">
        <f t="shared" si="11"/>
        <v>36</v>
      </c>
      <c r="R72" s="18">
        <f t="shared" si="12"/>
        <v>-81</v>
      </c>
      <c r="S72" s="18">
        <f t="shared" si="13"/>
        <v>-77.400000000000091</v>
      </c>
      <c r="T72" s="31">
        <f t="shared" si="14"/>
        <v>17105</v>
      </c>
      <c r="U72" s="18">
        <f t="shared" si="15"/>
        <v>7186</v>
      </c>
      <c r="V72" s="18">
        <f t="shared" si="16"/>
        <v>5744</v>
      </c>
      <c r="W72" s="18">
        <f t="shared" si="17"/>
        <v>487</v>
      </c>
      <c r="AD72" s="9"/>
    </row>
    <row r="73" spans="1:30" ht="13.15" customHeight="1" x14ac:dyDescent="0.2">
      <c r="A73" s="9">
        <v>41913</v>
      </c>
      <c r="B73">
        <f t="shared" si="18"/>
        <v>2014</v>
      </c>
      <c r="C73" t="str">
        <f t="shared" si="9"/>
        <v>Q4</v>
      </c>
      <c r="D73" s="18">
        <v>6856.6</v>
      </c>
      <c r="E73" s="18">
        <v>6898.9</v>
      </c>
      <c r="F73" s="18">
        <v>3043.5</v>
      </c>
      <c r="G73" s="18">
        <v>3062.6</v>
      </c>
      <c r="H73" s="18">
        <v>379.2</v>
      </c>
      <c r="I73" s="18">
        <v>381.3</v>
      </c>
      <c r="J73" s="18">
        <v>708787.6</v>
      </c>
      <c r="K73" s="18">
        <v>544049.6</v>
      </c>
      <c r="L73" s="18">
        <v>47639.4</v>
      </c>
      <c r="M73" s="8">
        <v>716976</v>
      </c>
      <c r="N73" s="8">
        <v>551087</v>
      </c>
      <c r="O73" s="18">
        <v>28776</v>
      </c>
      <c r="P73" s="18">
        <f t="shared" si="10"/>
        <v>36.100000000000364</v>
      </c>
      <c r="Q73" s="18">
        <f t="shared" si="11"/>
        <v>32.399999999999636</v>
      </c>
      <c r="R73" s="18">
        <f t="shared" si="12"/>
        <v>-72.5</v>
      </c>
      <c r="S73" s="18">
        <f t="shared" si="13"/>
        <v>-73.400000000000091</v>
      </c>
      <c r="T73" s="31">
        <f t="shared" si="14"/>
        <v>17105</v>
      </c>
      <c r="U73" s="18">
        <f t="shared" si="15"/>
        <v>3824</v>
      </c>
      <c r="V73" s="18">
        <f t="shared" si="16"/>
        <v>3997</v>
      </c>
      <c r="W73" s="18">
        <f t="shared" si="17"/>
        <v>374</v>
      </c>
      <c r="AD73" s="9"/>
    </row>
    <row r="74" spans="1:30" ht="13.15" customHeight="1" x14ac:dyDescent="0.2">
      <c r="A74" s="9">
        <v>41944</v>
      </c>
      <c r="B74">
        <f t="shared" si="18"/>
        <v>2014</v>
      </c>
      <c r="C74" t="str">
        <f t="shared" si="9"/>
        <v>Q4</v>
      </c>
      <c r="D74" s="18">
        <v>6858.1</v>
      </c>
      <c r="E74" s="18">
        <v>6871.1</v>
      </c>
      <c r="F74" s="18">
        <v>3050.5</v>
      </c>
      <c r="G74" s="18">
        <v>3053.5</v>
      </c>
      <c r="H74" s="18">
        <v>375.6</v>
      </c>
      <c r="I74" s="18">
        <v>378.5</v>
      </c>
      <c r="J74" s="18">
        <v>708787.6</v>
      </c>
      <c r="K74" s="18">
        <v>544049.6</v>
      </c>
      <c r="L74" s="18">
        <v>47639.4</v>
      </c>
      <c r="M74" s="8">
        <v>716976</v>
      </c>
      <c r="N74" s="8">
        <v>551087</v>
      </c>
      <c r="O74" s="18">
        <v>28776</v>
      </c>
      <c r="P74" s="18">
        <f t="shared" si="10"/>
        <v>36.100000000000364</v>
      </c>
      <c r="Q74" s="18">
        <f t="shared" si="11"/>
        <v>32.600000000000364</v>
      </c>
      <c r="R74" s="18">
        <f t="shared" si="12"/>
        <v>-62.900000000000091</v>
      </c>
      <c r="S74" s="18">
        <f t="shared" si="13"/>
        <v>-66.300000000000182</v>
      </c>
      <c r="T74" s="31">
        <f t="shared" si="14"/>
        <v>17105</v>
      </c>
      <c r="U74" s="18">
        <f t="shared" si="15"/>
        <v>3824</v>
      </c>
      <c r="V74" s="18">
        <f t="shared" si="16"/>
        <v>3997</v>
      </c>
      <c r="W74" s="18">
        <f t="shared" si="17"/>
        <v>374</v>
      </c>
      <c r="AD74" s="9"/>
    </row>
    <row r="75" spans="1:30" ht="13.15" customHeight="1" x14ac:dyDescent="0.2">
      <c r="A75" s="9">
        <v>41974</v>
      </c>
      <c r="B75">
        <f t="shared" si="18"/>
        <v>2014</v>
      </c>
      <c r="C75" t="str">
        <f t="shared" si="9"/>
        <v>Q4</v>
      </c>
      <c r="D75" s="18">
        <v>6860</v>
      </c>
      <c r="E75" s="18">
        <v>6863.1</v>
      </c>
      <c r="F75" s="18">
        <v>3052.8</v>
      </c>
      <c r="G75" s="18">
        <v>3053.2</v>
      </c>
      <c r="H75" s="18">
        <v>372.9</v>
      </c>
      <c r="I75" s="18">
        <v>376.7</v>
      </c>
      <c r="J75" s="18">
        <v>708787.6</v>
      </c>
      <c r="K75" s="18">
        <v>544049.6</v>
      </c>
      <c r="L75" s="18">
        <v>47639.4</v>
      </c>
      <c r="M75" s="8">
        <v>716976</v>
      </c>
      <c r="N75" s="8">
        <v>551087</v>
      </c>
      <c r="O75" s="18">
        <v>28776</v>
      </c>
      <c r="P75" s="18">
        <f t="shared" si="10"/>
        <v>43.399999999999636</v>
      </c>
      <c r="Q75" s="18">
        <f t="shared" si="11"/>
        <v>44.200000000000728</v>
      </c>
      <c r="R75" s="18">
        <f t="shared" si="12"/>
        <v>-55.599999999999909</v>
      </c>
      <c r="S75" s="18">
        <f t="shared" si="13"/>
        <v>-61.100000000000364</v>
      </c>
      <c r="T75" s="31">
        <f t="shared" si="14"/>
        <v>17105</v>
      </c>
      <c r="U75" s="18">
        <f t="shared" si="15"/>
        <v>3824</v>
      </c>
      <c r="V75" s="18">
        <f t="shared" si="16"/>
        <v>3997</v>
      </c>
      <c r="W75" s="18">
        <f t="shared" si="17"/>
        <v>374</v>
      </c>
      <c r="AD75" s="9"/>
    </row>
    <row r="76" spans="1:30" ht="13.15" customHeight="1" x14ac:dyDescent="0.2">
      <c r="A76" s="9">
        <v>42005</v>
      </c>
      <c r="B76">
        <f t="shared" si="18"/>
        <v>2015</v>
      </c>
      <c r="C76" t="str">
        <f t="shared" si="9"/>
        <v>Q1</v>
      </c>
      <c r="D76" s="18">
        <v>6851.1</v>
      </c>
      <c r="E76" s="18">
        <v>6809.7</v>
      </c>
      <c r="F76" s="18">
        <v>3051.1</v>
      </c>
      <c r="G76" s="18">
        <v>3037.5</v>
      </c>
      <c r="H76" s="18">
        <v>373</v>
      </c>
      <c r="I76" s="18">
        <v>373.6</v>
      </c>
      <c r="J76" s="18">
        <v>727609.6</v>
      </c>
      <c r="K76" s="18">
        <v>557474</v>
      </c>
      <c r="L76" s="18">
        <v>49299.3</v>
      </c>
      <c r="M76" s="8">
        <v>718587</v>
      </c>
      <c r="N76" s="8">
        <v>551679</v>
      </c>
      <c r="O76" s="18">
        <v>28860</v>
      </c>
      <c r="P76" s="18">
        <f t="shared" si="10"/>
        <v>38.600000000000364</v>
      </c>
      <c r="Q76" s="18">
        <f t="shared" si="11"/>
        <v>39.300000000000182</v>
      </c>
      <c r="R76" s="18">
        <f t="shared" si="12"/>
        <v>-34.200000000000273</v>
      </c>
      <c r="S76" s="18">
        <f t="shared" si="13"/>
        <v>-35.699999999999818</v>
      </c>
      <c r="T76" s="31">
        <f t="shared" si="14"/>
        <v>18822</v>
      </c>
      <c r="U76" s="18">
        <f t="shared" si="15"/>
        <v>1611</v>
      </c>
      <c r="V76" s="18">
        <f t="shared" si="16"/>
        <v>592</v>
      </c>
      <c r="W76" s="18">
        <f t="shared" si="17"/>
        <v>84</v>
      </c>
      <c r="AD76" s="9"/>
    </row>
    <row r="77" spans="1:30" ht="13.15" customHeight="1" x14ac:dyDescent="0.2">
      <c r="A77" s="9">
        <v>42036</v>
      </c>
      <c r="B77">
        <f t="shared" si="18"/>
        <v>2015</v>
      </c>
      <c r="C77" t="str">
        <f t="shared" si="9"/>
        <v>Q1</v>
      </c>
      <c r="D77" s="18">
        <v>6859.2</v>
      </c>
      <c r="E77" s="18">
        <v>6782.7</v>
      </c>
      <c r="F77" s="18">
        <v>3059.7</v>
      </c>
      <c r="G77" s="18">
        <v>3030</v>
      </c>
      <c r="H77" s="18">
        <v>373.1</v>
      </c>
      <c r="I77" s="18">
        <v>371</v>
      </c>
      <c r="J77" s="18">
        <v>727609.6</v>
      </c>
      <c r="K77" s="18">
        <v>557474</v>
      </c>
      <c r="L77" s="18">
        <v>49299.3</v>
      </c>
      <c r="M77" s="8">
        <v>718587</v>
      </c>
      <c r="N77" s="8">
        <v>551679</v>
      </c>
      <c r="O77" s="18">
        <v>28860</v>
      </c>
      <c r="P77" s="18">
        <f t="shared" si="10"/>
        <v>48.899999999999636</v>
      </c>
      <c r="Q77" s="18">
        <f t="shared" si="11"/>
        <v>50.399999999999636</v>
      </c>
      <c r="R77" s="18">
        <f t="shared" si="12"/>
        <v>-26.700000000000273</v>
      </c>
      <c r="S77" s="18">
        <f t="shared" si="13"/>
        <v>-29.5</v>
      </c>
      <c r="T77" s="31">
        <f t="shared" si="14"/>
        <v>18822</v>
      </c>
      <c r="U77" s="18">
        <f t="shared" si="15"/>
        <v>1611</v>
      </c>
      <c r="V77" s="18">
        <f t="shared" si="16"/>
        <v>592</v>
      </c>
      <c r="W77" s="18">
        <f t="shared" si="17"/>
        <v>84</v>
      </c>
      <c r="AD77" s="9"/>
    </row>
    <row r="78" spans="1:30" ht="13.15" customHeight="1" x14ac:dyDescent="0.2">
      <c r="A78" s="9">
        <v>42064</v>
      </c>
      <c r="B78">
        <f t="shared" si="18"/>
        <v>2015</v>
      </c>
      <c r="C78" t="str">
        <f t="shared" si="9"/>
        <v>Q1</v>
      </c>
      <c r="D78" s="18">
        <v>6870</v>
      </c>
      <c r="E78" s="18">
        <v>6761.8</v>
      </c>
      <c r="F78" s="18">
        <v>3079.2</v>
      </c>
      <c r="G78" s="18">
        <v>3033.1</v>
      </c>
      <c r="H78" s="18">
        <v>372.9</v>
      </c>
      <c r="I78" s="18">
        <v>367.3</v>
      </c>
      <c r="J78" s="18">
        <v>727609.6</v>
      </c>
      <c r="K78" s="18">
        <v>557474</v>
      </c>
      <c r="L78" s="18">
        <v>49299.3</v>
      </c>
      <c r="M78" s="8">
        <v>718587</v>
      </c>
      <c r="N78" s="8">
        <v>551679</v>
      </c>
      <c r="O78" s="18">
        <v>28860</v>
      </c>
      <c r="P78" s="18">
        <f t="shared" si="10"/>
        <v>59.100000000000364</v>
      </c>
      <c r="Q78" s="18">
        <f t="shared" si="11"/>
        <v>57.300000000000182</v>
      </c>
      <c r="R78" s="18">
        <f t="shared" si="12"/>
        <v>-7.9000000000000909</v>
      </c>
      <c r="S78" s="18">
        <f t="shared" si="13"/>
        <v>-9.9000000000000909</v>
      </c>
      <c r="T78" s="31">
        <f t="shared" si="14"/>
        <v>18822</v>
      </c>
      <c r="U78" s="18">
        <f t="shared" si="15"/>
        <v>1611</v>
      </c>
      <c r="V78" s="18">
        <f t="shared" si="16"/>
        <v>592</v>
      </c>
      <c r="W78" s="18">
        <f t="shared" si="17"/>
        <v>84</v>
      </c>
      <c r="AD78" s="9"/>
    </row>
    <row r="79" spans="1:30" ht="13.15" customHeight="1" x14ac:dyDescent="0.2">
      <c r="A79" s="9">
        <v>42095</v>
      </c>
      <c r="B79">
        <f t="shared" si="18"/>
        <v>2015</v>
      </c>
      <c r="C79" t="str">
        <f t="shared" si="9"/>
        <v>Q2</v>
      </c>
      <c r="D79" s="18">
        <v>6876.8</v>
      </c>
      <c r="E79" s="18">
        <v>6786.4</v>
      </c>
      <c r="F79" s="18">
        <v>3090.3</v>
      </c>
      <c r="G79" s="18">
        <v>3055.8</v>
      </c>
      <c r="H79" s="18">
        <v>374</v>
      </c>
      <c r="I79" s="18">
        <v>369.6</v>
      </c>
      <c r="J79" s="18">
        <v>727609.6</v>
      </c>
      <c r="K79" s="18">
        <v>557474</v>
      </c>
      <c r="L79" s="18">
        <v>49299.3</v>
      </c>
      <c r="M79" s="8">
        <v>723726</v>
      </c>
      <c r="N79" s="8">
        <v>555651</v>
      </c>
      <c r="O79" s="18">
        <v>28915</v>
      </c>
      <c r="P79" s="18">
        <f t="shared" si="10"/>
        <v>57.300000000000182</v>
      </c>
      <c r="Q79" s="18">
        <f t="shared" si="11"/>
        <v>54.299999999999272</v>
      </c>
      <c r="R79" s="18">
        <f t="shared" si="12"/>
        <v>-3.5999999999999091</v>
      </c>
      <c r="S79" s="18">
        <f t="shared" si="13"/>
        <v>-5.6999999999998181</v>
      </c>
      <c r="T79" s="31">
        <f t="shared" si="14"/>
        <v>18822</v>
      </c>
      <c r="U79" s="18">
        <f t="shared" si="15"/>
        <v>5139</v>
      </c>
      <c r="V79" s="18">
        <f t="shared" si="16"/>
        <v>3972</v>
      </c>
      <c r="W79" s="18">
        <f t="shared" si="17"/>
        <v>55</v>
      </c>
      <c r="AD79" s="9"/>
    </row>
    <row r="80" spans="1:30" ht="13.15" customHeight="1" x14ac:dyDescent="0.2">
      <c r="A80" s="9">
        <v>42125</v>
      </c>
      <c r="B80">
        <f t="shared" si="18"/>
        <v>2015</v>
      </c>
      <c r="C80" t="str">
        <f t="shared" si="9"/>
        <v>Q2</v>
      </c>
      <c r="D80" s="18">
        <v>6883.3</v>
      </c>
      <c r="E80" s="18">
        <v>6848.1</v>
      </c>
      <c r="F80" s="18">
        <v>3103.7</v>
      </c>
      <c r="G80" s="18">
        <v>3093.9</v>
      </c>
      <c r="H80" s="18">
        <v>380.1</v>
      </c>
      <c r="I80" s="18">
        <v>377.3</v>
      </c>
      <c r="J80" s="18">
        <v>727609.6</v>
      </c>
      <c r="K80" s="18">
        <v>557474</v>
      </c>
      <c r="L80" s="18">
        <v>49299.3</v>
      </c>
      <c r="M80" s="8">
        <v>723726</v>
      </c>
      <c r="N80" s="8">
        <v>555651</v>
      </c>
      <c r="O80" s="18">
        <v>28915</v>
      </c>
      <c r="P80" s="18">
        <f t="shared" si="10"/>
        <v>61.800000000000182</v>
      </c>
      <c r="Q80" s="18">
        <f t="shared" si="11"/>
        <v>57.800000000000182</v>
      </c>
      <c r="R80" s="18">
        <f t="shared" si="12"/>
        <v>22.5</v>
      </c>
      <c r="S80" s="18">
        <f t="shared" si="13"/>
        <v>24.900000000000091</v>
      </c>
      <c r="T80" s="31">
        <f t="shared" si="14"/>
        <v>18822</v>
      </c>
      <c r="U80" s="18">
        <f t="shared" si="15"/>
        <v>5139</v>
      </c>
      <c r="V80" s="18">
        <f t="shared" si="16"/>
        <v>3972</v>
      </c>
      <c r="W80" s="18">
        <f t="shared" si="17"/>
        <v>55</v>
      </c>
      <c r="AD80" s="9"/>
    </row>
    <row r="81" spans="1:30" ht="13.15" customHeight="1" x14ac:dyDescent="0.2">
      <c r="A81" s="9">
        <v>42156</v>
      </c>
      <c r="B81">
        <f t="shared" si="18"/>
        <v>2015</v>
      </c>
      <c r="C81" t="str">
        <f t="shared" ref="C81:C144" si="19">C69</f>
        <v>Q2</v>
      </c>
      <c r="D81" s="18">
        <v>6883.6</v>
      </c>
      <c r="E81" s="18">
        <v>6930.1</v>
      </c>
      <c r="F81" s="18">
        <v>3112.7</v>
      </c>
      <c r="G81" s="18">
        <v>3134.6</v>
      </c>
      <c r="H81" s="18">
        <v>384.4</v>
      </c>
      <c r="I81" s="18">
        <v>384.5</v>
      </c>
      <c r="J81" s="18">
        <v>727609.6</v>
      </c>
      <c r="K81" s="18">
        <v>557474</v>
      </c>
      <c r="L81" s="18">
        <v>49299.3</v>
      </c>
      <c r="M81" s="8">
        <v>723726</v>
      </c>
      <c r="N81" s="8">
        <v>555651</v>
      </c>
      <c r="O81" s="18">
        <v>28915</v>
      </c>
      <c r="P81" s="18">
        <f t="shared" ref="P81:P144" si="20">D81-D69</f>
        <v>57.5</v>
      </c>
      <c r="Q81" s="18">
        <f t="shared" ref="Q81:Q144" si="21">E81-E69</f>
        <v>54.700000000000728</v>
      </c>
      <c r="R81" s="18">
        <f t="shared" ref="R81:R144" si="22">F81-F69</f>
        <v>46.299999999999727</v>
      </c>
      <c r="S81" s="18">
        <f t="shared" ref="S81:S144" si="23">G81-G69</f>
        <v>49.299999999999727</v>
      </c>
      <c r="T81" s="31">
        <f t="shared" ref="T81:T144" si="24">J81-J69</f>
        <v>18822</v>
      </c>
      <c r="U81" s="18">
        <f t="shared" ref="U81:U144" si="25">M81-M78</f>
        <v>5139</v>
      </c>
      <c r="V81" s="18">
        <f t="shared" si="16"/>
        <v>3972</v>
      </c>
      <c r="W81" s="18">
        <f t="shared" si="17"/>
        <v>55</v>
      </c>
      <c r="AD81" s="9"/>
    </row>
    <row r="82" spans="1:30" ht="13.15" customHeight="1" x14ac:dyDescent="0.2">
      <c r="A82" s="9">
        <v>42186</v>
      </c>
      <c r="B82">
        <f t="shared" si="18"/>
        <v>2015</v>
      </c>
      <c r="C82" t="str">
        <f t="shared" si="19"/>
        <v>Q3</v>
      </c>
      <c r="D82" s="18">
        <v>6891.7</v>
      </c>
      <c r="E82" s="18">
        <v>6986.1</v>
      </c>
      <c r="F82" s="18">
        <v>3136.9</v>
      </c>
      <c r="G82" s="18">
        <v>3173.6</v>
      </c>
      <c r="H82" s="18">
        <v>387.5</v>
      </c>
      <c r="I82" s="18">
        <v>389.1</v>
      </c>
      <c r="J82" s="18">
        <v>727609.6</v>
      </c>
      <c r="K82" s="18">
        <v>557474</v>
      </c>
      <c r="L82" s="18">
        <v>49299.3</v>
      </c>
      <c r="M82" s="8">
        <v>730341</v>
      </c>
      <c r="N82" s="8">
        <v>558510</v>
      </c>
      <c r="O82" s="18">
        <v>29147</v>
      </c>
      <c r="P82" s="18">
        <f t="shared" si="20"/>
        <v>55.199999999999818</v>
      </c>
      <c r="Q82" s="18">
        <f t="shared" si="21"/>
        <v>54.100000000000364</v>
      </c>
      <c r="R82" s="18">
        <f t="shared" si="22"/>
        <v>91.599999999999909</v>
      </c>
      <c r="S82" s="18">
        <f t="shared" si="23"/>
        <v>96.099999999999909</v>
      </c>
      <c r="T82" s="31">
        <f t="shared" si="24"/>
        <v>18822</v>
      </c>
      <c r="U82" s="18">
        <f t="shared" si="25"/>
        <v>6615</v>
      </c>
      <c r="V82" s="18">
        <f t="shared" si="16"/>
        <v>2859</v>
      </c>
      <c r="W82" s="18">
        <f t="shared" si="17"/>
        <v>232</v>
      </c>
      <c r="AD82" s="9"/>
    </row>
    <row r="83" spans="1:30" ht="13.15" customHeight="1" x14ac:dyDescent="0.2">
      <c r="A83" s="9">
        <v>42217</v>
      </c>
      <c r="B83">
        <f t="shared" si="18"/>
        <v>2015</v>
      </c>
      <c r="C83" t="str">
        <f t="shared" si="19"/>
        <v>Q3</v>
      </c>
      <c r="D83" s="18">
        <v>6896.8</v>
      </c>
      <c r="E83" s="18">
        <v>7000.2</v>
      </c>
      <c r="F83" s="18">
        <v>3157.1</v>
      </c>
      <c r="G83" s="18">
        <v>3199.7</v>
      </c>
      <c r="H83" s="18">
        <v>387.7</v>
      </c>
      <c r="I83" s="18">
        <v>390.3</v>
      </c>
      <c r="J83" s="18">
        <v>727609.6</v>
      </c>
      <c r="K83" s="18">
        <v>557474</v>
      </c>
      <c r="L83" s="18">
        <v>49299.3</v>
      </c>
      <c r="M83" s="8">
        <v>730341</v>
      </c>
      <c r="N83" s="8">
        <v>558510</v>
      </c>
      <c r="O83" s="18">
        <v>29147</v>
      </c>
      <c r="P83" s="18">
        <f t="shared" si="20"/>
        <v>54.300000000000182</v>
      </c>
      <c r="Q83" s="18">
        <f t="shared" si="21"/>
        <v>52.399999999999636</v>
      </c>
      <c r="R83" s="18">
        <f t="shared" si="22"/>
        <v>119.69999999999982</v>
      </c>
      <c r="S83" s="18">
        <f t="shared" si="23"/>
        <v>120</v>
      </c>
      <c r="T83" s="31">
        <f t="shared" si="24"/>
        <v>18822</v>
      </c>
      <c r="U83" s="18">
        <f t="shared" si="25"/>
        <v>6615</v>
      </c>
      <c r="V83" s="18">
        <f t="shared" si="16"/>
        <v>2859</v>
      </c>
      <c r="W83" s="18">
        <f t="shared" si="17"/>
        <v>232</v>
      </c>
      <c r="AD83" s="9"/>
    </row>
    <row r="84" spans="1:30" ht="13.15" customHeight="1" x14ac:dyDescent="0.2">
      <c r="A84" s="9">
        <v>42248</v>
      </c>
      <c r="B84">
        <f t="shared" si="18"/>
        <v>2015</v>
      </c>
      <c r="C84" t="str">
        <f t="shared" si="19"/>
        <v>Q3</v>
      </c>
      <c r="D84" s="18">
        <v>6893.1</v>
      </c>
      <c r="E84" s="18">
        <v>6953.7</v>
      </c>
      <c r="F84" s="18">
        <v>3168</v>
      </c>
      <c r="G84" s="18">
        <v>3194.1</v>
      </c>
      <c r="H84" s="18">
        <v>386</v>
      </c>
      <c r="I84" s="18">
        <v>388.4</v>
      </c>
      <c r="J84" s="18">
        <v>727609.6</v>
      </c>
      <c r="K84" s="18">
        <v>557474</v>
      </c>
      <c r="L84" s="18">
        <v>49299.3</v>
      </c>
      <c r="M84" s="8">
        <v>730341</v>
      </c>
      <c r="N84" s="8">
        <v>558510</v>
      </c>
      <c r="O84" s="18">
        <v>29147</v>
      </c>
      <c r="P84" s="18">
        <f t="shared" si="20"/>
        <v>39.5</v>
      </c>
      <c r="Q84" s="18">
        <f t="shared" si="21"/>
        <v>36.5</v>
      </c>
      <c r="R84" s="18">
        <f t="shared" si="22"/>
        <v>132.19999999999982</v>
      </c>
      <c r="S84" s="18">
        <f t="shared" si="23"/>
        <v>128.09999999999991</v>
      </c>
      <c r="T84" s="31">
        <f t="shared" si="24"/>
        <v>18822</v>
      </c>
      <c r="U84" s="18">
        <f t="shared" si="25"/>
        <v>6615</v>
      </c>
      <c r="V84" s="18">
        <f t="shared" si="16"/>
        <v>2859</v>
      </c>
      <c r="W84" s="18">
        <f t="shared" si="17"/>
        <v>232</v>
      </c>
      <c r="AD84" s="9"/>
    </row>
    <row r="85" spans="1:30" ht="13.15" customHeight="1" x14ac:dyDescent="0.2">
      <c r="A85" s="9">
        <v>42278</v>
      </c>
      <c r="B85">
        <f t="shared" si="18"/>
        <v>2015</v>
      </c>
      <c r="C85" t="str">
        <f t="shared" si="19"/>
        <v>Q4</v>
      </c>
      <c r="D85" s="18">
        <v>6892.9</v>
      </c>
      <c r="E85" s="18">
        <v>6932.8</v>
      </c>
      <c r="F85" s="18">
        <v>3166.7</v>
      </c>
      <c r="G85" s="18">
        <v>3179.6</v>
      </c>
      <c r="H85" s="18">
        <v>382.5</v>
      </c>
      <c r="I85" s="18">
        <v>384.9</v>
      </c>
      <c r="J85" s="18">
        <v>727609.6</v>
      </c>
      <c r="K85" s="18">
        <v>557474</v>
      </c>
      <c r="L85" s="18">
        <v>49299.3</v>
      </c>
      <c r="M85" s="8">
        <v>737784</v>
      </c>
      <c r="N85" s="8">
        <v>564056</v>
      </c>
      <c r="O85" s="18">
        <v>29355</v>
      </c>
      <c r="P85" s="18">
        <f t="shared" si="20"/>
        <v>36.299999999999272</v>
      </c>
      <c r="Q85" s="18">
        <f t="shared" si="21"/>
        <v>33.900000000000546</v>
      </c>
      <c r="R85" s="18">
        <f t="shared" si="22"/>
        <v>123.19999999999982</v>
      </c>
      <c r="S85" s="18">
        <f t="shared" si="23"/>
        <v>117</v>
      </c>
      <c r="T85" s="31">
        <f t="shared" si="24"/>
        <v>18822</v>
      </c>
      <c r="U85" s="18">
        <f t="shared" si="25"/>
        <v>7443</v>
      </c>
      <c r="V85" s="18">
        <f t="shared" si="16"/>
        <v>5546</v>
      </c>
      <c r="W85" s="18">
        <f t="shared" si="17"/>
        <v>208</v>
      </c>
      <c r="AD85" s="9"/>
    </row>
    <row r="86" spans="1:30" ht="13.15" customHeight="1" x14ac:dyDescent="0.2">
      <c r="A86" s="9">
        <v>42309</v>
      </c>
      <c r="B86">
        <f t="shared" si="18"/>
        <v>2015</v>
      </c>
      <c r="C86" t="str">
        <f t="shared" si="19"/>
        <v>Q4</v>
      </c>
      <c r="D86" s="18">
        <v>6886.2</v>
      </c>
      <c r="E86" s="18">
        <v>6898.2</v>
      </c>
      <c r="F86" s="18">
        <v>3158.5</v>
      </c>
      <c r="G86" s="18">
        <v>3156.1</v>
      </c>
      <c r="H86" s="18">
        <v>381.8</v>
      </c>
      <c r="I86" s="18">
        <v>384.1</v>
      </c>
      <c r="J86" s="18">
        <v>727609.6</v>
      </c>
      <c r="K86" s="18">
        <v>557474</v>
      </c>
      <c r="L86" s="18">
        <v>49299.3</v>
      </c>
      <c r="M86" s="8">
        <v>737784</v>
      </c>
      <c r="N86" s="8">
        <v>564056</v>
      </c>
      <c r="O86" s="18">
        <v>29355</v>
      </c>
      <c r="P86" s="18">
        <f t="shared" si="20"/>
        <v>28.099999999999454</v>
      </c>
      <c r="Q86" s="18">
        <f t="shared" si="21"/>
        <v>27.099999999999454</v>
      </c>
      <c r="R86" s="18">
        <f t="shared" si="22"/>
        <v>108</v>
      </c>
      <c r="S86" s="18">
        <f t="shared" si="23"/>
        <v>102.59999999999991</v>
      </c>
      <c r="T86" s="31">
        <f t="shared" si="24"/>
        <v>18822</v>
      </c>
      <c r="U86" s="18">
        <f t="shared" si="25"/>
        <v>7443</v>
      </c>
      <c r="V86" s="18">
        <f t="shared" si="16"/>
        <v>5546</v>
      </c>
      <c r="W86" s="18">
        <f t="shared" si="17"/>
        <v>208</v>
      </c>
      <c r="AD86" s="9"/>
    </row>
    <row r="87" spans="1:30" ht="13.15" customHeight="1" x14ac:dyDescent="0.2">
      <c r="A87" s="9">
        <v>42339</v>
      </c>
      <c r="B87">
        <f t="shared" si="18"/>
        <v>2015</v>
      </c>
      <c r="C87" t="str">
        <f t="shared" si="19"/>
        <v>Q4</v>
      </c>
      <c r="D87" s="18">
        <v>6895.6</v>
      </c>
      <c r="E87" s="18">
        <v>6902.3</v>
      </c>
      <c r="F87" s="18">
        <v>3161.1</v>
      </c>
      <c r="G87" s="18">
        <v>3159.6</v>
      </c>
      <c r="H87" s="18">
        <v>380.1</v>
      </c>
      <c r="I87" s="18">
        <v>383.1</v>
      </c>
      <c r="J87" s="18">
        <v>727609.6</v>
      </c>
      <c r="K87" s="18">
        <v>557474</v>
      </c>
      <c r="L87" s="18">
        <v>49299.3</v>
      </c>
      <c r="M87" s="8">
        <v>737784</v>
      </c>
      <c r="N87" s="8">
        <v>564056</v>
      </c>
      <c r="O87" s="18">
        <v>29355</v>
      </c>
      <c r="P87" s="18">
        <f t="shared" si="20"/>
        <v>35.600000000000364</v>
      </c>
      <c r="Q87" s="18">
        <f t="shared" si="21"/>
        <v>39.199999999999818</v>
      </c>
      <c r="R87" s="18">
        <f t="shared" si="22"/>
        <v>108.29999999999973</v>
      </c>
      <c r="S87" s="18">
        <f t="shared" si="23"/>
        <v>106.40000000000009</v>
      </c>
      <c r="T87" s="31">
        <f t="shared" si="24"/>
        <v>18822</v>
      </c>
      <c r="U87" s="18">
        <f t="shared" si="25"/>
        <v>7443</v>
      </c>
      <c r="V87" s="18">
        <f t="shared" si="16"/>
        <v>5546</v>
      </c>
      <c r="W87" s="18">
        <f t="shared" si="17"/>
        <v>208</v>
      </c>
      <c r="AD87" s="9"/>
    </row>
    <row r="88" spans="1:30" ht="13.15" customHeight="1" x14ac:dyDescent="0.2">
      <c r="A88" s="9">
        <v>42370</v>
      </c>
      <c r="B88">
        <f t="shared" si="18"/>
        <v>2016</v>
      </c>
      <c r="C88" t="str">
        <f t="shared" si="19"/>
        <v>Q1</v>
      </c>
      <c r="D88" s="18">
        <v>6908.4</v>
      </c>
      <c r="E88" s="18">
        <v>6871.2</v>
      </c>
      <c r="F88" s="18">
        <v>3164.9</v>
      </c>
      <c r="G88" s="18">
        <v>3151.2</v>
      </c>
      <c r="H88" s="18">
        <v>378.8</v>
      </c>
      <c r="I88" s="18">
        <v>378.6</v>
      </c>
      <c r="J88" s="18">
        <v>743976.2</v>
      </c>
      <c r="K88" s="18">
        <v>571846.40000000002</v>
      </c>
      <c r="L88" s="18">
        <v>51922</v>
      </c>
      <c r="M88" s="8">
        <v>743287</v>
      </c>
      <c r="N88" s="8">
        <v>568664</v>
      </c>
      <c r="O88" s="18">
        <v>29546</v>
      </c>
      <c r="P88" s="18">
        <f t="shared" si="20"/>
        <v>57.299999999999272</v>
      </c>
      <c r="Q88" s="18">
        <f t="shared" si="21"/>
        <v>61.5</v>
      </c>
      <c r="R88" s="18">
        <f t="shared" si="22"/>
        <v>113.80000000000018</v>
      </c>
      <c r="S88" s="18">
        <f t="shared" si="23"/>
        <v>113.69999999999982</v>
      </c>
      <c r="T88" s="31">
        <f t="shared" si="24"/>
        <v>16366.599999999977</v>
      </c>
      <c r="U88" s="18">
        <f t="shared" si="25"/>
        <v>5503</v>
      </c>
      <c r="V88" s="18">
        <f t="shared" si="16"/>
        <v>4608</v>
      </c>
      <c r="W88" s="18">
        <f t="shared" si="17"/>
        <v>191</v>
      </c>
      <c r="AD88" s="9"/>
    </row>
    <row r="89" spans="1:30" ht="13.15" customHeight="1" x14ac:dyDescent="0.2">
      <c r="A89" s="9">
        <v>42401</v>
      </c>
      <c r="B89">
        <f t="shared" si="18"/>
        <v>2016</v>
      </c>
      <c r="C89" t="str">
        <f t="shared" si="19"/>
        <v>Q1</v>
      </c>
      <c r="D89" s="18">
        <v>6922.3</v>
      </c>
      <c r="E89" s="18">
        <v>6850.4</v>
      </c>
      <c r="F89" s="18">
        <v>3163</v>
      </c>
      <c r="G89" s="18">
        <v>3135.8</v>
      </c>
      <c r="H89" s="18">
        <v>378.6</v>
      </c>
      <c r="I89" s="18">
        <v>375.6</v>
      </c>
      <c r="J89" s="18">
        <v>743976.2</v>
      </c>
      <c r="K89" s="18">
        <v>571846.40000000002</v>
      </c>
      <c r="L89" s="18">
        <v>51922</v>
      </c>
      <c r="M89" s="8">
        <v>743287</v>
      </c>
      <c r="N89" s="8">
        <v>568664</v>
      </c>
      <c r="O89" s="18">
        <v>29546</v>
      </c>
      <c r="P89" s="18">
        <f t="shared" si="20"/>
        <v>63.100000000000364</v>
      </c>
      <c r="Q89" s="18">
        <f t="shared" si="21"/>
        <v>67.699999999999818</v>
      </c>
      <c r="R89" s="18">
        <f t="shared" si="22"/>
        <v>103.30000000000018</v>
      </c>
      <c r="S89" s="18">
        <f t="shared" si="23"/>
        <v>105.80000000000018</v>
      </c>
      <c r="T89" s="31">
        <f t="shared" si="24"/>
        <v>16366.599999999977</v>
      </c>
      <c r="U89" s="18">
        <f t="shared" si="25"/>
        <v>5503</v>
      </c>
      <c r="V89" s="18">
        <f t="shared" si="16"/>
        <v>4608</v>
      </c>
      <c r="W89" s="18">
        <f t="shared" si="17"/>
        <v>191</v>
      </c>
      <c r="AD89" s="9"/>
    </row>
    <row r="90" spans="1:30" ht="13.15" customHeight="1" x14ac:dyDescent="0.2">
      <c r="A90" s="9">
        <v>42430</v>
      </c>
      <c r="B90">
        <f t="shared" si="18"/>
        <v>2016</v>
      </c>
      <c r="C90" t="str">
        <f t="shared" si="19"/>
        <v>Q1</v>
      </c>
      <c r="D90" s="18">
        <v>6930.2</v>
      </c>
      <c r="E90" s="18">
        <v>6827.3</v>
      </c>
      <c r="F90" s="18">
        <v>3153.3</v>
      </c>
      <c r="G90" s="18">
        <v>3109.9</v>
      </c>
      <c r="H90" s="18">
        <v>379.7</v>
      </c>
      <c r="I90" s="18">
        <v>373.5</v>
      </c>
      <c r="J90" s="18">
        <v>743976.2</v>
      </c>
      <c r="K90" s="18">
        <v>571846.40000000002</v>
      </c>
      <c r="L90" s="18">
        <v>51922</v>
      </c>
      <c r="M90" s="8">
        <v>743287</v>
      </c>
      <c r="N90" s="8">
        <v>568664</v>
      </c>
      <c r="O90" s="18">
        <v>29546</v>
      </c>
      <c r="P90" s="18">
        <f t="shared" si="20"/>
        <v>60.199999999999818</v>
      </c>
      <c r="Q90" s="18">
        <f t="shared" si="21"/>
        <v>65.5</v>
      </c>
      <c r="R90" s="18">
        <f t="shared" si="22"/>
        <v>74.100000000000364</v>
      </c>
      <c r="S90" s="18">
        <f t="shared" si="23"/>
        <v>76.800000000000182</v>
      </c>
      <c r="T90" s="31">
        <f t="shared" si="24"/>
        <v>16366.599999999977</v>
      </c>
      <c r="U90" s="18">
        <f t="shared" si="25"/>
        <v>5503</v>
      </c>
      <c r="V90" s="18">
        <f t="shared" si="16"/>
        <v>4608</v>
      </c>
      <c r="W90" s="18">
        <f t="shared" si="17"/>
        <v>191</v>
      </c>
      <c r="AD90" s="9"/>
    </row>
    <row r="91" spans="1:30" ht="13.15" customHeight="1" x14ac:dyDescent="0.2">
      <c r="A91" s="9">
        <v>42461</v>
      </c>
      <c r="B91">
        <f t="shared" si="18"/>
        <v>2016</v>
      </c>
      <c r="C91" t="str">
        <f t="shared" si="19"/>
        <v>Q2</v>
      </c>
      <c r="D91" s="18">
        <v>6931.9</v>
      </c>
      <c r="E91" s="18">
        <v>6843.7</v>
      </c>
      <c r="F91" s="18">
        <v>3151.2</v>
      </c>
      <c r="G91" s="18">
        <v>3117.4</v>
      </c>
      <c r="H91" s="18">
        <v>382.6</v>
      </c>
      <c r="I91" s="18">
        <v>378.3</v>
      </c>
      <c r="J91" s="18">
        <v>743976.2</v>
      </c>
      <c r="K91" s="18">
        <v>571846.40000000002</v>
      </c>
      <c r="L91" s="18">
        <v>51922</v>
      </c>
      <c r="M91" s="8">
        <v>740632</v>
      </c>
      <c r="N91" s="8">
        <v>569815</v>
      </c>
      <c r="O91" s="18">
        <v>29474</v>
      </c>
      <c r="P91" s="18">
        <f t="shared" si="20"/>
        <v>55.099999999999454</v>
      </c>
      <c r="Q91" s="18">
        <f t="shared" si="21"/>
        <v>57.300000000000182</v>
      </c>
      <c r="R91" s="18">
        <f t="shared" si="22"/>
        <v>60.899999999999636</v>
      </c>
      <c r="S91" s="18">
        <f t="shared" si="23"/>
        <v>61.599999999999909</v>
      </c>
      <c r="T91" s="31">
        <f t="shared" si="24"/>
        <v>16366.599999999977</v>
      </c>
      <c r="U91" s="18">
        <f t="shared" si="25"/>
        <v>-2655</v>
      </c>
      <c r="V91" s="18">
        <f t="shared" si="16"/>
        <v>1151</v>
      </c>
      <c r="W91" s="18">
        <f t="shared" si="17"/>
        <v>-72</v>
      </c>
      <c r="AD91" s="9"/>
    </row>
    <row r="92" spans="1:30" ht="13.15" customHeight="1" x14ac:dyDescent="0.2">
      <c r="A92" s="9">
        <v>42491</v>
      </c>
      <c r="B92">
        <f t="shared" si="18"/>
        <v>2016</v>
      </c>
      <c r="C92" t="str">
        <f t="shared" si="19"/>
        <v>Q2</v>
      </c>
      <c r="D92" s="18">
        <v>6944.7</v>
      </c>
      <c r="E92" s="18">
        <v>6913.7</v>
      </c>
      <c r="F92" s="18">
        <v>3157.6</v>
      </c>
      <c r="G92" s="18">
        <v>3147.9</v>
      </c>
      <c r="H92" s="18">
        <v>379.9</v>
      </c>
      <c r="I92" s="18">
        <v>379</v>
      </c>
      <c r="J92" s="18">
        <v>743976.2</v>
      </c>
      <c r="K92" s="18">
        <v>571846.40000000002</v>
      </c>
      <c r="L92" s="18">
        <v>51922</v>
      </c>
      <c r="M92" s="8">
        <v>740632</v>
      </c>
      <c r="N92" s="8">
        <v>569815</v>
      </c>
      <c r="O92" s="18">
        <v>29474</v>
      </c>
      <c r="P92" s="18">
        <f t="shared" si="20"/>
        <v>61.399999999999636</v>
      </c>
      <c r="Q92" s="18">
        <f t="shared" si="21"/>
        <v>65.599999999999454</v>
      </c>
      <c r="R92" s="18">
        <f t="shared" si="22"/>
        <v>53.900000000000091</v>
      </c>
      <c r="S92" s="18">
        <f t="shared" si="23"/>
        <v>54</v>
      </c>
      <c r="T92" s="31">
        <f t="shared" si="24"/>
        <v>16366.599999999977</v>
      </c>
      <c r="U92" s="18">
        <f t="shared" si="25"/>
        <v>-2655</v>
      </c>
      <c r="V92" s="18">
        <f t="shared" si="16"/>
        <v>1151</v>
      </c>
      <c r="W92" s="18">
        <f t="shared" si="17"/>
        <v>-72</v>
      </c>
      <c r="AD92" s="9"/>
    </row>
    <row r="93" spans="1:30" ht="13.15" customHeight="1" x14ac:dyDescent="0.2">
      <c r="A93" s="9">
        <v>42522</v>
      </c>
      <c r="B93">
        <f t="shared" si="18"/>
        <v>2016</v>
      </c>
      <c r="C93" t="str">
        <f t="shared" si="19"/>
        <v>Q2</v>
      </c>
      <c r="D93" s="18">
        <v>6955.5</v>
      </c>
      <c r="E93" s="18">
        <v>7000.2</v>
      </c>
      <c r="F93" s="18">
        <v>3170.4</v>
      </c>
      <c r="G93" s="18">
        <v>3191.7</v>
      </c>
      <c r="H93" s="18">
        <v>379.1</v>
      </c>
      <c r="I93" s="18">
        <v>381.1</v>
      </c>
      <c r="J93" s="18">
        <v>743976.2</v>
      </c>
      <c r="K93" s="18">
        <v>571846.40000000002</v>
      </c>
      <c r="L93" s="18">
        <v>51922</v>
      </c>
      <c r="M93" s="8">
        <v>740632</v>
      </c>
      <c r="N93" s="8">
        <v>569815</v>
      </c>
      <c r="O93" s="18">
        <v>29474</v>
      </c>
      <c r="P93" s="18">
        <f t="shared" si="20"/>
        <v>71.899999999999636</v>
      </c>
      <c r="Q93" s="18">
        <f t="shared" si="21"/>
        <v>70.099999999999454</v>
      </c>
      <c r="R93" s="18">
        <f t="shared" si="22"/>
        <v>57.700000000000273</v>
      </c>
      <c r="S93" s="18">
        <f t="shared" si="23"/>
        <v>57.099999999999909</v>
      </c>
      <c r="T93" s="31">
        <f t="shared" si="24"/>
        <v>16366.599999999977</v>
      </c>
      <c r="U93" s="18">
        <f t="shared" si="25"/>
        <v>-2655</v>
      </c>
      <c r="V93" s="18">
        <f t="shared" si="16"/>
        <v>1151</v>
      </c>
      <c r="W93" s="18">
        <f t="shared" si="17"/>
        <v>-72</v>
      </c>
      <c r="AD93" s="9"/>
    </row>
    <row r="94" spans="1:30" ht="13.15" customHeight="1" x14ac:dyDescent="0.2">
      <c r="A94" s="9">
        <v>42552</v>
      </c>
      <c r="B94">
        <f t="shared" si="18"/>
        <v>2016</v>
      </c>
      <c r="C94" t="str">
        <f t="shared" si="19"/>
        <v>Q3</v>
      </c>
      <c r="D94" s="18">
        <v>6956.3</v>
      </c>
      <c r="E94" s="18">
        <v>7049.5</v>
      </c>
      <c r="F94" s="18">
        <v>3168.8</v>
      </c>
      <c r="G94" s="18">
        <v>3207.4</v>
      </c>
      <c r="H94" s="18">
        <v>376</v>
      </c>
      <c r="I94" s="18">
        <v>378.7</v>
      </c>
      <c r="J94" s="18">
        <v>743976.2</v>
      </c>
      <c r="K94" s="18">
        <v>571846.40000000002</v>
      </c>
      <c r="L94" s="18">
        <v>51922</v>
      </c>
      <c r="M94" s="8">
        <v>746606</v>
      </c>
      <c r="N94" s="8">
        <v>574136</v>
      </c>
      <c r="O94" s="18">
        <v>30035</v>
      </c>
      <c r="P94" s="18">
        <f t="shared" si="20"/>
        <v>64.600000000000364</v>
      </c>
      <c r="Q94" s="18">
        <f t="shared" si="21"/>
        <v>63.399999999999636</v>
      </c>
      <c r="R94" s="18">
        <f t="shared" si="22"/>
        <v>31.900000000000091</v>
      </c>
      <c r="S94" s="18">
        <f t="shared" si="23"/>
        <v>33.800000000000182</v>
      </c>
      <c r="T94" s="31">
        <f t="shared" si="24"/>
        <v>16366.599999999977</v>
      </c>
      <c r="U94" s="18">
        <f t="shared" si="25"/>
        <v>5974</v>
      </c>
      <c r="V94" s="18">
        <f t="shared" si="16"/>
        <v>4321</v>
      </c>
      <c r="W94" s="18">
        <f t="shared" si="17"/>
        <v>561</v>
      </c>
      <c r="AD94" s="9"/>
    </row>
    <row r="95" spans="1:30" ht="13.15" customHeight="1" x14ac:dyDescent="0.2">
      <c r="A95" s="9">
        <v>42583</v>
      </c>
      <c r="B95">
        <f t="shared" si="18"/>
        <v>2016</v>
      </c>
      <c r="C95" t="str">
        <f t="shared" si="19"/>
        <v>Q3</v>
      </c>
      <c r="D95" s="18">
        <v>6953.5</v>
      </c>
      <c r="E95" s="18">
        <v>7045.6</v>
      </c>
      <c r="F95" s="18">
        <v>3165.6</v>
      </c>
      <c r="G95" s="18">
        <v>3207</v>
      </c>
      <c r="H95" s="18">
        <v>375.6</v>
      </c>
      <c r="I95" s="18">
        <v>376.5</v>
      </c>
      <c r="J95" s="18">
        <v>743976.2</v>
      </c>
      <c r="K95" s="18">
        <v>571846.40000000002</v>
      </c>
      <c r="L95" s="18">
        <v>51922</v>
      </c>
      <c r="M95" s="8">
        <v>746606</v>
      </c>
      <c r="N95" s="8">
        <v>574136</v>
      </c>
      <c r="O95" s="18">
        <v>30035</v>
      </c>
      <c r="P95" s="18">
        <f t="shared" si="20"/>
        <v>56.699999999999818</v>
      </c>
      <c r="Q95" s="18">
        <f t="shared" si="21"/>
        <v>45.400000000000546</v>
      </c>
      <c r="R95" s="18">
        <f t="shared" si="22"/>
        <v>8.5</v>
      </c>
      <c r="S95" s="18">
        <f t="shared" si="23"/>
        <v>7.3000000000001819</v>
      </c>
      <c r="T95" s="31">
        <f t="shared" si="24"/>
        <v>16366.599999999977</v>
      </c>
      <c r="U95" s="18">
        <f t="shared" si="25"/>
        <v>5974</v>
      </c>
      <c r="V95" s="18">
        <f t="shared" si="16"/>
        <v>4321</v>
      </c>
      <c r="W95" s="18">
        <f t="shared" si="17"/>
        <v>561</v>
      </c>
      <c r="AD95" s="9"/>
    </row>
    <row r="96" spans="1:30" ht="13.15" customHeight="1" x14ac:dyDescent="0.2">
      <c r="A96" s="9">
        <v>42614</v>
      </c>
      <c r="B96">
        <f t="shared" si="18"/>
        <v>2016</v>
      </c>
      <c r="C96" t="str">
        <f t="shared" si="19"/>
        <v>Q3</v>
      </c>
      <c r="D96" s="18">
        <v>6950.1</v>
      </c>
      <c r="E96" s="18">
        <v>6998.1</v>
      </c>
      <c r="F96" s="18">
        <v>3155.9</v>
      </c>
      <c r="G96" s="18">
        <v>3176.1</v>
      </c>
      <c r="H96" s="18">
        <v>377.9</v>
      </c>
      <c r="I96" s="18">
        <v>377.8</v>
      </c>
      <c r="J96" s="18">
        <v>743976.2</v>
      </c>
      <c r="K96" s="18">
        <v>571846.40000000002</v>
      </c>
      <c r="L96" s="18">
        <v>51922</v>
      </c>
      <c r="M96" s="8">
        <v>746606</v>
      </c>
      <c r="N96" s="8">
        <v>574136</v>
      </c>
      <c r="O96" s="18">
        <v>30035</v>
      </c>
      <c r="P96" s="18">
        <f t="shared" si="20"/>
        <v>57</v>
      </c>
      <c r="Q96" s="18">
        <f t="shared" si="21"/>
        <v>44.400000000000546</v>
      </c>
      <c r="R96" s="18">
        <f t="shared" si="22"/>
        <v>-12.099999999999909</v>
      </c>
      <c r="S96" s="18">
        <f t="shared" si="23"/>
        <v>-18</v>
      </c>
      <c r="T96" s="31">
        <f t="shared" si="24"/>
        <v>16366.599999999977</v>
      </c>
      <c r="U96" s="18">
        <f t="shared" si="25"/>
        <v>5974</v>
      </c>
      <c r="V96" s="18">
        <f t="shared" ref="V96:V159" si="26">N96-N93</f>
        <v>4321</v>
      </c>
      <c r="W96" s="18">
        <f t="shared" ref="W96:W159" si="27">O96-O93</f>
        <v>561</v>
      </c>
      <c r="AD96" s="9"/>
    </row>
    <row r="97" spans="1:30" ht="13.15" customHeight="1" x14ac:dyDescent="0.2">
      <c r="A97" s="9">
        <v>42644</v>
      </c>
      <c r="B97">
        <f t="shared" si="18"/>
        <v>2016</v>
      </c>
      <c r="C97" t="str">
        <f t="shared" si="19"/>
        <v>Q4</v>
      </c>
      <c r="D97" s="18">
        <v>6963.9</v>
      </c>
      <c r="E97" s="18">
        <v>6990.5</v>
      </c>
      <c r="F97" s="18">
        <v>3150.5</v>
      </c>
      <c r="G97" s="18">
        <v>3154.4</v>
      </c>
      <c r="H97" s="18">
        <v>380.5</v>
      </c>
      <c r="I97" s="18">
        <v>379.9</v>
      </c>
      <c r="J97" s="18">
        <v>743976.2</v>
      </c>
      <c r="K97" s="18">
        <v>571846.40000000002</v>
      </c>
      <c r="L97" s="18">
        <v>51922</v>
      </c>
      <c r="M97" s="8">
        <v>745380</v>
      </c>
      <c r="N97" s="8">
        <v>574771</v>
      </c>
      <c r="O97" s="18">
        <v>30202</v>
      </c>
      <c r="P97" s="18">
        <f t="shared" si="20"/>
        <v>71</v>
      </c>
      <c r="Q97" s="18">
        <f t="shared" si="21"/>
        <v>57.699999999999818</v>
      </c>
      <c r="R97" s="18">
        <f t="shared" si="22"/>
        <v>-16.199999999999818</v>
      </c>
      <c r="S97" s="18">
        <f t="shared" si="23"/>
        <v>-25.199999999999818</v>
      </c>
      <c r="T97" s="31">
        <f t="shared" si="24"/>
        <v>16366.599999999977</v>
      </c>
      <c r="U97" s="18">
        <f t="shared" si="25"/>
        <v>-1226</v>
      </c>
      <c r="V97" s="18">
        <f t="shared" si="26"/>
        <v>635</v>
      </c>
      <c r="W97" s="18">
        <f t="shared" si="27"/>
        <v>167</v>
      </c>
      <c r="AD97" s="9"/>
    </row>
    <row r="98" spans="1:30" ht="13.15" customHeight="1" x14ac:dyDescent="0.2">
      <c r="A98" s="9">
        <v>42675</v>
      </c>
      <c r="B98">
        <f t="shared" si="18"/>
        <v>2016</v>
      </c>
      <c r="C98" t="str">
        <f t="shared" si="19"/>
        <v>Q4</v>
      </c>
      <c r="D98" s="18">
        <v>6977.8</v>
      </c>
      <c r="E98" s="18">
        <v>6983.4</v>
      </c>
      <c r="F98" s="18">
        <v>3149.5</v>
      </c>
      <c r="G98" s="18">
        <v>3139.8</v>
      </c>
      <c r="H98" s="18">
        <v>385.2</v>
      </c>
      <c r="I98" s="18">
        <v>385.6</v>
      </c>
      <c r="J98" s="18">
        <v>743976.2</v>
      </c>
      <c r="K98" s="18">
        <v>571846.40000000002</v>
      </c>
      <c r="L98" s="18">
        <v>51922</v>
      </c>
      <c r="M98" s="8">
        <v>745380</v>
      </c>
      <c r="N98" s="8">
        <v>574771</v>
      </c>
      <c r="O98" s="18">
        <v>30202</v>
      </c>
      <c r="P98" s="18">
        <f t="shared" si="20"/>
        <v>91.600000000000364</v>
      </c>
      <c r="Q98" s="18">
        <f t="shared" si="21"/>
        <v>85.199999999999818</v>
      </c>
      <c r="R98" s="18">
        <f t="shared" si="22"/>
        <v>-9</v>
      </c>
      <c r="S98" s="18">
        <f t="shared" si="23"/>
        <v>-16.299999999999727</v>
      </c>
      <c r="T98" s="31">
        <f t="shared" si="24"/>
        <v>16366.599999999977</v>
      </c>
      <c r="U98" s="18">
        <f t="shared" si="25"/>
        <v>-1226</v>
      </c>
      <c r="V98" s="18">
        <f t="shared" si="26"/>
        <v>635</v>
      </c>
      <c r="W98" s="18">
        <f t="shared" si="27"/>
        <v>167</v>
      </c>
      <c r="AD98" s="9"/>
    </row>
    <row r="99" spans="1:30" ht="13.15" customHeight="1" x14ac:dyDescent="0.2">
      <c r="A99" s="9">
        <v>42705</v>
      </c>
      <c r="B99">
        <f t="shared" si="18"/>
        <v>2016</v>
      </c>
      <c r="C99" t="str">
        <f t="shared" si="19"/>
        <v>Q4</v>
      </c>
      <c r="D99" s="18">
        <v>6992.4</v>
      </c>
      <c r="E99" s="18">
        <v>6999.9</v>
      </c>
      <c r="F99" s="18">
        <v>3148.2</v>
      </c>
      <c r="G99" s="18">
        <v>3145.2</v>
      </c>
      <c r="H99" s="18">
        <v>388.5</v>
      </c>
      <c r="I99" s="18">
        <v>389.8</v>
      </c>
      <c r="J99" s="18">
        <v>743976.2</v>
      </c>
      <c r="K99" s="18">
        <v>571846.40000000002</v>
      </c>
      <c r="L99" s="18">
        <v>51922</v>
      </c>
      <c r="M99" s="8">
        <v>745380</v>
      </c>
      <c r="N99" s="8">
        <v>574771</v>
      </c>
      <c r="O99" s="18">
        <v>30202</v>
      </c>
      <c r="P99" s="18">
        <f t="shared" si="20"/>
        <v>96.799999999999272</v>
      </c>
      <c r="Q99" s="18">
        <f t="shared" si="21"/>
        <v>97.599999999999454</v>
      </c>
      <c r="R99" s="18">
        <f t="shared" si="22"/>
        <v>-12.900000000000091</v>
      </c>
      <c r="S99" s="18">
        <f t="shared" si="23"/>
        <v>-14.400000000000091</v>
      </c>
      <c r="T99" s="31">
        <f t="shared" si="24"/>
        <v>16366.599999999977</v>
      </c>
      <c r="U99" s="18">
        <f t="shared" si="25"/>
        <v>-1226</v>
      </c>
      <c r="V99" s="18">
        <f t="shared" si="26"/>
        <v>635</v>
      </c>
      <c r="W99" s="18">
        <f t="shared" si="27"/>
        <v>167</v>
      </c>
      <c r="AD99" s="9"/>
    </row>
    <row r="100" spans="1:30" ht="13.15" customHeight="1" x14ac:dyDescent="0.2">
      <c r="A100" s="9">
        <v>42736</v>
      </c>
      <c r="B100">
        <f t="shared" si="18"/>
        <v>2017</v>
      </c>
      <c r="C100" t="str">
        <f t="shared" si="19"/>
        <v>Q1</v>
      </c>
      <c r="D100" s="18">
        <v>7014.6</v>
      </c>
      <c r="E100" s="18">
        <v>6982.5</v>
      </c>
      <c r="F100" s="18">
        <v>3160.2</v>
      </c>
      <c r="G100" s="18">
        <v>3146.9</v>
      </c>
      <c r="H100" s="18">
        <v>389.6</v>
      </c>
      <c r="I100" s="18">
        <v>389.4</v>
      </c>
      <c r="J100" s="18">
        <v>764464.8</v>
      </c>
      <c r="K100" s="18">
        <v>590729.4</v>
      </c>
      <c r="L100" s="18">
        <v>53985.7</v>
      </c>
      <c r="M100" s="8">
        <v>756702</v>
      </c>
      <c r="N100" s="8">
        <v>583158</v>
      </c>
      <c r="O100" s="18">
        <v>30665</v>
      </c>
      <c r="P100" s="18">
        <f t="shared" si="20"/>
        <v>106.20000000000073</v>
      </c>
      <c r="Q100" s="18">
        <f t="shared" si="21"/>
        <v>111.30000000000018</v>
      </c>
      <c r="R100" s="18">
        <f t="shared" si="22"/>
        <v>-4.7000000000002728</v>
      </c>
      <c r="S100" s="18">
        <f t="shared" si="23"/>
        <v>-4.2999999999997272</v>
      </c>
      <c r="T100" s="31">
        <f t="shared" si="24"/>
        <v>20488.600000000093</v>
      </c>
      <c r="U100" s="18">
        <f t="shared" si="25"/>
        <v>11322</v>
      </c>
      <c r="V100" s="18">
        <f t="shared" si="26"/>
        <v>8387</v>
      </c>
      <c r="W100" s="18">
        <f t="shared" si="27"/>
        <v>463</v>
      </c>
      <c r="AD100" s="9"/>
    </row>
    <row r="101" spans="1:30" ht="13.15" customHeight="1" x14ac:dyDescent="0.2">
      <c r="A101" s="9">
        <v>42767</v>
      </c>
      <c r="B101">
        <f t="shared" si="18"/>
        <v>2017</v>
      </c>
      <c r="C101" t="str">
        <f t="shared" si="19"/>
        <v>Q1</v>
      </c>
      <c r="D101" s="18">
        <v>7031.3</v>
      </c>
      <c r="E101" s="18">
        <v>6962.5</v>
      </c>
      <c r="F101" s="18">
        <v>3172.8</v>
      </c>
      <c r="G101" s="18">
        <v>3148.4</v>
      </c>
      <c r="H101" s="18">
        <v>390.8</v>
      </c>
      <c r="I101" s="18">
        <v>388.6</v>
      </c>
      <c r="J101" s="18">
        <v>764464.8</v>
      </c>
      <c r="K101" s="18">
        <v>590729.4</v>
      </c>
      <c r="L101" s="18">
        <v>53985.7</v>
      </c>
      <c r="M101" s="8">
        <v>756702</v>
      </c>
      <c r="N101" s="8">
        <v>583158</v>
      </c>
      <c r="O101" s="18">
        <v>30665</v>
      </c>
      <c r="P101" s="18">
        <f t="shared" si="20"/>
        <v>109</v>
      </c>
      <c r="Q101" s="18">
        <f t="shared" si="21"/>
        <v>112.10000000000036</v>
      </c>
      <c r="R101" s="18">
        <f t="shared" si="22"/>
        <v>9.8000000000001819</v>
      </c>
      <c r="S101" s="18">
        <f t="shared" si="23"/>
        <v>12.599999999999909</v>
      </c>
      <c r="T101" s="31">
        <f t="shared" si="24"/>
        <v>20488.600000000093</v>
      </c>
      <c r="U101" s="18">
        <f t="shared" si="25"/>
        <v>11322</v>
      </c>
      <c r="V101" s="18">
        <f t="shared" si="26"/>
        <v>8387</v>
      </c>
      <c r="W101" s="18">
        <f t="shared" si="27"/>
        <v>463</v>
      </c>
      <c r="AD101" s="9"/>
    </row>
    <row r="102" spans="1:30" ht="13.15" customHeight="1" x14ac:dyDescent="0.2">
      <c r="A102" s="9">
        <v>42795</v>
      </c>
      <c r="B102">
        <f t="shared" si="18"/>
        <v>2017</v>
      </c>
      <c r="C102" t="str">
        <f t="shared" si="19"/>
        <v>Q1</v>
      </c>
      <c r="D102" s="18">
        <v>7049</v>
      </c>
      <c r="E102" s="18">
        <v>6946</v>
      </c>
      <c r="F102" s="18">
        <v>3190.4</v>
      </c>
      <c r="G102" s="18">
        <v>3149.6</v>
      </c>
      <c r="H102" s="18">
        <v>395</v>
      </c>
      <c r="I102" s="18">
        <v>390.1</v>
      </c>
      <c r="J102" s="18">
        <v>764464.8</v>
      </c>
      <c r="K102" s="18">
        <v>590729.4</v>
      </c>
      <c r="L102" s="18">
        <v>53985.7</v>
      </c>
      <c r="M102" s="8">
        <v>756702</v>
      </c>
      <c r="N102" s="8">
        <v>583158</v>
      </c>
      <c r="O102" s="18">
        <v>30665</v>
      </c>
      <c r="P102" s="18">
        <f t="shared" si="20"/>
        <v>118.80000000000018</v>
      </c>
      <c r="Q102" s="18">
        <f t="shared" si="21"/>
        <v>118.69999999999982</v>
      </c>
      <c r="R102" s="18">
        <f t="shared" si="22"/>
        <v>37.099999999999909</v>
      </c>
      <c r="S102" s="18">
        <f t="shared" si="23"/>
        <v>39.699999999999818</v>
      </c>
      <c r="T102" s="31">
        <f t="shared" si="24"/>
        <v>20488.600000000093</v>
      </c>
      <c r="U102" s="18">
        <f t="shared" si="25"/>
        <v>11322</v>
      </c>
      <c r="V102" s="18">
        <f t="shared" si="26"/>
        <v>8387</v>
      </c>
      <c r="W102" s="18">
        <f t="shared" si="27"/>
        <v>463</v>
      </c>
      <c r="AD102" s="9"/>
    </row>
    <row r="103" spans="1:30" ht="13.15" customHeight="1" x14ac:dyDescent="0.2">
      <c r="A103" s="9">
        <v>42826</v>
      </c>
      <c r="B103">
        <f t="shared" si="18"/>
        <v>2017</v>
      </c>
      <c r="C103" t="str">
        <f t="shared" si="19"/>
        <v>Q2</v>
      </c>
      <c r="D103" s="18">
        <v>7055.1</v>
      </c>
      <c r="E103" s="18">
        <v>6963.6</v>
      </c>
      <c r="F103" s="18">
        <v>3204</v>
      </c>
      <c r="G103" s="18">
        <v>3171.5</v>
      </c>
      <c r="H103" s="18">
        <v>402.6</v>
      </c>
      <c r="I103" s="18">
        <v>399.1</v>
      </c>
      <c r="J103" s="18">
        <v>764464.8</v>
      </c>
      <c r="K103" s="18">
        <v>590729.4</v>
      </c>
      <c r="L103" s="18">
        <v>53985.7</v>
      </c>
      <c r="M103" s="8">
        <v>764644</v>
      </c>
      <c r="N103" s="8">
        <v>590485</v>
      </c>
      <c r="O103" s="18">
        <v>31148</v>
      </c>
      <c r="P103" s="18">
        <f t="shared" si="20"/>
        <v>123.20000000000073</v>
      </c>
      <c r="Q103" s="18">
        <f t="shared" si="21"/>
        <v>119.90000000000055</v>
      </c>
      <c r="R103" s="18">
        <f t="shared" si="22"/>
        <v>52.800000000000182</v>
      </c>
      <c r="S103" s="18">
        <f t="shared" si="23"/>
        <v>54.099999999999909</v>
      </c>
      <c r="T103" s="31">
        <f t="shared" si="24"/>
        <v>20488.600000000093</v>
      </c>
      <c r="U103" s="18">
        <f t="shared" si="25"/>
        <v>7942</v>
      </c>
      <c r="V103" s="18">
        <f t="shared" si="26"/>
        <v>7327</v>
      </c>
      <c r="W103" s="18">
        <f t="shared" si="27"/>
        <v>483</v>
      </c>
      <c r="AD103" s="9"/>
    </row>
    <row r="104" spans="1:30" ht="13.15" customHeight="1" x14ac:dyDescent="0.2">
      <c r="A104" s="9">
        <v>42856</v>
      </c>
      <c r="B104">
        <f t="shared" si="18"/>
        <v>2017</v>
      </c>
      <c r="C104" t="str">
        <f t="shared" si="19"/>
        <v>Q2</v>
      </c>
      <c r="D104" s="18">
        <v>7066.7</v>
      </c>
      <c r="E104" s="18">
        <v>7033.4</v>
      </c>
      <c r="F104" s="18">
        <v>3220.2</v>
      </c>
      <c r="G104" s="18">
        <v>3210.5</v>
      </c>
      <c r="H104" s="18">
        <v>406.5</v>
      </c>
      <c r="I104" s="18">
        <v>405.4</v>
      </c>
      <c r="J104" s="18">
        <v>764464.8</v>
      </c>
      <c r="K104" s="18">
        <v>590729.4</v>
      </c>
      <c r="L104" s="18">
        <v>53985.7</v>
      </c>
      <c r="M104" s="8">
        <v>764644</v>
      </c>
      <c r="N104" s="8">
        <v>590485</v>
      </c>
      <c r="O104" s="18">
        <v>31148</v>
      </c>
      <c r="P104" s="18">
        <f t="shared" si="20"/>
        <v>122</v>
      </c>
      <c r="Q104" s="18">
        <f t="shared" si="21"/>
        <v>119.69999999999982</v>
      </c>
      <c r="R104" s="18">
        <f t="shared" si="22"/>
        <v>62.599999999999909</v>
      </c>
      <c r="S104" s="18">
        <f t="shared" si="23"/>
        <v>62.599999999999909</v>
      </c>
      <c r="T104" s="31">
        <f t="shared" si="24"/>
        <v>20488.600000000093</v>
      </c>
      <c r="U104" s="18">
        <f t="shared" si="25"/>
        <v>7942</v>
      </c>
      <c r="V104" s="18">
        <f t="shared" si="26"/>
        <v>7327</v>
      </c>
      <c r="W104" s="18">
        <f t="shared" si="27"/>
        <v>483</v>
      </c>
      <c r="AD104" s="9"/>
    </row>
    <row r="105" spans="1:30" ht="13.15" customHeight="1" x14ac:dyDescent="0.2">
      <c r="A105" s="9">
        <v>42887</v>
      </c>
      <c r="B105">
        <f t="shared" si="18"/>
        <v>2017</v>
      </c>
      <c r="C105" t="str">
        <f t="shared" si="19"/>
        <v>Q2</v>
      </c>
      <c r="D105" s="18">
        <v>7079.8</v>
      </c>
      <c r="E105" s="18">
        <v>7123</v>
      </c>
      <c r="F105" s="18">
        <v>3226.7</v>
      </c>
      <c r="G105" s="18">
        <v>3247.3</v>
      </c>
      <c r="H105" s="18">
        <v>408.6</v>
      </c>
      <c r="I105" s="18">
        <v>410.3</v>
      </c>
      <c r="J105" s="18">
        <v>764464.8</v>
      </c>
      <c r="K105" s="18">
        <v>590729.4</v>
      </c>
      <c r="L105" s="18">
        <v>53985.7</v>
      </c>
      <c r="M105" s="8">
        <v>764644</v>
      </c>
      <c r="N105" s="8">
        <v>590485</v>
      </c>
      <c r="O105" s="18">
        <v>31148</v>
      </c>
      <c r="P105" s="18">
        <f t="shared" si="20"/>
        <v>124.30000000000018</v>
      </c>
      <c r="Q105" s="18">
        <f t="shared" si="21"/>
        <v>122.80000000000018</v>
      </c>
      <c r="R105" s="18">
        <f t="shared" si="22"/>
        <v>56.299999999999727</v>
      </c>
      <c r="S105" s="18">
        <f t="shared" si="23"/>
        <v>55.600000000000364</v>
      </c>
      <c r="T105" s="31">
        <f t="shared" si="24"/>
        <v>20488.600000000093</v>
      </c>
      <c r="U105" s="18">
        <f t="shared" si="25"/>
        <v>7942</v>
      </c>
      <c r="V105" s="18">
        <f t="shared" si="26"/>
        <v>7327</v>
      </c>
      <c r="W105" s="18">
        <f t="shared" si="27"/>
        <v>483</v>
      </c>
      <c r="AD105" s="9"/>
    </row>
    <row r="106" spans="1:30" ht="13.15" customHeight="1" x14ac:dyDescent="0.2">
      <c r="A106" s="9">
        <v>42917</v>
      </c>
      <c r="B106">
        <f t="shared" si="18"/>
        <v>2017</v>
      </c>
      <c r="C106" t="str">
        <f t="shared" si="19"/>
        <v>Q3</v>
      </c>
      <c r="D106" s="18">
        <v>7101.9</v>
      </c>
      <c r="E106" s="18">
        <v>7196</v>
      </c>
      <c r="F106" s="18">
        <v>3227.6</v>
      </c>
      <c r="G106" s="18">
        <v>3267.7</v>
      </c>
      <c r="H106" s="18">
        <v>414.3</v>
      </c>
      <c r="I106" s="18">
        <v>416.1</v>
      </c>
      <c r="J106" s="18">
        <v>764464.8</v>
      </c>
      <c r="K106" s="18">
        <v>590729.4</v>
      </c>
      <c r="L106" s="18">
        <v>53985.7</v>
      </c>
      <c r="M106" s="8">
        <v>765060</v>
      </c>
      <c r="N106" s="8">
        <v>592461</v>
      </c>
      <c r="O106" s="18">
        <v>31156</v>
      </c>
      <c r="P106" s="18">
        <f t="shared" si="20"/>
        <v>145.59999999999945</v>
      </c>
      <c r="Q106" s="18">
        <f t="shared" si="21"/>
        <v>146.5</v>
      </c>
      <c r="R106" s="18">
        <f t="shared" si="22"/>
        <v>58.799999999999727</v>
      </c>
      <c r="S106" s="18">
        <f t="shared" si="23"/>
        <v>60.299999999999727</v>
      </c>
      <c r="T106" s="31">
        <f t="shared" si="24"/>
        <v>20488.600000000093</v>
      </c>
      <c r="U106" s="18">
        <f t="shared" si="25"/>
        <v>416</v>
      </c>
      <c r="V106" s="18">
        <f t="shared" si="26"/>
        <v>1976</v>
      </c>
      <c r="W106" s="18">
        <f t="shared" si="27"/>
        <v>8</v>
      </c>
      <c r="AD106" s="9"/>
    </row>
    <row r="107" spans="1:30" ht="13.15" customHeight="1" x14ac:dyDescent="0.2">
      <c r="A107" s="9">
        <v>42948</v>
      </c>
      <c r="B107">
        <f t="shared" si="18"/>
        <v>2017</v>
      </c>
      <c r="C107" t="str">
        <f t="shared" si="19"/>
        <v>Q3</v>
      </c>
      <c r="D107" s="18">
        <v>7121.1</v>
      </c>
      <c r="E107" s="18">
        <v>7216.7</v>
      </c>
      <c r="F107" s="18">
        <v>3226.6</v>
      </c>
      <c r="G107" s="18">
        <v>3266.5</v>
      </c>
      <c r="H107" s="18">
        <v>423.4</v>
      </c>
      <c r="I107" s="18">
        <v>424.3</v>
      </c>
      <c r="J107" s="18">
        <v>764464.8</v>
      </c>
      <c r="K107" s="18">
        <v>590729.4</v>
      </c>
      <c r="L107" s="18">
        <v>53985.7</v>
      </c>
      <c r="M107" s="8">
        <v>765060</v>
      </c>
      <c r="N107" s="8">
        <v>592461</v>
      </c>
      <c r="O107" s="18">
        <v>31156</v>
      </c>
      <c r="P107" s="18">
        <f t="shared" si="20"/>
        <v>167.60000000000036</v>
      </c>
      <c r="Q107" s="18">
        <f t="shared" si="21"/>
        <v>171.09999999999945</v>
      </c>
      <c r="R107" s="18">
        <f t="shared" si="22"/>
        <v>61</v>
      </c>
      <c r="S107" s="18">
        <f t="shared" si="23"/>
        <v>59.5</v>
      </c>
      <c r="T107" s="31">
        <f t="shared" si="24"/>
        <v>20488.600000000093</v>
      </c>
      <c r="U107" s="18">
        <f t="shared" si="25"/>
        <v>416</v>
      </c>
      <c r="V107" s="18">
        <f t="shared" si="26"/>
        <v>1976</v>
      </c>
      <c r="W107" s="18">
        <f t="shared" si="27"/>
        <v>8</v>
      </c>
      <c r="AD107" s="9"/>
    </row>
    <row r="108" spans="1:30" ht="13.15" customHeight="1" x14ac:dyDescent="0.2">
      <c r="A108" s="9">
        <v>42979</v>
      </c>
      <c r="B108">
        <f t="shared" si="18"/>
        <v>2017</v>
      </c>
      <c r="C108" t="str">
        <f t="shared" si="19"/>
        <v>Q3</v>
      </c>
      <c r="D108" s="18">
        <v>7144.8</v>
      </c>
      <c r="E108" s="18">
        <v>7193.4</v>
      </c>
      <c r="F108" s="18">
        <v>3239.8</v>
      </c>
      <c r="G108" s="18">
        <v>3256.5</v>
      </c>
      <c r="H108" s="18">
        <v>428.7</v>
      </c>
      <c r="I108" s="18">
        <v>428</v>
      </c>
      <c r="J108" s="18">
        <v>764464.8</v>
      </c>
      <c r="K108" s="18">
        <v>590729.4</v>
      </c>
      <c r="L108" s="18">
        <v>53985.7</v>
      </c>
      <c r="M108" s="8">
        <v>765060</v>
      </c>
      <c r="N108" s="8">
        <v>592461</v>
      </c>
      <c r="O108" s="18">
        <v>31156</v>
      </c>
      <c r="P108" s="18">
        <f t="shared" si="20"/>
        <v>194.69999999999982</v>
      </c>
      <c r="Q108" s="18">
        <f t="shared" si="21"/>
        <v>195.29999999999927</v>
      </c>
      <c r="R108" s="18">
        <f t="shared" si="22"/>
        <v>83.900000000000091</v>
      </c>
      <c r="S108" s="18">
        <f t="shared" si="23"/>
        <v>80.400000000000091</v>
      </c>
      <c r="T108" s="31">
        <f t="shared" si="24"/>
        <v>20488.600000000093</v>
      </c>
      <c r="U108" s="18">
        <f t="shared" si="25"/>
        <v>416</v>
      </c>
      <c r="V108" s="18">
        <f t="shared" si="26"/>
        <v>1976</v>
      </c>
      <c r="W108" s="18">
        <f t="shared" si="27"/>
        <v>8</v>
      </c>
      <c r="AD108" s="9"/>
    </row>
    <row r="109" spans="1:30" ht="13.15" customHeight="1" x14ac:dyDescent="0.2">
      <c r="A109" s="9">
        <v>43009</v>
      </c>
      <c r="B109">
        <f t="shared" si="18"/>
        <v>2017</v>
      </c>
      <c r="C109" t="str">
        <f t="shared" si="19"/>
        <v>Q4</v>
      </c>
      <c r="D109" s="18">
        <v>7161</v>
      </c>
      <c r="E109" s="18">
        <v>7185.2</v>
      </c>
      <c r="F109" s="18">
        <v>3259.2</v>
      </c>
      <c r="G109" s="18">
        <v>3257.7</v>
      </c>
      <c r="H109" s="18">
        <v>426.1</v>
      </c>
      <c r="I109" s="18">
        <v>425</v>
      </c>
      <c r="J109" s="18">
        <v>764464.8</v>
      </c>
      <c r="K109" s="18">
        <v>590729.4</v>
      </c>
      <c r="L109" s="18">
        <v>53985.7</v>
      </c>
      <c r="M109" s="8">
        <v>771453</v>
      </c>
      <c r="N109" s="8">
        <v>596813</v>
      </c>
      <c r="O109" s="18">
        <v>31522</v>
      </c>
      <c r="P109" s="18">
        <f t="shared" si="20"/>
        <v>197.10000000000036</v>
      </c>
      <c r="Q109" s="18">
        <f t="shared" si="21"/>
        <v>194.69999999999982</v>
      </c>
      <c r="R109" s="18">
        <f t="shared" si="22"/>
        <v>108.69999999999982</v>
      </c>
      <c r="S109" s="18">
        <f t="shared" si="23"/>
        <v>103.29999999999973</v>
      </c>
      <c r="T109" s="31">
        <f t="shared" si="24"/>
        <v>20488.600000000093</v>
      </c>
      <c r="U109" s="18">
        <f t="shared" si="25"/>
        <v>6393</v>
      </c>
      <c r="V109" s="18">
        <f t="shared" si="26"/>
        <v>4352</v>
      </c>
      <c r="W109" s="18">
        <f t="shared" si="27"/>
        <v>366</v>
      </c>
      <c r="AD109" s="9"/>
    </row>
    <row r="110" spans="1:30" ht="13.15" customHeight="1" x14ac:dyDescent="0.2">
      <c r="A110" s="9">
        <v>43040</v>
      </c>
      <c r="B110">
        <f t="shared" si="18"/>
        <v>2017</v>
      </c>
      <c r="C110" t="str">
        <f t="shared" si="19"/>
        <v>Q4</v>
      </c>
      <c r="D110" s="18">
        <v>7184.7</v>
      </c>
      <c r="E110" s="18">
        <v>7186</v>
      </c>
      <c r="F110" s="18">
        <v>3275</v>
      </c>
      <c r="G110" s="18">
        <v>3261.5</v>
      </c>
      <c r="H110" s="18">
        <v>420.8</v>
      </c>
      <c r="I110" s="18">
        <v>420</v>
      </c>
      <c r="J110" s="18">
        <v>764464.8</v>
      </c>
      <c r="K110" s="18">
        <v>590729.4</v>
      </c>
      <c r="L110" s="18">
        <v>53985.7</v>
      </c>
      <c r="M110" s="8">
        <v>771453</v>
      </c>
      <c r="N110" s="8">
        <v>596813</v>
      </c>
      <c r="O110" s="18">
        <v>31522</v>
      </c>
      <c r="P110" s="18">
        <f t="shared" si="20"/>
        <v>206.89999999999964</v>
      </c>
      <c r="Q110" s="18">
        <f t="shared" si="21"/>
        <v>202.60000000000036</v>
      </c>
      <c r="R110" s="18">
        <f t="shared" si="22"/>
        <v>125.5</v>
      </c>
      <c r="S110" s="18">
        <f t="shared" si="23"/>
        <v>121.69999999999982</v>
      </c>
      <c r="T110" s="31">
        <f t="shared" si="24"/>
        <v>20488.600000000093</v>
      </c>
      <c r="U110" s="18">
        <f t="shared" si="25"/>
        <v>6393</v>
      </c>
      <c r="V110" s="18">
        <f t="shared" si="26"/>
        <v>4352</v>
      </c>
      <c r="W110" s="18">
        <f t="shared" si="27"/>
        <v>366</v>
      </c>
      <c r="AD110" s="9"/>
    </row>
    <row r="111" spans="1:30" ht="13.15" customHeight="1" x14ac:dyDescent="0.2">
      <c r="A111" s="9">
        <v>43070</v>
      </c>
      <c r="B111">
        <f t="shared" si="18"/>
        <v>2017</v>
      </c>
      <c r="C111" t="str">
        <f t="shared" si="19"/>
        <v>Q4</v>
      </c>
      <c r="D111" s="18">
        <v>7199.5</v>
      </c>
      <c r="E111" s="18">
        <v>7206.8</v>
      </c>
      <c r="F111" s="18">
        <v>3291.2</v>
      </c>
      <c r="G111" s="18">
        <v>3287.7</v>
      </c>
      <c r="H111" s="18">
        <v>415</v>
      </c>
      <c r="I111" s="18">
        <v>415.9</v>
      </c>
      <c r="J111" s="18">
        <v>764464.8</v>
      </c>
      <c r="K111" s="18">
        <v>590729.4</v>
      </c>
      <c r="L111" s="18">
        <v>53985.7</v>
      </c>
      <c r="M111" s="8">
        <v>771453</v>
      </c>
      <c r="N111" s="8">
        <v>596813</v>
      </c>
      <c r="O111" s="18">
        <v>31522</v>
      </c>
      <c r="P111" s="18">
        <f t="shared" si="20"/>
        <v>207.10000000000036</v>
      </c>
      <c r="Q111" s="18">
        <f t="shared" si="21"/>
        <v>206.90000000000055</v>
      </c>
      <c r="R111" s="18">
        <f t="shared" si="22"/>
        <v>143</v>
      </c>
      <c r="S111" s="18">
        <f t="shared" si="23"/>
        <v>142.5</v>
      </c>
      <c r="T111" s="31">
        <f t="shared" si="24"/>
        <v>20488.600000000093</v>
      </c>
      <c r="U111" s="18">
        <f t="shared" si="25"/>
        <v>6393</v>
      </c>
      <c r="V111" s="18">
        <f t="shared" si="26"/>
        <v>4352</v>
      </c>
      <c r="W111" s="18">
        <f t="shared" si="27"/>
        <v>366</v>
      </c>
      <c r="AD111" s="9"/>
    </row>
    <row r="112" spans="1:30" ht="13.15" customHeight="1" x14ac:dyDescent="0.2">
      <c r="A112" s="9">
        <v>43101</v>
      </c>
      <c r="B112">
        <f t="shared" si="18"/>
        <v>2018</v>
      </c>
      <c r="C112" t="str">
        <f t="shared" si="19"/>
        <v>Q1</v>
      </c>
      <c r="D112" s="18">
        <v>7199.4</v>
      </c>
      <c r="E112" s="18">
        <v>7167.3</v>
      </c>
      <c r="F112" s="18">
        <v>3298</v>
      </c>
      <c r="G112" s="18">
        <v>3287</v>
      </c>
      <c r="H112" s="18">
        <v>412.8</v>
      </c>
      <c r="I112" s="18">
        <v>412.4</v>
      </c>
      <c r="J112" s="18">
        <v>789531.6</v>
      </c>
      <c r="K112" s="18">
        <v>608429.30000000005</v>
      </c>
      <c r="L112" s="18">
        <v>57334.6</v>
      </c>
      <c r="M112" s="8">
        <v>779459</v>
      </c>
      <c r="N112" s="8">
        <v>600187</v>
      </c>
      <c r="O112" s="18">
        <v>31723</v>
      </c>
      <c r="P112" s="18">
        <f t="shared" si="20"/>
        <v>184.79999999999927</v>
      </c>
      <c r="Q112" s="18">
        <f t="shared" si="21"/>
        <v>184.80000000000018</v>
      </c>
      <c r="R112" s="18">
        <f t="shared" si="22"/>
        <v>137.80000000000018</v>
      </c>
      <c r="S112" s="18">
        <f t="shared" si="23"/>
        <v>140.09999999999991</v>
      </c>
      <c r="T112" s="31">
        <f t="shared" si="24"/>
        <v>25066.79999999993</v>
      </c>
      <c r="U112" s="18">
        <f t="shared" si="25"/>
        <v>8006</v>
      </c>
      <c r="V112" s="18">
        <f t="shared" si="26"/>
        <v>3374</v>
      </c>
      <c r="W112" s="18">
        <f t="shared" si="27"/>
        <v>201</v>
      </c>
      <c r="AD112" s="9"/>
    </row>
    <row r="113" spans="1:30" ht="13.15" customHeight="1" x14ac:dyDescent="0.2">
      <c r="A113" s="9">
        <v>43132</v>
      </c>
      <c r="B113">
        <f t="shared" si="18"/>
        <v>2018</v>
      </c>
      <c r="C113" t="str">
        <f t="shared" si="19"/>
        <v>Q1</v>
      </c>
      <c r="D113" s="18">
        <v>7188.9</v>
      </c>
      <c r="E113" s="18">
        <v>7120.1</v>
      </c>
      <c r="F113" s="18">
        <v>3300.1</v>
      </c>
      <c r="G113" s="18">
        <v>3280</v>
      </c>
      <c r="H113" s="18">
        <v>407.6</v>
      </c>
      <c r="I113" s="18">
        <v>405.8</v>
      </c>
      <c r="J113" s="18">
        <v>789531.6</v>
      </c>
      <c r="K113" s="18">
        <v>608429.30000000005</v>
      </c>
      <c r="L113" s="18">
        <v>57334.6</v>
      </c>
      <c r="M113" s="8">
        <v>779459</v>
      </c>
      <c r="N113" s="8">
        <v>600187</v>
      </c>
      <c r="O113" s="18">
        <v>31723</v>
      </c>
      <c r="P113" s="18">
        <f t="shared" si="20"/>
        <v>157.59999999999945</v>
      </c>
      <c r="Q113" s="18">
        <f t="shared" si="21"/>
        <v>157.60000000000036</v>
      </c>
      <c r="R113" s="18">
        <f t="shared" si="22"/>
        <v>127.29999999999973</v>
      </c>
      <c r="S113" s="18">
        <f t="shared" si="23"/>
        <v>131.59999999999991</v>
      </c>
      <c r="T113" s="31">
        <f t="shared" si="24"/>
        <v>25066.79999999993</v>
      </c>
      <c r="U113" s="18">
        <f t="shared" si="25"/>
        <v>8006</v>
      </c>
      <c r="V113" s="18">
        <f t="shared" si="26"/>
        <v>3374</v>
      </c>
      <c r="W113" s="18">
        <f t="shared" si="27"/>
        <v>201</v>
      </c>
      <c r="AD113" s="9"/>
    </row>
    <row r="114" spans="1:30" ht="13.15" customHeight="1" x14ac:dyDescent="0.2">
      <c r="A114" s="9">
        <v>43160</v>
      </c>
      <c r="B114">
        <f t="shared" si="18"/>
        <v>2018</v>
      </c>
      <c r="C114" t="str">
        <f t="shared" si="19"/>
        <v>Q1</v>
      </c>
      <c r="D114" s="18">
        <v>7188.8</v>
      </c>
      <c r="E114" s="18">
        <v>7084.1</v>
      </c>
      <c r="F114" s="18">
        <v>3296.2</v>
      </c>
      <c r="G114" s="18">
        <v>3259.5</v>
      </c>
      <c r="H114" s="18">
        <v>404.8</v>
      </c>
      <c r="I114" s="18">
        <v>400.5</v>
      </c>
      <c r="J114" s="18">
        <v>789531.6</v>
      </c>
      <c r="K114" s="18">
        <v>608429.30000000005</v>
      </c>
      <c r="L114" s="18">
        <v>57334.6</v>
      </c>
      <c r="M114" s="8">
        <v>779459</v>
      </c>
      <c r="N114" s="8">
        <v>600187</v>
      </c>
      <c r="O114" s="18">
        <v>31723</v>
      </c>
      <c r="P114" s="18">
        <f t="shared" si="20"/>
        <v>139.80000000000018</v>
      </c>
      <c r="Q114" s="18">
        <f t="shared" si="21"/>
        <v>138.10000000000036</v>
      </c>
      <c r="R114" s="18">
        <f t="shared" si="22"/>
        <v>105.79999999999973</v>
      </c>
      <c r="S114" s="18">
        <f t="shared" si="23"/>
        <v>109.90000000000009</v>
      </c>
      <c r="T114" s="31">
        <f t="shared" si="24"/>
        <v>25066.79999999993</v>
      </c>
      <c r="U114" s="18">
        <f t="shared" si="25"/>
        <v>8006</v>
      </c>
      <c r="V114" s="18">
        <f t="shared" si="26"/>
        <v>3374</v>
      </c>
      <c r="W114" s="18">
        <f t="shared" si="27"/>
        <v>201</v>
      </c>
      <c r="AD114" s="9"/>
    </row>
    <row r="115" spans="1:30" ht="13.15" customHeight="1" x14ac:dyDescent="0.2">
      <c r="A115" s="9">
        <v>43191</v>
      </c>
      <c r="B115">
        <f t="shared" si="18"/>
        <v>2018</v>
      </c>
      <c r="C115" t="str">
        <f t="shared" si="19"/>
        <v>Q2</v>
      </c>
      <c r="D115" s="18">
        <v>7201.1</v>
      </c>
      <c r="E115" s="18">
        <v>7111.6</v>
      </c>
      <c r="F115" s="18">
        <v>3291.6</v>
      </c>
      <c r="G115" s="18">
        <v>3261.1</v>
      </c>
      <c r="H115" s="18">
        <v>401.5</v>
      </c>
      <c r="I115" s="18">
        <v>397.1</v>
      </c>
      <c r="J115" s="18">
        <v>789531.6</v>
      </c>
      <c r="K115" s="18">
        <v>608429.30000000005</v>
      </c>
      <c r="L115" s="18">
        <v>57334.6</v>
      </c>
      <c r="M115" s="8">
        <v>784896</v>
      </c>
      <c r="N115" s="8">
        <v>604446</v>
      </c>
      <c r="O115" s="18">
        <v>31589</v>
      </c>
      <c r="P115" s="18">
        <f t="shared" si="20"/>
        <v>146</v>
      </c>
      <c r="Q115" s="18">
        <f t="shared" si="21"/>
        <v>148</v>
      </c>
      <c r="R115" s="18">
        <f t="shared" si="22"/>
        <v>87.599999999999909</v>
      </c>
      <c r="S115" s="18">
        <f t="shared" si="23"/>
        <v>89.599999999999909</v>
      </c>
      <c r="T115" s="31">
        <f t="shared" si="24"/>
        <v>25066.79999999993</v>
      </c>
      <c r="U115" s="18">
        <f t="shared" si="25"/>
        <v>5437</v>
      </c>
      <c r="V115" s="18">
        <f t="shared" si="26"/>
        <v>4259</v>
      </c>
      <c r="W115" s="18">
        <f t="shared" si="27"/>
        <v>-134</v>
      </c>
      <c r="AD115" s="9"/>
    </row>
    <row r="116" spans="1:30" ht="13.15" customHeight="1" x14ac:dyDescent="0.2">
      <c r="A116" s="9">
        <v>43221</v>
      </c>
      <c r="B116">
        <f t="shared" si="18"/>
        <v>2018</v>
      </c>
      <c r="C116" t="str">
        <f t="shared" si="19"/>
        <v>Q2</v>
      </c>
      <c r="D116" s="18">
        <v>7208.5</v>
      </c>
      <c r="E116" s="18">
        <v>7176</v>
      </c>
      <c r="F116" s="18">
        <v>3289.2</v>
      </c>
      <c r="G116" s="18">
        <v>3280</v>
      </c>
      <c r="H116" s="18">
        <v>404.3</v>
      </c>
      <c r="I116" s="18">
        <v>401.5</v>
      </c>
      <c r="J116" s="18">
        <v>789531.6</v>
      </c>
      <c r="K116" s="18">
        <v>608429.30000000005</v>
      </c>
      <c r="L116" s="18">
        <v>57334.6</v>
      </c>
      <c r="M116" s="8">
        <v>784896</v>
      </c>
      <c r="N116" s="8">
        <v>604446</v>
      </c>
      <c r="O116" s="18">
        <v>31589</v>
      </c>
      <c r="P116" s="18">
        <f t="shared" si="20"/>
        <v>141.80000000000018</v>
      </c>
      <c r="Q116" s="18">
        <f t="shared" si="21"/>
        <v>142.60000000000036</v>
      </c>
      <c r="R116" s="18">
        <f t="shared" si="22"/>
        <v>69</v>
      </c>
      <c r="S116" s="18">
        <f t="shared" si="23"/>
        <v>69.5</v>
      </c>
      <c r="T116" s="31">
        <f t="shared" si="24"/>
        <v>25066.79999999993</v>
      </c>
      <c r="U116" s="18">
        <f t="shared" si="25"/>
        <v>5437</v>
      </c>
      <c r="V116" s="18">
        <f t="shared" si="26"/>
        <v>4259</v>
      </c>
      <c r="W116" s="18">
        <f t="shared" si="27"/>
        <v>-134</v>
      </c>
      <c r="AD116" s="9"/>
    </row>
    <row r="117" spans="1:30" ht="13.15" customHeight="1" x14ac:dyDescent="0.2">
      <c r="A117" s="9">
        <v>43252</v>
      </c>
      <c r="B117">
        <f t="shared" si="18"/>
        <v>2018</v>
      </c>
      <c r="C117" t="str">
        <f t="shared" si="19"/>
        <v>Q2</v>
      </c>
      <c r="D117" s="18">
        <v>7221.1</v>
      </c>
      <c r="E117" s="18">
        <v>7264.3</v>
      </c>
      <c r="F117" s="18">
        <v>3293.2</v>
      </c>
      <c r="G117" s="18">
        <v>3312.6</v>
      </c>
      <c r="H117" s="18">
        <v>407.5</v>
      </c>
      <c r="I117" s="18">
        <v>407</v>
      </c>
      <c r="J117" s="18">
        <v>789531.6</v>
      </c>
      <c r="K117" s="18">
        <v>608429.30000000005</v>
      </c>
      <c r="L117" s="18">
        <v>57334.6</v>
      </c>
      <c r="M117" s="8">
        <v>784896</v>
      </c>
      <c r="N117" s="8">
        <v>604446</v>
      </c>
      <c r="O117" s="18">
        <v>31589</v>
      </c>
      <c r="P117" s="18">
        <f t="shared" si="20"/>
        <v>141.30000000000018</v>
      </c>
      <c r="Q117" s="18">
        <f t="shared" si="21"/>
        <v>141.30000000000018</v>
      </c>
      <c r="R117" s="18">
        <f t="shared" si="22"/>
        <v>66.5</v>
      </c>
      <c r="S117" s="18">
        <f t="shared" si="23"/>
        <v>65.299999999999727</v>
      </c>
      <c r="T117" s="31">
        <f t="shared" si="24"/>
        <v>25066.79999999993</v>
      </c>
      <c r="U117" s="18">
        <f t="shared" si="25"/>
        <v>5437</v>
      </c>
      <c r="V117" s="18">
        <f t="shared" si="26"/>
        <v>4259</v>
      </c>
      <c r="W117" s="18">
        <f t="shared" si="27"/>
        <v>-134</v>
      </c>
      <c r="AD117" s="9"/>
    </row>
    <row r="118" spans="1:30" ht="13.15" customHeight="1" x14ac:dyDescent="0.2">
      <c r="A118" s="9">
        <v>43282</v>
      </c>
      <c r="B118">
        <f t="shared" si="18"/>
        <v>2018</v>
      </c>
      <c r="C118" t="str">
        <f t="shared" si="19"/>
        <v>Q3</v>
      </c>
      <c r="D118" s="18">
        <v>7255</v>
      </c>
      <c r="E118" s="18">
        <v>7345.7</v>
      </c>
      <c r="F118" s="18">
        <v>3306.4</v>
      </c>
      <c r="G118" s="18">
        <v>3345</v>
      </c>
      <c r="H118" s="18">
        <v>410.5</v>
      </c>
      <c r="I118" s="18">
        <v>412.8</v>
      </c>
      <c r="J118" s="18">
        <v>789531.6</v>
      </c>
      <c r="K118" s="18">
        <v>608429.30000000005</v>
      </c>
      <c r="L118" s="18">
        <v>57334.6</v>
      </c>
      <c r="M118" s="8">
        <v>794140</v>
      </c>
      <c r="N118" s="8">
        <v>611579</v>
      </c>
      <c r="O118" s="18">
        <v>31769</v>
      </c>
      <c r="P118" s="18">
        <f t="shared" si="20"/>
        <v>153.10000000000036</v>
      </c>
      <c r="Q118" s="18">
        <f t="shared" si="21"/>
        <v>149.69999999999982</v>
      </c>
      <c r="R118" s="18">
        <f t="shared" si="22"/>
        <v>78.800000000000182</v>
      </c>
      <c r="S118" s="18">
        <f t="shared" si="23"/>
        <v>77.300000000000182</v>
      </c>
      <c r="T118" s="31">
        <f t="shared" si="24"/>
        <v>25066.79999999993</v>
      </c>
      <c r="U118" s="18">
        <f t="shared" si="25"/>
        <v>9244</v>
      </c>
      <c r="V118" s="18">
        <f t="shared" si="26"/>
        <v>7133</v>
      </c>
      <c r="W118" s="18">
        <f t="shared" si="27"/>
        <v>180</v>
      </c>
      <c r="AD118" s="9"/>
    </row>
    <row r="119" spans="1:30" ht="13.15" customHeight="1" x14ac:dyDescent="0.2">
      <c r="A119" s="9">
        <v>43313</v>
      </c>
      <c r="B119">
        <f t="shared" si="18"/>
        <v>2018</v>
      </c>
      <c r="C119" t="str">
        <f t="shared" si="19"/>
        <v>Q3</v>
      </c>
      <c r="D119" s="18">
        <v>7266.2</v>
      </c>
      <c r="E119" s="18">
        <v>7359.5</v>
      </c>
      <c r="F119" s="18">
        <v>3307.5</v>
      </c>
      <c r="G119" s="18">
        <v>3343.9</v>
      </c>
      <c r="H119" s="18">
        <v>407.9</v>
      </c>
      <c r="I119" s="18">
        <v>410.3</v>
      </c>
      <c r="J119" s="18">
        <v>789531.6</v>
      </c>
      <c r="K119" s="18">
        <v>608429.30000000005</v>
      </c>
      <c r="L119" s="18">
        <v>57334.6</v>
      </c>
      <c r="M119" s="8">
        <v>794140</v>
      </c>
      <c r="N119" s="8">
        <v>611579</v>
      </c>
      <c r="O119" s="18">
        <v>31769</v>
      </c>
      <c r="P119" s="18">
        <f t="shared" si="20"/>
        <v>145.09999999999945</v>
      </c>
      <c r="Q119" s="18">
        <f t="shared" si="21"/>
        <v>142.80000000000018</v>
      </c>
      <c r="R119" s="18">
        <f t="shared" si="22"/>
        <v>80.900000000000091</v>
      </c>
      <c r="S119" s="18">
        <f t="shared" si="23"/>
        <v>77.400000000000091</v>
      </c>
      <c r="T119" s="31">
        <f t="shared" si="24"/>
        <v>25066.79999999993</v>
      </c>
      <c r="U119" s="18">
        <f t="shared" si="25"/>
        <v>9244</v>
      </c>
      <c r="V119" s="18">
        <f t="shared" si="26"/>
        <v>7133</v>
      </c>
      <c r="W119" s="18">
        <f t="shared" si="27"/>
        <v>180</v>
      </c>
      <c r="AD119" s="9"/>
    </row>
    <row r="120" spans="1:30" ht="13.15" customHeight="1" x14ac:dyDescent="0.2">
      <c r="A120" s="9">
        <v>43344</v>
      </c>
      <c r="B120">
        <f t="shared" si="18"/>
        <v>2018</v>
      </c>
      <c r="C120" t="str">
        <f t="shared" si="19"/>
        <v>Q3</v>
      </c>
      <c r="D120" s="18">
        <v>7279.6</v>
      </c>
      <c r="E120" s="18">
        <v>7324.4</v>
      </c>
      <c r="F120" s="18">
        <v>3300.1</v>
      </c>
      <c r="G120" s="18">
        <v>3312.6</v>
      </c>
      <c r="H120" s="18">
        <v>408.1</v>
      </c>
      <c r="I120" s="18">
        <v>408.2</v>
      </c>
      <c r="J120" s="18">
        <v>789531.6</v>
      </c>
      <c r="K120" s="18">
        <v>608429.30000000005</v>
      </c>
      <c r="L120" s="18">
        <v>57334.6</v>
      </c>
      <c r="M120" s="8">
        <v>794140</v>
      </c>
      <c r="N120" s="8">
        <v>611579</v>
      </c>
      <c r="O120" s="18">
        <v>31769</v>
      </c>
      <c r="P120" s="18">
        <f t="shared" si="20"/>
        <v>134.80000000000018</v>
      </c>
      <c r="Q120" s="18">
        <f t="shared" si="21"/>
        <v>131</v>
      </c>
      <c r="R120" s="18">
        <f t="shared" si="22"/>
        <v>60.299999999999727</v>
      </c>
      <c r="S120" s="18">
        <f t="shared" si="23"/>
        <v>56.099999999999909</v>
      </c>
      <c r="T120" s="31">
        <f t="shared" si="24"/>
        <v>25066.79999999993</v>
      </c>
      <c r="U120" s="18">
        <f t="shared" si="25"/>
        <v>9244</v>
      </c>
      <c r="V120" s="18">
        <f t="shared" si="26"/>
        <v>7133</v>
      </c>
      <c r="W120" s="18">
        <f t="shared" si="27"/>
        <v>180</v>
      </c>
      <c r="AD120" s="9"/>
    </row>
    <row r="121" spans="1:30" ht="13.15" customHeight="1" x14ac:dyDescent="0.2">
      <c r="A121" s="9">
        <v>43374</v>
      </c>
      <c r="B121">
        <f t="shared" si="18"/>
        <v>2018</v>
      </c>
      <c r="C121" t="str">
        <f t="shared" si="19"/>
        <v>Q4</v>
      </c>
      <c r="D121" s="18">
        <v>7270.3</v>
      </c>
      <c r="E121" s="18">
        <v>7290.6</v>
      </c>
      <c r="F121" s="18">
        <v>3299.2</v>
      </c>
      <c r="G121" s="18">
        <v>3293.4</v>
      </c>
      <c r="H121" s="18">
        <v>409.2</v>
      </c>
      <c r="I121" s="18">
        <v>407.5</v>
      </c>
      <c r="J121" s="18">
        <v>789531.6</v>
      </c>
      <c r="K121" s="18">
        <v>608429.30000000005</v>
      </c>
      <c r="L121" s="18">
        <v>57334.6</v>
      </c>
      <c r="M121" s="8">
        <v>799632</v>
      </c>
      <c r="N121" s="8">
        <v>617505</v>
      </c>
      <c r="O121" s="18">
        <v>31552</v>
      </c>
      <c r="P121" s="18">
        <f t="shared" si="20"/>
        <v>109.30000000000018</v>
      </c>
      <c r="Q121" s="18">
        <f t="shared" si="21"/>
        <v>105.40000000000055</v>
      </c>
      <c r="R121" s="18">
        <f t="shared" si="22"/>
        <v>40</v>
      </c>
      <c r="S121" s="18">
        <f t="shared" si="23"/>
        <v>35.700000000000273</v>
      </c>
      <c r="T121" s="31">
        <f t="shared" si="24"/>
        <v>25066.79999999993</v>
      </c>
      <c r="U121" s="18">
        <f t="shared" si="25"/>
        <v>5492</v>
      </c>
      <c r="V121" s="18">
        <f t="shared" si="26"/>
        <v>5926</v>
      </c>
      <c r="W121" s="18">
        <f t="shared" si="27"/>
        <v>-217</v>
      </c>
      <c r="AD121" s="9"/>
    </row>
    <row r="122" spans="1:30" ht="13.15" customHeight="1" x14ac:dyDescent="0.2">
      <c r="A122" s="9">
        <v>43405</v>
      </c>
      <c r="B122">
        <f t="shared" si="18"/>
        <v>2018</v>
      </c>
      <c r="C122" t="str">
        <f t="shared" si="19"/>
        <v>Q4</v>
      </c>
      <c r="D122" s="18">
        <v>7290</v>
      </c>
      <c r="E122" s="18">
        <v>7288.9</v>
      </c>
      <c r="F122" s="18">
        <v>3311.1</v>
      </c>
      <c r="G122" s="18">
        <v>3295.4</v>
      </c>
      <c r="H122" s="18">
        <v>412.1</v>
      </c>
      <c r="I122" s="18">
        <v>409.7</v>
      </c>
      <c r="J122" s="18">
        <v>789531.6</v>
      </c>
      <c r="K122" s="18">
        <v>608429.30000000005</v>
      </c>
      <c r="L122" s="18">
        <v>57334.6</v>
      </c>
      <c r="M122" s="8">
        <v>799632</v>
      </c>
      <c r="N122" s="8">
        <v>617505</v>
      </c>
      <c r="O122" s="18">
        <v>31552</v>
      </c>
      <c r="P122" s="18">
        <f t="shared" si="20"/>
        <v>105.30000000000018</v>
      </c>
      <c r="Q122" s="18">
        <f t="shared" si="21"/>
        <v>102.89999999999964</v>
      </c>
      <c r="R122" s="18">
        <f t="shared" si="22"/>
        <v>36.099999999999909</v>
      </c>
      <c r="S122" s="18">
        <f t="shared" si="23"/>
        <v>33.900000000000091</v>
      </c>
      <c r="T122" s="31">
        <f t="shared" si="24"/>
        <v>25066.79999999993</v>
      </c>
      <c r="U122" s="18">
        <f t="shared" si="25"/>
        <v>5492</v>
      </c>
      <c r="V122" s="18">
        <f t="shared" si="26"/>
        <v>5926</v>
      </c>
      <c r="W122" s="18">
        <f t="shared" si="27"/>
        <v>-217</v>
      </c>
      <c r="AD122" s="9"/>
    </row>
    <row r="123" spans="1:30" ht="13.15" customHeight="1" x14ac:dyDescent="0.2">
      <c r="A123" s="9">
        <v>43435</v>
      </c>
      <c r="B123">
        <f t="shared" si="18"/>
        <v>2018</v>
      </c>
      <c r="C123" t="str">
        <f t="shared" si="19"/>
        <v>Q4</v>
      </c>
      <c r="D123" s="18">
        <v>7300.1</v>
      </c>
      <c r="E123" s="18">
        <v>7310.7</v>
      </c>
      <c r="F123" s="18">
        <v>3323</v>
      </c>
      <c r="G123" s="18">
        <v>3320.7</v>
      </c>
      <c r="H123" s="18">
        <v>413.7</v>
      </c>
      <c r="I123" s="18">
        <v>413.9</v>
      </c>
      <c r="J123" s="18">
        <v>789531.6</v>
      </c>
      <c r="K123" s="18">
        <v>608429.30000000005</v>
      </c>
      <c r="L123" s="18">
        <v>57334.6</v>
      </c>
      <c r="M123" s="8">
        <v>799632</v>
      </c>
      <c r="N123" s="8">
        <v>617505</v>
      </c>
      <c r="O123" s="18">
        <v>31552</v>
      </c>
      <c r="P123" s="18">
        <f t="shared" si="20"/>
        <v>100.60000000000036</v>
      </c>
      <c r="Q123" s="18">
        <f t="shared" si="21"/>
        <v>103.89999999999964</v>
      </c>
      <c r="R123" s="18">
        <f t="shared" si="22"/>
        <v>31.800000000000182</v>
      </c>
      <c r="S123" s="18">
        <f t="shared" si="23"/>
        <v>33</v>
      </c>
      <c r="T123" s="31">
        <f t="shared" si="24"/>
        <v>25066.79999999993</v>
      </c>
      <c r="U123" s="18">
        <f t="shared" si="25"/>
        <v>5492</v>
      </c>
      <c r="V123" s="18">
        <f t="shared" si="26"/>
        <v>5926</v>
      </c>
      <c r="W123" s="18">
        <f t="shared" si="27"/>
        <v>-217</v>
      </c>
      <c r="AD123" s="9"/>
    </row>
    <row r="124" spans="1:30" ht="13.15" customHeight="1" x14ac:dyDescent="0.2">
      <c r="A124" s="9">
        <v>43466</v>
      </c>
      <c r="B124">
        <f t="shared" ref="B124:B183" si="28">YEAR(A124)</f>
        <v>2019</v>
      </c>
      <c r="C124" t="str">
        <f t="shared" si="19"/>
        <v>Q1</v>
      </c>
      <c r="D124" s="18">
        <v>7318</v>
      </c>
      <c r="E124" s="18">
        <v>7289.4</v>
      </c>
      <c r="F124" s="18">
        <v>3325.1</v>
      </c>
      <c r="G124" s="18">
        <v>3317.7</v>
      </c>
      <c r="H124" s="18">
        <v>413.8</v>
      </c>
      <c r="I124" s="18">
        <v>413.4</v>
      </c>
      <c r="J124" s="18">
        <v>807274.5</v>
      </c>
      <c r="K124" s="18">
        <v>626103.1</v>
      </c>
      <c r="L124" s="18">
        <v>59751.3</v>
      </c>
      <c r="M124" s="8">
        <v>800724</v>
      </c>
      <c r="N124" s="8">
        <v>619045</v>
      </c>
      <c r="O124" s="18">
        <v>31743</v>
      </c>
      <c r="P124" s="18">
        <f t="shared" si="20"/>
        <v>118.60000000000036</v>
      </c>
      <c r="Q124" s="18">
        <f t="shared" si="21"/>
        <v>122.09999999999945</v>
      </c>
      <c r="R124" s="18">
        <f t="shared" si="22"/>
        <v>27.099999999999909</v>
      </c>
      <c r="S124" s="18">
        <f t="shared" si="23"/>
        <v>30.699999999999818</v>
      </c>
      <c r="T124" s="31">
        <f t="shared" si="24"/>
        <v>17742.900000000023</v>
      </c>
      <c r="U124" s="18">
        <f t="shared" si="25"/>
        <v>1092</v>
      </c>
      <c r="V124" s="18">
        <f t="shared" si="26"/>
        <v>1540</v>
      </c>
      <c r="W124" s="18">
        <f t="shared" si="27"/>
        <v>191</v>
      </c>
      <c r="AD124" s="9"/>
    </row>
    <row r="125" spans="1:30" ht="13.15" customHeight="1" x14ac:dyDescent="0.2">
      <c r="A125" s="9">
        <v>43497</v>
      </c>
      <c r="B125">
        <f t="shared" si="28"/>
        <v>2019</v>
      </c>
      <c r="C125" t="str">
        <f t="shared" si="19"/>
        <v>Q1</v>
      </c>
      <c r="D125" s="18">
        <v>7345.4</v>
      </c>
      <c r="E125" s="18">
        <v>7278.4</v>
      </c>
      <c r="F125" s="18">
        <v>3340.8</v>
      </c>
      <c r="G125" s="18">
        <v>3325.3</v>
      </c>
      <c r="H125" s="18">
        <v>414.2</v>
      </c>
      <c r="I125" s="18">
        <v>413.3</v>
      </c>
      <c r="J125" s="18">
        <v>807274.5</v>
      </c>
      <c r="K125" s="18">
        <v>626103.1</v>
      </c>
      <c r="L125" s="18">
        <v>59751.3</v>
      </c>
      <c r="M125" s="8">
        <v>800724</v>
      </c>
      <c r="N125" s="8">
        <v>619045</v>
      </c>
      <c r="O125" s="18">
        <v>31743</v>
      </c>
      <c r="P125" s="18">
        <f t="shared" si="20"/>
        <v>156.5</v>
      </c>
      <c r="Q125" s="18">
        <f t="shared" si="21"/>
        <v>158.29999999999927</v>
      </c>
      <c r="R125" s="18">
        <f t="shared" si="22"/>
        <v>40.700000000000273</v>
      </c>
      <c r="S125" s="18">
        <f t="shared" si="23"/>
        <v>45.300000000000182</v>
      </c>
      <c r="T125" s="31">
        <f t="shared" si="24"/>
        <v>17742.900000000023</v>
      </c>
      <c r="U125" s="18">
        <f t="shared" si="25"/>
        <v>1092</v>
      </c>
      <c r="V125" s="18">
        <f t="shared" si="26"/>
        <v>1540</v>
      </c>
      <c r="W125" s="18">
        <f t="shared" si="27"/>
        <v>191</v>
      </c>
      <c r="AD125" s="9"/>
    </row>
    <row r="126" spans="1:30" ht="13.15" customHeight="1" x14ac:dyDescent="0.2">
      <c r="A126" s="9">
        <v>43525</v>
      </c>
      <c r="B126">
        <f t="shared" si="28"/>
        <v>2019</v>
      </c>
      <c r="C126" t="str">
        <f t="shared" si="19"/>
        <v>Q1</v>
      </c>
      <c r="D126" s="18">
        <v>7361.3</v>
      </c>
      <c r="E126" s="18">
        <v>7256.9</v>
      </c>
      <c r="F126" s="18">
        <v>3358.9</v>
      </c>
      <c r="G126" s="18">
        <v>3325.3</v>
      </c>
      <c r="H126" s="18">
        <v>411.4</v>
      </c>
      <c r="I126" s="18">
        <v>408</v>
      </c>
      <c r="J126" s="18">
        <v>807274.5</v>
      </c>
      <c r="K126" s="18">
        <v>626103.1</v>
      </c>
      <c r="L126" s="18">
        <v>59751.3</v>
      </c>
      <c r="M126" s="8">
        <v>800724</v>
      </c>
      <c r="N126" s="8">
        <v>619045</v>
      </c>
      <c r="O126" s="18">
        <v>31743</v>
      </c>
      <c r="P126" s="18">
        <f t="shared" si="20"/>
        <v>172.5</v>
      </c>
      <c r="Q126" s="18">
        <f t="shared" si="21"/>
        <v>172.79999999999927</v>
      </c>
      <c r="R126" s="18">
        <f t="shared" si="22"/>
        <v>62.700000000000273</v>
      </c>
      <c r="S126" s="18">
        <f t="shared" si="23"/>
        <v>65.800000000000182</v>
      </c>
      <c r="T126" s="31">
        <f t="shared" si="24"/>
        <v>17742.900000000023</v>
      </c>
      <c r="U126" s="18">
        <f t="shared" si="25"/>
        <v>1092</v>
      </c>
      <c r="V126" s="18">
        <f t="shared" si="26"/>
        <v>1540</v>
      </c>
      <c r="W126" s="18">
        <f t="shared" si="27"/>
        <v>191</v>
      </c>
      <c r="AD126" s="9"/>
    </row>
    <row r="127" spans="1:30" ht="13.15" customHeight="1" x14ac:dyDescent="0.2">
      <c r="A127" s="9">
        <v>43556</v>
      </c>
      <c r="B127">
        <f t="shared" si="28"/>
        <v>2019</v>
      </c>
      <c r="C127" t="str">
        <f t="shared" si="19"/>
        <v>Q2</v>
      </c>
      <c r="D127" s="18">
        <v>7382.3</v>
      </c>
      <c r="E127" s="18">
        <v>7294</v>
      </c>
      <c r="F127" s="18">
        <v>3380.8</v>
      </c>
      <c r="G127" s="18">
        <v>3351</v>
      </c>
      <c r="H127" s="18">
        <v>408.7</v>
      </c>
      <c r="I127" s="18">
        <v>405.2</v>
      </c>
      <c r="J127" s="18">
        <v>807274.5</v>
      </c>
      <c r="K127" s="18">
        <v>626103.1</v>
      </c>
      <c r="L127" s="18">
        <v>59751.3</v>
      </c>
      <c r="M127" s="8">
        <v>806630</v>
      </c>
      <c r="N127" s="8">
        <v>624723</v>
      </c>
      <c r="O127" s="18">
        <v>32769</v>
      </c>
      <c r="P127" s="18">
        <f t="shared" si="20"/>
        <v>181.19999999999982</v>
      </c>
      <c r="Q127" s="18">
        <f t="shared" si="21"/>
        <v>182.39999999999964</v>
      </c>
      <c r="R127" s="18">
        <f t="shared" si="22"/>
        <v>89.200000000000273</v>
      </c>
      <c r="S127" s="18">
        <f t="shared" si="23"/>
        <v>89.900000000000091</v>
      </c>
      <c r="T127" s="31">
        <f t="shared" si="24"/>
        <v>17742.900000000023</v>
      </c>
      <c r="U127" s="18">
        <f t="shared" si="25"/>
        <v>5906</v>
      </c>
      <c r="V127" s="18">
        <f t="shared" si="26"/>
        <v>5678</v>
      </c>
      <c r="W127" s="18">
        <f t="shared" si="27"/>
        <v>1026</v>
      </c>
      <c r="Y127" s="91"/>
      <c r="AD127" s="9"/>
    </row>
    <row r="128" spans="1:30" ht="13.15" customHeight="1" x14ac:dyDescent="0.2">
      <c r="A128" s="9">
        <v>43586</v>
      </c>
      <c r="B128">
        <f t="shared" si="28"/>
        <v>2019</v>
      </c>
      <c r="C128" t="str">
        <f t="shared" si="19"/>
        <v>Q2</v>
      </c>
      <c r="D128" s="18">
        <v>7398.9</v>
      </c>
      <c r="E128" s="18">
        <v>7366.8</v>
      </c>
      <c r="F128" s="18">
        <v>3392.8</v>
      </c>
      <c r="G128" s="18">
        <v>3381.9</v>
      </c>
      <c r="H128" s="18">
        <v>408.5</v>
      </c>
      <c r="I128" s="18">
        <v>405.7</v>
      </c>
      <c r="J128" s="18">
        <v>807274.5</v>
      </c>
      <c r="K128" s="18">
        <v>626103.1</v>
      </c>
      <c r="L128" s="18">
        <v>59751.3</v>
      </c>
      <c r="M128" s="8">
        <v>806630</v>
      </c>
      <c r="N128" s="8">
        <v>624723</v>
      </c>
      <c r="O128" s="18">
        <v>32769</v>
      </c>
      <c r="P128" s="18">
        <f t="shared" si="20"/>
        <v>190.39999999999964</v>
      </c>
      <c r="Q128" s="18">
        <f t="shared" si="21"/>
        <v>190.80000000000018</v>
      </c>
      <c r="R128" s="18">
        <f t="shared" si="22"/>
        <v>103.60000000000036</v>
      </c>
      <c r="S128" s="18">
        <f t="shared" si="23"/>
        <v>101.90000000000009</v>
      </c>
      <c r="T128" s="31">
        <f t="shared" si="24"/>
        <v>17742.900000000023</v>
      </c>
      <c r="U128" s="18">
        <f t="shared" si="25"/>
        <v>5906</v>
      </c>
      <c r="V128" s="18">
        <f t="shared" si="26"/>
        <v>5678</v>
      </c>
      <c r="W128" s="18">
        <f t="shared" si="27"/>
        <v>1026</v>
      </c>
      <c r="Y128" s="91"/>
      <c r="AD128" s="9"/>
    </row>
    <row r="129" spans="1:38" ht="13.15" customHeight="1" x14ac:dyDescent="0.2">
      <c r="A129" s="9">
        <v>43617</v>
      </c>
      <c r="B129">
        <f t="shared" si="28"/>
        <v>2019</v>
      </c>
      <c r="C129" t="str">
        <f t="shared" si="19"/>
        <v>Q2</v>
      </c>
      <c r="D129" s="18">
        <v>7420.3</v>
      </c>
      <c r="E129" s="18">
        <v>7460.9</v>
      </c>
      <c r="F129" s="18">
        <v>3401.3</v>
      </c>
      <c r="G129" s="18">
        <v>3417.9</v>
      </c>
      <c r="H129" s="18">
        <v>411.2</v>
      </c>
      <c r="I129" s="18">
        <v>410.4</v>
      </c>
      <c r="J129" s="18">
        <v>807274.5</v>
      </c>
      <c r="K129" s="18">
        <v>626103.1</v>
      </c>
      <c r="L129" s="18">
        <v>59751.3</v>
      </c>
      <c r="M129" s="8">
        <v>806630</v>
      </c>
      <c r="N129" s="8">
        <v>624723</v>
      </c>
      <c r="O129" s="18">
        <v>32769</v>
      </c>
      <c r="P129" s="18">
        <f t="shared" si="20"/>
        <v>199.19999999999982</v>
      </c>
      <c r="Q129" s="18">
        <f t="shared" si="21"/>
        <v>196.59999999999945</v>
      </c>
      <c r="R129" s="18">
        <f t="shared" si="22"/>
        <v>108.10000000000036</v>
      </c>
      <c r="S129" s="18">
        <f t="shared" si="23"/>
        <v>105.30000000000018</v>
      </c>
      <c r="T129" s="31">
        <f t="shared" si="24"/>
        <v>17742.900000000023</v>
      </c>
      <c r="U129" s="18">
        <f t="shared" si="25"/>
        <v>5906</v>
      </c>
      <c r="V129" s="18">
        <f t="shared" si="26"/>
        <v>5678</v>
      </c>
      <c r="W129" s="18">
        <f t="shared" si="27"/>
        <v>1026</v>
      </c>
      <c r="Y129" s="91"/>
      <c r="AD129" s="9"/>
    </row>
    <row r="130" spans="1:38" ht="13.15" customHeight="1" x14ac:dyDescent="0.2">
      <c r="A130" s="9">
        <v>43647</v>
      </c>
      <c r="B130">
        <f t="shared" si="28"/>
        <v>2019</v>
      </c>
      <c r="C130" t="str">
        <f t="shared" si="19"/>
        <v>Q3</v>
      </c>
      <c r="D130" s="18">
        <v>7423.6</v>
      </c>
      <c r="E130" s="18">
        <v>7509.9</v>
      </c>
      <c r="F130" s="18">
        <v>3414</v>
      </c>
      <c r="G130" s="18">
        <v>3450.4</v>
      </c>
      <c r="H130" s="18">
        <v>410.1</v>
      </c>
      <c r="I130" s="18">
        <v>411.4</v>
      </c>
      <c r="J130" s="18">
        <v>807274.5</v>
      </c>
      <c r="K130" s="18">
        <v>626103.1</v>
      </c>
      <c r="L130" s="18">
        <v>59751.3</v>
      </c>
      <c r="M130" s="8">
        <v>810347</v>
      </c>
      <c r="N130" s="8">
        <v>628879</v>
      </c>
      <c r="O130" s="18">
        <v>33162</v>
      </c>
      <c r="P130" s="18">
        <f t="shared" si="20"/>
        <v>168.60000000000036</v>
      </c>
      <c r="Q130" s="18">
        <f t="shared" si="21"/>
        <v>164.19999999999982</v>
      </c>
      <c r="R130" s="18">
        <f t="shared" si="22"/>
        <v>107.59999999999991</v>
      </c>
      <c r="S130" s="18">
        <f t="shared" si="23"/>
        <v>105.40000000000009</v>
      </c>
      <c r="T130" s="31">
        <f t="shared" si="24"/>
        <v>17742.900000000023</v>
      </c>
      <c r="U130" s="18">
        <f t="shared" si="25"/>
        <v>3717</v>
      </c>
      <c r="V130" s="18">
        <f t="shared" si="26"/>
        <v>4156</v>
      </c>
      <c r="W130" s="18">
        <f t="shared" si="27"/>
        <v>393</v>
      </c>
      <c r="AD130" s="9"/>
    </row>
    <row r="131" spans="1:38" ht="13.15" customHeight="1" x14ac:dyDescent="0.2">
      <c r="A131" s="9">
        <v>43678</v>
      </c>
      <c r="B131">
        <f t="shared" si="28"/>
        <v>2019</v>
      </c>
      <c r="C131" t="str">
        <f t="shared" si="19"/>
        <v>Q3</v>
      </c>
      <c r="D131" s="18">
        <v>7433.8</v>
      </c>
      <c r="E131" s="18">
        <v>7523.3</v>
      </c>
      <c r="F131" s="18">
        <v>3421.9</v>
      </c>
      <c r="G131" s="18">
        <v>3456.3</v>
      </c>
      <c r="H131" s="18">
        <v>413.1</v>
      </c>
      <c r="I131" s="18">
        <v>414.9</v>
      </c>
      <c r="J131" s="18">
        <v>807274.5</v>
      </c>
      <c r="K131" s="18">
        <v>626103.1</v>
      </c>
      <c r="L131" s="18">
        <v>59751.3</v>
      </c>
      <c r="M131" s="8">
        <v>810347</v>
      </c>
      <c r="N131" s="8">
        <v>628879</v>
      </c>
      <c r="O131" s="18">
        <v>33162</v>
      </c>
      <c r="P131" s="18">
        <f t="shared" si="20"/>
        <v>167.60000000000036</v>
      </c>
      <c r="Q131" s="18">
        <f t="shared" si="21"/>
        <v>163.80000000000018</v>
      </c>
      <c r="R131" s="18">
        <f t="shared" si="22"/>
        <v>114.40000000000009</v>
      </c>
      <c r="S131" s="18">
        <f t="shared" si="23"/>
        <v>112.40000000000009</v>
      </c>
      <c r="T131" s="31">
        <f t="shared" si="24"/>
        <v>17742.900000000023</v>
      </c>
      <c r="U131" s="18">
        <f t="shared" si="25"/>
        <v>3717</v>
      </c>
      <c r="V131" s="18">
        <f t="shared" si="26"/>
        <v>4156</v>
      </c>
      <c r="W131" s="18">
        <f t="shared" si="27"/>
        <v>393</v>
      </c>
      <c r="AD131" s="9"/>
    </row>
    <row r="132" spans="1:38" ht="13.15" customHeight="1" x14ac:dyDescent="0.2">
      <c r="A132" s="9">
        <v>43709</v>
      </c>
      <c r="B132">
        <f t="shared" si="28"/>
        <v>2019</v>
      </c>
      <c r="C132" t="str">
        <f t="shared" si="19"/>
        <v>Q3</v>
      </c>
      <c r="D132" s="18">
        <v>7448.5</v>
      </c>
      <c r="E132" s="18">
        <v>7505.1</v>
      </c>
      <c r="F132" s="18">
        <v>3440.1</v>
      </c>
      <c r="G132" s="18">
        <v>3462</v>
      </c>
      <c r="H132" s="18">
        <v>412.8</v>
      </c>
      <c r="I132" s="18">
        <v>413.7</v>
      </c>
      <c r="J132" s="18">
        <v>807274.5</v>
      </c>
      <c r="K132" s="18">
        <v>626103.1</v>
      </c>
      <c r="L132" s="18">
        <v>59751.3</v>
      </c>
      <c r="M132" s="8">
        <v>810347</v>
      </c>
      <c r="N132" s="8">
        <v>628879</v>
      </c>
      <c r="O132" s="18">
        <v>33162</v>
      </c>
      <c r="P132" s="18">
        <f t="shared" si="20"/>
        <v>168.89999999999964</v>
      </c>
      <c r="Q132" s="18">
        <f t="shared" si="21"/>
        <v>180.70000000000073</v>
      </c>
      <c r="R132" s="18">
        <f t="shared" si="22"/>
        <v>140</v>
      </c>
      <c r="S132" s="18">
        <f t="shared" si="23"/>
        <v>149.40000000000009</v>
      </c>
      <c r="T132" s="31">
        <f t="shared" si="24"/>
        <v>17742.900000000023</v>
      </c>
      <c r="U132" s="18">
        <f t="shared" si="25"/>
        <v>3717</v>
      </c>
      <c r="V132" s="18">
        <f t="shared" si="26"/>
        <v>4156</v>
      </c>
      <c r="W132" s="18">
        <f t="shared" si="27"/>
        <v>393</v>
      </c>
      <c r="AD132" s="9"/>
    </row>
    <row r="133" spans="1:38" ht="13.15" customHeight="1" x14ac:dyDescent="0.2">
      <c r="A133" s="9">
        <v>43739</v>
      </c>
      <c r="B133">
        <f t="shared" si="28"/>
        <v>2019</v>
      </c>
      <c r="C133" t="str">
        <f t="shared" si="19"/>
        <v>Q4</v>
      </c>
      <c r="D133" s="18">
        <v>7462.2</v>
      </c>
      <c r="E133" s="18">
        <v>7501.2</v>
      </c>
      <c r="F133" s="18">
        <v>3436.5</v>
      </c>
      <c r="G133" s="18">
        <v>3440.1</v>
      </c>
      <c r="H133" s="18">
        <v>420.2</v>
      </c>
      <c r="I133" s="18">
        <v>422.6</v>
      </c>
      <c r="J133" s="18">
        <v>807274.5</v>
      </c>
      <c r="K133" s="18">
        <v>626103.1</v>
      </c>
      <c r="L133" s="18">
        <v>59751.3</v>
      </c>
      <c r="M133" s="8">
        <v>811397</v>
      </c>
      <c r="N133" s="8">
        <v>631766</v>
      </c>
      <c r="O133" s="18">
        <v>33770</v>
      </c>
      <c r="P133" s="18">
        <f t="shared" si="20"/>
        <v>191.89999999999964</v>
      </c>
      <c r="Q133" s="18">
        <f t="shared" si="21"/>
        <v>210.59999999999945</v>
      </c>
      <c r="R133" s="18">
        <f t="shared" si="22"/>
        <v>137.30000000000018</v>
      </c>
      <c r="S133" s="18">
        <f t="shared" si="23"/>
        <v>146.69999999999982</v>
      </c>
      <c r="T133" s="31">
        <f t="shared" si="24"/>
        <v>17742.900000000023</v>
      </c>
      <c r="U133" s="18">
        <f t="shared" si="25"/>
        <v>1050</v>
      </c>
      <c r="V133" s="18">
        <f t="shared" si="26"/>
        <v>2887</v>
      </c>
      <c r="W133" s="18">
        <f t="shared" si="27"/>
        <v>608</v>
      </c>
      <c r="AD133" s="9"/>
    </row>
    <row r="134" spans="1:38" ht="13.15" customHeight="1" x14ac:dyDescent="0.2">
      <c r="A134" s="9">
        <v>43770</v>
      </c>
      <c r="B134">
        <f t="shared" si="28"/>
        <v>2019</v>
      </c>
      <c r="C134" t="str">
        <f t="shared" si="19"/>
        <v>Q4</v>
      </c>
      <c r="D134" s="18">
        <v>7470.1</v>
      </c>
      <c r="E134" s="18">
        <v>7488.3</v>
      </c>
      <c r="F134" s="18">
        <v>3442</v>
      </c>
      <c r="G134" s="18">
        <v>3437.7</v>
      </c>
      <c r="H134" s="18">
        <v>419.4</v>
      </c>
      <c r="I134" s="18">
        <v>423.8</v>
      </c>
      <c r="J134" s="18">
        <v>807274.5</v>
      </c>
      <c r="K134" s="18">
        <v>626103.1</v>
      </c>
      <c r="L134" s="18">
        <v>59751.3</v>
      </c>
      <c r="M134" s="8">
        <v>811397</v>
      </c>
      <c r="N134" s="8">
        <v>631766</v>
      </c>
      <c r="O134" s="18">
        <v>33770</v>
      </c>
      <c r="P134" s="18">
        <f t="shared" si="20"/>
        <v>180.10000000000036</v>
      </c>
      <c r="Q134" s="18">
        <f t="shared" si="21"/>
        <v>199.40000000000055</v>
      </c>
      <c r="R134" s="18">
        <f t="shared" si="22"/>
        <v>130.90000000000009</v>
      </c>
      <c r="S134" s="18">
        <f t="shared" si="23"/>
        <v>142.29999999999973</v>
      </c>
      <c r="T134" s="31">
        <f t="shared" si="24"/>
        <v>17742.900000000023</v>
      </c>
      <c r="U134" s="18">
        <f t="shared" si="25"/>
        <v>1050</v>
      </c>
      <c r="V134" s="18">
        <f t="shared" si="26"/>
        <v>2887</v>
      </c>
      <c r="W134" s="18">
        <f t="shared" si="27"/>
        <v>608</v>
      </c>
      <c r="AD134" s="9"/>
    </row>
    <row r="135" spans="1:38" ht="13.15" customHeight="1" x14ac:dyDescent="0.2">
      <c r="A135" s="9">
        <v>43800</v>
      </c>
      <c r="B135">
        <f t="shared" si="28"/>
        <v>2019</v>
      </c>
      <c r="C135" t="str">
        <f t="shared" si="19"/>
        <v>Q4</v>
      </c>
      <c r="D135" s="18">
        <v>7482.6</v>
      </c>
      <c r="E135" s="18">
        <v>7493.8</v>
      </c>
      <c r="F135" s="18">
        <v>3443.2</v>
      </c>
      <c r="G135" s="18">
        <v>3443.1</v>
      </c>
      <c r="H135" s="18">
        <v>419.3</v>
      </c>
      <c r="I135" s="18">
        <v>427</v>
      </c>
      <c r="J135" s="18">
        <v>807274.5</v>
      </c>
      <c r="K135" s="18">
        <v>626103.1</v>
      </c>
      <c r="L135" s="18">
        <v>59751.3</v>
      </c>
      <c r="M135" s="8">
        <v>811397</v>
      </c>
      <c r="N135" s="8">
        <v>631766</v>
      </c>
      <c r="O135" s="18">
        <v>33770</v>
      </c>
      <c r="P135" s="18">
        <f t="shared" si="20"/>
        <v>182.5</v>
      </c>
      <c r="Q135" s="18">
        <f t="shared" si="21"/>
        <v>183.10000000000036</v>
      </c>
      <c r="R135" s="18">
        <f t="shared" si="22"/>
        <v>120.19999999999982</v>
      </c>
      <c r="S135" s="18">
        <f t="shared" si="23"/>
        <v>122.40000000000009</v>
      </c>
      <c r="T135" s="31">
        <f t="shared" si="24"/>
        <v>17742.900000000023</v>
      </c>
      <c r="U135" s="18">
        <f t="shared" si="25"/>
        <v>1050</v>
      </c>
      <c r="V135" s="18">
        <f t="shared" si="26"/>
        <v>2887</v>
      </c>
      <c r="W135" s="18">
        <f t="shared" si="27"/>
        <v>608</v>
      </c>
      <c r="AD135" s="9"/>
    </row>
    <row r="136" spans="1:38" ht="13.15" customHeight="1" x14ac:dyDescent="0.2">
      <c r="A136" s="9">
        <v>43831</v>
      </c>
      <c r="B136">
        <f t="shared" si="28"/>
        <v>2020</v>
      </c>
      <c r="C136" t="str">
        <f t="shared" si="19"/>
        <v>Q1</v>
      </c>
      <c r="D136" s="18">
        <v>7504.9</v>
      </c>
      <c r="E136" s="18">
        <v>7471.6</v>
      </c>
      <c r="F136" s="18">
        <v>3466.7</v>
      </c>
      <c r="G136" s="18">
        <v>3462.4</v>
      </c>
      <c r="H136" s="18">
        <v>416</v>
      </c>
      <c r="I136" s="18">
        <v>420.5</v>
      </c>
      <c r="J136" s="18">
        <v>769942</v>
      </c>
      <c r="K136" s="18">
        <v>596521.6</v>
      </c>
      <c r="L136" s="18">
        <v>58159</v>
      </c>
      <c r="M136" s="8">
        <v>800126</v>
      </c>
      <c r="N136" s="8">
        <v>621238</v>
      </c>
      <c r="O136" s="18">
        <v>30738</v>
      </c>
      <c r="P136" s="18">
        <f t="shared" si="20"/>
        <v>186.89999999999964</v>
      </c>
      <c r="Q136" s="18">
        <f t="shared" si="21"/>
        <v>182.20000000000073</v>
      </c>
      <c r="R136" s="18">
        <f t="shared" si="22"/>
        <v>141.59999999999991</v>
      </c>
      <c r="S136" s="18">
        <f t="shared" si="23"/>
        <v>144.70000000000027</v>
      </c>
      <c r="T136" s="31">
        <f t="shared" si="24"/>
        <v>-37332.5</v>
      </c>
      <c r="U136" s="18">
        <f t="shared" si="25"/>
        <v>-11271</v>
      </c>
      <c r="V136" s="18">
        <f t="shared" si="26"/>
        <v>-10528</v>
      </c>
      <c r="W136" s="18">
        <f t="shared" si="27"/>
        <v>-3032</v>
      </c>
      <c r="X136" s="82"/>
      <c r="Y136" s="18"/>
      <c r="Z136" s="18"/>
      <c r="AA136" s="18"/>
      <c r="AB136" s="18"/>
      <c r="AC136" s="18"/>
      <c r="AD136" s="9"/>
      <c r="AF136" s="17"/>
      <c r="AG136" s="17"/>
      <c r="AH136" s="17"/>
      <c r="AI136" s="17"/>
      <c r="AJ136" s="17"/>
      <c r="AK136" s="17"/>
      <c r="AL136" s="17"/>
    </row>
    <row r="137" spans="1:38" ht="13.15" customHeight="1" x14ac:dyDescent="0.2">
      <c r="A137" s="9">
        <v>43862</v>
      </c>
      <c r="B137">
        <f t="shared" si="28"/>
        <v>2020</v>
      </c>
      <c r="C137" t="str">
        <f t="shared" si="19"/>
        <v>Q1</v>
      </c>
      <c r="D137" s="18">
        <v>7512.3</v>
      </c>
      <c r="E137" s="18">
        <v>7442.1</v>
      </c>
      <c r="F137" s="18">
        <v>3471.4</v>
      </c>
      <c r="G137" s="18">
        <v>3459.2</v>
      </c>
      <c r="H137" s="18">
        <v>415.2</v>
      </c>
      <c r="I137" s="18">
        <v>416.9</v>
      </c>
      <c r="J137" s="18">
        <v>769942</v>
      </c>
      <c r="K137" s="18">
        <v>596521.6</v>
      </c>
      <c r="L137" s="18">
        <v>58159</v>
      </c>
      <c r="M137" s="8">
        <v>800126</v>
      </c>
      <c r="N137" s="8">
        <v>621238</v>
      </c>
      <c r="O137" s="18">
        <v>30738</v>
      </c>
      <c r="P137" s="18">
        <f t="shared" si="20"/>
        <v>166.90000000000055</v>
      </c>
      <c r="Q137" s="18">
        <f t="shared" si="21"/>
        <v>163.70000000000073</v>
      </c>
      <c r="R137" s="18">
        <f t="shared" si="22"/>
        <v>130.59999999999991</v>
      </c>
      <c r="S137" s="18">
        <f t="shared" si="23"/>
        <v>133.89999999999964</v>
      </c>
      <c r="T137" s="31">
        <f t="shared" si="24"/>
        <v>-37332.5</v>
      </c>
      <c r="U137" s="18">
        <f t="shared" si="25"/>
        <v>-11271</v>
      </c>
      <c r="V137" s="18">
        <f t="shared" si="26"/>
        <v>-10528</v>
      </c>
      <c r="W137" s="18">
        <f t="shared" si="27"/>
        <v>-3032</v>
      </c>
      <c r="X137" s="82"/>
      <c r="Y137" s="18"/>
      <c r="Z137" s="18"/>
      <c r="AA137" s="18"/>
      <c r="AB137" s="18"/>
      <c r="AC137" s="18"/>
      <c r="AD137" s="9"/>
      <c r="AF137" s="17"/>
      <c r="AG137" s="17"/>
      <c r="AH137" s="17"/>
      <c r="AI137" s="17"/>
      <c r="AJ137" s="17"/>
      <c r="AK137" s="17"/>
      <c r="AL137" s="17"/>
    </row>
    <row r="138" spans="1:38" ht="13.15" customHeight="1" x14ac:dyDescent="0.2">
      <c r="A138" s="9">
        <v>43891</v>
      </c>
      <c r="B138">
        <f t="shared" si="28"/>
        <v>2020</v>
      </c>
      <c r="C138" t="str">
        <f t="shared" si="19"/>
        <v>Q1</v>
      </c>
      <c r="D138" s="18">
        <v>7358</v>
      </c>
      <c r="E138" s="18">
        <v>7256.2</v>
      </c>
      <c r="F138" s="18">
        <v>3393.3</v>
      </c>
      <c r="G138" s="18">
        <v>3362.4</v>
      </c>
      <c r="H138" s="18">
        <v>409.1</v>
      </c>
      <c r="I138" s="18">
        <v>406.9</v>
      </c>
      <c r="J138" s="18">
        <v>769942</v>
      </c>
      <c r="K138" s="18">
        <v>596521.6</v>
      </c>
      <c r="L138" s="18">
        <v>58159</v>
      </c>
      <c r="M138" s="8">
        <v>800126</v>
      </c>
      <c r="N138" s="8">
        <v>621238</v>
      </c>
      <c r="O138" s="18">
        <v>30738</v>
      </c>
      <c r="P138" s="18">
        <f t="shared" si="20"/>
        <v>-3.3000000000001819</v>
      </c>
      <c r="Q138" s="18">
        <f t="shared" si="21"/>
        <v>-0.6999999999998181</v>
      </c>
      <c r="R138" s="18">
        <f t="shared" si="22"/>
        <v>34.400000000000091</v>
      </c>
      <c r="S138" s="18">
        <f t="shared" si="23"/>
        <v>37.099999999999909</v>
      </c>
      <c r="T138" s="31">
        <f t="shared" si="24"/>
        <v>-37332.5</v>
      </c>
      <c r="U138" s="18">
        <f t="shared" si="25"/>
        <v>-11271</v>
      </c>
      <c r="V138" s="18">
        <f t="shared" si="26"/>
        <v>-10528</v>
      </c>
      <c r="W138" s="18">
        <f t="shared" si="27"/>
        <v>-3032</v>
      </c>
      <c r="X138" s="82"/>
      <c r="Y138" s="18"/>
      <c r="Z138" s="18"/>
      <c r="AA138" s="18"/>
      <c r="AB138" s="18"/>
      <c r="AC138" s="18"/>
      <c r="AD138" s="9"/>
      <c r="AF138" s="17"/>
      <c r="AG138" s="17"/>
      <c r="AH138" s="17"/>
      <c r="AI138" s="17"/>
      <c r="AJ138" s="17"/>
      <c r="AK138" s="17"/>
      <c r="AL138" s="17"/>
    </row>
    <row r="139" spans="1:38" ht="13.15" customHeight="1" x14ac:dyDescent="0.2">
      <c r="A139" s="9">
        <v>43922</v>
      </c>
      <c r="B139">
        <f t="shared" si="28"/>
        <v>2020</v>
      </c>
      <c r="C139" t="str">
        <f t="shared" si="19"/>
        <v>Q2</v>
      </c>
      <c r="D139" s="18">
        <v>6963.7</v>
      </c>
      <c r="E139" s="18">
        <v>6885.2</v>
      </c>
      <c r="F139" s="18">
        <v>3196.7</v>
      </c>
      <c r="G139" s="18">
        <v>3168</v>
      </c>
      <c r="H139" s="18">
        <v>388.4</v>
      </c>
      <c r="I139" s="18">
        <v>386.1</v>
      </c>
      <c r="J139" s="18">
        <v>769942</v>
      </c>
      <c r="K139" s="18">
        <v>596521.6</v>
      </c>
      <c r="L139" s="18">
        <v>58159</v>
      </c>
      <c r="M139" s="8">
        <v>706539</v>
      </c>
      <c r="N139" s="8">
        <v>552481</v>
      </c>
      <c r="O139" s="18">
        <v>20965</v>
      </c>
      <c r="P139" s="18">
        <f t="shared" si="20"/>
        <v>-418.60000000000036</v>
      </c>
      <c r="Q139" s="18">
        <f t="shared" si="21"/>
        <v>-408.80000000000018</v>
      </c>
      <c r="R139" s="18">
        <f t="shared" si="22"/>
        <v>-184.10000000000036</v>
      </c>
      <c r="S139" s="18">
        <f t="shared" si="23"/>
        <v>-183</v>
      </c>
      <c r="T139" s="31">
        <f t="shared" si="24"/>
        <v>-37332.5</v>
      </c>
      <c r="U139" s="18">
        <f t="shared" si="25"/>
        <v>-93587</v>
      </c>
      <c r="V139" s="18">
        <f t="shared" si="26"/>
        <v>-68757</v>
      </c>
      <c r="W139" s="18">
        <f t="shared" si="27"/>
        <v>-9773</v>
      </c>
      <c r="X139" s="82"/>
      <c r="Y139" s="18"/>
      <c r="Z139" s="18"/>
      <c r="AA139" s="18"/>
      <c r="AB139" s="18"/>
      <c r="AC139" s="18"/>
      <c r="AD139" s="9"/>
      <c r="AF139" s="17"/>
      <c r="AG139" s="17"/>
      <c r="AH139" s="17"/>
      <c r="AI139" s="17"/>
      <c r="AJ139" s="17"/>
      <c r="AK139" s="17"/>
      <c r="AL139" s="17"/>
    </row>
    <row r="140" spans="1:38" ht="13.15" customHeight="1" x14ac:dyDescent="0.2">
      <c r="A140" s="9">
        <v>43952</v>
      </c>
      <c r="B140">
        <f t="shared" si="28"/>
        <v>2020</v>
      </c>
      <c r="C140" t="str">
        <f t="shared" si="19"/>
        <v>Q2</v>
      </c>
      <c r="D140" s="18">
        <v>6568.2</v>
      </c>
      <c r="E140" s="18">
        <v>6536.7</v>
      </c>
      <c r="F140" s="18">
        <v>2985.2</v>
      </c>
      <c r="G140" s="18">
        <v>2973.2</v>
      </c>
      <c r="H140" s="18">
        <v>363</v>
      </c>
      <c r="I140" s="18">
        <v>360.3</v>
      </c>
      <c r="J140" s="18">
        <v>769942</v>
      </c>
      <c r="K140" s="18">
        <v>596521.6</v>
      </c>
      <c r="L140" s="18">
        <v>58159</v>
      </c>
      <c r="M140" s="8">
        <v>706539</v>
      </c>
      <c r="N140" s="8">
        <v>552481</v>
      </c>
      <c r="O140" s="18">
        <v>20965</v>
      </c>
      <c r="P140" s="18">
        <f t="shared" si="20"/>
        <v>-830.69999999999982</v>
      </c>
      <c r="Q140" s="18">
        <f t="shared" si="21"/>
        <v>-830.10000000000036</v>
      </c>
      <c r="R140" s="18">
        <f t="shared" si="22"/>
        <v>-407.60000000000036</v>
      </c>
      <c r="S140" s="18">
        <f t="shared" si="23"/>
        <v>-408.70000000000027</v>
      </c>
      <c r="T140" s="31">
        <f t="shared" si="24"/>
        <v>-37332.5</v>
      </c>
      <c r="U140" s="18">
        <f t="shared" si="25"/>
        <v>-93587</v>
      </c>
      <c r="V140" s="18">
        <f t="shared" si="26"/>
        <v>-68757</v>
      </c>
      <c r="W140" s="18">
        <f t="shared" si="27"/>
        <v>-9773</v>
      </c>
      <c r="X140" s="82"/>
      <c r="Y140" s="18"/>
      <c r="Z140" s="18"/>
      <c r="AA140" s="18"/>
      <c r="AB140" s="18"/>
      <c r="AC140" s="18"/>
      <c r="AD140" s="9"/>
      <c r="AF140" s="17"/>
      <c r="AG140" s="17"/>
      <c r="AH140" s="17"/>
      <c r="AI140" s="17"/>
      <c r="AJ140" s="17"/>
      <c r="AK140" s="17"/>
      <c r="AL140" s="17"/>
    </row>
    <row r="141" spans="1:38" ht="13.15" customHeight="1" x14ac:dyDescent="0.2">
      <c r="A141" s="9">
        <v>43983</v>
      </c>
      <c r="B141">
        <f t="shared" si="28"/>
        <v>2020</v>
      </c>
      <c r="C141" t="str">
        <f t="shared" si="19"/>
        <v>Q2</v>
      </c>
      <c r="D141" s="18">
        <v>6459.7</v>
      </c>
      <c r="E141" s="18">
        <v>6498.5</v>
      </c>
      <c r="F141" s="18">
        <v>2919</v>
      </c>
      <c r="G141" s="18">
        <v>2935.8</v>
      </c>
      <c r="H141" s="18">
        <v>354.1</v>
      </c>
      <c r="I141" s="18">
        <v>352.6</v>
      </c>
      <c r="J141" s="18">
        <v>769942</v>
      </c>
      <c r="K141" s="18">
        <v>596521.6</v>
      </c>
      <c r="L141" s="18">
        <v>58159</v>
      </c>
      <c r="M141" s="8">
        <v>706539</v>
      </c>
      <c r="N141" s="8">
        <v>552481</v>
      </c>
      <c r="O141" s="18">
        <v>20965</v>
      </c>
      <c r="P141" s="18">
        <f t="shared" si="20"/>
        <v>-960.60000000000036</v>
      </c>
      <c r="Q141" s="18">
        <f t="shared" si="21"/>
        <v>-962.39999999999964</v>
      </c>
      <c r="R141" s="18">
        <f t="shared" si="22"/>
        <v>-482.30000000000018</v>
      </c>
      <c r="S141" s="18">
        <f t="shared" si="23"/>
        <v>-482.09999999999991</v>
      </c>
      <c r="T141" s="31">
        <f t="shared" si="24"/>
        <v>-37332.5</v>
      </c>
      <c r="U141" s="18">
        <f t="shared" si="25"/>
        <v>-93587</v>
      </c>
      <c r="V141" s="18">
        <f t="shared" si="26"/>
        <v>-68757</v>
      </c>
      <c r="W141" s="18">
        <f t="shared" si="27"/>
        <v>-9773</v>
      </c>
      <c r="X141" s="82"/>
      <c r="Y141" s="18"/>
      <c r="Z141" s="18"/>
      <c r="AA141" s="18"/>
      <c r="AB141" s="18"/>
      <c r="AC141" s="18"/>
      <c r="AD141" s="9"/>
      <c r="AF141" s="17"/>
      <c r="AG141" s="17"/>
      <c r="AH141" s="17"/>
      <c r="AI141" s="17"/>
      <c r="AJ141" s="17"/>
      <c r="AK141" s="17"/>
      <c r="AL141" s="17"/>
    </row>
    <row r="142" spans="1:38" ht="13.15" customHeight="1" x14ac:dyDescent="0.2">
      <c r="A142" s="9">
        <v>44013</v>
      </c>
      <c r="B142">
        <f t="shared" si="28"/>
        <v>2020</v>
      </c>
      <c r="C142" t="str">
        <f t="shared" si="19"/>
        <v>Q3</v>
      </c>
      <c r="D142" s="18">
        <v>6643.5</v>
      </c>
      <c r="E142" s="18">
        <v>6711.9</v>
      </c>
      <c r="F142" s="18">
        <v>2981.2</v>
      </c>
      <c r="G142" s="18">
        <v>3017.9</v>
      </c>
      <c r="H142" s="18">
        <v>364.7</v>
      </c>
      <c r="I142" s="18">
        <v>363.9</v>
      </c>
      <c r="J142" s="18">
        <v>769942</v>
      </c>
      <c r="K142" s="18">
        <v>596521.6</v>
      </c>
      <c r="L142" s="18">
        <v>58159</v>
      </c>
      <c r="M142" s="8">
        <v>777225</v>
      </c>
      <c r="N142" s="8">
        <v>598852</v>
      </c>
      <c r="O142" s="18">
        <v>22145</v>
      </c>
      <c r="P142" s="18">
        <f t="shared" si="20"/>
        <v>-780.10000000000036</v>
      </c>
      <c r="Q142" s="18">
        <f t="shared" si="21"/>
        <v>-798</v>
      </c>
      <c r="R142" s="18">
        <f t="shared" si="22"/>
        <v>-432.80000000000018</v>
      </c>
      <c r="S142" s="18">
        <f t="shared" si="23"/>
        <v>-432.5</v>
      </c>
      <c r="T142" s="31">
        <f t="shared" si="24"/>
        <v>-37332.5</v>
      </c>
      <c r="U142" s="18">
        <f t="shared" si="25"/>
        <v>70686</v>
      </c>
      <c r="V142" s="18">
        <f t="shared" si="26"/>
        <v>46371</v>
      </c>
      <c r="W142" s="18">
        <f t="shared" si="27"/>
        <v>1180</v>
      </c>
      <c r="X142" s="82"/>
      <c r="Y142" s="18"/>
      <c r="Z142" s="18"/>
      <c r="AA142" s="18"/>
      <c r="AB142" s="18"/>
      <c r="AC142" s="18"/>
      <c r="AD142" s="9"/>
      <c r="AF142" s="17"/>
      <c r="AG142" s="17"/>
      <c r="AH142" s="17"/>
      <c r="AI142" s="17"/>
      <c r="AJ142" s="17"/>
      <c r="AK142" s="17"/>
      <c r="AL142" s="17"/>
    </row>
    <row r="143" spans="1:38" ht="13.15" customHeight="1" x14ac:dyDescent="0.2">
      <c r="A143" s="9">
        <v>44044</v>
      </c>
      <c r="B143">
        <f t="shared" si="28"/>
        <v>2020</v>
      </c>
      <c r="C143" t="str">
        <f t="shared" si="19"/>
        <v>Q3</v>
      </c>
      <c r="D143" s="18">
        <v>6879.1</v>
      </c>
      <c r="E143" s="18">
        <v>6950.9</v>
      </c>
      <c r="F143" s="18">
        <v>3114.6</v>
      </c>
      <c r="G143" s="18">
        <v>3150.5</v>
      </c>
      <c r="H143" s="18">
        <v>375</v>
      </c>
      <c r="I143" s="18">
        <v>376.1</v>
      </c>
      <c r="J143" s="18">
        <v>769942</v>
      </c>
      <c r="K143" s="18">
        <v>596521.6</v>
      </c>
      <c r="L143" s="18">
        <v>58159</v>
      </c>
      <c r="M143" s="8">
        <v>777225</v>
      </c>
      <c r="N143" s="8">
        <v>598852</v>
      </c>
      <c r="O143" s="18">
        <v>22145</v>
      </c>
      <c r="P143" s="18">
        <f t="shared" si="20"/>
        <v>-554.69999999999982</v>
      </c>
      <c r="Q143" s="18">
        <f t="shared" si="21"/>
        <v>-572.40000000000055</v>
      </c>
      <c r="R143" s="18">
        <f t="shared" si="22"/>
        <v>-307.30000000000018</v>
      </c>
      <c r="S143" s="18">
        <f t="shared" si="23"/>
        <v>-305.80000000000018</v>
      </c>
      <c r="T143" s="31">
        <f t="shared" si="24"/>
        <v>-37332.5</v>
      </c>
      <c r="U143" s="18">
        <f t="shared" si="25"/>
        <v>70686</v>
      </c>
      <c r="V143" s="18">
        <f t="shared" si="26"/>
        <v>46371</v>
      </c>
      <c r="W143" s="18">
        <f t="shared" si="27"/>
        <v>1180</v>
      </c>
      <c r="X143" s="82"/>
      <c r="Y143" s="82"/>
      <c r="Z143" s="82"/>
      <c r="AA143" s="82"/>
      <c r="AB143" s="82"/>
      <c r="AC143" s="82"/>
      <c r="AD143" s="9"/>
      <c r="AF143" s="17"/>
      <c r="AG143" s="17"/>
      <c r="AH143" s="17"/>
      <c r="AI143" s="17"/>
      <c r="AJ143" s="17"/>
      <c r="AK143" s="17"/>
      <c r="AL143" s="17"/>
    </row>
    <row r="144" spans="1:38" ht="13.15" customHeight="1" x14ac:dyDescent="0.2">
      <c r="A144" s="9">
        <v>44075</v>
      </c>
      <c r="B144">
        <f t="shared" si="28"/>
        <v>2020</v>
      </c>
      <c r="C144" t="str">
        <f t="shared" si="19"/>
        <v>Q3</v>
      </c>
      <c r="D144" s="18">
        <v>7040.8</v>
      </c>
      <c r="E144" s="18">
        <v>7075.5</v>
      </c>
      <c r="F144" s="18">
        <v>3220.1</v>
      </c>
      <c r="G144" s="18">
        <v>3237.7</v>
      </c>
      <c r="H144" s="18">
        <v>375.7</v>
      </c>
      <c r="I144" s="18">
        <v>375.6</v>
      </c>
      <c r="J144" s="18">
        <v>769942</v>
      </c>
      <c r="K144" s="18">
        <v>596521.6</v>
      </c>
      <c r="L144" s="18">
        <v>58159</v>
      </c>
      <c r="M144" s="8">
        <v>777225</v>
      </c>
      <c r="N144" s="8">
        <v>598852</v>
      </c>
      <c r="O144" s="18">
        <v>22145</v>
      </c>
      <c r="P144" s="18">
        <f t="shared" si="20"/>
        <v>-407.69999999999982</v>
      </c>
      <c r="Q144" s="18">
        <f t="shared" si="21"/>
        <v>-429.60000000000036</v>
      </c>
      <c r="R144" s="18">
        <f t="shared" si="22"/>
        <v>-220</v>
      </c>
      <c r="S144" s="18">
        <f t="shared" si="23"/>
        <v>-224.30000000000018</v>
      </c>
      <c r="T144" s="31">
        <f t="shared" si="24"/>
        <v>-37332.5</v>
      </c>
      <c r="U144" s="18">
        <f t="shared" si="25"/>
        <v>70686</v>
      </c>
      <c r="V144" s="18">
        <f t="shared" si="26"/>
        <v>46371</v>
      </c>
      <c r="W144" s="18">
        <f t="shared" si="27"/>
        <v>1180</v>
      </c>
      <c r="X144" s="82"/>
      <c r="Y144" s="82"/>
      <c r="Z144" s="82"/>
      <c r="AA144" s="82"/>
      <c r="AB144" s="82"/>
      <c r="AC144" s="82"/>
      <c r="AD144" s="9"/>
      <c r="AF144" s="17"/>
      <c r="AG144" s="17"/>
      <c r="AH144" s="17"/>
      <c r="AI144" s="17"/>
      <c r="AJ144" s="17"/>
      <c r="AK144" s="17"/>
      <c r="AL144" s="17"/>
    </row>
    <row r="145" spans="1:38" ht="13.15" customHeight="1" x14ac:dyDescent="0.2">
      <c r="A145" s="9">
        <v>44105</v>
      </c>
      <c r="B145">
        <f t="shared" si="28"/>
        <v>2020</v>
      </c>
      <c r="C145" t="str">
        <f t="shared" ref="C145:C208" si="29">C133</f>
        <v>Q4</v>
      </c>
      <c r="D145" s="18">
        <v>7159.1</v>
      </c>
      <c r="E145" s="18">
        <v>7184.1</v>
      </c>
      <c r="F145" s="18">
        <v>3323</v>
      </c>
      <c r="G145" s="18">
        <v>3323</v>
      </c>
      <c r="H145" s="18">
        <v>375.2</v>
      </c>
      <c r="I145" s="18">
        <v>376.4</v>
      </c>
      <c r="J145" s="18">
        <v>769942</v>
      </c>
      <c r="K145" s="18">
        <v>596521.6</v>
      </c>
      <c r="L145" s="18">
        <v>58159</v>
      </c>
      <c r="M145" s="8">
        <v>795879</v>
      </c>
      <c r="N145" s="8">
        <v>613516</v>
      </c>
      <c r="O145" s="18">
        <v>21752</v>
      </c>
      <c r="P145" s="18">
        <f t="shared" ref="P145:P208" si="30">D145-D133</f>
        <v>-303.09999999999945</v>
      </c>
      <c r="Q145" s="18">
        <f t="shared" ref="Q145:Q208" si="31">E145-E133</f>
        <v>-317.09999999999945</v>
      </c>
      <c r="R145" s="18">
        <f t="shared" ref="R145:R208" si="32">F145-F133</f>
        <v>-113.5</v>
      </c>
      <c r="S145" s="18">
        <f t="shared" ref="S145:S208" si="33">G145-G133</f>
        <v>-117.09999999999991</v>
      </c>
      <c r="T145" s="31">
        <f t="shared" ref="T145:T208" si="34">J145-J133</f>
        <v>-37332.5</v>
      </c>
      <c r="U145" s="18">
        <f t="shared" ref="U145:U208" si="35">M145-M142</f>
        <v>18654</v>
      </c>
      <c r="V145" s="18">
        <f t="shared" si="26"/>
        <v>14664</v>
      </c>
      <c r="W145" s="18">
        <f t="shared" si="27"/>
        <v>-393</v>
      </c>
      <c r="X145" s="82"/>
      <c r="Y145" s="82"/>
      <c r="Z145" s="82"/>
      <c r="AA145" s="82"/>
      <c r="AB145" s="82"/>
      <c r="AC145" s="82"/>
      <c r="AD145" s="9"/>
      <c r="AF145" s="17"/>
      <c r="AG145" s="17"/>
      <c r="AH145" s="17"/>
      <c r="AI145" s="17"/>
      <c r="AJ145" s="17"/>
      <c r="AK145" s="17"/>
      <c r="AL145" s="17"/>
    </row>
    <row r="146" spans="1:38" ht="13.15" customHeight="1" x14ac:dyDescent="0.2">
      <c r="A146" s="9">
        <v>44136</v>
      </c>
      <c r="B146">
        <f t="shared" si="28"/>
        <v>2020</v>
      </c>
      <c r="C146" t="str">
        <f t="shared" si="29"/>
        <v>Q4</v>
      </c>
      <c r="D146" s="18">
        <v>7242.5</v>
      </c>
      <c r="E146" s="18">
        <v>7255.2</v>
      </c>
      <c r="F146" s="18">
        <v>3377.5</v>
      </c>
      <c r="G146" s="18">
        <v>3370.2</v>
      </c>
      <c r="H146" s="18">
        <v>387.3</v>
      </c>
      <c r="I146" s="18">
        <v>388.6</v>
      </c>
      <c r="J146" s="18">
        <v>769942</v>
      </c>
      <c r="K146" s="18">
        <v>596521.6</v>
      </c>
      <c r="L146" s="18">
        <v>58159</v>
      </c>
      <c r="M146" s="8">
        <v>795879</v>
      </c>
      <c r="N146" s="8">
        <v>613516</v>
      </c>
      <c r="O146" s="18">
        <v>21752</v>
      </c>
      <c r="P146" s="18">
        <f t="shared" si="30"/>
        <v>-227.60000000000036</v>
      </c>
      <c r="Q146" s="18">
        <f t="shared" si="31"/>
        <v>-233.10000000000036</v>
      </c>
      <c r="R146" s="18">
        <f t="shared" si="32"/>
        <v>-64.5</v>
      </c>
      <c r="S146" s="18">
        <f t="shared" si="33"/>
        <v>-67.5</v>
      </c>
      <c r="T146" s="31">
        <f t="shared" si="34"/>
        <v>-37332.5</v>
      </c>
      <c r="U146" s="18">
        <f t="shared" si="35"/>
        <v>18654</v>
      </c>
      <c r="V146" s="18">
        <f t="shared" si="26"/>
        <v>14664</v>
      </c>
      <c r="W146" s="18">
        <f t="shared" si="27"/>
        <v>-393</v>
      </c>
      <c r="X146" s="82"/>
      <c r="Y146" s="82"/>
      <c r="Z146" s="82"/>
      <c r="AA146" s="82"/>
      <c r="AB146" s="82"/>
      <c r="AC146" s="82"/>
      <c r="AD146" s="9"/>
      <c r="AF146" s="17"/>
      <c r="AG146" s="17"/>
      <c r="AH146" s="17"/>
      <c r="AI146" s="17"/>
      <c r="AJ146" s="17"/>
      <c r="AK146" s="17"/>
      <c r="AL146" s="17"/>
    </row>
    <row r="147" spans="1:38" ht="13.15" customHeight="1" x14ac:dyDescent="0.2">
      <c r="A147" s="9">
        <v>44166</v>
      </c>
      <c r="B147">
        <f t="shared" si="28"/>
        <v>2020</v>
      </c>
      <c r="C147" t="str">
        <f t="shared" si="29"/>
        <v>Q4</v>
      </c>
      <c r="D147" s="18">
        <v>7258.1</v>
      </c>
      <c r="E147" s="18">
        <v>7273.3</v>
      </c>
      <c r="F147" s="18">
        <v>3370</v>
      </c>
      <c r="G147" s="18">
        <v>3372.3</v>
      </c>
      <c r="H147" s="18">
        <v>396.2</v>
      </c>
      <c r="I147" s="18">
        <v>401.2</v>
      </c>
      <c r="J147" s="18">
        <v>769942</v>
      </c>
      <c r="K147" s="18">
        <v>596521.6</v>
      </c>
      <c r="L147" s="18">
        <v>58159</v>
      </c>
      <c r="M147" s="8">
        <v>795879</v>
      </c>
      <c r="N147" s="8">
        <v>613516</v>
      </c>
      <c r="O147" s="18">
        <v>21752</v>
      </c>
      <c r="P147" s="18">
        <f t="shared" si="30"/>
        <v>-224.5</v>
      </c>
      <c r="Q147" s="18">
        <f t="shared" si="31"/>
        <v>-220.5</v>
      </c>
      <c r="R147" s="18">
        <f t="shared" si="32"/>
        <v>-73.199999999999818</v>
      </c>
      <c r="S147" s="18">
        <f t="shared" si="33"/>
        <v>-70.799999999999727</v>
      </c>
      <c r="T147" s="31">
        <f t="shared" si="34"/>
        <v>-37332.5</v>
      </c>
      <c r="U147" s="18">
        <f t="shared" si="35"/>
        <v>18654</v>
      </c>
      <c r="V147" s="18">
        <f t="shared" si="26"/>
        <v>14664</v>
      </c>
      <c r="W147" s="18">
        <f t="shared" si="27"/>
        <v>-393</v>
      </c>
      <c r="X147" s="82"/>
      <c r="Y147" s="82"/>
      <c r="Z147" s="82"/>
      <c r="AA147" s="82"/>
      <c r="AB147" s="82"/>
      <c r="AC147" s="82"/>
      <c r="AD147" s="9"/>
      <c r="AF147" s="17"/>
      <c r="AG147" s="17"/>
      <c r="AH147" s="17"/>
      <c r="AI147" s="17"/>
      <c r="AJ147" s="17"/>
      <c r="AK147" s="17"/>
      <c r="AL147" s="17"/>
    </row>
    <row r="148" spans="1:38" ht="13.15" customHeight="1" x14ac:dyDescent="0.2">
      <c r="A148" s="9">
        <v>44197</v>
      </c>
      <c r="B148">
        <f t="shared" si="28"/>
        <v>2021</v>
      </c>
      <c r="C148" t="str">
        <f t="shared" si="29"/>
        <v>Q1</v>
      </c>
      <c r="D148" s="18">
        <v>7204.7</v>
      </c>
      <c r="E148" s="18">
        <v>7180.4</v>
      </c>
      <c r="F148" s="18">
        <v>3320.3</v>
      </c>
      <c r="G148" s="18">
        <v>3318.1</v>
      </c>
      <c r="H148" s="18">
        <v>399.8</v>
      </c>
      <c r="I148" s="18">
        <v>402.9</v>
      </c>
      <c r="J148" s="18">
        <v>817265.5</v>
      </c>
      <c r="K148" s="18">
        <v>634181.69999999995</v>
      </c>
      <c r="L148" s="18">
        <v>64910</v>
      </c>
      <c r="M148" s="8">
        <v>808584</v>
      </c>
      <c r="N148" s="8">
        <v>622695</v>
      </c>
      <c r="O148" s="18">
        <v>23185</v>
      </c>
      <c r="P148" s="18">
        <f t="shared" si="30"/>
        <v>-300.19999999999982</v>
      </c>
      <c r="Q148" s="18">
        <f t="shared" si="31"/>
        <v>-291.20000000000073</v>
      </c>
      <c r="R148" s="18">
        <f t="shared" si="32"/>
        <v>-146.39999999999964</v>
      </c>
      <c r="S148" s="18">
        <f t="shared" si="33"/>
        <v>-144.30000000000018</v>
      </c>
      <c r="T148" s="31">
        <f t="shared" si="34"/>
        <v>47323.5</v>
      </c>
      <c r="U148" s="18">
        <f t="shared" si="35"/>
        <v>12705</v>
      </c>
      <c r="V148" s="18">
        <f t="shared" si="26"/>
        <v>9179</v>
      </c>
      <c r="W148" s="18">
        <f t="shared" si="27"/>
        <v>1433</v>
      </c>
      <c r="X148" s="82"/>
      <c r="Y148" s="82"/>
      <c r="Z148" s="82"/>
      <c r="AA148" s="82"/>
      <c r="AB148" s="82"/>
      <c r="AC148" s="82"/>
      <c r="AD148" s="9"/>
      <c r="AF148" s="17"/>
      <c r="AG148" s="17"/>
      <c r="AH148" s="17"/>
      <c r="AI148" s="17"/>
      <c r="AJ148" s="17"/>
      <c r="AK148" s="17"/>
      <c r="AL148" s="17"/>
    </row>
    <row r="149" spans="1:38" ht="13.15" customHeight="1" x14ac:dyDescent="0.2">
      <c r="A149" s="9">
        <v>44228</v>
      </c>
      <c r="B149">
        <f t="shared" si="28"/>
        <v>2021</v>
      </c>
      <c r="C149" t="str">
        <f t="shared" si="29"/>
        <v>Q1</v>
      </c>
      <c r="D149" s="18">
        <v>7181.2</v>
      </c>
      <c r="E149" s="18">
        <v>7124.8</v>
      </c>
      <c r="F149" s="18">
        <v>3280.1</v>
      </c>
      <c r="G149" s="18">
        <v>3267.7</v>
      </c>
      <c r="H149" s="18">
        <v>400.9</v>
      </c>
      <c r="I149" s="18">
        <v>400.7</v>
      </c>
      <c r="J149" s="18">
        <v>817265.5</v>
      </c>
      <c r="K149" s="18">
        <v>634181.69999999995</v>
      </c>
      <c r="L149" s="18">
        <v>64910</v>
      </c>
      <c r="M149" s="8">
        <v>808584</v>
      </c>
      <c r="N149" s="8">
        <v>622695</v>
      </c>
      <c r="O149" s="18">
        <v>23185</v>
      </c>
      <c r="P149" s="18">
        <f t="shared" si="30"/>
        <v>-331.10000000000036</v>
      </c>
      <c r="Q149" s="18">
        <f t="shared" si="31"/>
        <v>-317.30000000000018</v>
      </c>
      <c r="R149" s="18">
        <f t="shared" si="32"/>
        <v>-191.30000000000018</v>
      </c>
      <c r="S149" s="18">
        <f t="shared" si="33"/>
        <v>-191.5</v>
      </c>
      <c r="T149" s="31">
        <f t="shared" si="34"/>
        <v>47323.5</v>
      </c>
      <c r="U149" s="18">
        <f t="shared" si="35"/>
        <v>12705</v>
      </c>
      <c r="V149" s="18">
        <f t="shared" si="26"/>
        <v>9179</v>
      </c>
      <c r="W149" s="18">
        <f t="shared" si="27"/>
        <v>1433</v>
      </c>
      <c r="X149" s="82"/>
      <c r="Y149" s="82"/>
      <c r="Z149" s="82"/>
      <c r="AA149" s="82"/>
      <c r="AB149" s="82"/>
      <c r="AC149" s="82"/>
      <c r="AD149" s="9"/>
      <c r="AF149" s="17"/>
      <c r="AG149" s="17"/>
      <c r="AH149" s="17"/>
      <c r="AI149" s="17"/>
      <c r="AJ149" s="17"/>
      <c r="AK149" s="17"/>
      <c r="AL149" s="17"/>
    </row>
    <row r="150" spans="1:38" ht="13.15" customHeight="1" x14ac:dyDescent="0.2">
      <c r="A150" s="9">
        <v>44256</v>
      </c>
      <c r="B150">
        <f t="shared" si="28"/>
        <v>2021</v>
      </c>
      <c r="C150" t="str">
        <f t="shared" si="29"/>
        <v>Q1</v>
      </c>
      <c r="D150" s="18">
        <v>7218.1</v>
      </c>
      <c r="E150" s="18">
        <v>7129.5</v>
      </c>
      <c r="F150" s="18">
        <v>3282.6</v>
      </c>
      <c r="G150" s="18">
        <v>3251.8</v>
      </c>
      <c r="H150" s="18">
        <v>406.4</v>
      </c>
      <c r="I150" s="18">
        <v>402.3</v>
      </c>
      <c r="J150" s="18">
        <v>817265.5</v>
      </c>
      <c r="K150" s="18">
        <v>634181.69999999995</v>
      </c>
      <c r="L150" s="18">
        <v>64910</v>
      </c>
      <c r="M150" s="8">
        <v>808584</v>
      </c>
      <c r="N150" s="8">
        <v>622695</v>
      </c>
      <c r="O150" s="18">
        <v>23185</v>
      </c>
      <c r="P150" s="18">
        <f t="shared" si="30"/>
        <v>-139.89999999999964</v>
      </c>
      <c r="Q150" s="18">
        <f t="shared" si="31"/>
        <v>-126.69999999999982</v>
      </c>
      <c r="R150" s="18">
        <f t="shared" si="32"/>
        <v>-110.70000000000027</v>
      </c>
      <c r="S150" s="18">
        <f t="shared" si="33"/>
        <v>-110.59999999999991</v>
      </c>
      <c r="T150" s="31">
        <f t="shared" si="34"/>
        <v>47323.5</v>
      </c>
      <c r="U150" s="18">
        <f t="shared" si="35"/>
        <v>12705</v>
      </c>
      <c r="V150" s="18">
        <f t="shared" si="26"/>
        <v>9179</v>
      </c>
      <c r="W150" s="18">
        <f t="shared" si="27"/>
        <v>1433</v>
      </c>
      <c r="X150" s="82"/>
      <c r="Y150" s="82"/>
      <c r="Z150" s="82"/>
      <c r="AA150" s="82"/>
      <c r="AB150" s="82"/>
      <c r="AC150" s="82"/>
      <c r="AD150" s="9"/>
      <c r="AF150" s="17"/>
      <c r="AG150" s="17"/>
      <c r="AH150" s="17"/>
      <c r="AI150" s="17"/>
      <c r="AJ150" s="17"/>
      <c r="AK150" s="17"/>
      <c r="AL150" s="17"/>
    </row>
    <row r="151" spans="1:38" ht="13.15" customHeight="1" x14ac:dyDescent="0.2">
      <c r="A151" s="9">
        <v>44287</v>
      </c>
      <c r="B151">
        <f t="shared" si="28"/>
        <v>2021</v>
      </c>
      <c r="C151" t="str">
        <f t="shared" si="29"/>
        <v>Q2</v>
      </c>
      <c r="D151" s="18">
        <v>7264</v>
      </c>
      <c r="E151" s="18">
        <v>7197</v>
      </c>
      <c r="F151" s="18">
        <v>3293.7</v>
      </c>
      <c r="G151" s="18">
        <v>3265.1</v>
      </c>
      <c r="H151" s="18">
        <v>412.5</v>
      </c>
      <c r="I151" s="18">
        <v>408.4</v>
      </c>
      <c r="J151" s="18">
        <v>817265.5</v>
      </c>
      <c r="K151" s="18">
        <v>634181.69999999995</v>
      </c>
      <c r="L151" s="18">
        <v>64910</v>
      </c>
      <c r="M151" s="8">
        <v>802518</v>
      </c>
      <c r="N151" s="8">
        <v>620093</v>
      </c>
      <c r="O151" s="18">
        <v>24138</v>
      </c>
      <c r="P151" s="18">
        <f t="shared" si="30"/>
        <v>300.30000000000018</v>
      </c>
      <c r="Q151" s="18">
        <f t="shared" si="31"/>
        <v>311.80000000000018</v>
      </c>
      <c r="R151" s="18">
        <f t="shared" si="32"/>
        <v>97</v>
      </c>
      <c r="S151" s="18">
        <f t="shared" si="33"/>
        <v>97.099999999999909</v>
      </c>
      <c r="T151" s="31">
        <f t="shared" si="34"/>
        <v>47323.5</v>
      </c>
      <c r="U151" s="18">
        <f t="shared" si="35"/>
        <v>-6066</v>
      </c>
      <c r="V151" s="18">
        <f t="shared" si="26"/>
        <v>-2602</v>
      </c>
      <c r="W151" s="18">
        <f t="shared" si="27"/>
        <v>953</v>
      </c>
      <c r="X151" s="82"/>
      <c r="Y151" s="82"/>
      <c r="Z151" s="82"/>
      <c r="AA151" s="82"/>
      <c r="AB151" s="82"/>
      <c r="AC151" s="82"/>
      <c r="AD151" s="9"/>
      <c r="AF151" s="17"/>
      <c r="AG151" s="17"/>
      <c r="AH151" s="17"/>
      <c r="AI151" s="17"/>
      <c r="AJ151" s="17"/>
      <c r="AK151" s="17"/>
      <c r="AL151" s="17"/>
    </row>
    <row r="152" spans="1:38" ht="13.15" customHeight="1" x14ac:dyDescent="0.2">
      <c r="A152" s="9">
        <v>44317</v>
      </c>
      <c r="B152">
        <f t="shared" si="28"/>
        <v>2021</v>
      </c>
      <c r="C152" t="str">
        <f t="shared" si="29"/>
        <v>Q2</v>
      </c>
      <c r="D152" s="18">
        <v>7259.3</v>
      </c>
      <c r="E152" s="18">
        <v>7237.7</v>
      </c>
      <c r="F152" s="18">
        <v>3288.1</v>
      </c>
      <c r="G152" s="18">
        <v>3278.6</v>
      </c>
      <c r="H152" s="18">
        <v>411</v>
      </c>
      <c r="I152" s="18">
        <v>407.6</v>
      </c>
      <c r="J152" s="18">
        <v>817265.5</v>
      </c>
      <c r="K152" s="18">
        <v>634181.69999999995</v>
      </c>
      <c r="L152" s="18">
        <v>64910</v>
      </c>
      <c r="M152" s="8">
        <v>802518</v>
      </c>
      <c r="N152" s="8">
        <v>620093</v>
      </c>
      <c r="O152" s="18">
        <v>24138</v>
      </c>
      <c r="P152" s="18">
        <f t="shared" si="30"/>
        <v>691.10000000000036</v>
      </c>
      <c r="Q152" s="18">
        <f t="shared" si="31"/>
        <v>701</v>
      </c>
      <c r="R152" s="18">
        <f t="shared" si="32"/>
        <v>302.90000000000009</v>
      </c>
      <c r="S152" s="18">
        <f t="shared" si="33"/>
        <v>305.40000000000009</v>
      </c>
      <c r="T152" s="31">
        <f t="shared" si="34"/>
        <v>47323.5</v>
      </c>
      <c r="U152" s="18">
        <f t="shared" si="35"/>
        <v>-6066</v>
      </c>
      <c r="V152" s="18">
        <f t="shared" si="26"/>
        <v>-2602</v>
      </c>
      <c r="W152" s="18">
        <f t="shared" si="27"/>
        <v>953</v>
      </c>
      <c r="X152" s="82"/>
      <c r="Y152" s="82"/>
      <c r="Z152" s="82"/>
      <c r="AA152" s="82"/>
      <c r="AB152" s="82"/>
      <c r="AC152" s="82"/>
      <c r="AD152" s="9"/>
      <c r="AF152" s="17"/>
      <c r="AG152" s="17"/>
      <c r="AH152" s="17"/>
      <c r="AI152" s="17"/>
      <c r="AJ152" s="17"/>
      <c r="AK152" s="17"/>
      <c r="AL152" s="17"/>
    </row>
    <row r="153" spans="1:38" ht="13.15" customHeight="1" x14ac:dyDescent="0.2">
      <c r="A153" s="9">
        <v>44348</v>
      </c>
      <c r="B153">
        <f t="shared" si="28"/>
        <v>2021</v>
      </c>
      <c r="C153" t="str">
        <f t="shared" si="29"/>
        <v>Q2</v>
      </c>
      <c r="D153" s="18">
        <v>7245.3</v>
      </c>
      <c r="E153" s="18">
        <v>7293</v>
      </c>
      <c r="F153" s="18">
        <v>3291.3</v>
      </c>
      <c r="G153" s="18">
        <v>3311.5</v>
      </c>
      <c r="H153" s="18">
        <v>407.3</v>
      </c>
      <c r="I153" s="18">
        <v>405.1</v>
      </c>
      <c r="J153" s="18">
        <v>817265.5</v>
      </c>
      <c r="K153" s="18">
        <v>634181.69999999995</v>
      </c>
      <c r="L153" s="18">
        <v>64910</v>
      </c>
      <c r="M153" s="8">
        <v>802518</v>
      </c>
      <c r="N153" s="8">
        <v>620093</v>
      </c>
      <c r="O153" s="18">
        <v>24138</v>
      </c>
      <c r="P153" s="18">
        <f t="shared" si="30"/>
        <v>785.60000000000036</v>
      </c>
      <c r="Q153" s="18">
        <f t="shared" si="31"/>
        <v>794.5</v>
      </c>
      <c r="R153" s="18">
        <f t="shared" si="32"/>
        <v>372.30000000000018</v>
      </c>
      <c r="S153" s="18">
        <f t="shared" si="33"/>
        <v>375.69999999999982</v>
      </c>
      <c r="T153" s="31">
        <f t="shared" si="34"/>
        <v>47323.5</v>
      </c>
      <c r="U153" s="18">
        <f t="shared" si="35"/>
        <v>-6066</v>
      </c>
      <c r="V153" s="18">
        <f t="shared" si="26"/>
        <v>-2602</v>
      </c>
      <c r="W153" s="18">
        <f t="shared" si="27"/>
        <v>953</v>
      </c>
      <c r="X153" s="82"/>
      <c r="Y153" s="82"/>
      <c r="Z153" s="82"/>
      <c r="AA153" s="82"/>
      <c r="AB153" s="82"/>
      <c r="AC153" s="82"/>
      <c r="AD153" s="9"/>
      <c r="AF153" s="17"/>
      <c r="AG153" s="17"/>
      <c r="AH153" s="17"/>
      <c r="AI153" s="17"/>
      <c r="AJ153" s="17"/>
      <c r="AK153" s="17"/>
      <c r="AL153" s="17"/>
    </row>
    <row r="154" spans="1:38" ht="13.15" customHeight="1" x14ac:dyDescent="0.2">
      <c r="A154" s="9">
        <v>44378</v>
      </c>
      <c r="B154">
        <f t="shared" si="28"/>
        <v>2021</v>
      </c>
      <c r="C154" t="str">
        <f t="shared" si="29"/>
        <v>Q3</v>
      </c>
      <c r="D154" s="18">
        <v>7311.4</v>
      </c>
      <c r="E154" s="18">
        <v>7391.8</v>
      </c>
      <c r="F154" s="18">
        <v>3331.5</v>
      </c>
      <c r="G154" s="18">
        <v>3372.5</v>
      </c>
      <c r="H154" s="18">
        <v>407.3</v>
      </c>
      <c r="I154" s="18">
        <v>405</v>
      </c>
      <c r="J154" s="18">
        <v>817265.5</v>
      </c>
      <c r="K154" s="18">
        <v>634181.69999999995</v>
      </c>
      <c r="L154" s="18">
        <v>64910</v>
      </c>
      <c r="M154" s="8">
        <v>819564</v>
      </c>
      <c r="N154" s="8">
        <v>639578</v>
      </c>
      <c r="O154" s="18">
        <v>25974</v>
      </c>
      <c r="P154" s="18">
        <f t="shared" si="30"/>
        <v>667.89999999999964</v>
      </c>
      <c r="Q154" s="18">
        <f t="shared" si="31"/>
        <v>679.90000000000055</v>
      </c>
      <c r="R154" s="18">
        <f t="shared" si="32"/>
        <v>350.30000000000018</v>
      </c>
      <c r="S154" s="18">
        <f t="shared" si="33"/>
        <v>354.59999999999991</v>
      </c>
      <c r="T154" s="31">
        <f t="shared" si="34"/>
        <v>47323.5</v>
      </c>
      <c r="U154" s="18">
        <f t="shared" si="35"/>
        <v>17046</v>
      </c>
      <c r="V154" s="18">
        <f t="shared" si="26"/>
        <v>19485</v>
      </c>
      <c r="W154" s="18">
        <f t="shared" si="27"/>
        <v>1836</v>
      </c>
      <c r="X154" s="82"/>
      <c r="Y154" s="82"/>
      <c r="Z154" s="82"/>
      <c r="AA154" s="82"/>
      <c r="AB154" s="82"/>
      <c r="AC154" s="82"/>
      <c r="AD154" s="9"/>
      <c r="AF154" s="17"/>
      <c r="AG154" s="17"/>
      <c r="AH154" s="17"/>
      <c r="AI154" s="17"/>
      <c r="AJ154" s="17"/>
      <c r="AK154" s="17"/>
      <c r="AL154" s="17"/>
    </row>
    <row r="155" spans="1:38" ht="13.15" customHeight="1" x14ac:dyDescent="0.2">
      <c r="A155" s="9">
        <v>44409</v>
      </c>
      <c r="B155">
        <f t="shared" si="28"/>
        <v>2021</v>
      </c>
      <c r="C155" t="str">
        <f t="shared" si="29"/>
        <v>Q3</v>
      </c>
      <c r="D155" s="18">
        <v>7400.1</v>
      </c>
      <c r="E155" s="18">
        <v>7475.2</v>
      </c>
      <c r="F155" s="18">
        <v>3409.2</v>
      </c>
      <c r="G155" s="18">
        <v>3447.3</v>
      </c>
      <c r="H155" s="18">
        <v>411.6</v>
      </c>
      <c r="I155" s="18">
        <v>409.4</v>
      </c>
      <c r="J155" s="18">
        <v>817265.5</v>
      </c>
      <c r="K155" s="18">
        <v>634181.69999999995</v>
      </c>
      <c r="L155" s="18">
        <v>64910</v>
      </c>
      <c r="M155" s="8">
        <v>819564</v>
      </c>
      <c r="N155" s="8">
        <v>639578</v>
      </c>
      <c r="O155" s="18">
        <v>25974</v>
      </c>
      <c r="P155" s="18">
        <f t="shared" si="30"/>
        <v>521</v>
      </c>
      <c r="Q155" s="18">
        <f t="shared" si="31"/>
        <v>524.30000000000018</v>
      </c>
      <c r="R155" s="18">
        <f t="shared" si="32"/>
        <v>294.59999999999991</v>
      </c>
      <c r="S155" s="18">
        <f t="shared" si="33"/>
        <v>296.80000000000018</v>
      </c>
      <c r="T155" s="31">
        <f t="shared" si="34"/>
        <v>47323.5</v>
      </c>
      <c r="U155" s="18">
        <f t="shared" si="35"/>
        <v>17046</v>
      </c>
      <c r="V155" s="18">
        <f t="shared" si="26"/>
        <v>19485</v>
      </c>
      <c r="W155" s="18">
        <f t="shared" si="27"/>
        <v>1836</v>
      </c>
      <c r="X155" s="82"/>
      <c r="Y155" s="82"/>
      <c r="Z155" s="82"/>
      <c r="AA155" s="82"/>
      <c r="AB155" s="82"/>
      <c r="AC155" s="82"/>
      <c r="AD155" s="9"/>
      <c r="AF155" s="17"/>
      <c r="AG155" s="17"/>
      <c r="AH155" s="17"/>
      <c r="AI155" s="17"/>
      <c r="AJ155" s="17"/>
      <c r="AK155" s="17"/>
      <c r="AL155" s="17"/>
    </row>
    <row r="156" spans="1:38" ht="13.15" customHeight="1" x14ac:dyDescent="0.2">
      <c r="A156" s="9">
        <v>44440</v>
      </c>
      <c r="B156">
        <f t="shared" si="28"/>
        <v>2021</v>
      </c>
      <c r="C156" t="str">
        <f t="shared" si="29"/>
        <v>Q3</v>
      </c>
      <c r="D156" s="18">
        <v>7474.5</v>
      </c>
      <c r="E156" s="18">
        <v>7503.2</v>
      </c>
      <c r="F156" s="18">
        <v>3472.2</v>
      </c>
      <c r="G156" s="18">
        <v>3486.4</v>
      </c>
      <c r="H156" s="18">
        <v>416.5</v>
      </c>
      <c r="I156" s="18">
        <v>413.1</v>
      </c>
      <c r="J156" s="18">
        <v>817265.5</v>
      </c>
      <c r="K156" s="18">
        <v>634181.69999999995</v>
      </c>
      <c r="L156" s="18">
        <v>64910</v>
      </c>
      <c r="M156" s="8">
        <v>819564</v>
      </c>
      <c r="N156" s="8">
        <v>639578</v>
      </c>
      <c r="O156" s="18">
        <v>25974</v>
      </c>
      <c r="P156" s="18">
        <f t="shared" si="30"/>
        <v>433.69999999999982</v>
      </c>
      <c r="Q156" s="18">
        <f t="shared" si="31"/>
        <v>427.69999999999982</v>
      </c>
      <c r="R156" s="18">
        <f t="shared" si="32"/>
        <v>252.09999999999991</v>
      </c>
      <c r="S156" s="18">
        <f t="shared" si="33"/>
        <v>248.70000000000027</v>
      </c>
      <c r="T156" s="31">
        <f t="shared" si="34"/>
        <v>47323.5</v>
      </c>
      <c r="U156" s="18">
        <f t="shared" si="35"/>
        <v>17046</v>
      </c>
      <c r="V156" s="18">
        <f t="shared" si="26"/>
        <v>19485</v>
      </c>
      <c r="W156" s="18">
        <f t="shared" si="27"/>
        <v>1836</v>
      </c>
      <c r="X156" s="82"/>
      <c r="Y156" s="82"/>
      <c r="Z156" s="82"/>
      <c r="AA156" s="82"/>
      <c r="AB156" s="82"/>
      <c r="AC156" s="82"/>
      <c r="AD156" s="9"/>
      <c r="AF156" s="17"/>
      <c r="AG156" s="17"/>
      <c r="AH156" s="17"/>
      <c r="AI156" s="17"/>
      <c r="AJ156" s="17"/>
      <c r="AK156" s="17"/>
      <c r="AL156" s="17"/>
    </row>
    <row r="157" spans="1:38" ht="13.15" customHeight="1" x14ac:dyDescent="0.2">
      <c r="A157" s="9">
        <v>44470</v>
      </c>
      <c r="B157">
        <f t="shared" si="28"/>
        <v>2021</v>
      </c>
      <c r="C157" t="str">
        <f t="shared" si="29"/>
        <v>Q4</v>
      </c>
      <c r="D157" s="18">
        <v>7529.4</v>
      </c>
      <c r="E157" s="18">
        <v>7538.5</v>
      </c>
      <c r="F157" s="18">
        <v>3523.6</v>
      </c>
      <c r="G157" s="18">
        <v>3518.7</v>
      </c>
      <c r="H157" s="18">
        <v>415.2</v>
      </c>
      <c r="I157" s="18">
        <v>413.4</v>
      </c>
      <c r="J157" s="18">
        <v>817265.5</v>
      </c>
      <c r="K157" s="18">
        <v>634181.69999999995</v>
      </c>
      <c r="L157" s="18">
        <v>64910</v>
      </c>
      <c r="M157" s="8">
        <v>838397</v>
      </c>
      <c r="N157" s="8">
        <v>654360</v>
      </c>
      <c r="O157" s="18">
        <v>27605</v>
      </c>
      <c r="P157" s="18">
        <f t="shared" si="30"/>
        <v>370.29999999999927</v>
      </c>
      <c r="Q157" s="18">
        <f t="shared" si="31"/>
        <v>354.39999999999964</v>
      </c>
      <c r="R157" s="18">
        <f t="shared" si="32"/>
        <v>200.59999999999991</v>
      </c>
      <c r="S157" s="18">
        <f t="shared" si="33"/>
        <v>195.69999999999982</v>
      </c>
      <c r="T157" s="31">
        <f t="shared" si="34"/>
        <v>47323.5</v>
      </c>
      <c r="U157" s="18">
        <f t="shared" si="35"/>
        <v>18833</v>
      </c>
      <c r="V157" s="18">
        <f t="shared" si="26"/>
        <v>14782</v>
      </c>
      <c r="W157" s="18">
        <f t="shared" si="27"/>
        <v>1631</v>
      </c>
      <c r="X157" s="82"/>
      <c r="Y157" s="82"/>
      <c r="Z157" s="82"/>
      <c r="AA157" s="82"/>
      <c r="AB157" s="82"/>
      <c r="AC157" s="82"/>
      <c r="AD157" s="9"/>
      <c r="AF157" s="17"/>
      <c r="AG157" s="17"/>
      <c r="AH157" s="17"/>
      <c r="AI157" s="17"/>
      <c r="AJ157" s="17"/>
      <c r="AK157" s="17"/>
      <c r="AL157" s="17"/>
    </row>
    <row r="158" spans="1:38" ht="13.15" customHeight="1" x14ac:dyDescent="0.2">
      <c r="A158" s="9">
        <v>44501</v>
      </c>
      <c r="B158">
        <f t="shared" si="28"/>
        <v>2021</v>
      </c>
      <c r="C158" t="str">
        <f t="shared" si="29"/>
        <v>Q4</v>
      </c>
      <c r="D158" s="18">
        <v>7592</v>
      </c>
      <c r="E158" s="18">
        <v>7590.1</v>
      </c>
      <c r="F158" s="18">
        <v>3560.7</v>
      </c>
      <c r="G158" s="18">
        <v>3547.9</v>
      </c>
      <c r="H158" s="18">
        <v>412.9</v>
      </c>
      <c r="I158" s="18">
        <v>414.1</v>
      </c>
      <c r="J158" s="18">
        <v>817265.5</v>
      </c>
      <c r="K158" s="18">
        <v>634181.69999999995</v>
      </c>
      <c r="L158" s="18">
        <v>64910</v>
      </c>
      <c r="M158" s="8">
        <v>838397</v>
      </c>
      <c r="N158" s="8">
        <v>654360</v>
      </c>
      <c r="O158" s="18">
        <v>27605</v>
      </c>
      <c r="P158" s="18">
        <f t="shared" si="30"/>
        <v>349.5</v>
      </c>
      <c r="Q158" s="18">
        <f t="shared" si="31"/>
        <v>334.90000000000055</v>
      </c>
      <c r="R158" s="18">
        <f t="shared" si="32"/>
        <v>183.19999999999982</v>
      </c>
      <c r="S158" s="18">
        <f t="shared" si="33"/>
        <v>177.70000000000027</v>
      </c>
      <c r="T158" s="31">
        <f t="shared" si="34"/>
        <v>47323.5</v>
      </c>
      <c r="U158" s="18">
        <f t="shared" si="35"/>
        <v>18833</v>
      </c>
      <c r="V158" s="18">
        <f t="shared" si="26"/>
        <v>14782</v>
      </c>
      <c r="W158" s="18">
        <f t="shared" si="27"/>
        <v>1631</v>
      </c>
      <c r="X158" s="82"/>
      <c r="Y158" s="82"/>
      <c r="Z158" s="82"/>
      <c r="AA158" s="82"/>
      <c r="AB158" s="82"/>
      <c r="AC158" s="82"/>
      <c r="AD158" s="9"/>
      <c r="AF158" s="17"/>
      <c r="AG158" s="17"/>
      <c r="AH158" s="17"/>
      <c r="AI158" s="17"/>
      <c r="AJ158" s="17"/>
      <c r="AK158" s="17"/>
      <c r="AL158" s="17"/>
    </row>
    <row r="159" spans="1:38" ht="13.15" customHeight="1" x14ac:dyDescent="0.2">
      <c r="A159" s="9">
        <v>44531</v>
      </c>
      <c r="B159">
        <f t="shared" si="28"/>
        <v>2021</v>
      </c>
      <c r="C159" t="str">
        <f t="shared" si="29"/>
        <v>Q4</v>
      </c>
      <c r="D159" s="18">
        <v>7644.2</v>
      </c>
      <c r="E159" s="18">
        <v>7647.5</v>
      </c>
      <c r="F159" s="18">
        <v>3591.2</v>
      </c>
      <c r="G159" s="18">
        <v>3587.1</v>
      </c>
      <c r="H159" s="18">
        <v>413.1</v>
      </c>
      <c r="I159" s="18">
        <v>418.1</v>
      </c>
      <c r="J159" s="18">
        <v>817265.5</v>
      </c>
      <c r="K159" s="18">
        <v>634181.69999999995</v>
      </c>
      <c r="L159" s="18">
        <v>64910</v>
      </c>
      <c r="M159" s="8">
        <v>838397</v>
      </c>
      <c r="N159" s="8">
        <v>654360</v>
      </c>
      <c r="O159" s="18">
        <v>27605</v>
      </c>
      <c r="P159" s="18">
        <f t="shared" si="30"/>
        <v>386.09999999999945</v>
      </c>
      <c r="Q159" s="18">
        <f t="shared" si="31"/>
        <v>374.19999999999982</v>
      </c>
      <c r="R159" s="18">
        <f t="shared" si="32"/>
        <v>221.19999999999982</v>
      </c>
      <c r="S159" s="18">
        <f t="shared" si="33"/>
        <v>214.79999999999973</v>
      </c>
      <c r="T159" s="31">
        <f t="shared" si="34"/>
        <v>47323.5</v>
      </c>
      <c r="U159" s="18">
        <f t="shared" si="35"/>
        <v>18833</v>
      </c>
      <c r="V159" s="18">
        <f t="shared" si="26"/>
        <v>14782</v>
      </c>
      <c r="W159" s="18">
        <f t="shared" si="27"/>
        <v>1631</v>
      </c>
      <c r="X159" s="82"/>
      <c r="Y159" s="82"/>
      <c r="Z159" s="82"/>
      <c r="AA159" s="82"/>
      <c r="AB159" s="82"/>
      <c r="AC159" s="82"/>
      <c r="AD159" s="9"/>
      <c r="AF159" s="17"/>
      <c r="AG159" s="17"/>
      <c r="AH159" s="17"/>
      <c r="AI159" s="17"/>
      <c r="AJ159" s="17"/>
      <c r="AK159" s="17"/>
      <c r="AL159" s="17"/>
    </row>
    <row r="160" spans="1:38" ht="13.15" customHeight="1" x14ac:dyDescent="0.2">
      <c r="A160" s="9">
        <v>44562</v>
      </c>
      <c r="B160">
        <f t="shared" si="28"/>
        <v>2022</v>
      </c>
      <c r="C160" t="str">
        <f t="shared" si="29"/>
        <v>Q1</v>
      </c>
      <c r="D160" s="18">
        <v>7627.7</v>
      </c>
      <c r="E160" s="18">
        <v>7595.1</v>
      </c>
      <c r="F160" s="18">
        <v>3572.5</v>
      </c>
      <c r="G160" s="18">
        <v>3564.5</v>
      </c>
      <c r="H160" s="18">
        <v>415.5</v>
      </c>
      <c r="I160" s="18">
        <v>418.9</v>
      </c>
      <c r="J160" s="18">
        <v>850461.9</v>
      </c>
      <c r="K160" s="18">
        <v>662856.4</v>
      </c>
      <c r="L160" s="18">
        <v>71555.5</v>
      </c>
      <c r="M160" s="8">
        <v>845218</v>
      </c>
      <c r="N160" s="8">
        <v>657318</v>
      </c>
      <c r="O160" s="18">
        <v>28188</v>
      </c>
      <c r="P160" s="18">
        <f t="shared" si="30"/>
        <v>423</v>
      </c>
      <c r="Q160" s="18">
        <f t="shared" si="31"/>
        <v>414.70000000000073</v>
      </c>
      <c r="R160" s="18">
        <f t="shared" si="32"/>
        <v>252.19999999999982</v>
      </c>
      <c r="S160" s="18">
        <f t="shared" si="33"/>
        <v>246.40000000000009</v>
      </c>
      <c r="T160" s="31">
        <f t="shared" si="34"/>
        <v>33196.400000000023</v>
      </c>
      <c r="U160" s="18">
        <f t="shared" si="35"/>
        <v>6821</v>
      </c>
      <c r="V160" s="18">
        <f t="shared" ref="V160:V219" si="36">N160-N157</f>
        <v>2958</v>
      </c>
      <c r="W160" s="18">
        <f t="shared" ref="W160:W219" si="37">O160-O157</f>
        <v>583</v>
      </c>
    </row>
    <row r="161" spans="1:36" ht="13.15" customHeight="1" x14ac:dyDescent="0.2">
      <c r="A161" s="9">
        <v>44593</v>
      </c>
      <c r="B161">
        <f t="shared" si="28"/>
        <v>2022</v>
      </c>
      <c r="C161" t="str">
        <f t="shared" si="29"/>
        <v>Q1</v>
      </c>
      <c r="D161" s="18">
        <v>7651.3</v>
      </c>
      <c r="E161" s="18">
        <v>7588.8</v>
      </c>
      <c r="F161" s="18">
        <v>3566.9</v>
      </c>
      <c r="G161" s="18">
        <v>3551.7</v>
      </c>
      <c r="H161" s="18">
        <v>415.4</v>
      </c>
      <c r="I161" s="18">
        <v>415.5</v>
      </c>
      <c r="J161" s="18">
        <v>850461.9</v>
      </c>
      <c r="K161" s="18">
        <v>662856.4</v>
      </c>
      <c r="L161" s="18">
        <v>71555.5</v>
      </c>
      <c r="M161" s="8">
        <v>845218</v>
      </c>
      <c r="N161" s="8">
        <v>657318</v>
      </c>
      <c r="O161" s="18">
        <v>28188</v>
      </c>
      <c r="P161" s="18">
        <f t="shared" si="30"/>
        <v>470.10000000000036</v>
      </c>
      <c r="Q161" s="18">
        <f t="shared" si="31"/>
        <v>464</v>
      </c>
      <c r="R161" s="18">
        <f t="shared" si="32"/>
        <v>286.80000000000018</v>
      </c>
      <c r="S161" s="18">
        <f t="shared" si="33"/>
        <v>284</v>
      </c>
      <c r="T161" s="31">
        <f t="shared" si="34"/>
        <v>33196.400000000023</v>
      </c>
      <c r="U161" s="18">
        <f t="shared" si="35"/>
        <v>6821</v>
      </c>
      <c r="V161" s="18">
        <f t="shared" si="36"/>
        <v>2958</v>
      </c>
      <c r="W161" s="18">
        <f t="shared" si="37"/>
        <v>583</v>
      </c>
      <c r="X161" s="18"/>
      <c r="Y161" s="18"/>
      <c r="Z161" s="18"/>
      <c r="AA161" s="18"/>
      <c r="AB161" s="18"/>
      <c r="AC161" s="18"/>
    </row>
    <row r="162" spans="1:36" ht="13.15" customHeight="1" x14ac:dyDescent="0.2">
      <c r="A162" s="9">
        <v>44621</v>
      </c>
      <c r="B162">
        <f t="shared" si="28"/>
        <v>2022</v>
      </c>
      <c r="C162" t="str">
        <f t="shared" si="29"/>
        <v>Q1</v>
      </c>
      <c r="D162" s="18">
        <v>7662.5</v>
      </c>
      <c r="E162" s="18">
        <v>7573.4</v>
      </c>
      <c r="F162" s="18">
        <v>3552.4</v>
      </c>
      <c r="G162" s="18">
        <v>3523.6</v>
      </c>
      <c r="H162" s="18">
        <v>413</v>
      </c>
      <c r="I162" s="18">
        <v>409.4</v>
      </c>
      <c r="J162" s="18">
        <v>850461.9</v>
      </c>
      <c r="K162" s="18">
        <v>662856.4</v>
      </c>
      <c r="L162" s="18">
        <v>71555.5</v>
      </c>
      <c r="M162" s="8">
        <v>845218</v>
      </c>
      <c r="N162" s="8">
        <v>657318</v>
      </c>
      <c r="O162" s="18">
        <v>28188</v>
      </c>
      <c r="P162" s="18">
        <f t="shared" si="30"/>
        <v>444.39999999999964</v>
      </c>
      <c r="Q162" s="18">
        <f t="shared" si="31"/>
        <v>443.89999999999964</v>
      </c>
      <c r="R162" s="18">
        <f t="shared" si="32"/>
        <v>269.80000000000018</v>
      </c>
      <c r="S162" s="18">
        <f t="shared" si="33"/>
        <v>271.79999999999973</v>
      </c>
      <c r="T162" s="31">
        <f t="shared" si="34"/>
        <v>33196.400000000023</v>
      </c>
      <c r="U162" s="18">
        <f t="shared" si="35"/>
        <v>6821</v>
      </c>
      <c r="V162" s="18">
        <f t="shared" si="36"/>
        <v>2958</v>
      </c>
      <c r="W162" s="18">
        <f t="shared" si="37"/>
        <v>583</v>
      </c>
      <c r="X162" s="18"/>
      <c r="Y162" s="18"/>
      <c r="Z162" s="18"/>
      <c r="AA162" s="18"/>
      <c r="AB162" s="18"/>
      <c r="AC162" s="18"/>
    </row>
    <row r="163" spans="1:36" ht="13.15" customHeight="1" x14ac:dyDescent="0.2">
      <c r="A163" s="9">
        <v>44652</v>
      </c>
      <c r="B163">
        <f t="shared" si="28"/>
        <v>2022</v>
      </c>
      <c r="C163" t="str">
        <f t="shared" si="29"/>
        <v>Q2</v>
      </c>
      <c r="D163" s="18">
        <v>7736.6</v>
      </c>
      <c r="E163" s="18">
        <v>7670</v>
      </c>
      <c r="F163" s="18">
        <v>3580</v>
      </c>
      <c r="G163" s="18">
        <v>3553.6</v>
      </c>
      <c r="H163" s="18">
        <v>415</v>
      </c>
      <c r="I163" s="18">
        <v>411.8</v>
      </c>
      <c r="J163" s="18">
        <v>850461.9</v>
      </c>
      <c r="K163" s="18">
        <v>662856.4</v>
      </c>
      <c r="L163" s="18">
        <v>71555.5</v>
      </c>
      <c r="M163" s="8">
        <v>851621</v>
      </c>
      <c r="N163" s="8">
        <v>664186</v>
      </c>
      <c r="O163" s="18">
        <v>30079</v>
      </c>
      <c r="P163" s="18">
        <f t="shared" si="30"/>
        <v>472.60000000000036</v>
      </c>
      <c r="Q163" s="18">
        <f t="shared" si="31"/>
        <v>473</v>
      </c>
      <c r="R163" s="18">
        <f t="shared" si="32"/>
        <v>286.30000000000018</v>
      </c>
      <c r="S163" s="18">
        <f t="shared" si="33"/>
        <v>288.5</v>
      </c>
      <c r="T163" s="31">
        <f t="shared" si="34"/>
        <v>33196.400000000023</v>
      </c>
      <c r="U163" s="18">
        <f t="shared" si="35"/>
        <v>6403</v>
      </c>
      <c r="V163" s="18">
        <f t="shared" si="36"/>
        <v>6868</v>
      </c>
      <c r="W163" s="18">
        <f t="shared" si="37"/>
        <v>1891</v>
      </c>
    </row>
    <row r="164" spans="1:36" ht="13.15" customHeight="1" x14ac:dyDescent="0.2">
      <c r="A164" s="9">
        <v>44682</v>
      </c>
      <c r="B164">
        <f t="shared" si="28"/>
        <v>2022</v>
      </c>
      <c r="C164" t="str">
        <f t="shared" si="29"/>
        <v>Q2</v>
      </c>
      <c r="D164" s="18">
        <v>7753.3</v>
      </c>
      <c r="E164" s="18">
        <v>7738.6</v>
      </c>
      <c r="F164" s="18">
        <v>3578.1</v>
      </c>
      <c r="G164" s="18">
        <v>3567.9</v>
      </c>
      <c r="H164" s="18">
        <v>418.5</v>
      </c>
      <c r="I164" s="18">
        <v>417.4</v>
      </c>
      <c r="J164" s="18">
        <v>850461.9</v>
      </c>
      <c r="K164" s="18">
        <v>662856.4</v>
      </c>
      <c r="L164" s="18">
        <v>71555.5</v>
      </c>
      <c r="M164" s="8">
        <v>851621</v>
      </c>
      <c r="N164" s="8">
        <v>664186</v>
      </c>
      <c r="O164" s="18">
        <v>30079</v>
      </c>
      <c r="P164" s="18">
        <f t="shared" si="30"/>
        <v>494</v>
      </c>
      <c r="Q164" s="18">
        <f t="shared" si="31"/>
        <v>500.90000000000055</v>
      </c>
      <c r="R164" s="18">
        <f t="shared" si="32"/>
        <v>290</v>
      </c>
      <c r="S164" s="18">
        <f t="shared" si="33"/>
        <v>289.30000000000018</v>
      </c>
      <c r="T164" s="31">
        <f t="shared" si="34"/>
        <v>33196.400000000023</v>
      </c>
      <c r="U164" s="18">
        <f t="shared" si="35"/>
        <v>6403</v>
      </c>
      <c r="V164" s="18">
        <f t="shared" si="36"/>
        <v>6868</v>
      </c>
      <c r="W164" s="18">
        <f t="shared" si="37"/>
        <v>1891</v>
      </c>
    </row>
    <row r="165" spans="1:36" ht="13.15" customHeight="1" x14ac:dyDescent="0.2">
      <c r="A165" s="9">
        <v>44713</v>
      </c>
      <c r="B165">
        <f t="shared" si="28"/>
        <v>2022</v>
      </c>
      <c r="C165" t="str">
        <f t="shared" si="29"/>
        <v>Q2</v>
      </c>
      <c r="D165" s="18">
        <v>7754.8</v>
      </c>
      <c r="E165" s="18">
        <v>7809.2</v>
      </c>
      <c r="F165" s="18">
        <v>3580.3</v>
      </c>
      <c r="G165" s="18">
        <v>3599.5</v>
      </c>
      <c r="H165" s="18">
        <v>421.3</v>
      </c>
      <c r="I165" s="18">
        <v>421.3</v>
      </c>
      <c r="J165" s="18">
        <v>850461.9</v>
      </c>
      <c r="K165" s="18">
        <v>662856.4</v>
      </c>
      <c r="L165" s="18">
        <v>71555.5</v>
      </c>
      <c r="M165" s="8">
        <v>851621</v>
      </c>
      <c r="N165" s="8">
        <v>664186</v>
      </c>
      <c r="O165" s="18">
        <v>30079</v>
      </c>
      <c r="P165" s="18">
        <f t="shared" si="30"/>
        <v>509.5</v>
      </c>
      <c r="Q165" s="18">
        <f t="shared" si="31"/>
        <v>516.19999999999982</v>
      </c>
      <c r="R165" s="18">
        <f t="shared" si="32"/>
        <v>289</v>
      </c>
      <c r="S165" s="18">
        <f t="shared" si="33"/>
        <v>288</v>
      </c>
      <c r="T165" s="31">
        <f t="shared" si="34"/>
        <v>33196.400000000023</v>
      </c>
      <c r="U165" s="18">
        <f t="shared" si="35"/>
        <v>6403</v>
      </c>
      <c r="V165" s="18">
        <f t="shared" si="36"/>
        <v>6868</v>
      </c>
      <c r="W165" s="18">
        <f t="shared" si="37"/>
        <v>1891</v>
      </c>
    </row>
    <row r="166" spans="1:36" ht="13.15" customHeight="1" x14ac:dyDescent="0.2">
      <c r="A166" s="9">
        <v>44743</v>
      </c>
      <c r="B166">
        <f t="shared" si="28"/>
        <v>2022</v>
      </c>
      <c r="C166" t="str">
        <f t="shared" si="29"/>
        <v>Q3</v>
      </c>
      <c r="D166" s="18">
        <v>7754.8</v>
      </c>
      <c r="E166" s="18">
        <v>7843.6</v>
      </c>
      <c r="F166" s="18">
        <v>3582.4</v>
      </c>
      <c r="G166" s="18">
        <v>3621.7</v>
      </c>
      <c r="H166" s="18">
        <v>422.3</v>
      </c>
      <c r="I166" s="18">
        <v>421.5</v>
      </c>
      <c r="J166" s="18">
        <v>850461.9</v>
      </c>
      <c r="K166" s="18">
        <v>662856.4</v>
      </c>
      <c r="L166" s="18">
        <v>71555.5</v>
      </c>
      <c r="M166" s="8">
        <v>852979</v>
      </c>
      <c r="N166" s="8">
        <v>664978</v>
      </c>
      <c r="O166" s="18">
        <v>30634</v>
      </c>
      <c r="P166" s="18">
        <f t="shared" si="30"/>
        <v>443.40000000000055</v>
      </c>
      <c r="Q166" s="18">
        <f t="shared" si="31"/>
        <v>451.80000000000018</v>
      </c>
      <c r="R166" s="18">
        <f t="shared" si="32"/>
        <v>250.90000000000009</v>
      </c>
      <c r="S166" s="18">
        <f t="shared" si="33"/>
        <v>249.19999999999982</v>
      </c>
      <c r="T166" s="31">
        <f t="shared" si="34"/>
        <v>33196.400000000023</v>
      </c>
      <c r="U166" s="18">
        <f t="shared" si="35"/>
        <v>1358</v>
      </c>
      <c r="V166" s="18">
        <f t="shared" si="36"/>
        <v>792</v>
      </c>
      <c r="W166" s="18">
        <f t="shared" si="37"/>
        <v>555</v>
      </c>
    </row>
    <row r="167" spans="1:36" ht="13.15" customHeight="1" x14ac:dyDescent="0.2">
      <c r="A167" s="9">
        <v>44774</v>
      </c>
      <c r="B167">
        <f t="shared" si="28"/>
        <v>2022</v>
      </c>
      <c r="C167" t="str">
        <f t="shared" si="29"/>
        <v>Q3</v>
      </c>
      <c r="D167" s="18">
        <v>7747.4</v>
      </c>
      <c r="E167" s="18">
        <v>7825.4</v>
      </c>
      <c r="F167" s="18">
        <v>3586.5</v>
      </c>
      <c r="G167" s="18">
        <v>3624.3</v>
      </c>
      <c r="H167" s="18">
        <v>423.1</v>
      </c>
      <c r="I167" s="18">
        <v>420.8</v>
      </c>
      <c r="J167" s="18">
        <v>850461.9</v>
      </c>
      <c r="K167" s="18">
        <v>662856.4</v>
      </c>
      <c r="L167" s="18">
        <v>71555.5</v>
      </c>
      <c r="M167" s="8">
        <v>852979</v>
      </c>
      <c r="N167" s="8">
        <v>664978</v>
      </c>
      <c r="O167" s="18">
        <v>30634</v>
      </c>
      <c r="P167" s="18">
        <f t="shared" si="30"/>
        <v>347.29999999999927</v>
      </c>
      <c r="Q167" s="18">
        <f t="shared" si="31"/>
        <v>350.19999999999982</v>
      </c>
      <c r="R167" s="18">
        <f t="shared" si="32"/>
        <v>177.30000000000018</v>
      </c>
      <c r="S167" s="18">
        <f t="shared" si="33"/>
        <v>177</v>
      </c>
      <c r="T167" s="31">
        <f t="shared" si="34"/>
        <v>33196.400000000023</v>
      </c>
      <c r="U167" s="18">
        <f t="shared" si="35"/>
        <v>1358</v>
      </c>
      <c r="V167" s="18">
        <f t="shared" si="36"/>
        <v>792</v>
      </c>
      <c r="W167" s="18">
        <f t="shared" si="37"/>
        <v>555</v>
      </c>
    </row>
    <row r="168" spans="1:36" ht="13.15" customHeight="1" x14ac:dyDescent="0.2">
      <c r="A168" s="9">
        <v>44805</v>
      </c>
      <c r="B168">
        <f t="shared" si="28"/>
        <v>2022</v>
      </c>
      <c r="C168" t="str">
        <f t="shared" si="29"/>
        <v>Q3</v>
      </c>
      <c r="D168" s="18">
        <v>7740.7</v>
      </c>
      <c r="E168" s="18">
        <v>7766.7</v>
      </c>
      <c r="F168" s="18">
        <v>3575.3</v>
      </c>
      <c r="G168" s="18">
        <v>3586.4</v>
      </c>
      <c r="H168" s="18">
        <v>423.1</v>
      </c>
      <c r="I168" s="18">
        <v>419.8</v>
      </c>
      <c r="J168" s="18">
        <v>850461.9</v>
      </c>
      <c r="K168" s="18">
        <v>662856.4</v>
      </c>
      <c r="L168" s="18">
        <v>71555.5</v>
      </c>
      <c r="M168" s="8">
        <v>852979</v>
      </c>
      <c r="N168" s="8">
        <v>664978</v>
      </c>
      <c r="O168" s="18">
        <v>30634</v>
      </c>
      <c r="P168" s="18">
        <f t="shared" si="30"/>
        <v>266.19999999999982</v>
      </c>
      <c r="Q168" s="18">
        <f t="shared" si="31"/>
        <v>263.5</v>
      </c>
      <c r="R168" s="18">
        <f t="shared" si="32"/>
        <v>103.10000000000036</v>
      </c>
      <c r="S168" s="18">
        <f t="shared" si="33"/>
        <v>100</v>
      </c>
      <c r="T168" s="31">
        <f t="shared" si="34"/>
        <v>33196.400000000023</v>
      </c>
      <c r="U168" s="18">
        <f t="shared" si="35"/>
        <v>1358</v>
      </c>
      <c r="V168" s="18">
        <f t="shared" si="36"/>
        <v>792</v>
      </c>
      <c r="W168" s="18">
        <f t="shared" si="37"/>
        <v>555</v>
      </c>
    </row>
    <row r="169" spans="1:36" ht="13.15" customHeight="1" x14ac:dyDescent="0.2">
      <c r="A169" s="9">
        <v>44835</v>
      </c>
      <c r="B169">
        <f t="shared" si="28"/>
        <v>2022</v>
      </c>
      <c r="C169" t="str">
        <f t="shared" si="29"/>
        <v>Q4</v>
      </c>
      <c r="D169" s="18">
        <v>7740.3</v>
      </c>
      <c r="E169" s="18">
        <v>7743.5</v>
      </c>
      <c r="F169" s="18">
        <v>3568.6</v>
      </c>
      <c r="G169" s="18">
        <v>3561.3</v>
      </c>
      <c r="H169" s="18">
        <v>422.5</v>
      </c>
      <c r="I169" s="18">
        <v>420.4</v>
      </c>
      <c r="J169" s="18">
        <v>850461.9</v>
      </c>
      <c r="K169" s="18">
        <v>662856.4</v>
      </c>
      <c r="L169" s="18">
        <v>71555.5</v>
      </c>
      <c r="M169" s="8">
        <v>852029</v>
      </c>
      <c r="N169" s="8">
        <v>664944</v>
      </c>
      <c r="O169" s="18">
        <v>31696</v>
      </c>
      <c r="P169" s="18">
        <f t="shared" si="30"/>
        <v>210.90000000000055</v>
      </c>
      <c r="Q169" s="18">
        <f t="shared" si="31"/>
        <v>205</v>
      </c>
      <c r="R169" s="18">
        <f t="shared" si="32"/>
        <v>45</v>
      </c>
      <c r="S169" s="18">
        <f t="shared" si="33"/>
        <v>42.600000000000364</v>
      </c>
      <c r="T169" s="31">
        <f t="shared" si="34"/>
        <v>33196.400000000023</v>
      </c>
      <c r="U169" s="18">
        <f t="shared" si="35"/>
        <v>-950</v>
      </c>
      <c r="V169" s="18">
        <f t="shared" si="36"/>
        <v>-34</v>
      </c>
      <c r="W169" s="18">
        <f t="shared" si="37"/>
        <v>1062</v>
      </c>
      <c r="AD169" s="88"/>
      <c r="AE169" s="89"/>
      <c r="AF169" s="89"/>
      <c r="AG169" s="89"/>
      <c r="AH169" s="89"/>
      <c r="AI169" s="90"/>
      <c r="AJ169" s="90"/>
    </row>
    <row r="170" spans="1:36" ht="13.15" customHeight="1" x14ac:dyDescent="0.2">
      <c r="A170" s="9">
        <v>44866</v>
      </c>
      <c r="B170">
        <f t="shared" si="28"/>
        <v>2022</v>
      </c>
      <c r="C170" t="str">
        <f t="shared" si="29"/>
        <v>Q4</v>
      </c>
      <c r="D170" s="18">
        <v>7747.2</v>
      </c>
      <c r="E170" s="18">
        <v>7738.9</v>
      </c>
      <c r="F170" s="18">
        <v>3561.7</v>
      </c>
      <c r="G170" s="18">
        <v>3547.1</v>
      </c>
      <c r="H170" s="18">
        <v>422.8</v>
      </c>
      <c r="I170" s="18">
        <v>423.2</v>
      </c>
      <c r="J170" s="18">
        <v>850461.9</v>
      </c>
      <c r="K170" s="18">
        <v>662856.4</v>
      </c>
      <c r="L170" s="18">
        <v>71555.5</v>
      </c>
      <c r="M170" s="8">
        <v>852029</v>
      </c>
      <c r="N170" s="8">
        <v>664944</v>
      </c>
      <c r="O170" s="18">
        <v>31696</v>
      </c>
      <c r="P170" s="18">
        <f t="shared" si="30"/>
        <v>155.19999999999982</v>
      </c>
      <c r="Q170" s="18">
        <f t="shared" si="31"/>
        <v>148.79999999999927</v>
      </c>
      <c r="R170" s="18">
        <f t="shared" si="32"/>
        <v>1</v>
      </c>
      <c r="S170" s="18">
        <f t="shared" si="33"/>
        <v>-0.8000000000001819</v>
      </c>
      <c r="T170" s="31">
        <f t="shared" si="34"/>
        <v>33196.400000000023</v>
      </c>
      <c r="U170" s="18">
        <f t="shared" si="35"/>
        <v>-950</v>
      </c>
      <c r="V170" s="18">
        <f t="shared" si="36"/>
        <v>-34</v>
      </c>
      <c r="W170" s="18">
        <f t="shared" si="37"/>
        <v>1062</v>
      </c>
      <c r="AD170" s="88"/>
      <c r="AE170" s="89"/>
      <c r="AF170" s="89"/>
      <c r="AG170" s="89"/>
      <c r="AH170" s="89"/>
      <c r="AI170" s="90"/>
      <c r="AJ170" s="90"/>
    </row>
    <row r="171" spans="1:36" ht="13.15" customHeight="1" x14ac:dyDescent="0.2">
      <c r="A171" s="9">
        <v>44896</v>
      </c>
      <c r="B171">
        <f t="shared" si="28"/>
        <v>2022</v>
      </c>
      <c r="C171" t="str">
        <f t="shared" si="29"/>
        <v>Q4</v>
      </c>
      <c r="D171" s="18">
        <v>7776.1</v>
      </c>
      <c r="E171" s="18">
        <v>7777.2</v>
      </c>
      <c r="F171" s="18">
        <v>3572.5</v>
      </c>
      <c r="G171" s="18">
        <v>3568.2</v>
      </c>
      <c r="H171" s="18">
        <v>420.3</v>
      </c>
      <c r="I171" s="18">
        <v>423.9</v>
      </c>
      <c r="J171" s="18">
        <v>850461.9</v>
      </c>
      <c r="K171" s="18">
        <v>662856.4</v>
      </c>
      <c r="L171" s="18">
        <v>71555.5</v>
      </c>
      <c r="M171" s="8">
        <v>852029</v>
      </c>
      <c r="N171" s="8">
        <v>664944</v>
      </c>
      <c r="O171" s="18">
        <v>31696</v>
      </c>
      <c r="P171" s="18">
        <f t="shared" si="30"/>
        <v>131.90000000000055</v>
      </c>
      <c r="Q171" s="18">
        <f t="shared" si="31"/>
        <v>129.69999999999982</v>
      </c>
      <c r="R171" s="18">
        <f t="shared" si="32"/>
        <v>-18.699999999999818</v>
      </c>
      <c r="S171" s="18">
        <f t="shared" si="33"/>
        <v>-18.900000000000091</v>
      </c>
      <c r="T171" s="31">
        <f t="shared" si="34"/>
        <v>33196.400000000023</v>
      </c>
      <c r="U171" s="18">
        <f t="shared" si="35"/>
        <v>-950</v>
      </c>
      <c r="V171" s="18">
        <f t="shared" si="36"/>
        <v>-34</v>
      </c>
      <c r="W171" s="18">
        <f t="shared" si="37"/>
        <v>1062</v>
      </c>
      <c r="AD171" s="88"/>
      <c r="AE171" s="89"/>
      <c r="AF171" s="89"/>
      <c r="AG171" s="89"/>
      <c r="AH171" s="89"/>
      <c r="AI171" s="90"/>
      <c r="AJ171" s="90"/>
    </row>
    <row r="172" spans="1:36" ht="13.15" customHeight="1" x14ac:dyDescent="0.2">
      <c r="A172" s="9">
        <v>44927</v>
      </c>
      <c r="B172">
        <f t="shared" si="28"/>
        <v>2023</v>
      </c>
      <c r="C172" t="str">
        <f t="shared" si="29"/>
        <v>Q1</v>
      </c>
      <c r="D172" s="18">
        <v>7807</v>
      </c>
      <c r="E172" s="18">
        <v>7776.6</v>
      </c>
      <c r="F172" s="18">
        <v>3585.7</v>
      </c>
      <c r="G172" s="18">
        <v>3574.1</v>
      </c>
      <c r="H172" s="18">
        <v>417.7</v>
      </c>
      <c r="I172" s="18">
        <v>421.5</v>
      </c>
      <c r="J172" s="18">
        <v>865859.6</v>
      </c>
      <c r="K172" s="18">
        <v>679067</v>
      </c>
      <c r="L172" s="18">
        <v>74531.5</v>
      </c>
      <c r="M172" s="8">
        <v>860658</v>
      </c>
      <c r="N172" s="8">
        <v>671794</v>
      </c>
      <c r="O172" s="18">
        <v>32304</v>
      </c>
      <c r="P172" s="18">
        <f t="shared" si="30"/>
        <v>179.30000000000018</v>
      </c>
      <c r="Q172" s="18">
        <f t="shared" si="31"/>
        <v>181.5</v>
      </c>
      <c r="R172" s="18">
        <f t="shared" si="32"/>
        <v>13.199999999999818</v>
      </c>
      <c r="S172" s="18">
        <f t="shared" si="33"/>
        <v>9.5999999999999091</v>
      </c>
      <c r="T172" s="31">
        <f t="shared" si="34"/>
        <v>15397.699999999953</v>
      </c>
      <c r="U172" s="18">
        <f t="shared" si="35"/>
        <v>8629</v>
      </c>
      <c r="V172" s="18">
        <f t="shared" si="36"/>
        <v>6850</v>
      </c>
      <c r="W172" s="18">
        <f t="shared" si="37"/>
        <v>608</v>
      </c>
      <c r="AD172" s="88"/>
      <c r="AE172" s="89"/>
      <c r="AF172" s="89"/>
      <c r="AG172" s="89"/>
      <c r="AH172" s="89"/>
      <c r="AI172" s="90"/>
      <c r="AJ172" s="90"/>
    </row>
    <row r="173" spans="1:36" ht="13.15" customHeight="1" x14ac:dyDescent="0.2">
      <c r="A173" s="9">
        <v>44958</v>
      </c>
      <c r="B173">
        <f t="shared" si="28"/>
        <v>2023</v>
      </c>
      <c r="C173" t="str">
        <f t="shared" si="29"/>
        <v>Q1</v>
      </c>
      <c r="D173" s="18">
        <v>7840.7</v>
      </c>
      <c r="E173" s="18">
        <v>7780.5</v>
      </c>
      <c r="F173" s="18">
        <v>3612.8</v>
      </c>
      <c r="G173" s="18">
        <v>3594.2</v>
      </c>
      <c r="H173" s="18">
        <v>414.5</v>
      </c>
      <c r="I173" s="18">
        <v>415.6</v>
      </c>
      <c r="J173" s="18">
        <v>865859.6</v>
      </c>
      <c r="K173" s="18">
        <f>K172</f>
        <v>679067</v>
      </c>
      <c r="L173" s="18">
        <v>74531.5</v>
      </c>
      <c r="M173" s="8">
        <v>860658</v>
      </c>
      <c r="N173" s="8">
        <v>671794</v>
      </c>
      <c r="O173" s="18">
        <v>32304</v>
      </c>
      <c r="P173" s="18">
        <f t="shared" si="30"/>
        <v>189.39999999999964</v>
      </c>
      <c r="Q173" s="18">
        <f t="shared" si="31"/>
        <v>191.69999999999982</v>
      </c>
      <c r="R173" s="18">
        <f t="shared" si="32"/>
        <v>45.900000000000091</v>
      </c>
      <c r="S173" s="18">
        <f t="shared" si="33"/>
        <v>42.5</v>
      </c>
      <c r="T173" s="31">
        <f t="shared" si="34"/>
        <v>15397.699999999953</v>
      </c>
      <c r="U173" s="18">
        <f t="shared" si="35"/>
        <v>8629</v>
      </c>
      <c r="V173" s="18">
        <f t="shared" si="36"/>
        <v>6850</v>
      </c>
      <c r="W173" s="18">
        <f t="shared" si="37"/>
        <v>608</v>
      </c>
      <c r="AD173" s="88"/>
      <c r="AE173" s="89"/>
      <c r="AF173" s="89"/>
      <c r="AG173" s="89"/>
      <c r="AH173" s="89"/>
      <c r="AI173" s="90"/>
      <c r="AJ173" s="90"/>
    </row>
    <row r="174" spans="1:36" ht="13.15" customHeight="1" x14ac:dyDescent="0.2">
      <c r="A174" s="9">
        <v>44986</v>
      </c>
      <c r="B174">
        <f t="shared" si="28"/>
        <v>2023</v>
      </c>
      <c r="C174" t="str">
        <f t="shared" si="29"/>
        <v>Q1</v>
      </c>
      <c r="D174" s="18">
        <v>7866.6</v>
      </c>
      <c r="E174" s="18">
        <v>7781.3</v>
      </c>
      <c r="F174" s="18">
        <v>3644.7</v>
      </c>
      <c r="G174" s="18">
        <v>3613.5</v>
      </c>
      <c r="H174" s="18">
        <v>413.2</v>
      </c>
      <c r="I174" s="18">
        <v>411</v>
      </c>
      <c r="J174" s="18">
        <v>865859.6</v>
      </c>
      <c r="K174" s="18">
        <f t="shared" ref="K174:K183" si="38">K173</f>
        <v>679067</v>
      </c>
      <c r="L174" s="18">
        <v>74531.5</v>
      </c>
      <c r="M174" s="8">
        <v>860658</v>
      </c>
      <c r="N174" s="8">
        <v>671794</v>
      </c>
      <c r="O174" s="18">
        <v>32304</v>
      </c>
      <c r="P174" s="18">
        <f t="shared" si="30"/>
        <v>204.10000000000036</v>
      </c>
      <c r="Q174" s="18">
        <f t="shared" si="31"/>
        <v>207.90000000000055</v>
      </c>
      <c r="R174" s="18">
        <f t="shared" si="32"/>
        <v>92.299999999999727</v>
      </c>
      <c r="S174" s="18">
        <f t="shared" si="33"/>
        <v>89.900000000000091</v>
      </c>
      <c r="T174" s="31">
        <f t="shared" si="34"/>
        <v>15397.699999999953</v>
      </c>
      <c r="U174" s="18">
        <f t="shared" si="35"/>
        <v>8629</v>
      </c>
      <c r="V174" s="18">
        <f t="shared" si="36"/>
        <v>6850</v>
      </c>
      <c r="W174" s="18">
        <f t="shared" si="37"/>
        <v>608</v>
      </c>
      <c r="AD174" s="88"/>
      <c r="AE174" s="89"/>
      <c r="AF174" s="89"/>
      <c r="AG174" s="89"/>
      <c r="AH174" s="89"/>
      <c r="AI174" s="90"/>
      <c r="AJ174" s="90"/>
    </row>
    <row r="175" spans="1:36" ht="13.15" customHeight="1" x14ac:dyDescent="0.2">
      <c r="A175" s="9">
        <v>45017</v>
      </c>
      <c r="B175">
        <f t="shared" si="28"/>
        <v>2023</v>
      </c>
      <c r="C175" t="str">
        <f t="shared" si="29"/>
        <v>Q2</v>
      </c>
      <c r="D175" s="18">
        <v>7884.3</v>
      </c>
      <c r="E175" s="18">
        <v>7819.6</v>
      </c>
      <c r="F175" s="18">
        <v>3665.6</v>
      </c>
      <c r="G175" s="18">
        <v>3640.1</v>
      </c>
      <c r="H175" s="18">
        <v>411.7</v>
      </c>
      <c r="I175" s="18">
        <v>409.1</v>
      </c>
      <c r="J175" s="18">
        <v>865859.6</v>
      </c>
      <c r="K175" s="18">
        <f t="shared" si="38"/>
        <v>679067</v>
      </c>
      <c r="L175" s="18">
        <v>74531.5</v>
      </c>
      <c r="M175" s="8">
        <v>865503</v>
      </c>
      <c r="N175" s="8">
        <v>675983</v>
      </c>
      <c r="O175" s="18">
        <v>32660</v>
      </c>
      <c r="P175" s="18">
        <f t="shared" si="30"/>
        <v>147.69999999999982</v>
      </c>
      <c r="Q175" s="18">
        <f t="shared" si="31"/>
        <v>149.60000000000036</v>
      </c>
      <c r="R175" s="18">
        <f t="shared" si="32"/>
        <v>85.599999999999909</v>
      </c>
      <c r="S175" s="18">
        <f t="shared" si="33"/>
        <v>86.5</v>
      </c>
      <c r="T175" s="31">
        <f t="shared" si="34"/>
        <v>15397.699999999953</v>
      </c>
      <c r="U175" s="18">
        <f t="shared" si="35"/>
        <v>4845</v>
      </c>
      <c r="V175" s="18">
        <f t="shared" si="36"/>
        <v>4189</v>
      </c>
      <c r="W175" s="18">
        <f t="shared" si="37"/>
        <v>356</v>
      </c>
      <c r="AD175" s="88"/>
      <c r="AE175" s="89"/>
      <c r="AF175" s="89"/>
      <c r="AG175" s="89"/>
      <c r="AH175" s="89"/>
      <c r="AI175" s="90"/>
      <c r="AJ175" s="90"/>
    </row>
    <row r="176" spans="1:36" ht="13.15" customHeight="1" x14ac:dyDescent="0.2">
      <c r="A176" s="9">
        <v>45047</v>
      </c>
      <c r="B176">
        <f t="shared" si="28"/>
        <v>2023</v>
      </c>
      <c r="C176" t="str">
        <f t="shared" si="29"/>
        <v>Q2</v>
      </c>
      <c r="D176" s="18">
        <v>7895.3</v>
      </c>
      <c r="E176" s="18">
        <v>7882.6</v>
      </c>
      <c r="F176" s="18">
        <v>3677.6</v>
      </c>
      <c r="G176" s="18">
        <v>3668</v>
      </c>
      <c r="H176" s="18">
        <v>411.6</v>
      </c>
      <c r="I176" s="18">
        <v>410.3</v>
      </c>
      <c r="J176" s="18">
        <v>865859.6</v>
      </c>
      <c r="K176" s="18">
        <f t="shared" si="38"/>
        <v>679067</v>
      </c>
      <c r="L176" s="18">
        <v>74531.5</v>
      </c>
      <c r="M176" s="8">
        <v>865503</v>
      </c>
      <c r="N176" s="8">
        <v>675983</v>
      </c>
      <c r="O176" s="18">
        <v>32660</v>
      </c>
      <c r="P176" s="18">
        <f t="shared" si="30"/>
        <v>142</v>
      </c>
      <c r="Q176" s="18">
        <f t="shared" si="31"/>
        <v>144</v>
      </c>
      <c r="R176" s="18">
        <f t="shared" si="32"/>
        <v>99.5</v>
      </c>
      <c r="S176" s="18">
        <f t="shared" si="33"/>
        <v>100.09999999999991</v>
      </c>
      <c r="T176" s="31">
        <f t="shared" si="34"/>
        <v>15397.699999999953</v>
      </c>
      <c r="U176" s="18">
        <f t="shared" si="35"/>
        <v>4845</v>
      </c>
      <c r="V176" s="18">
        <f t="shared" si="36"/>
        <v>4189</v>
      </c>
      <c r="W176" s="18">
        <f t="shared" si="37"/>
        <v>356</v>
      </c>
      <c r="AD176" s="88"/>
      <c r="AE176" s="89"/>
      <c r="AF176" s="89"/>
      <c r="AG176" s="89"/>
      <c r="AH176" s="89"/>
      <c r="AI176" s="90"/>
      <c r="AJ176" s="90"/>
    </row>
    <row r="177" spans="1:36" ht="13.15" customHeight="1" x14ac:dyDescent="0.2">
      <c r="A177" s="9">
        <v>45078</v>
      </c>
      <c r="B177">
        <f t="shared" si="28"/>
        <v>2023</v>
      </c>
      <c r="C177" t="str">
        <f t="shared" si="29"/>
        <v>Q2</v>
      </c>
      <c r="D177" s="18">
        <v>7916.1</v>
      </c>
      <c r="E177" s="18">
        <v>7971.2</v>
      </c>
      <c r="F177" s="18">
        <v>3690.2</v>
      </c>
      <c r="G177" s="18">
        <v>3709.9</v>
      </c>
      <c r="H177" s="18">
        <v>413.8</v>
      </c>
      <c r="I177" s="18">
        <v>413.7</v>
      </c>
      <c r="J177" s="18">
        <v>865859.6</v>
      </c>
      <c r="K177" s="18">
        <f t="shared" si="38"/>
        <v>679067</v>
      </c>
      <c r="L177" s="18">
        <v>74531.5</v>
      </c>
      <c r="M177" s="8">
        <v>865503</v>
      </c>
      <c r="N177" s="8">
        <v>675983</v>
      </c>
      <c r="O177" s="18">
        <v>32660</v>
      </c>
      <c r="P177" s="18">
        <f t="shared" si="30"/>
        <v>161.30000000000018</v>
      </c>
      <c r="Q177" s="18">
        <f t="shared" si="31"/>
        <v>162</v>
      </c>
      <c r="R177" s="18">
        <f t="shared" si="32"/>
        <v>109.89999999999964</v>
      </c>
      <c r="S177" s="18">
        <f t="shared" si="33"/>
        <v>110.40000000000009</v>
      </c>
      <c r="T177" s="31">
        <f t="shared" si="34"/>
        <v>15397.699999999953</v>
      </c>
      <c r="U177" s="18">
        <f t="shared" si="35"/>
        <v>4845</v>
      </c>
      <c r="V177" s="18">
        <f t="shared" si="36"/>
        <v>4189</v>
      </c>
      <c r="W177" s="18">
        <f t="shared" si="37"/>
        <v>356</v>
      </c>
      <c r="AD177" s="88"/>
      <c r="AE177" s="89"/>
      <c r="AF177" s="89"/>
      <c r="AG177" s="89"/>
      <c r="AH177" s="89"/>
      <c r="AI177" s="90"/>
      <c r="AJ177" s="90"/>
    </row>
    <row r="178" spans="1:36" ht="13.15" customHeight="1" x14ac:dyDescent="0.2">
      <c r="A178" s="9">
        <v>45108</v>
      </c>
      <c r="B178">
        <f t="shared" si="28"/>
        <v>2023</v>
      </c>
      <c r="C178" t="str">
        <f t="shared" si="29"/>
        <v>Q3</v>
      </c>
      <c r="D178" s="18">
        <v>7926.1</v>
      </c>
      <c r="E178" s="18">
        <v>8016.9</v>
      </c>
      <c r="F178" s="18">
        <v>3698.8</v>
      </c>
      <c r="G178" s="18">
        <v>3738.9</v>
      </c>
      <c r="H178" s="18">
        <v>414.6</v>
      </c>
      <c r="I178" s="18">
        <v>413.3</v>
      </c>
      <c r="J178" s="18">
        <v>865859.6</v>
      </c>
      <c r="K178" s="18">
        <f t="shared" si="38"/>
        <v>679067</v>
      </c>
      <c r="L178" s="18">
        <v>74531.5</v>
      </c>
      <c r="M178" s="8">
        <v>867701</v>
      </c>
      <c r="N178" s="8">
        <v>682077</v>
      </c>
      <c r="O178" s="18">
        <v>32844</v>
      </c>
      <c r="P178" s="18">
        <f t="shared" si="30"/>
        <v>171.30000000000018</v>
      </c>
      <c r="Q178" s="18">
        <f t="shared" si="31"/>
        <v>173.29999999999927</v>
      </c>
      <c r="R178" s="18">
        <f t="shared" si="32"/>
        <v>116.40000000000009</v>
      </c>
      <c r="S178" s="18">
        <f t="shared" si="33"/>
        <v>117.20000000000027</v>
      </c>
      <c r="T178" s="31">
        <f t="shared" si="34"/>
        <v>15397.699999999953</v>
      </c>
      <c r="U178" s="18">
        <f t="shared" si="35"/>
        <v>2198</v>
      </c>
      <c r="V178" s="18">
        <f t="shared" si="36"/>
        <v>6094</v>
      </c>
      <c r="W178" s="18">
        <f t="shared" si="37"/>
        <v>184</v>
      </c>
      <c r="AD178" s="88"/>
      <c r="AE178" s="89"/>
      <c r="AF178" s="89"/>
      <c r="AG178" s="89"/>
      <c r="AH178" s="89"/>
      <c r="AI178" s="90"/>
      <c r="AJ178" s="90"/>
    </row>
    <row r="179" spans="1:36" ht="13.15" customHeight="1" x14ac:dyDescent="0.2">
      <c r="A179" s="9">
        <v>45139</v>
      </c>
      <c r="B179">
        <f t="shared" si="28"/>
        <v>2023</v>
      </c>
      <c r="C179" t="str">
        <f t="shared" si="29"/>
        <v>Q3</v>
      </c>
      <c r="D179" s="18">
        <v>7940.5</v>
      </c>
      <c r="E179" s="18">
        <v>8020.3</v>
      </c>
      <c r="F179" s="18">
        <v>3694.5</v>
      </c>
      <c r="G179" s="18">
        <v>3733</v>
      </c>
      <c r="H179" s="18">
        <v>414.3</v>
      </c>
      <c r="I179" s="18">
        <v>412.1</v>
      </c>
      <c r="J179" s="18">
        <v>865859.6</v>
      </c>
      <c r="K179" s="18">
        <f t="shared" si="38"/>
        <v>679067</v>
      </c>
      <c r="L179" s="18">
        <v>74531.5</v>
      </c>
      <c r="M179" s="8">
        <v>867701</v>
      </c>
      <c r="N179" s="8">
        <v>682077</v>
      </c>
      <c r="O179" s="18">
        <v>32844</v>
      </c>
      <c r="P179" s="18">
        <f t="shared" si="30"/>
        <v>193.10000000000036</v>
      </c>
      <c r="Q179" s="18">
        <f t="shared" si="31"/>
        <v>194.90000000000055</v>
      </c>
      <c r="R179" s="18">
        <f t="shared" si="32"/>
        <v>108</v>
      </c>
      <c r="S179" s="18">
        <f t="shared" si="33"/>
        <v>108.69999999999982</v>
      </c>
      <c r="T179" s="31">
        <f t="shared" si="34"/>
        <v>15397.699999999953</v>
      </c>
      <c r="U179" s="18">
        <f t="shared" si="35"/>
        <v>2198</v>
      </c>
      <c r="V179" s="18">
        <f t="shared" si="36"/>
        <v>6094</v>
      </c>
      <c r="W179" s="18">
        <f t="shared" si="37"/>
        <v>184</v>
      </c>
      <c r="AD179" s="88"/>
      <c r="AE179" s="89"/>
      <c r="AF179" s="89"/>
      <c r="AG179" s="89"/>
      <c r="AH179" s="89"/>
      <c r="AI179" s="90"/>
      <c r="AJ179" s="90"/>
    </row>
    <row r="180" spans="1:36" ht="13.15" customHeight="1" x14ac:dyDescent="0.2">
      <c r="A180" s="9">
        <v>45170</v>
      </c>
      <c r="B180">
        <f t="shared" si="28"/>
        <v>2023</v>
      </c>
      <c r="C180" t="str">
        <f t="shared" si="29"/>
        <v>Q3</v>
      </c>
      <c r="D180" s="18">
        <v>7945</v>
      </c>
      <c r="E180" s="18">
        <v>7968.4</v>
      </c>
      <c r="F180" s="18">
        <v>3689.8</v>
      </c>
      <c r="G180" s="18">
        <v>3698.6</v>
      </c>
      <c r="H180" s="18">
        <v>414.9</v>
      </c>
      <c r="I180" s="18">
        <v>411.6</v>
      </c>
      <c r="J180" s="18">
        <v>865859.6</v>
      </c>
      <c r="K180" s="18">
        <f t="shared" si="38"/>
        <v>679067</v>
      </c>
      <c r="L180" s="18">
        <v>74531.5</v>
      </c>
      <c r="M180" s="8">
        <v>867701</v>
      </c>
      <c r="N180" s="8">
        <v>682077</v>
      </c>
      <c r="O180" s="18">
        <v>32844</v>
      </c>
      <c r="P180" s="18">
        <f t="shared" si="30"/>
        <v>204.30000000000018</v>
      </c>
      <c r="Q180" s="18">
        <f t="shared" si="31"/>
        <v>201.69999999999982</v>
      </c>
      <c r="R180" s="18">
        <f t="shared" si="32"/>
        <v>114.5</v>
      </c>
      <c r="S180" s="18">
        <f t="shared" si="33"/>
        <v>112.19999999999982</v>
      </c>
      <c r="T180" s="31">
        <f t="shared" si="34"/>
        <v>15397.699999999953</v>
      </c>
      <c r="U180" s="18">
        <f t="shared" si="35"/>
        <v>2198</v>
      </c>
      <c r="V180" s="18">
        <f t="shared" si="36"/>
        <v>6094</v>
      </c>
      <c r="W180" s="18">
        <f t="shared" si="37"/>
        <v>184</v>
      </c>
      <c r="AD180" s="88"/>
      <c r="AE180" s="89"/>
      <c r="AF180" s="89"/>
      <c r="AG180" s="89"/>
      <c r="AH180" s="89"/>
      <c r="AI180" s="90"/>
      <c r="AJ180" s="90"/>
    </row>
    <row r="181" spans="1:36" ht="13.15" customHeight="1" x14ac:dyDescent="0.2">
      <c r="A181" s="9">
        <v>45200</v>
      </c>
      <c r="B181">
        <f t="shared" si="28"/>
        <v>2023</v>
      </c>
      <c r="C181" t="str">
        <f t="shared" si="29"/>
        <v>Q4</v>
      </c>
      <c r="D181" s="18">
        <v>7949.8</v>
      </c>
      <c r="E181" s="18">
        <v>7947.2</v>
      </c>
      <c r="F181" s="18">
        <v>3686.7</v>
      </c>
      <c r="G181" s="18">
        <v>3677.3</v>
      </c>
      <c r="H181" s="18">
        <v>417.5</v>
      </c>
      <c r="I181" s="18">
        <v>415.1</v>
      </c>
      <c r="J181" s="18">
        <v>865859.6</v>
      </c>
      <c r="K181" s="18">
        <f t="shared" si="38"/>
        <v>679067</v>
      </c>
      <c r="L181" s="18">
        <v>74531.5</v>
      </c>
      <c r="M181" s="8">
        <v>869576</v>
      </c>
      <c r="N181" s="8">
        <v>686415</v>
      </c>
      <c r="O181" s="18">
        <v>33497</v>
      </c>
      <c r="P181" s="18">
        <f t="shared" si="30"/>
        <v>209.5</v>
      </c>
      <c r="Q181" s="18">
        <f t="shared" si="31"/>
        <v>203.69999999999982</v>
      </c>
      <c r="R181" s="18">
        <f t="shared" si="32"/>
        <v>118.09999999999991</v>
      </c>
      <c r="S181" s="18">
        <f t="shared" si="33"/>
        <v>116</v>
      </c>
      <c r="T181" s="31">
        <f t="shared" si="34"/>
        <v>15397.699999999953</v>
      </c>
      <c r="U181" s="18">
        <f t="shared" si="35"/>
        <v>1875</v>
      </c>
      <c r="V181" s="18">
        <f t="shared" si="36"/>
        <v>4338</v>
      </c>
      <c r="W181" s="18">
        <f t="shared" si="37"/>
        <v>653</v>
      </c>
      <c r="AD181" s="88"/>
      <c r="AE181" s="89"/>
      <c r="AF181" s="89"/>
      <c r="AG181" s="89"/>
      <c r="AH181" s="89"/>
      <c r="AI181" s="90"/>
      <c r="AJ181" s="90"/>
    </row>
    <row r="182" spans="1:36" ht="13.15" customHeight="1" x14ac:dyDescent="0.2">
      <c r="A182" s="9">
        <v>45231</v>
      </c>
      <c r="B182">
        <f t="shared" si="28"/>
        <v>2023</v>
      </c>
      <c r="C182" t="str">
        <f t="shared" si="29"/>
        <v>Q4</v>
      </c>
      <c r="D182" s="18">
        <v>7953.4</v>
      </c>
      <c r="E182" s="18">
        <v>7939.3</v>
      </c>
      <c r="F182" s="18">
        <v>3690.3</v>
      </c>
      <c r="G182" s="18">
        <v>3673.4</v>
      </c>
      <c r="H182" s="18">
        <v>419</v>
      </c>
      <c r="I182" s="18">
        <v>418.5</v>
      </c>
      <c r="J182" s="18">
        <v>865859.6</v>
      </c>
      <c r="K182" s="18">
        <f t="shared" si="38"/>
        <v>679067</v>
      </c>
      <c r="L182" s="18">
        <v>74531.5</v>
      </c>
      <c r="M182" s="8">
        <v>869576</v>
      </c>
      <c r="N182" s="8">
        <v>686415</v>
      </c>
      <c r="O182" s="18">
        <v>33497</v>
      </c>
      <c r="P182" s="18">
        <f t="shared" si="30"/>
        <v>206.19999999999982</v>
      </c>
      <c r="Q182" s="18">
        <f t="shared" si="31"/>
        <v>200.40000000000055</v>
      </c>
      <c r="R182" s="18">
        <f t="shared" si="32"/>
        <v>128.60000000000036</v>
      </c>
      <c r="S182" s="18">
        <f t="shared" si="33"/>
        <v>126.30000000000018</v>
      </c>
      <c r="T182" s="31">
        <f t="shared" si="34"/>
        <v>15397.699999999953</v>
      </c>
      <c r="U182" s="18">
        <f t="shared" si="35"/>
        <v>1875</v>
      </c>
      <c r="V182" s="18">
        <f t="shared" si="36"/>
        <v>4338</v>
      </c>
      <c r="W182" s="18">
        <f t="shared" si="37"/>
        <v>653</v>
      </c>
      <c r="AD182" s="88"/>
      <c r="AE182" s="89"/>
      <c r="AF182" s="89"/>
      <c r="AG182" s="89"/>
      <c r="AH182" s="89"/>
      <c r="AI182" s="90"/>
      <c r="AJ182" s="90"/>
    </row>
    <row r="183" spans="1:36" ht="13.15" customHeight="1" x14ac:dyDescent="0.2">
      <c r="A183" s="9">
        <v>45261</v>
      </c>
      <c r="B183">
        <f t="shared" si="28"/>
        <v>2023</v>
      </c>
      <c r="C183" t="str">
        <f t="shared" si="29"/>
        <v>Q4</v>
      </c>
      <c r="D183" s="18">
        <v>7938</v>
      </c>
      <c r="E183" s="18">
        <v>7938.2</v>
      </c>
      <c r="F183" s="18">
        <v>3680.9</v>
      </c>
      <c r="G183" s="18">
        <v>3676.1</v>
      </c>
      <c r="H183" s="18">
        <v>417.5</v>
      </c>
      <c r="I183" s="18">
        <v>419.9</v>
      </c>
      <c r="J183" s="18">
        <v>865859.6</v>
      </c>
      <c r="K183" s="18">
        <f t="shared" si="38"/>
        <v>679067</v>
      </c>
      <c r="L183" s="18">
        <v>74531.5</v>
      </c>
      <c r="M183" s="8">
        <v>869576</v>
      </c>
      <c r="N183" s="8">
        <v>686415</v>
      </c>
      <c r="O183" s="18">
        <v>33497</v>
      </c>
      <c r="P183" s="18">
        <f t="shared" si="30"/>
        <v>161.89999999999964</v>
      </c>
      <c r="Q183" s="18">
        <f t="shared" si="31"/>
        <v>161</v>
      </c>
      <c r="R183" s="18">
        <f t="shared" si="32"/>
        <v>108.40000000000009</v>
      </c>
      <c r="S183" s="18">
        <f t="shared" si="33"/>
        <v>107.90000000000009</v>
      </c>
      <c r="T183" s="31">
        <f t="shared" si="34"/>
        <v>15397.699999999953</v>
      </c>
      <c r="U183" s="18">
        <f t="shared" si="35"/>
        <v>1875</v>
      </c>
      <c r="V183" s="18">
        <f t="shared" si="36"/>
        <v>4338</v>
      </c>
      <c r="W183" s="18">
        <f t="shared" si="37"/>
        <v>653</v>
      </c>
      <c r="AD183" s="88"/>
      <c r="AE183" s="89"/>
      <c r="AF183" s="89"/>
      <c r="AG183" s="89"/>
      <c r="AH183" s="89"/>
      <c r="AI183" s="90"/>
      <c r="AJ183" s="90"/>
    </row>
    <row r="184" spans="1:36" ht="13.15" customHeight="1" x14ac:dyDescent="0.2">
      <c r="A184" s="113">
        <v>45292</v>
      </c>
      <c r="B184" s="87">
        <f t="shared" ref="B184:B210" si="39">YEAR(A184)</f>
        <v>2024</v>
      </c>
      <c r="C184" s="87" t="str">
        <f t="shared" si="29"/>
        <v>Q1</v>
      </c>
      <c r="D184" s="18">
        <v>7934.2</v>
      </c>
      <c r="E184" s="18">
        <v>7904.9</v>
      </c>
      <c r="F184" s="18">
        <v>3674.2</v>
      </c>
      <c r="G184" s="18">
        <v>3660.7</v>
      </c>
      <c r="H184" s="18">
        <v>417.5</v>
      </c>
      <c r="I184" s="18">
        <v>420.7</v>
      </c>
      <c r="J184" s="112">
        <f>J172*(1+$AD$9)</f>
        <v>878270.2542666666</v>
      </c>
      <c r="K184" s="112">
        <f t="shared" ref="K184:L184" si="40">K172*(1+$AD$9)</f>
        <v>688800.29366666661</v>
      </c>
      <c r="L184" s="112">
        <f t="shared" si="40"/>
        <v>75599.784833333339</v>
      </c>
      <c r="M184" s="8">
        <v>874402</v>
      </c>
      <c r="N184" s="8">
        <v>691697</v>
      </c>
      <c r="O184" s="18">
        <v>33806</v>
      </c>
      <c r="P184" s="18">
        <f t="shared" si="30"/>
        <v>127.19999999999982</v>
      </c>
      <c r="Q184" s="18">
        <f t="shared" si="31"/>
        <v>128.29999999999927</v>
      </c>
      <c r="R184" s="18">
        <f t="shared" si="32"/>
        <v>88.5</v>
      </c>
      <c r="S184" s="18">
        <f t="shared" si="33"/>
        <v>86.599999999999909</v>
      </c>
      <c r="T184" s="31">
        <f t="shared" si="34"/>
        <v>12410.654266666621</v>
      </c>
      <c r="U184" s="18">
        <f t="shared" si="35"/>
        <v>4826</v>
      </c>
      <c r="V184" s="18">
        <f t="shared" si="36"/>
        <v>5282</v>
      </c>
      <c r="W184" s="18">
        <f t="shared" si="37"/>
        <v>309</v>
      </c>
      <c r="AD184" s="88"/>
      <c r="AE184" s="89"/>
      <c r="AF184" s="89"/>
      <c r="AG184" s="89"/>
      <c r="AH184" s="89"/>
      <c r="AI184" s="90"/>
      <c r="AJ184" s="90"/>
    </row>
    <row r="185" spans="1:36" ht="13.15" customHeight="1" x14ac:dyDescent="0.2">
      <c r="A185" s="113">
        <v>45323</v>
      </c>
      <c r="B185" s="87">
        <f t="shared" si="39"/>
        <v>2024</v>
      </c>
      <c r="C185" s="87" t="str">
        <f t="shared" si="29"/>
        <v>Q1</v>
      </c>
      <c r="D185" s="18">
        <v>7932</v>
      </c>
      <c r="E185" s="18">
        <v>7874.1</v>
      </c>
      <c r="F185" s="18">
        <v>3674.2</v>
      </c>
      <c r="G185" s="18">
        <v>3654.6</v>
      </c>
      <c r="H185" s="18">
        <v>417.7</v>
      </c>
      <c r="I185" s="18">
        <v>418.9</v>
      </c>
      <c r="J185" s="112">
        <f t="shared" ref="J185:J195" si="41">J173*(1+$AD$9)</f>
        <v>878270.2542666666</v>
      </c>
      <c r="K185" s="112">
        <f t="shared" ref="K185:O195" si="42">K173*(1+$AD$9)</f>
        <v>688800.29366666661</v>
      </c>
      <c r="L185" s="112">
        <f t="shared" si="42"/>
        <v>75599.784833333339</v>
      </c>
      <c r="M185" s="8">
        <v>874402</v>
      </c>
      <c r="N185" s="8">
        <v>691697</v>
      </c>
      <c r="O185" s="18">
        <v>33806</v>
      </c>
      <c r="P185" s="18">
        <f t="shared" si="30"/>
        <v>91.300000000000182</v>
      </c>
      <c r="Q185" s="18">
        <f t="shared" si="31"/>
        <v>93.600000000000364</v>
      </c>
      <c r="R185" s="18">
        <f t="shared" si="32"/>
        <v>61.399999999999636</v>
      </c>
      <c r="S185" s="18">
        <f t="shared" si="33"/>
        <v>60.400000000000091</v>
      </c>
      <c r="T185" s="31">
        <f t="shared" si="34"/>
        <v>12410.654266666621</v>
      </c>
      <c r="U185" s="18">
        <f t="shared" si="35"/>
        <v>4826</v>
      </c>
      <c r="V185" s="18">
        <f t="shared" si="36"/>
        <v>5282</v>
      </c>
      <c r="W185" s="18">
        <f t="shared" si="37"/>
        <v>309</v>
      </c>
      <c r="AD185" s="88"/>
      <c r="AE185" s="89"/>
      <c r="AF185" s="89"/>
      <c r="AG185" s="89"/>
      <c r="AH185" s="89"/>
      <c r="AI185" s="90"/>
      <c r="AJ185" s="90"/>
    </row>
    <row r="186" spans="1:36" ht="13.15" customHeight="1" x14ac:dyDescent="0.2">
      <c r="A186" s="113">
        <v>45352</v>
      </c>
      <c r="B186" s="87">
        <f t="shared" si="39"/>
        <v>2024</v>
      </c>
      <c r="C186" s="87" t="str">
        <f t="shared" si="29"/>
        <v>Q1</v>
      </c>
      <c r="D186" s="18">
        <v>7950.9</v>
      </c>
      <c r="E186" s="18">
        <v>7870.9</v>
      </c>
      <c r="F186" s="18">
        <v>3683</v>
      </c>
      <c r="G186" s="18">
        <v>3653.6</v>
      </c>
      <c r="H186" s="18">
        <v>421.5</v>
      </c>
      <c r="I186" s="18">
        <v>419.8</v>
      </c>
      <c r="J186" s="112">
        <f t="shared" si="41"/>
        <v>878270.2542666666</v>
      </c>
      <c r="K186" s="112">
        <f t="shared" si="42"/>
        <v>688800.29366666661</v>
      </c>
      <c r="L186" s="112">
        <f t="shared" si="42"/>
        <v>75599.784833333339</v>
      </c>
      <c r="M186" s="8">
        <v>874402</v>
      </c>
      <c r="N186" s="8">
        <v>691697</v>
      </c>
      <c r="O186" s="18">
        <v>33806</v>
      </c>
      <c r="P186" s="18">
        <f t="shared" si="30"/>
        <v>84.299999999999272</v>
      </c>
      <c r="Q186" s="18">
        <f t="shared" si="31"/>
        <v>89.599999999999454</v>
      </c>
      <c r="R186" s="18">
        <f t="shared" si="32"/>
        <v>38.300000000000182</v>
      </c>
      <c r="S186" s="18">
        <f t="shared" si="33"/>
        <v>40.099999999999909</v>
      </c>
      <c r="T186" s="31">
        <f t="shared" si="34"/>
        <v>12410.654266666621</v>
      </c>
      <c r="U186" s="18">
        <f t="shared" si="35"/>
        <v>4826</v>
      </c>
      <c r="V186" s="18">
        <f t="shared" si="36"/>
        <v>5282</v>
      </c>
      <c r="W186" s="18">
        <f t="shared" si="37"/>
        <v>309</v>
      </c>
      <c r="AD186" s="88"/>
      <c r="AE186" s="89"/>
      <c r="AF186" s="89"/>
      <c r="AG186" s="89"/>
      <c r="AH186" s="89"/>
      <c r="AI186" s="90"/>
      <c r="AJ186" s="90"/>
    </row>
    <row r="187" spans="1:36" ht="13.15" customHeight="1" x14ac:dyDescent="0.2">
      <c r="A187" s="113">
        <v>45383</v>
      </c>
      <c r="B187" s="87">
        <f t="shared" si="39"/>
        <v>2024</v>
      </c>
      <c r="C187" s="87" t="str">
        <f t="shared" si="29"/>
        <v>Q2</v>
      </c>
      <c r="D187" s="18">
        <v>7970.1</v>
      </c>
      <c r="E187" s="18">
        <v>7915</v>
      </c>
      <c r="F187" s="18">
        <v>3698.8</v>
      </c>
      <c r="G187" s="18">
        <v>3679.2</v>
      </c>
      <c r="H187" s="18">
        <v>424.5</v>
      </c>
      <c r="I187" s="18">
        <v>421.4</v>
      </c>
      <c r="J187" s="112">
        <f t="shared" si="41"/>
        <v>878270.2542666666</v>
      </c>
      <c r="K187" s="112">
        <f t="shared" si="42"/>
        <v>688800.29366666661</v>
      </c>
      <c r="L187" s="112">
        <f t="shared" si="42"/>
        <v>75599.784833333339</v>
      </c>
      <c r="M187" s="8">
        <v>877135</v>
      </c>
      <c r="N187" s="8">
        <v>695499</v>
      </c>
      <c r="O187" s="18">
        <v>34058</v>
      </c>
      <c r="P187" s="18">
        <f t="shared" si="30"/>
        <v>85.800000000000182</v>
      </c>
      <c r="Q187" s="18">
        <f t="shared" si="31"/>
        <v>95.399999999999636</v>
      </c>
      <c r="R187" s="18">
        <f t="shared" si="32"/>
        <v>33.200000000000273</v>
      </c>
      <c r="S187" s="18">
        <f t="shared" si="33"/>
        <v>39.099999999999909</v>
      </c>
      <c r="T187" s="31">
        <f t="shared" si="34"/>
        <v>12410.654266666621</v>
      </c>
      <c r="U187" s="18">
        <f t="shared" si="35"/>
        <v>2733</v>
      </c>
      <c r="V187" s="18">
        <f t="shared" si="36"/>
        <v>3802</v>
      </c>
      <c r="W187" s="18">
        <f t="shared" si="37"/>
        <v>252</v>
      </c>
      <c r="AD187" s="88"/>
      <c r="AE187" s="89"/>
      <c r="AF187" s="89"/>
      <c r="AG187" s="89"/>
      <c r="AH187" s="89"/>
      <c r="AI187" s="90"/>
      <c r="AJ187" s="90"/>
    </row>
    <row r="188" spans="1:36" ht="13.15" customHeight="1" x14ac:dyDescent="0.2">
      <c r="A188" s="113">
        <v>45413</v>
      </c>
      <c r="B188" s="87">
        <f t="shared" si="39"/>
        <v>2024</v>
      </c>
      <c r="C188" s="87" t="str">
        <f t="shared" si="29"/>
        <v>Q2</v>
      </c>
      <c r="D188" s="18">
        <v>8003.7</v>
      </c>
      <c r="E188" s="18">
        <v>7999.8</v>
      </c>
      <c r="F188" s="18">
        <v>3719.9</v>
      </c>
      <c r="G188" s="18">
        <v>3718.9</v>
      </c>
      <c r="H188" s="18">
        <v>426.9</v>
      </c>
      <c r="I188" s="18">
        <v>424.3</v>
      </c>
      <c r="J188" s="112">
        <f t="shared" si="41"/>
        <v>878270.2542666666</v>
      </c>
      <c r="K188" s="112">
        <f t="shared" si="42"/>
        <v>688800.29366666661</v>
      </c>
      <c r="L188" s="112">
        <f t="shared" si="42"/>
        <v>75599.784833333339</v>
      </c>
      <c r="M188" s="8">
        <v>877135</v>
      </c>
      <c r="N188" s="8">
        <v>695499</v>
      </c>
      <c r="O188" s="18">
        <v>34058</v>
      </c>
      <c r="P188" s="18">
        <f t="shared" si="30"/>
        <v>108.39999999999964</v>
      </c>
      <c r="Q188" s="18">
        <f t="shared" si="31"/>
        <v>117.19999999999982</v>
      </c>
      <c r="R188" s="18">
        <f t="shared" si="32"/>
        <v>42.300000000000182</v>
      </c>
      <c r="S188" s="18">
        <f t="shared" si="33"/>
        <v>50.900000000000091</v>
      </c>
      <c r="T188" s="31">
        <f t="shared" si="34"/>
        <v>12410.654266666621</v>
      </c>
      <c r="U188" s="18">
        <f t="shared" si="35"/>
        <v>2733</v>
      </c>
      <c r="V188" s="18">
        <f t="shared" si="36"/>
        <v>3802</v>
      </c>
      <c r="W188" s="18">
        <f t="shared" si="37"/>
        <v>252</v>
      </c>
      <c r="AD188" s="88"/>
      <c r="AE188" s="89"/>
      <c r="AF188" s="89"/>
      <c r="AG188" s="89"/>
      <c r="AH188" s="89"/>
      <c r="AI188" s="90"/>
      <c r="AJ188" s="90"/>
    </row>
    <row r="189" spans="1:36" ht="13.15" customHeight="1" x14ac:dyDescent="0.2">
      <c r="A189" s="113">
        <v>45444</v>
      </c>
      <c r="B189" s="87">
        <f t="shared" si="39"/>
        <v>2024</v>
      </c>
      <c r="C189" s="87" t="str">
        <f t="shared" si="29"/>
        <v>Q2</v>
      </c>
      <c r="D189" s="18">
        <v>8031.8</v>
      </c>
      <c r="E189" s="18">
        <v>8092.5</v>
      </c>
      <c r="F189" s="18">
        <v>3732.3</v>
      </c>
      <c r="G189" s="18">
        <v>3760.5</v>
      </c>
      <c r="H189" s="18">
        <v>427.8</v>
      </c>
      <c r="I189" s="18">
        <v>427.1</v>
      </c>
      <c r="J189" s="112">
        <f t="shared" si="41"/>
        <v>878270.2542666666</v>
      </c>
      <c r="K189" s="112">
        <f t="shared" si="42"/>
        <v>688800.29366666661</v>
      </c>
      <c r="L189" s="112">
        <f t="shared" si="42"/>
        <v>75599.784833333339</v>
      </c>
      <c r="M189" s="8">
        <v>877135</v>
      </c>
      <c r="N189" s="8">
        <v>695499</v>
      </c>
      <c r="O189" s="18">
        <v>34058</v>
      </c>
      <c r="P189" s="18">
        <f t="shared" si="30"/>
        <v>115.69999999999982</v>
      </c>
      <c r="Q189" s="18">
        <f t="shared" si="31"/>
        <v>121.30000000000018</v>
      </c>
      <c r="R189" s="18">
        <f t="shared" si="32"/>
        <v>42.100000000000364</v>
      </c>
      <c r="S189" s="18">
        <f t="shared" si="33"/>
        <v>50.599999999999909</v>
      </c>
      <c r="T189" s="31">
        <f t="shared" si="34"/>
        <v>12410.654266666621</v>
      </c>
      <c r="U189" s="18">
        <f t="shared" si="35"/>
        <v>2733</v>
      </c>
      <c r="V189" s="18">
        <f t="shared" si="36"/>
        <v>3802</v>
      </c>
      <c r="W189" s="18">
        <f t="shared" si="37"/>
        <v>252</v>
      </c>
      <c r="AD189" s="88"/>
      <c r="AE189" s="89"/>
      <c r="AF189" s="89"/>
      <c r="AG189" s="89"/>
      <c r="AH189" s="89"/>
      <c r="AI189" s="90"/>
      <c r="AJ189" s="90"/>
    </row>
    <row r="190" spans="1:36" ht="13.15" customHeight="1" x14ac:dyDescent="0.2">
      <c r="A190" s="113">
        <v>45474</v>
      </c>
      <c r="B190" s="87">
        <f t="shared" si="39"/>
        <v>2024</v>
      </c>
      <c r="C190" s="87" t="str">
        <f t="shared" si="29"/>
        <v>Q3</v>
      </c>
      <c r="D190" s="18">
        <v>8059</v>
      </c>
      <c r="E190" s="18">
        <v>8149.4</v>
      </c>
      <c r="F190" s="18">
        <v>3743.2</v>
      </c>
      <c r="G190" s="18">
        <v>3790.4</v>
      </c>
      <c r="H190" s="18">
        <v>426.2</v>
      </c>
      <c r="I190" s="18">
        <v>426.4</v>
      </c>
      <c r="J190" s="112">
        <f t="shared" si="41"/>
        <v>878270.2542666666</v>
      </c>
      <c r="K190" s="112">
        <f t="shared" si="42"/>
        <v>688800.29366666661</v>
      </c>
      <c r="L190" s="112">
        <f t="shared" si="42"/>
        <v>75599.784833333339</v>
      </c>
      <c r="M190" s="8">
        <v>877865</v>
      </c>
      <c r="N190" s="8">
        <v>698343</v>
      </c>
      <c r="O190" s="18">
        <v>33895</v>
      </c>
      <c r="P190" s="18">
        <f t="shared" si="30"/>
        <v>132.89999999999964</v>
      </c>
      <c r="Q190" s="18">
        <f t="shared" si="31"/>
        <v>132.5</v>
      </c>
      <c r="R190" s="18">
        <f t="shared" si="32"/>
        <v>44.399999999999636</v>
      </c>
      <c r="S190" s="18">
        <f t="shared" si="33"/>
        <v>51.5</v>
      </c>
      <c r="T190" s="31">
        <f t="shared" si="34"/>
        <v>12410.654266666621</v>
      </c>
      <c r="U190" s="18">
        <f t="shared" si="35"/>
        <v>730</v>
      </c>
      <c r="V190" s="18">
        <f t="shared" si="36"/>
        <v>2844</v>
      </c>
      <c r="W190" s="18">
        <f t="shared" si="37"/>
        <v>-163</v>
      </c>
      <c r="AD190" s="88"/>
      <c r="AE190" s="89"/>
      <c r="AF190" s="89"/>
      <c r="AG190" s="89"/>
      <c r="AH190" s="89"/>
      <c r="AI190" s="90"/>
      <c r="AJ190" s="90"/>
    </row>
    <row r="191" spans="1:36" ht="13.15" customHeight="1" x14ac:dyDescent="0.2">
      <c r="A191" s="113">
        <v>45505</v>
      </c>
      <c r="B191" s="87">
        <f t="shared" si="39"/>
        <v>2024</v>
      </c>
      <c r="C191" s="87" t="str">
        <f t="shared" si="29"/>
        <v>Q3</v>
      </c>
      <c r="D191" s="18">
        <v>8066.9</v>
      </c>
      <c r="E191" s="18">
        <v>8147.2</v>
      </c>
      <c r="F191" s="18">
        <v>3745.7</v>
      </c>
      <c r="G191" s="18">
        <v>3788.3</v>
      </c>
      <c r="H191" s="18">
        <v>426.2</v>
      </c>
      <c r="I191" s="18">
        <v>427.1</v>
      </c>
      <c r="J191" s="112">
        <f t="shared" si="41"/>
        <v>878270.2542666666</v>
      </c>
      <c r="K191" s="112">
        <f t="shared" si="42"/>
        <v>688800.29366666661</v>
      </c>
      <c r="L191" s="112">
        <f t="shared" si="42"/>
        <v>75599.784833333339</v>
      </c>
      <c r="M191" s="8">
        <v>877865</v>
      </c>
      <c r="N191" s="8">
        <v>698343</v>
      </c>
      <c r="O191" s="18">
        <v>33895</v>
      </c>
      <c r="P191" s="18">
        <f t="shared" si="30"/>
        <v>126.39999999999964</v>
      </c>
      <c r="Q191" s="18">
        <f t="shared" si="31"/>
        <v>126.89999999999964</v>
      </c>
      <c r="R191" s="18">
        <f t="shared" si="32"/>
        <v>51.199999999999818</v>
      </c>
      <c r="S191" s="18">
        <f t="shared" si="33"/>
        <v>55.300000000000182</v>
      </c>
      <c r="T191" s="31">
        <f>J191-J179</f>
        <v>12410.654266666621</v>
      </c>
      <c r="U191" s="18">
        <f t="shared" si="35"/>
        <v>730</v>
      </c>
      <c r="V191" s="18">
        <f t="shared" si="36"/>
        <v>2844</v>
      </c>
      <c r="W191" s="18">
        <f t="shared" si="37"/>
        <v>-163</v>
      </c>
      <c r="AD191" s="88"/>
      <c r="AE191" s="89"/>
      <c r="AF191" s="89"/>
      <c r="AG191" s="89"/>
      <c r="AH191" s="89"/>
      <c r="AI191" s="90"/>
      <c r="AJ191" s="90"/>
    </row>
    <row r="192" spans="1:36" ht="13.15" customHeight="1" x14ac:dyDescent="0.2">
      <c r="A192" s="113">
        <v>45536</v>
      </c>
      <c r="B192" s="87">
        <f t="shared" si="39"/>
        <v>2024</v>
      </c>
      <c r="C192" s="87" t="str">
        <f t="shared" si="29"/>
        <v>Q3</v>
      </c>
      <c r="D192" s="18">
        <v>8086</v>
      </c>
      <c r="E192" s="18">
        <v>8123.6</v>
      </c>
      <c r="F192" s="18">
        <v>3754.2</v>
      </c>
      <c r="G192" s="18">
        <v>3774</v>
      </c>
      <c r="H192" s="18">
        <v>424.9</v>
      </c>
      <c r="I192" s="18">
        <v>425.6</v>
      </c>
      <c r="J192" s="112">
        <f t="shared" si="41"/>
        <v>878270.2542666666</v>
      </c>
      <c r="K192" s="112">
        <f t="shared" si="42"/>
        <v>688800.29366666661</v>
      </c>
      <c r="L192" s="112">
        <f t="shared" si="42"/>
        <v>75599.784833333339</v>
      </c>
      <c r="M192" s="8">
        <v>877865</v>
      </c>
      <c r="N192" s="8">
        <v>698343</v>
      </c>
      <c r="O192" s="18">
        <v>33895</v>
      </c>
      <c r="P192" s="18">
        <f t="shared" si="30"/>
        <v>141</v>
      </c>
      <c r="Q192" s="18">
        <f t="shared" si="31"/>
        <v>155.20000000000073</v>
      </c>
      <c r="R192" s="18">
        <f t="shared" si="32"/>
        <v>64.399999999999636</v>
      </c>
      <c r="S192" s="18">
        <f t="shared" si="33"/>
        <v>75.400000000000091</v>
      </c>
      <c r="T192" s="31">
        <f t="shared" si="34"/>
        <v>12410.654266666621</v>
      </c>
      <c r="U192" s="18">
        <f t="shared" si="35"/>
        <v>730</v>
      </c>
      <c r="V192" s="18">
        <f t="shared" si="36"/>
        <v>2844</v>
      </c>
      <c r="W192" s="18">
        <f t="shared" si="37"/>
        <v>-163</v>
      </c>
      <c r="AD192" s="88"/>
      <c r="AE192" s="89"/>
      <c r="AF192" s="89"/>
      <c r="AG192" s="89"/>
      <c r="AH192" s="89"/>
      <c r="AI192" s="90"/>
      <c r="AJ192" s="90"/>
    </row>
    <row r="193" spans="1:36" ht="13.15" customHeight="1" x14ac:dyDescent="0.2">
      <c r="A193" s="113">
        <v>45566</v>
      </c>
      <c r="B193" s="87">
        <f t="shared" si="39"/>
        <v>2024</v>
      </c>
      <c r="C193" s="87" t="str">
        <f t="shared" si="29"/>
        <v>Q4</v>
      </c>
      <c r="D193" s="18">
        <v>8094</v>
      </c>
      <c r="E193" s="18">
        <v>8109.5</v>
      </c>
      <c r="F193" s="18">
        <v>3762.5</v>
      </c>
      <c r="G193" s="18">
        <v>3761</v>
      </c>
      <c r="H193" s="18">
        <v>425.2</v>
      </c>
      <c r="I193" s="18">
        <v>428.1</v>
      </c>
      <c r="J193" s="112">
        <f t="shared" si="41"/>
        <v>878270.2542666666</v>
      </c>
      <c r="K193" s="112">
        <f t="shared" si="42"/>
        <v>688800.29366666661</v>
      </c>
      <c r="L193" s="112">
        <f t="shared" si="42"/>
        <v>75599.784833333339</v>
      </c>
      <c r="M193" s="112">
        <f t="shared" si="42"/>
        <v>882039.92266666668</v>
      </c>
      <c r="N193" s="112">
        <f t="shared" si="42"/>
        <v>696253.61499999999</v>
      </c>
      <c r="O193" s="112">
        <f t="shared" si="42"/>
        <v>33977.123666666666</v>
      </c>
      <c r="P193" s="18">
        <f t="shared" si="30"/>
        <v>144.19999999999982</v>
      </c>
      <c r="Q193" s="18">
        <f t="shared" si="31"/>
        <v>162.30000000000018</v>
      </c>
      <c r="R193" s="18">
        <f t="shared" si="32"/>
        <v>75.800000000000182</v>
      </c>
      <c r="S193" s="18">
        <f t="shared" si="33"/>
        <v>83.699999999999818</v>
      </c>
      <c r="T193" s="31">
        <f t="shared" si="34"/>
        <v>12410.654266666621</v>
      </c>
      <c r="U193" s="18">
        <f t="shared" si="35"/>
        <v>4174.92266666668</v>
      </c>
      <c r="V193" s="18">
        <f t="shared" si="36"/>
        <v>-2089.3850000000093</v>
      </c>
      <c r="W193" s="18">
        <f t="shared" si="37"/>
        <v>82.123666666666395</v>
      </c>
      <c r="AD193" s="88"/>
      <c r="AE193" s="89"/>
      <c r="AF193" s="89"/>
      <c r="AG193" s="89"/>
      <c r="AH193" s="89"/>
      <c r="AI193" s="90"/>
      <c r="AJ193" s="90"/>
    </row>
    <row r="194" spans="1:36" ht="13.15" customHeight="1" x14ac:dyDescent="0.2">
      <c r="A194" s="113">
        <v>45597</v>
      </c>
      <c r="B194" s="87">
        <f t="shared" si="39"/>
        <v>2024</v>
      </c>
      <c r="C194" s="87" t="str">
        <f t="shared" si="29"/>
        <v>Q4</v>
      </c>
      <c r="D194" s="18">
        <v>8102.8</v>
      </c>
      <c r="E194" s="18">
        <v>8101.2</v>
      </c>
      <c r="F194" s="18">
        <v>3765.6</v>
      </c>
      <c r="G194" s="18">
        <v>3754.2</v>
      </c>
      <c r="H194" s="18">
        <v>422.1</v>
      </c>
      <c r="I194" s="18">
        <v>427.3</v>
      </c>
      <c r="J194" s="112">
        <f t="shared" si="41"/>
        <v>878270.2542666666</v>
      </c>
      <c r="K194" s="112">
        <f t="shared" si="42"/>
        <v>688800.29366666661</v>
      </c>
      <c r="L194" s="112">
        <f t="shared" si="42"/>
        <v>75599.784833333339</v>
      </c>
      <c r="M194" s="112">
        <f t="shared" si="42"/>
        <v>882039.92266666668</v>
      </c>
      <c r="N194" s="112">
        <f t="shared" si="42"/>
        <v>696253.61499999999</v>
      </c>
      <c r="O194" s="112">
        <f t="shared" si="42"/>
        <v>33977.123666666666</v>
      </c>
      <c r="P194" s="18">
        <f t="shared" si="30"/>
        <v>149.40000000000055</v>
      </c>
      <c r="Q194" s="18">
        <f t="shared" si="31"/>
        <v>161.89999999999964</v>
      </c>
      <c r="R194" s="18">
        <f t="shared" si="32"/>
        <v>75.299999999999727</v>
      </c>
      <c r="S194" s="18">
        <f t="shared" si="33"/>
        <v>80.799999999999727</v>
      </c>
      <c r="T194" s="31">
        <f t="shared" si="34"/>
        <v>12410.654266666621</v>
      </c>
      <c r="U194" s="18">
        <f t="shared" si="35"/>
        <v>4174.92266666668</v>
      </c>
      <c r="V194" s="18">
        <f t="shared" si="36"/>
        <v>-2089.3850000000093</v>
      </c>
      <c r="W194" s="18">
        <f t="shared" si="37"/>
        <v>82.123666666666395</v>
      </c>
      <c r="AD194" s="88"/>
      <c r="AE194" s="89"/>
      <c r="AF194" s="89"/>
      <c r="AG194" s="89"/>
      <c r="AH194" s="89"/>
      <c r="AI194" s="90"/>
      <c r="AJ194" s="90"/>
    </row>
    <row r="195" spans="1:36" ht="13.15" customHeight="1" x14ac:dyDescent="0.2">
      <c r="A195" s="113">
        <v>45627</v>
      </c>
      <c r="B195" s="87">
        <f t="shared" si="39"/>
        <v>2024</v>
      </c>
      <c r="C195" s="87" t="str">
        <f t="shared" si="29"/>
        <v>Q4</v>
      </c>
      <c r="D195" s="18">
        <v>8105.1</v>
      </c>
      <c r="E195" s="18">
        <v>8097.3</v>
      </c>
      <c r="F195" s="18">
        <v>3775.6</v>
      </c>
      <c r="G195" s="18">
        <v>3767.3</v>
      </c>
      <c r="H195" s="18">
        <v>417.1</v>
      </c>
      <c r="I195" s="18">
        <v>422.8</v>
      </c>
      <c r="J195" s="112">
        <f t="shared" si="41"/>
        <v>878270.2542666666</v>
      </c>
      <c r="K195" s="112">
        <f t="shared" si="42"/>
        <v>688800.29366666661</v>
      </c>
      <c r="L195" s="112">
        <f t="shared" si="42"/>
        <v>75599.784833333339</v>
      </c>
      <c r="M195" s="112">
        <f t="shared" si="42"/>
        <v>882039.92266666668</v>
      </c>
      <c r="N195" s="112">
        <f t="shared" si="42"/>
        <v>696253.61499999999</v>
      </c>
      <c r="O195" s="112">
        <f t="shared" si="42"/>
        <v>33977.123666666666</v>
      </c>
      <c r="P195" s="18">
        <f t="shared" si="30"/>
        <v>167.10000000000036</v>
      </c>
      <c r="Q195" s="18">
        <f t="shared" si="31"/>
        <v>159.10000000000036</v>
      </c>
      <c r="R195" s="18">
        <f t="shared" si="32"/>
        <v>94.699999999999818</v>
      </c>
      <c r="S195" s="18">
        <f t="shared" si="33"/>
        <v>91.200000000000273</v>
      </c>
      <c r="T195" s="31">
        <f t="shared" si="34"/>
        <v>12410.654266666621</v>
      </c>
      <c r="U195" s="18">
        <f t="shared" si="35"/>
        <v>4174.92266666668</v>
      </c>
      <c r="V195" s="18">
        <f t="shared" si="36"/>
        <v>-2089.3850000000093</v>
      </c>
      <c r="W195" s="18">
        <f t="shared" si="37"/>
        <v>82.123666666666395</v>
      </c>
      <c r="AD195" s="88"/>
      <c r="AE195" s="89"/>
      <c r="AF195" s="89"/>
      <c r="AG195" s="89"/>
      <c r="AH195" s="89"/>
      <c r="AI195" s="90"/>
      <c r="AJ195" s="90"/>
    </row>
    <row r="196" spans="1:36" ht="13.15" customHeight="1" x14ac:dyDescent="0.2">
      <c r="A196" s="113">
        <v>45658</v>
      </c>
      <c r="B196" s="87">
        <f t="shared" si="39"/>
        <v>2025</v>
      </c>
      <c r="C196" s="87" t="str">
        <f t="shared" si="29"/>
        <v>Q1</v>
      </c>
      <c r="D196" s="112">
        <f>D184*(1+$AD$16)</f>
        <v>8066.4366666666656</v>
      </c>
      <c r="E196" s="112">
        <f t="shared" ref="E196:I196" si="43">E184*(1+$AD$16)</f>
        <v>8036.6483333333326</v>
      </c>
      <c r="F196" s="112">
        <f t="shared" si="43"/>
        <v>3735.436666666666</v>
      </c>
      <c r="G196" s="112">
        <f t="shared" si="43"/>
        <v>3721.7116666666661</v>
      </c>
      <c r="H196" s="112">
        <f t="shared" si="43"/>
        <v>424.45833333333331</v>
      </c>
      <c r="I196" s="112">
        <f t="shared" si="43"/>
        <v>427.71166666666664</v>
      </c>
      <c r="J196" s="112">
        <f>J184*(1+$AD$10)</f>
        <v>885296.41630079993</v>
      </c>
      <c r="K196" s="112">
        <f t="shared" ref="K196:L196" si="44">K184*(1+$AD$10)</f>
        <v>694310.696016</v>
      </c>
      <c r="L196" s="112">
        <f t="shared" si="44"/>
        <v>76204.583112000008</v>
      </c>
      <c r="M196" s="112">
        <f t="shared" ref="M196:N196" si="45">M184*(1+$AD$10)</f>
        <v>881397.21600000001</v>
      </c>
      <c r="N196" s="112">
        <f t="shared" si="45"/>
        <v>697230.576</v>
      </c>
      <c r="O196" s="112">
        <f t="shared" ref="O196" si="46">O184*(1+$AD$10)</f>
        <v>34076.447999999997</v>
      </c>
      <c r="P196" s="18">
        <f t="shared" si="30"/>
        <v>132.23666666666577</v>
      </c>
      <c r="Q196" s="18">
        <f>E196-E184</f>
        <v>131.74833333333299</v>
      </c>
      <c r="R196" s="18">
        <f t="shared" si="32"/>
        <v>61.236666666666224</v>
      </c>
      <c r="S196" s="18">
        <f t="shared" si="33"/>
        <v>61.011666666666315</v>
      </c>
      <c r="T196" s="31">
        <f t="shared" si="34"/>
        <v>7026.1620341333328</v>
      </c>
      <c r="U196" s="18">
        <f t="shared" si="35"/>
        <v>-642.70666666666511</v>
      </c>
      <c r="V196" s="18">
        <f t="shared" si="36"/>
        <v>976.96100000001024</v>
      </c>
      <c r="W196" s="18">
        <f t="shared" si="37"/>
        <v>99.324333333330287</v>
      </c>
      <c r="AD196" s="88"/>
      <c r="AE196" s="89"/>
      <c r="AF196" s="89"/>
      <c r="AG196" s="89"/>
      <c r="AH196" s="89"/>
      <c r="AI196" s="90"/>
      <c r="AJ196" s="90"/>
    </row>
    <row r="197" spans="1:36" ht="13.15" customHeight="1" x14ac:dyDescent="0.2">
      <c r="A197" s="113">
        <v>45689</v>
      </c>
      <c r="B197" s="87">
        <f t="shared" si="39"/>
        <v>2025</v>
      </c>
      <c r="C197" s="87" t="str">
        <f t="shared" si="29"/>
        <v>Q1</v>
      </c>
      <c r="D197" s="112">
        <f t="shared" ref="D197:I207" si="47">D185*(1+$AD$16)</f>
        <v>8064.2</v>
      </c>
      <c r="E197" s="112">
        <f t="shared" si="47"/>
        <v>8005.335</v>
      </c>
      <c r="F197" s="112">
        <f t="shared" si="47"/>
        <v>3735.436666666666</v>
      </c>
      <c r="G197" s="112">
        <f t="shared" si="47"/>
        <v>3715.5099999999998</v>
      </c>
      <c r="H197" s="112">
        <f t="shared" si="47"/>
        <v>424.66166666666663</v>
      </c>
      <c r="I197" s="112">
        <f t="shared" si="47"/>
        <v>425.8816666666666</v>
      </c>
      <c r="J197" s="112">
        <f t="shared" ref="J197:J207" si="48">J185*(1+$AD$10)</f>
        <v>885296.41630079993</v>
      </c>
      <c r="K197" s="112">
        <f t="shared" ref="K197:O207" si="49">K185*(1+$AD$10)</f>
        <v>694310.696016</v>
      </c>
      <c r="L197" s="112">
        <f t="shared" si="49"/>
        <v>76204.583112000008</v>
      </c>
      <c r="M197" s="112">
        <f t="shared" si="49"/>
        <v>881397.21600000001</v>
      </c>
      <c r="N197" s="112">
        <f t="shared" si="49"/>
        <v>697230.576</v>
      </c>
      <c r="O197" s="112">
        <f t="shared" si="49"/>
        <v>34076.447999999997</v>
      </c>
      <c r="P197" s="18">
        <f t="shared" si="30"/>
        <v>132.19999999999982</v>
      </c>
      <c r="Q197" s="18">
        <f t="shared" si="31"/>
        <v>131.23499999999967</v>
      </c>
      <c r="R197" s="18">
        <f t="shared" si="32"/>
        <v>61.236666666666224</v>
      </c>
      <c r="S197" s="18">
        <f t="shared" si="33"/>
        <v>60.909999999999854</v>
      </c>
      <c r="T197" s="31">
        <f t="shared" si="34"/>
        <v>7026.1620341333328</v>
      </c>
      <c r="U197" s="18">
        <f t="shared" si="35"/>
        <v>-642.70666666666511</v>
      </c>
      <c r="V197" s="18">
        <f t="shared" si="36"/>
        <v>976.96100000001024</v>
      </c>
      <c r="W197" s="18">
        <f t="shared" si="37"/>
        <v>99.324333333330287</v>
      </c>
      <c r="AD197" s="88"/>
      <c r="AE197" s="89"/>
      <c r="AF197" s="89"/>
      <c r="AG197" s="89"/>
      <c r="AH197" s="89"/>
      <c r="AI197" s="90"/>
      <c r="AJ197" s="90"/>
    </row>
    <row r="198" spans="1:36" ht="13.15" customHeight="1" x14ac:dyDescent="0.2">
      <c r="A198" s="113">
        <v>45717</v>
      </c>
      <c r="B198" s="87">
        <f t="shared" si="39"/>
        <v>2025</v>
      </c>
      <c r="C198" s="87" t="str">
        <f t="shared" si="29"/>
        <v>Q1</v>
      </c>
      <c r="D198" s="112">
        <f t="shared" si="47"/>
        <v>8083.4149999999991</v>
      </c>
      <c r="E198" s="112">
        <f t="shared" si="47"/>
        <v>8002.081666666666</v>
      </c>
      <c r="F198" s="112">
        <f t="shared" si="47"/>
        <v>3744.3833333333332</v>
      </c>
      <c r="G198" s="112">
        <f t="shared" si="47"/>
        <v>3714.4933333333329</v>
      </c>
      <c r="H198" s="112">
        <f t="shared" si="47"/>
        <v>428.52499999999998</v>
      </c>
      <c r="I198" s="112">
        <f t="shared" si="47"/>
        <v>426.79666666666668</v>
      </c>
      <c r="J198" s="112">
        <f t="shared" si="48"/>
        <v>885296.41630079993</v>
      </c>
      <c r="K198" s="112">
        <f t="shared" si="49"/>
        <v>694310.696016</v>
      </c>
      <c r="L198" s="112">
        <f t="shared" si="49"/>
        <v>76204.583112000008</v>
      </c>
      <c r="M198" s="112">
        <f t="shared" si="49"/>
        <v>881397.21600000001</v>
      </c>
      <c r="N198" s="112">
        <f t="shared" si="49"/>
        <v>697230.576</v>
      </c>
      <c r="O198" s="112">
        <f t="shared" si="49"/>
        <v>34076.447999999997</v>
      </c>
      <c r="P198" s="18">
        <f t="shared" si="30"/>
        <v>132.51499999999942</v>
      </c>
      <c r="Q198" s="18">
        <f t="shared" si="31"/>
        <v>131.18166666666639</v>
      </c>
      <c r="R198" s="18">
        <f t="shared" si="32"/>
        <v>61.383333333333212</v>
      </c>
      <c r="S198" s="18">
        <f t="shared" si="33"/>
        <v>60.893333333332976</v>
      </c>
      <c r="T198" s="31">
        <f t="shared" si="34"/>
        <v>7026.1620341333328</v>
      </c>
      <c r="U198" s="18">
        <f t="shared" si="35"/>
        <v>-642.70666666666511</v>
      </c>
      <c r="V198" s="18">
        <f t="shared" si="36"/>
        <v>976.96100000001024</v>
      </c>
      <c r="W198" s="18">
        <f t="shared" si="37"/>
        <v>99.324333333330287</v>
      </c>
      <c r="AD198" s="88"/>
      <c r="AE198" s="89"/>
      <c r="AF198" s="89"/>
      <c r="AG198" s="89"/>
      <c r="AH198" s="89"/>
      <c r="AI198" s="90"/>
      <c r="AJ198" s="90"/>
    </row>
    <row r="199" spans="1:36" ht="13.15" customHeight="1" x14ac:dyDescent="0.2">
      <c r="A199" s="113">
        <v>45748</v>
      </c>
      <c r="B199" s="87">
        <f t="shared" si="39"/>
        <v>2025</v>
      </c>
      <c r="C199" s="87" t="str">
        <f t="shared" si="29"/>
        <v>Q2</v>
      </c>
      <c r="D199" s="112">
        <f t="shared" si="47"/>
        <v>8102.9349999999995</v>
      </c>
      <c r="E199" s="112">
        <f t="shared" si="47"/>
        <v>8046.9166666666661</v>
      </c>
      <c r="F199" s="112">
        <f t="shared" si="47"/>
        <v>3760.4466666666667</v>
      </c>
      <c r="G199" s="112">
        <f t="shared" si="47"/>
        <v>3740.5199999999995</v>
      </c>
      <c r="H199" s="112">
        <f t="shared" si="47"/>
        <v>431.57499999999999</v>
      </c>
      <c r="I199" s="112">
        <f t="shared" si="47"/>
        <v>428.42333333333329</v>
      </c>
      <c r="J199" s="112">
        <f t="shared" si="48"/>
        <v>885296.41630079993</v>
      </c>
      <c r="K199" s="112">
        <f t="shared" si="49"/>
        <v>694310.696016</v>
      </c>
      <c r="L199" s="112">
        <f t="shared" si="49"/>
        <v>76204.583112000008</v>
      </c>
      <c r="M199" s="112">
        <f t="shared" si="49"/>
        <v>884152.08</v>
      </c>
      <c r="N199" s="112">
        <f t="shared" si="49"/>
        <v>701062.99199999997</v>
      </c>
      <c r="O199" s="112">
        <f t="shared" si="49"/>
        <v>34330.464</v>
      </c>
      <c r="P199" s="18">
        <f t="shared" si="30"/>
        <v>132.83499999999913</v>
      </c>
      <c r="Q199" s="18">
        <f t="shared" si="31"/>
        <v>131.91666666666606</v>
      </c>
      <c r="R199" s="18">
        <f t="shared" si="32"/>
        <v>61.646666666666533</v>
      </c>
      <c r="S199" s="18">
        <f t="shared" si="33"/>
        <v>61.319999999999709</v>
      </c>
      <c r="T199" s="31">
        <f t="shared" si="34"/>
        <v>7026.1620341333328</v>
      </c>
      <c r="U199" s="18">
        <f t="shared" si="35"/>
        <v>2754.8639999999432</v>
      </c>
      <c r="V199" s="18">
        <f t="shared" si="36"/>
        <v>3832.4159999999683</v>
      </c>
      <c r="W199" s="18">
        <f t="shared" si="37"/>
        <v>254.01600000000326</v>
      </c>
      <c r="AD199" s="88"/>
      <c r="AE199" s="89"/>
      <c r="AF199" s="89"/>
      <c r="AG199" s="89"/>
      <c r="AH199" s="89"/>
      <c r="AI199" s="90"/>
      <c r="AJ199" s="90"/>
    </row>
    <row r="200" spans="1:36" ht="13.15" customHeight="1" x14ac:dyDescent="0.2">
      <c r="A200" s="113">
        <v>45778</v>
      </c>
      <c r="B200" s="87">
        <f t="shared" si="39"/>
        <v>2025</v>
      </c>
      <c r="C200" s="87" t="str">
        <f t="shared" si="29"/>
        <v>Q2</v>
      </c>
      <c r="D200" s="112">
        <f t="shared" si="47"/>
        <v>8137.0949999999993</v>
      </c>
      <c r="E200" s="112">
        <f t="shared" si="47"/>
        <v>8133.13</v>
      </c>
      <c r="F200" s="112">
        <f t="shared" si="47"/>
        <v>3781.8983333333331</v>
      </c>
      <c r="G200" s="112">
        <f t="shared" si="47"/>
        <v>3780.8816666666667</v>
      </c>
      <c r="H200" s="112">
        <f t="shared" si="47"/>
        <v>434.01499999999993</v>
      </c>
      <c r="I200" s="112">
        <f t="shared" si="47"/>
        <v>431.37166666666667</v>
      </c>
      <c r="J200" s="112">
        <f t="shared" si="48"/>
        <v>885296.41630079993</v>
      </c>
      <c r="K200" s="112">
        <f t="shared" si="49"/>
        <v>694310.696016</v>
      </c>
      <c r="L200" s="112">
        <f t="shared" si="49"/>
        <v>76204.583112000008</v>
      </c>
      <c r="M200" s="112">
        <f t="shared" si="49"/>
        <v>884152.08</v>
      </c>
      <c r="N200" s="112">
        <f t="shared" si="49"/>
        <v>701062.99199999997</v>
      </c>
      <c r="O200" s="112">
        <f t="shared" si="49"/>
        <v>34330.464</v>
      </c>
      <c r="P200" s="18">
        <f t="shared" si="30"/>
        <v>133.39499999999953</v>
      </c>
      <c r="Q200" s="18">
        <f t="shared" si="31"/>
        <v>133.32999999999993</v>
      </c>
      <c r="R200" s="18">
        <f t="shared" si="32"/>
        <v>61.998333333332994</v>
      </c>
      <c r="S200" s="18">
        <f t="shared" si="33"/>
        <v>61.98166666666657</v>
      </c>
      <c r="T200" s="31">
        <f t="shared" si="34"/>
        <v>7026.1620341333328</v>
      </c>
      <c r="U200" s="18">
        <f t="shared" si="35"/>
        <v>2754.8639999999432</v>
      </c>
      <c r="V200" s="18">
        <f t="shared" si="36"/>
        <v>3832.4159999999683</v>
      </c>
      <c r="W200" s="18">
        <f t="shared" si="37"/>
        <v>254.01600000000326</v>
      </c>
      <c r="AD200" s="88"/>
      <c r="AE200" s="89"/>
      <c r="AF200" s="89"/>
      <c r="AG200" s="89"/>
      <c r="AH200" s="89"/>
      <c r="AI200" s="90"/>
      <c r="AJ200" s="90"/>
    </row>
    <row r="201" spans="1:36" ht="13.15" customHeight="1" x14ac:dyDescent="0.2">
      <c r="A201" s="113">
        <v>45809</v>
      </c>
      <c r="B201" s="87">
        <f t="shared" si="39"/>
        <v>2025</v>
      </c>
      <c r="C201" s="87" t="str">
        <f t="shared" si="29"/>
        <v>Q2</v>
      </c>
      <c r="D201" s="112">
        <f t="shared" si="47"/>
        <v>8165.663333333333</v>
      </c>
      <c r="E201" s="112">
        <f t="shared" si="47"/>
        <v>8227.375</v>
      </c>
      <c r="F201" s="112">
        <f t="shared" si="47"/>
        <v>3794.5050000000001</v>
      </c>
      <c r="G201" s="112">
        <f t="shared" si="47"/>
        <v>3823.1749999999997</v>
      </c>
      <c r="H201" s="112">
        <f t="shared" si="47"/>
        <v>434.93</v>
      </c>
      <c r="I201" s="112">
        <f t="shared" si="47"/>
        <v>434.21833333333331</v>
      </c>
      <c r="J201" s="112">
        <f t="shared" si="48"/>
        <v>885296.41630079993</v>
      </c>
      <c r="K201" s="112">
        <f t="shared" si="49"/>
        <v>694310.696016</v>
      </c>
      <c r="L201" s="112">
        <f t="shared" si="49"/>
        <v>76204.583112000008</v>
      </c>
      <c r="M201" s="112">
        <f t="shared" si="49"/>
        <v>884152.08</v>
      </c>
      <c r="N201" s="112">
        <f t="shared" si="49"/>
        <v>701062.99199999997</v>
      </c>
      <c r="O201" s="112">
        <f t="shared" si="49"/>
        <v>34330.464</v>
      </c>
      <c r="P201" s="18">
        <f t="shared" si="30"/>
        <v>133.86333333333278</v>
      </c>
      <c r="Q201" s="18">
        <f t="shared" si="31"/>
        <v>134.875</v>
      </c>
      <c r="R201" s="18">
        <f t="shared" si="32"/>
        <v>62.204999999999927</v>
      </c>
      <c r="S201" s="18">
        <f t="shared" si="33"/>
        <v>62.674999999999727</v>
      </c>
      <c r="T201" s="31">
        <f t="shared" si="34"/>
        <v>7026.1620341333328</v>
      </c>
      <c r="U201" s="18">
        <f t="shared" si="35"/>
        <v>2754.8639999999432</v>
      </c>
      <c r="V201" s="18">
        <f t="shared" si="36"/>
        <v>3832.4159999999683</v>
      </c>
      <c r="W201" s="18">
        <f t="shared" si="37"/>
        <v>254.01600000000326</v>
      </c>
      <c r="AD201" s="88"/>
      <c r="AE201" s="89"/>
      <c r="AF201" s="89"/>
      <c r="AG201" s="89"/>
      <c r="AH201" s="89"/>
      <c r="AI201" s="90"/>
      <c r="AJ201" s="90"/>
    </row>
    <row r="202" spans="1:36" ht="13.15" customHeight="1" x14ac:dyDescent="0.2">
      <c r="A202" s="113">
        <v>45839</v>
      </c>
      <c r="B202" s="87">
        <f t="shared" si="39"/>
        <v>2025</v>
      </c>
      <c r="C202" s="87" t="str">
        <f t="shared" si="29"/>
        <v>Q3</v>
      </c>
      <c r="D202" s="112">
        <f t="shared" si="47"/>
        <v>8193.3166666666657</v>
      </c>
      <c r="E202" s="112">
        <f t="shared" si="47"/>
        <v>8285.2233333333334</v>
      </c>
      <c r="F202" s="112">
        <f t="shared" si="47"/>
        <v>3805.5866666666661</v>
      </c>
      <c r="G202" s="112">
        <f t="shared" si="47"/>
        <v>3853.5733333333333</v>
      </c>
      <c r="H202" s="112">
        <f t="shared" si="47"/>
        <v>433.30333333333328</v>
      </c>
      <c r="I202" s="112">
        <f t="shared" si="47"/>
        <v>433.5066666666666</v>
      </c>
      <c r="J202" s="112">
        <f t="shared" si="48"/>
        <v>885296.41630079993</v>
      </c>
      <c r="K202" s="112">
        <f t="shared" si="49"/>
        <v>694310.696016</v>
      </c>
      <c r="L202" s="112">
        <f t="shared" si="49"/>
        <v>76204.583112000008</v>
      </c>
      <c r="M202" s="112">
        <f t="shared" si="49"/>
        <v>884887.92</v>
      </c>
      <c r="N202" s="112">
        <f t="shared" si="49"/>
        <v>703929.74399999995</v>
      </c>
      <c r="O202" s="112">
        <f t="shared" si="49"/>
        <v>34166.160000000003</v>
      </c>
      <c r="P202" s="18">
        <f t="shared" si="30"/>
        <v>134.3166666666657</v>
      </c>
      <c r="Q202" s="18">
        <f t="shared" si="31"/>
        <v>135.82333333333372</v>
      </c>
      <c r="R202" s="18">
        <f t="shared" si="32"/>
        <v>62.386666666666315</v>
      </c>
      <c r="S202" s="18">
        <f t="shared" si="33"/>
        <v>63.173333333333176</v>
      </c>
      <c r="T202" s="31">
        <f t="shared" si="34"/>
        <v>7026.1620341333328</v>
      </c>
      <c r="U202" s="18">
        <f t="shared" si="35"/>
        <v>735.84000000008382</v>
      </c>
      <c r="V202" s="18">
        <f t="shared" si="36"/>
        <v>2866.7519999999786</v>
      </c>
      <c r="W202" s="18">
        <f t="shared" si="37"/>
        <v>-164.30399999999645</v>
      </c>
      <c r="AD202" s="88"/>
      <c r="AE202" s="89"/>
      <c r="AF202" s="89"/>
      <c r="AG202" s="89"/>
      <c r="AH202" s="89"/>
      <c r="AI202" s="90"/>
      <c r="AJ202" s="90"/>
    </row>
    <row r="203" spans="1:36" ht="13.15" customHeight="1" x14ac:dyDescent="0.2">
      <c r="A203" s="113">
        <v>45870</v>
      </c>
      <c r="B203" s="87">
        <f t="shared" si="39"/>
        <v>2025</v>
      </c>
      <c r="C203" s="87" t="str">
        <f t="shared" si="29"/>
        <v>Q3</v>
      </c>
      <c r="D203" s="112">
        <f t="shared" si="47"/>
        <v>8201.3483333333334</v>
      </c>
      <c r="E203" s="112">
        <f t="shared" si="47"/>
        <v>8282.9866666666658</v>
      </c>
      <c r="F203" s="112">
        <f t="shared" si="47"/>
        <v>3808.1283333333331</v>
      </c>
      <c r="G203" s="112">
        <f t="shared" si="47"/>
        <v>3851.4383333333335</v>
      </c>
      <c r="H203" s="112">
        <f t="shared" si="47"/>
        <v>433.30333333333328</v>
      </c>
      <c r="I203" s="112">
        <f t="shared" si="47"/>
        <v>434.21833333333331</v>
      </c>
      <c r="J203" s="112">
        <f t="shared" si="48"/>
        <v>885296.41630079993</v>
      </c>
      <c r="K203" s="112">
        <f t="shared" si="49"/>
        <v>694310.696016</v>
      </c>
      <c r="L203" s="112">
        <f t="shared" si="49"/>
        <v>76204.583112000008</v>
      </c>
      <c r="M203" s="112">
        <f t="shared" si="49"/>
        <v>884887.92</v>
      </c>
      <c r="N203" s="112">
        <f t="shared" si="49"/>
        <v>703929.74399999995</v>
      </c>
      <c r="O203" s="112">
        <f t="shared" si="49"/>
        <v>34166.160000000003</v>
      </c>
      <c r="P203" s="18">
        <f t="shared" si="30"/>
        <v>134.44833333333372</v>
      </c>
      <c r="Q203" s="18">
        <f t="shared" si="31"/>
        <v>135.78666666666595</v>
      </c>
      <c r="R203" s="18">
        <f t="shared" si="32"/>
        <v>62.428333333333285</v>
      </c>
      <c r="S203" s="18">
        <f t="shared" si="33"/>
        <v>63.138333333333321</v>
      </c>
      <c r="T203" s="31">
        <f t="shared" si="34"/>
        <v>7026.1620341333328</v>
      </c>
      <c r="U203" s="18">
        <f t="shared" si="35"/>
        <v>735.84000000008382</v>
      </c>
      <c r="V203" s="18">
        <f t="shared" si="36"/>
        <v>2866.7519999999786</v>
      </c>
      <c r="W203" s="18">
        <f t="shared" si="37"/>
        <v>-164.30399999999645</v>
      </c>
      <c r="AD203" s="88"/>
      <c r="AE203" s="89"/>
      <c r="AF203" s="89"/>
      <c r="AG203" s="89"/>
      <c r="AH203" s="89"/>
      <c r="AI203" s="90"/>
      <c r="AJ203" s="90"/>
    </row>
    <row r="204" spans="1:36" ht="13.15" customHeight="1" x14ac:dyDescent="0.2">
      <c r="A204" s="113">
        <v>45901</v>
      </c>
      <c r="B204" s="87">
        <f t="shared" si="39"/>
        <v>2025</v>
      </c>
      <c r="C204" s="87" t="str">
        <f t="shared" si="29"/>
        <v>Q3</v>
      </c>
      <c r="D204" s="112">
        <f t="shared" si="47"/>
        <v>8220.7666666666664</v>
      </c>
      <c r="E204" s="112">
        <f t="shared" si="47"/>
        <v>8258.9933333333338</v>
      </c>
      <c r="F204" s="112">
        <f t="shared" si="47"/>
        <v>3816.7699999999995</v>
      </c>
      <c r="G204" s="112">
        <f t="shared" si="47"/>
        <v>3836.8999999999996</v>
      </c>
      <c r="H204" s="112">
        <f t="shared" si="47"/>
        <v>431.98166666666663</v>
      </c>
      <c r="I204" s="112">
        <f t="shared" si="47"/>
        <v>432.69333333333333</v>
      </c>
      <c r="J204" s="112">
        <f t="shared" si="48"/>
        <v>885296.41630079993</v>
      </c>
      <c r="K204" s="112">
        <f t="shared" si="49"/>
        <v>694310.696016</v>
      </c>
      <c r="L204" s="112">
        <f t="shared" si="49"/>
        <v>76204.583112000008</v>
      </c>
      <c r="M204" s="112">
        <f t="shared" si="49"/>
        <v>884887.92</v>
      </c>
      <c r="N204" s="112">
        <f t="shared" si="49"/>
        <v>703929.74399999995</v>
      </c>
      <c r="O204" s="112">
        <f t="shared" si="49"/>
        <v>34166.160000000003</v>
      </c>
      <c r="P204" s="18">
        <f>D204-D192</f>
        <v>134.76666666666642</v>
      </c>
      <c r="Q204" s="18">
        <f t="shared" si="31"/>
        <v>135.39333333333343</v>
      </c>
      <c r="R204" s="18">
        <f t="shared" si="32"/>
        <v>62.569999999999709</v>
      </c>
      <c r="S204" s="18">
        <f t="shared" si="33"/>
        <v>62.899999999999636</v>
      </c>
      <c r="T204" s="31">
        <f t="shared" si="34"/>
        <v>7026.1620341333328</v>
      </c>
      <c r="U204" s="18">
        <f t="shared" si="35"/>
        <v>735.84000000008382</v>
      </c>
      <c r="V204" s="18">
        <f t="shared" si="36"/>
        <v>2866.7519999999786</v>
      </c>
      <c r="W204" s="18">
        <f t="shared" si="37"/>
        <v>-164.30399999999645</v>
      </c>
      <c r="AD204" s="88"/>
      <c r="AE204" s="89"/>
      <c r="AF204" s="89"/>
      <c r="AG204" s="89"/>
      <c r="AH204" s="89"/>
      <c r="AI204" s="90"/>
      <c r="AJ204" s="90"/>
    </row>
    <row r="205" spans="1:36" ht="13.15" customHeight="1" x14ac:dyDescent="0.2">
      <c r="A205" s="113">
        <v>45931</v>
      </c>
      <c r="B205" s="87">
        <f t="shared" si="39"/>
        <v>2025</v>
      </c>
      <c r="C205" s="87" t="str">
        <f t="shared" si="29"/>
        <v>Q4</v>
      </c>
      <c r="D205" s="112">
        <f t="shared" si="47"/>
        <v>8228.9</v>
      </c>
      <c r="E205" s="112">
        <f t="shared" si="47"/>
        <v>8244.6583333333328</v>
      </c>
      <c r="F205" s="112">
        <f t="shared" si="47"/>
        <v>3825.208333333333</v>
      </c>
      <c r="G205" s="112">
        <f t="shared" si="47"/>
        <v>3823.6833333333329</v>
      </c>
      <c r="H205" s="112">
        <f t="shared" si="47"/>
        <v>432.28666666666663</v>
      </c>
      <c r="I205" s="112">
        <f t="shared" si="47"/>
        <v>435.23500000000001</v>
      </c>
      <c r="J205" s="112">
        <f t="shared" si="48"/>
        <v>885296.41630079993</v>
      </c>
      <c r="K205" s="112">
        <f t="shared" si="49"/>
        <v>694310.696016</v>
      </c>
      <c r="L205" s="112">
        <f t="shared" si="49"/>
        <v>76204.583112000008</v>
      </c>
      <c r="M205" s="112">
        <f t="shared" si="49"/>
        <v>889096.24204799999</v>
      </c>
      <c r="N205" s="112">
        <f t="shared" si="49"/>
        <v>701823.64391999994</v>
      </c>
      <c r="O205" s="112">
        <f t="shared" si="49"/>
        <v>34248.940655999999</v>
      </c>
      <c r="P205" s="18">
        <f t="shared" si="30"/>
        <v>134.89999999999964</v>
      </c>
      <c r="Q205" s="18">
        <f t="shared" si="31"/>
        <v>135.15833333333285</v>
      </c>
      <c r="R205" s="18">
        <f t="shared" si="32"/>
        <v>62.70833333333303</v>
      </c>
      <c r="S205" s="18">
        <f t="shared" si="33"/>
        <v>62.683333333332939</v>
      </c>
      <c r="T205" s="31">
        <f t="shared" si="34"/>
        <v>7026.1620341333328</v>
      </c>
      <c r="U205" s="18">
        <f t="shared" si="35"/>
        <v>4208.3220479999436</v>
      </c>
      <c r="V205" s="18">
        <f t="shared" si="36"/>
        <v>-2106.1000800000038</v>
      </c>
      <c r="W205" s="18">
        <f t="shared" si="37"/>
        <v>82.780655999995361</v>
      </c>
      <c r="AD205" s="88"/>
      <c r="AE205" s="89"/>
      <c r="AF205" s="89"/>
      <c r="AG205" s="89"/>
      <c r="AH205" s="89"/>
      <c r="AI205" s="90"/>
      <c r="AJ205" s="90"/>
    </row>
    <row r="206" spans="1:36" ht="13.15" customHeight="1" x14ac:dyDescent="0.2">
      <c r="A206" s="113">
        <v>45962</v>
      </c>
      <c r="B206" s="87">
        <f t="shared" si="39"/>
        <v>2025</v>
      </c>
      <c r="C206" s="87" t="str">
        <f t="shared" si="29"/>
        <v>Q4</v>
      </c>
      <c r="D206" s="112">
        <f t="shared" si="47"/>
        <v>8237.8466666666664</v>
      </c>
      <c r="E206" s="112">
        <f t="shared" si="47"/>
        <v>8236.2199999999993</v>
      </c>
      <c r="F206" s="112">
        <f t="shared" si="47"/>
        <v>3828.3599999999997</v>
      </c>
      <c r="G206" s="112">
        <f t="shared" si="47"/>
        <v>3816.7699999999995</v>
      </c>
      <c r="H206" s="112">
        <f t="shared" si="47"/>
        <v>429.13499999999999</v>
      </c>
      <c r="I206" s="112">
        <f t="shared" si="47"/>
        <v>434.42166666666668</v>
      </c>
      <c r="J206" s="112">
        <f t="shared" si="48"/>
        <v>885296.41630079993</v>
      </c>
      <c r="K206" s="112">
        <f t="shared" si="49"/>
        <v>694310.696016</v>
      </c>
      <c r="L206" s="112">
        <f t="shared" si="49"/>
        <v>76204.583112000008</v>
      </c>
      <c r="M206" s="112">
        <f t="shared" si="49"/>
        <v>889096.24204799999</v>
      </c>
      <c r="N206" s="112">
        <f t="shared" si="49"/>
        <v>701823.64391999994</v>
      </c>
      <c r="O206" s="112">
        <f t="shared" si="49"/>
        <v>34248.940655999999</v>
      </c>
      <c r="P206" s="18">
        <f t="shared" si="30"/>
        <v>135.04666666666617</v>
      </c>
      <c r="Q206" s="18">
        <f>E206-E194</f>
        <v>135.01999999999953</v>
      </c>
      <c r="R206" s="18">
        <f t="shared" si="32"/>
        <v>62.759999999999764</v>
      </c>
      <c r="S206" s="18">
        <f t="shared" si="33"/>
        <v>62.569999999999709</v>
      </c>
      <c r="T206" s="31">
        <f t="shared" si="34"/>
        <v>7026.1620341333328</v>
      </c>
      <c r="U206" s="18">
        <f t="shared" si="35"/>
        <v>4208.3220479999436</v>
      </c>
      <c r="V206" s="18">
        <f t="shared" si="36"/>
        <v>-2106.1000800000038</v>
      </c>
      <c r="W206" s="18">
        <f t="shared" si="37"/>
        <v>82.780655999995361</v>
      </c>
      <c r="AD206" s="88"/>
      <c r="AE206" s="89"/>
      <c r="AF206" s="89"/>
      <c r="AG206" s="89"/>
      <c r="AH206" s="89"/>
      <c r="AI206" s="90"/>
      <c r="AJ206" s="90"/>
    </row>
    <row r="207" spans="1:36" ht="13.15" customHeight="1" x14ac:dyDescent="0.2">
      <c r="A207" s="113">
        <v>45992</v>
      </c>
      <c r="B207" s="87">
        <f t="shared" si="39"/>
        <v>2025</v>
      </c>
      <c r="C207" s="87" t="str">
        <f t="shared" si="29"/>
        <v>Q4</v>
      </c>
      <c r="D207" s="112">
        <f t="shared" si="47"/>
        <v>8240.1849999999995</v>
      </c>
      <c r="E207" s="112">
        <f t="shared" si="47"/>
        <v>8232.2549999999992</v>
      </c>
      <c r="F207" s="112">
        <f t="shared" si="47"/>
        <v>3838.5266666666662</v>
      </c>
      <c r="G207" s="112">
        <f t="shared" si="47"/>
        <v>3830.0883333333331</v>
      </c>
      <c r="H207" s="112">
        <f t="shared" si="47"/>
        <v>424.05166666666668</v>
      </c>
      <c r="I207" s="112">
        <f t="shared" si="47"/>
        <v>429.84666666666664</v>
      </c>
      <c r="J207" s="112">
        <f t="shared" si="48"/>
        <v>885296.41630079993</v>
      </c>
      <c r="K207" s="112">
        <f t="shared" si="49"/>
        <v>694310.696016</v>
      </c>
      <c r="L207" s="112">
        <f t="shared" si="49"/>
        <v>76204.583112000008</v>
      </c>
      <c r="M207" s="112">
        <f t="shared" si="49"/>
        <v>889096.24204799999</v>
      </c>
      <c r="N207" s="112">
        <f t="shared" si="49"/>
        <v>701823.64391999994</v>
      </c>
      <c r="O207" s="112">
        <f t="shared" si="49"/>
        <v>34248.940655999999</v>
      </c>
      <c r="P207" s="18">
        <f t="shared" si="30"/>
        <v>135.08499999999913</v>
      </c>
      <c r="Q207" s="18">
        <f t="shared" si="31"/>
        <v>134.95499999999902</v>
      </c>
      <c r="R207" s="18">
        <f t="shared" si="32"/>
        <v>62.926666666666279</v>
      </c>
      <c r="S207" s="18">
        <f t="shared" si="33"/>
        <v>62.788333333332957</v>
      </c>
      <c r="T207" s="31">
        <f t="shared" si="34"/>
        <v>7026.1620341333328</v>
      </c>
      <c r="U207" s="18">
        <f t="shared" si="35"/>
        <v>4208.3220479999436</v>
      </c>
      <c r="V207" s="18">
        <f t="shared" si="36"/>
        <v>-2106.1000800000038</v>
      </c>
      <c r="W207" s="18">
        <f t="shared" si="37"/>
        <v>82.780655999995361</v>
      </c>
      <c r="AD207" s="88"/>
      <c r="AE207" s="89"/>
      <c r="AF207" s="89"/>
      <c r="AG207" s="89"/>
      <c r="AH207" s="89"/>
      <c r="AI207" s="90"/>
      <c r="AJ207" s="90"/>
    </row>
    <row r="208" spans="1:36" ht="13.15" customHeight="1" x14ac:dyDescent="0.2">
      <c r="A208" s="113">
        <v>46023</v>
      </c>
      <c r="B208" s="87">
        <f t="shared" si="39"/>
        <v>2026</v>
      </c>
      <c r="C208" s="87" t="str">
        <f t="shared" si="29"/>
        <v>Q1</v>
      </c>
      <c r="D208" s="112">
        <f>D196*(1+$AD$17)</f>
        <v>8155.1674699999985</v>
      </c>
      <c r="E208" s="112">
        <f t="shared" ref="E208:I208" si="50">E196*(1+$AD$17)</f>
        <v>8125.0514649999986</v>
      </c>
      <c r="F208" s="112">
        <f t="shared" si="50"/>
        <v>3776.5264699999989</v>
      </c>
      <c r="G208" s="112">
        <f t="shared" si="50"/>
        <v>3762.650494999999</v>
      </c>
      <c r="H208" s="112">
        <f t="shared" si="50"/>
        <v>429.12737499999992</v>
      </c>
      <c r="I208" s="112">
        <f t="shared" si="50"/>
        <v>432.41649499999994</v>
      </c>
      <c r="J208" s="112">
        <f t="shared" ref="J208:O208" si="51">J196*(1+$AD$11)</f>
        <v>892378.78763120633</v>
      </c>
      <c r="K208" s="112">
        <f t="shared" si="51"/>
        <v>699865.18158412806</v>
      </c>
      <c r="L208" s="112">
        <f t="shared" si="51"/>
        <v>76814.219776896003</v>
      </c>
      <c r="M208" s="112">
        <f t="shared" si="51"/>
        <v>888448.393728</v>
      </c>
      <c r="N208" s="112">
        <f t="shared" si="51"/>
        <v>702808.42060800001</v>
      </c>
      <c r="O208" s="112">
        <f t="shared" si="51"/>
        <v>34349.059583999995</v>
      </c>
      <c r="P208" s="18">
        <f t="shared" si="30"/>
        <v>88.730803333332915</v>
      </c>
      <c r="Q208" s="18">
        <f t="shared" si="31"/>
        <v>88.403131666666013</v>
      </c>
      <c r="R208" s="18">
        <f t="shared" si="32"/>
        <v>41.089803333332839</v>
      </c>
      <c r="S208" s="18">
        <f t="shared" si="33"/>
        <v>40.938828333332822</v>
      </c>
      <c r="T208" s="31">
        <f t="shared" si="34"/>
        <v>7082.3713304064004</v>
      </c>
      <c r="U208" s="18">
        <f t="shared" si="35"/>
        <v>-647.84831999999005</v>
      </c>
      <c r="V208" s="18">
        <f t="shared" si="36"/>
        <v>984.77668800007086</v>
      </c>
      <c r="W208" s="18">
        <f t="shared" si="37"/>
        <v>100.11892799999623</v>
      </c>
      <c r="AD208" s="88"/>
      <c r="AE208" s="89"/>
      <c r="AF208" s="89"/>
      <c r="AG208" s="89"/>
      <c r="AH208" s="89"/>
      <c r="AI208" s="90"/>
      <c r="AJ208" s="90"/>
    </row>
    <row r="209" spans="1:36" ht="13.15" customHeight="1" x14ac:dyDescent="0.2">
      <c r="A209" s="113">
        <v>46054</v>
      </c>
      <c r="B209" s="87">
        <f t="shared" si="39"/>
        <v>2026</v>
      </c>
      <c r="C209" s="87" t="str">
        <f t="shared" ref="C209:C219" si="52">C197</f>
        <v>Q1</v>
      </c>
      <c r="D209" s="112">
        <f t="shared" ref="D209:D219" si="53">D197*(1+$AD$17)</f>
        <v>8152.9061999999994</v>
      </c>
      <c r="E209" s="112">
        <f t="shared" ref="E209:I209" si="54">E197*(1+$AD$17)</f>
        <v>8093.3936849999991</v>
      </c>
      <c r="F209" s="112">
        <f t="shared" si="54"/>
        <v>3776.5264699999989</v>
      </c>
      <c r="G209" s="112">
        <f t="shared" si="54"/>
        <v>3756.3806099999993</v>
      </c>
      <c r="H209" s="112">
        <f t="shared" si="54"/>
        <v>429.33294499999994</v>
      </c>
      <c r="I209" s="112">
        <f t="shared" si="54"/>
        <v>430.56636499999991</v>
      </c>
      <c r="J209" s="112">
        <f t="shared" ref="J209:L219" si="55">J197*(1+$AD$11)</f>
        <v>892378.78763120633</v>
      </c>
      <c r="K209" s="112">
        <f t="shared" si="55"/>
        <v>699865.18158412806</v>
      </c>
      <c r="L209" s="112">
        <f t="shared" si="55"/>
        <v>76814.219776896003</v>
      </c>
      <c r="M209" s="112">
        <f t="shared" ref="M209:N209" si="56">M197*(1+$AD$11)</f>
        <v>888448.393728</v>
      </c>
      <c r="N209" s="112">
        <f t="shared" si="56"/>
        <v>702808.42060800001</v>
      </c>
      <c r="O209" s="112">
        <f t="shared" ref="O209" si="57">O197*(1+$AD$11)</f>
        <v>34349.059583999995</v>
      </c>
      <c r="P209" s="18">
        <f t="shared" ref="P209:P219" si="58">D209-D197</f>
        <v>88.706199999999626</v>
      </c>
      <c r="Q209" s="18">
        <f t="shared" ref="Q209:Q219" si="59">E209-E197</f>
        <v>88.058684999999059</v>
      </c>
      <c r="R209" s="18">
        <f t="shared" ref="R209:R219" si="60">F209-F197</f>
        <v>41.089803333332839</v>
      </c>
      <c r="S209" s="18">
        <f t="shared" ref="S209:S219" si="61">G209-G197</f>
        <v>40.870609999999488</v>
      </c>
      <c r="T209" s="31">
        <f t="shared" ref="T209:T219" si="62">J209-J197</f>
        <v>7082.3713304064004</v>
      </c>
      <c r="U209" s="18">
        <f t="shared" ref="U209:U219" si="63">M209-M206</f>
        <v>-647.84831999999005</v>
      </c>
      <c r="V209" s="18">
        <f t="shared" si="36"/>
        <v>984.77668800007086</v>
      </c>
      <c r="W209" s="18">
        <f t="shared" si="37"/>
        <v>100.11892799999623</v>
      </c>
      <c r="AD209" s="88"/>
      <c r="AE209" s="89"/>
      <c r="AF209" s="89"/>
      <c r="AG209" s="89"/>
      <c r="AH209" s="89"/>
      <c r="AI209" s="90"/>
      <c r="AJ209" s="90"/>
    </row>
    <row r="210" spans="1:36" ht="13.15" customHeight="1" x14ac:dyDescent="0.2">
      <c r="A210" s="113">
        <v>46082</v>
      </c>
      <c r="B210" s="87">
        <f t="shared" si="39"/>
        <v>2026</v>
      </c>
      <c r="C210" s="87" t="str">
        <f t="shared" si="52"/>
        <v>Q1</v>
      </c>
      <c r="D210" s="112">
        <f t="shared" si="53"/>
        <v>8172.3325649999979</v>
      </c>
      <c r="E210" s="112">
        <f t="shared" ref="E210:I210" si="64">E198*(1+$AD$17)</f>
        <v>8090.1045649999987</v>
      </c>
      <c r="F210" s="112">
        <f t="shared" si="64"/>
        <v>3785.5715499999997</v>
      </c>
      <c r="G210" s="112">
        <f t="shared" si="64"/>
        <v>3755.3527599999993</v>
      </c>
      <c r="H210" s="112">
        <f t="shared" si="64"/>
        <v>433.23877499999992</v>
      </c>
      <c r="I210" s="112">
        <f t="shared" si="64"/>
        <v>431.49142999999998</v>
      </c>
      <c r="J210" s="112">
        <f t="shared" si="55"/>
        <v>892378.78763120633</v>
      </c>
      <c r="K210" s="112">
        <f t="shared" si="55"/>
        <v>699865.18158412806</v>
      </c>
      <c r="L210" s="112">
        <f t="shared" si="55"/>
        <v>76814.219776896003</v>
      </c>
      <c r="M210" s="112">
        <f t="shared" ref="M210:N210" si="65">M198*(1+$AD$11)</f>
        <v>888448.393728</v>
      </c>
      <c r="N210" s="112">
        <f t="shared" si="65"/>
        <v>702808.42060800001</v>
      </c>
      <c r="O210" s="112">
        <f t="shared" ref="O210" si="66">O198*(1+$AD$11)</f>
        <v>34349.059583999995</v>
      </c>
      <c r="P210" s="18">
        <f t="shared" si="58"/>
        <v>88.917564999998831</v>
      </c>
      <c r="Q210" s="18">
        <f t="shared" si="59"/>
        <v>88.022898333332705</v>
      </c>
      <c r="R210" s="18">
        <f t="shared" si="60"/>
        <v>41.188216666666449</v>
      </c>
      <c r="S210" s="18">
        <f t="shared" si="61"/>
        <v>40.859426666666423</v>
      </c>
      <c r="T210" s="31">
        <f t="shared" si="62"/>
        <v>7082.3713304064004</v>
      </c>
      <c r="U210" s="18">
        <f t="shared" si="63"/>
        <v>-647.84831999999005</v>
      </c>
      <c r="V210" s="18">
        <f t="shared" si="36"/>
        <v>984.77668800007086</v>
      </c>
      <c r="W210" s="18">
        <f t="shared" si="37"/>
        <v>100.11892799999623</v>
      </c>
      <c r="AD210" s="88"/>
      <c r="AE210" s="89"/>
      <c r="AF210" s="89"/>
      <c r="AG210" s="89"/>
      <c r="AH210" s="89"/>
      <c r="AI210" s="90"/>
      <c r="AJ210" s="90"/>
    </row>
    <row r="211" spans="1:36" ht="13.15" customHeight="1" x14ac:dyDescent="0.2">
      <c r="A211" s="113">
        <v>46113</v>
      </c>
      <c r="B211" s="87">
        <f t="shared" ref="B211:B219" si="67">YEAR(A211)</f>
        <v>2026</v>
      </c>
      <c r="C211" s="87" t="str">
        <f t="shared" si="52"/>
        <v>Q2</v>
      </c>
      <c r="D211" s="112">
        <f t="shared" si="53"/>
        <v>8192.0672849999992</v>
      </c>
      <c r="E211" s="112">
        <f t="shared" ref="E211:I211" si="68">E199*(1+$AD$17)</f>
        <v>8135.4327499999981</v>
      </c>
      <c r="F211" s="112">
        <f t="shared" si="68"/>
        <v>3801.8115799999996</v>
      </c>
      <c r="G211" s="112">
        <f t="shared" si="68"/>
        <v>3781.6657199999991</v>
      </c>
      <c r="H211" s="112">
        <f t="shared" si="68"/>
        <v>436.32232499999992</v>
      </c>
      <c r="I211" s="112">
        <f t="shared" si="68"/>
        <v>433.13598999999994</v>
      </c>
      <c r="J211" s="112">
        <f t="shared" si="55"/>
        <v>892378.78763120633</v>
      </c>
      <c r="K211" s="112">
        <f t="shared" si="55"/>
        <v>699865.18158412806</v>
      </c>
      <c r="L211" s="112">
        <f t="shared" si="55"/>
        <v>76814.219776896003</v>
      </c>
      <c r="M211" s="112">
        <f t="shared" ref="M211:N211" si="69">M199*(1+$AD$11)</f>
        <v>891225.29663999996</v>
      </c>
      <c r="N211" s="112">
        <f t="shared" si="69"/>
        <v>706671.49593600002</v>
      </c>
      <c r="O211" s="112">
        <f t="shared" ref="O211" si="70">O199*(1+$AD$11)</f>
        <v>34605.107711999997</v>
      </c>
      <c r="P211" s="18">
        <f t="shared" si="58"/>
        <v>89.132284999999683</v>
      </c>
      <c r="Q211" s="18">
        <f t="shared" si="59"/>
        <v>88.516083333332062</v>
      </c>
      <c r="R211" s="18">
        <f t="shared" si="60"/>
        <v>41.364913333332879</v>
      </c>
      <c r="S211" s="18">
        <f t="shared" si="61"/>
        <v>41.145719999999528</v>
      </c>
      <c r="T211" s="31">
        <f t="shared" si="62"/>
        <v>7082.3713304064004</v>
      </c>
      <c r="U211" s="18">
        <f t="shared" si="63"/>
        <v>2776.9029119999614</v>
      </c>
      <c r="V211" s="18">
        <f t="shared" si="36"/>
        <v>3863.0753280000063</v>
      </c>
      <c r="W211" s="18">
        <f t="shared" si="37"/>
        <v>256.04812800000218</v>
      </c>
      <c r="AD211" s="88"/>
      <c r="AE211" s="89"/>
      <c r="AF211" s="89"/>
      <c r="AG211" s="89"/>
      <c r="AH211" s="89"/>
      <c r="AI211" s="90"/>
      <c r="AJ211" s="90"/>
    </row>
    <row r="212" spans="1:36" ht="13.15" customHeight="1" x14ac:dyDescent="0.2">
      <c r="A212" s="113">
        <v>46143</v>
      </c>
      <c r="B212" s="87">
        <f t="shared" si="67"/>
        <v>2026</v>
      </c>
      <c r="C212" s="87" t="str">
        <f t="shared" si="52"/>
        <v>Q2</v>
      </c>
      <c r="D212" s="112">
        <f t="shared" si="53"/>
        <v>8226.603044999998</v>
      </c>
      <c r="E212" s="112">
        <f t="shared" ref="E212:I212" si="71">E200*(1+$AD$17)</f>
        <v>8222.5944299999992</v>
      </c>
      <c r="F212" s="112">
        <f t="shared" si="71"/>
        <v>3823.4992149999994</v>
      </c>
      <c r="G212" s="112">
        <f t="shared" si="71"/>
        <v>3822.4713649999994</v>
      </c>
      <c r="H212" s="112">
        <f t="shared" si="71"/>
        <v>438.78916499999991</v>
      </c>
      <c r="I212" s="112">
        <f t="shared" si="71"/>
        <v>436.11675499999996</v>
      </c>
      <c r="J212" s="112">
        <f t="shared" si="55"/>
        <v>892378.78763120633</v>
      </c>
      <c r="K212" s="112">
        <f t="shared" si="55"/>
        <v>699865.18158412806</v>
      </c>
      <c r="L212" s="112">
        <f t="shared" si="55"/>
        <v>76814.219776896003</v>
      </c>
      <c r="M212" s="112">
        <f t="shared" ref="M212:N212" si="72">M200*(1+$AD$11)</f>
        <v>891225.29663999996</v>
      </c>
      <c r="N212" s="112">
        <f t="shared" si="72"/>
        <v>706671.49593600002</v>
      </c>
      <c r="O212" s="112">
        <f t="shared" ref="O212" si="73">O200*(1+$AD$11)</f>
        <v>34605.107711999997</v>
      </c>
      <c r="P212" s="18">
        <f t="shared" si="58"/>
        <v>89.508044999998674</v>
      </c>
      <c r="Q212" s="18">
        <f t="shared" si="59"/>
        <v>89.464429999999084</v>
      </c>
      <c r="R212" s="18">
        <f t="shared" si="60"/>
        <v>41.600881666666282</v>
      </c>
      <c r="S212" s="18">
        <f t="shared" si="61"/>
        <v>41.589698333332763</v>
      </c>
      <c r="T212" s="31">
        <f t="shared" si="62"/>
        <v>7082.3713304064004</v>
      </c>
      <c r="U212" s="18">
        <f t="shared" si="63"/>
        <v>2776.9029119999614</v>
      </c>
      <c r="V212" s="18">
        <f t="shared" si="36"/>
        <v>3863.0753280000063</v>
      </c>
      <c r="W212" s="18">
        <f t="shared" si="37"/>
        <v>256.04812800000218</v>
      </c>
      <c r="AD212" s="88"/>
      <c r="AE212" s="89"/>
      <c r="AF212" s="89"/>
      <c r="AG212" s="89"/>
      <c r="AH212" s="89"/>
      <c r="AI212" s="90"/>
      <c r="AJ212" s="90"/>
    </row>
    <row r="213" spans="1:36" ht="13.15" customHeight="1" x14ac:dyDescent="0.2">
      <c r="A213" s="113">
        <v>46174</v>
      </c>
      <c r="B213" s="87">
        <f t="shared" si="67"/>
        <v>2026</v>
      </c>
      <c r="C213" s="87" t="str">
        <f t="shared" si="52"/>
        <v>Q2</v>
      </c>
      <c r="D213" s="112">
        <f t="shared" si="53"/>
        <v>8255.4856299999992</v>
      </c>
      <c r="E213" s="112">
        <f t="shared" ref="E213:I213" si="74">E201*(1+$AD$17)</f>
        <v>8317.8761249999989</v>
      </c>
      <c r="F213" s="112">
        <f t="shared" si="74"/>
        <v>3836.2445549999998</v>
      </c>
      <c r="G213" s="112">
        <f t="shared" si="74"/>
        <v>3865.2299249999992</v>
      </c>
      <c r="H213" s="112">
        <f t="shared" si="74"/>
        <v>439.71422999999999</v>
      </c>
      <c r="I213" s="112">
        <f t="shared" si="74"/>
        <v>438.99473499999993</v>
      </c>
      <c r="J213" s="112">
        <f t="shared" si="55"/>
        <v>892378.78763120633</v>
      </c>
      <c r="K213" s="112">
        <f t="shared" si="55"/>
        <v>699865.18158412806</v>
      </c>
      <c r="L213" s="112">
        <f t="shared" si="55"/>
        <v>76814.219776896003</v>
      </c>
      <c r="M213" s="112">
        <f t="shared" ref="M213:N213" si="75">M201*(1+$AD$11)</f>
        <v>891225.29663999996</v>
      </c>
      <c r="N213" s="112">
        <f t="shared" si="75"/>
        <v>706671.49593600002</v>
      </c>
      <c r="O213" s="112">
        <f t="shared" ref="O213" si="76">O201*(1+$AD$11)</f>
        <v>34605.107711999997</v>
      </c>
      <c r="P213" s="18">
        <f t="shared" si="58"/>
        <v>89.822296666666261</v>
      </c>
      <c r="Q213" s="18">
        <f t="shared" si="59"/>
        <v>90.501124999998865</v>
      </c>
      <c r="R213" s="18">
        <f t="shared" si="60"/>
        <v>41.739554999999655</v>
      </c>
      <c r="S213" s="18">
        <f t="shared" si="61"/>
        <v>42.054924999999457</v>
      </c>
      <c r="T213" s="31">
        <f t="shared" si="62"/>
        <v>7082.3713304064004</v>
      </c>
      <c r="U213" s="18">
        <f t="shared" si="63"/>
        <v>2776.9029119999614</v>
      </c>
      <c r="V213" s="18">
        <f t="shared" si="36"/>
        <v>3863.0753280000063</v>
      </c>
      <c r="W213" s="18">
        <f t="shared" si="37"/>
        <v>256.04812800000218</v>
      </c>
      <c r="AD213" s="88"/>
      <c r="AE213" s="89"/>
      <c r="AF213" s="89"/>
      <c r="AG213" s="89"/>
      <c r="AH213" s="89"/>
      <c r="AI213" s="90"/>
      <c r="AJ213" s="90"/>
    </row>
    <row r="214" spans="1:36" ht="13.15" customHeight="1" x14ac:dyDescent="0.2">
      <c r="A214" s="113">
        <v>46204</v>
      </c>
      <c r="B214" s="87">
        <f t="shared" si="67"/>
        <v>2026</v>
      </c>
      <c r="C214" s="87" t="str">
        <f t="shared" si="52"/>
        <v>Q3</v>
      </c>
      <c r="D214" s="112">
        <f t="shared" si="53"/>
        <v>8283.4431499999973</v>
      </c>
      <c r="E214" s="112">
        <f t="shared" ref="E214:I214" si="77">E202*(1+$AD$17)</f>
        <v>8376.3607899999988</v>
      </c>
      <c r="F214" s="112">
        <f t="shared" si="77"/>
        <v>3847.4481199999991</v>
      </c>
      <c r="G214" s="112">
        <f t="shared" si="77"/>
        <v>3895.9626399999997</v>
      </c>
      <c r="H214" s="112">
        <f t="shared" si="77"/>
        <v>438.06966999999992</v>
      </c>
      <c r="I214" s="112">
        <f t="shared" si="77"/>
        <v>438.27523999999988</v>
      </c>
      <c r="J214" s="112">
        <f t="shared" si="55"/>
        <v>892378.78763120633</v>
      </c>
      <c r="K214" s="112">
        <f t="shared" si="55"/>
        <v>699865.18158412806</v>
      </c>
      <c r="L214" s="112">
        <f t="shared" si="55"/>
        <v>76814.219776896003</v>
      </c>
      <c r="M214" s="112">
        <f t="shared" ref="M214:N214" si="78">M202*(1+$AD$11)</f>
        <v>891967.02335999999</v>
      </c>
      <c r="N214" s="112">
        <f t="shared" si="78"/>
        <v>709561.1819519999</v>
      </c>
      <c r="O214" s="112">
        <f t="shared" ref="O214" si="79">O202*(1+$AD$11)</f>
        <v>34439.489280000002</v>
      </c>
      <c r="P214" s="18">
        <f t="shared" si="58"/>
        <v>90.126483333331635</v>
      </c>
      <c r="Q214" s="18">
        <f t="shared" si="59"/>
        <v>91.137456666665457</v>
      </c>
      <c r="R214" s="18">
        <f t="shared" si="60"/>
        <v>41.861453333332975</v>
      </c>
      <c r="S214" s="18">
        <f t="shared" si="61"/>
        <v>42.389306666666471</v>
      </c>
      <c r="T214" s="31">
        <f t="shared" si="62"/>
        <v>7082.3713304064004</v>
      </c>
      <c r="U214" s="18">
        <f>M214-M211</f>
        <v>741.72672000003513</v>
      </c>
      <c r="V214" s="18">
        <f t="shared" si="36"/>
        <v>2889.686015999876</v>
      </c>
      <c r="W214" s="18">
        <f t="shared" si="37"/>
        <v>-165.61843199999566</v>
      </c>
      <c r="AD214" s="88"/>
      <c r="AE214" s="89"/>
      <c r="AF214" s="89"/>
      <c r="AG214" s="89"/>
      <c r="AH214" s="89"/>
      <c r="AI214" s="90"/>
      <c r="AJ214" s="90"/>
    </row>
    <row r="215" spans="1:36" ht="13.15" customHeight="1" x14ac:dyDescent="0.2">
      <c r="A215" s="113">
        <v>46235</v>
      </c>
      <c r="B215" s="87">
        <f t="shared" si="67"/>
        <v>2026</v>
      </c>
      <c r="C215" s="87" t="str">
        <f t="shared" si="52"/>
        <v>Q3</v>
      </c>
      <c r="D215" s="112">
        <f t="shared" si="53"/>
        <v>8291.5631649999996</v>
      </c>
      <c r="E215" s="112">
        <f t="shared" ref="E215:I215" si="80">E203*(1+$AD$17)</f>
        <v>8374.0995199999979</v>
      </c>
      <c r="F215" s="112">
        <f t="shared" si="80"/>
        <v>3850.0177449999992</v>
      </c>
      <c r="G215" s="112">
        <f t="shared" si="80"/>
        <v>3893.8041549999998</v>
      </c>
      <c r="H215" s="112">
        <f t="shared" si="80"/>
        <v>438.06966999999992</v>
      </c>
      <c r="I215" s="112">
        <f t="shared" si="80"/>
        <v>438.99473499999993</v>
      </c>
      <c r="J215" s="112">
        <f t="shared" si="55"/>
        <v>892378.78763120633</v>
      </c>
      <c r="K215" s="112">
        <f t="shared" si="55"/>
        <v>699865.18158412806</v>
      </c>
      <c r="L215" s="112">
        <f t="shared" si="55"/>
        <v>76814.219776896003</v>
      </c>
      <c r="M215" s="112">
        <f t="shared" ref="M215:N215" si="81">M203*(1+$AD$11)</f>
        <v>891967.02335999999</v>
      </c>
      <c r="N215" s="112">
        <f t="shared" si="81"/>
        <v>709561.1819519999</v>
      </c>
      <c r="O215" s="112">
        <f t="shared" ref="O215" si="82">O203*(1+$AD$11)</f>
        <v>34439.489280000002</v>
      </c>
      <c r="P215" s="18">
        <f t="shared" si="58"/>
        <v>90.214831666666214</v>
      </c>
      <c r="Q215" s="18">
        <f t="shared" si="59"/>
        <v>91.112853333332168</v>
      </c>
      <c r="R215" s="18">
        <f t="shared" si="60"/>
        <v>41.889411666666092</v>
      </c>
      <c r="S215" s="18">
        <f t="shared" si="61"/>
        <v>42.365821666666307</v>
      </c>
      <c r="T215" s="31">
        <f t="shared" si="62"/>
        <v>7082.3713304064004</v>
      </c>
      <c r="U215" s="18">
        <f t="shared" si="63"/>
        <v>741.72672000003513</v>
      </c>
      <c r="V215" s="18">
        <f t="shared" si="36"/>
        <v>2889.686015999876</v>
      </c>
      <c r="W215" s="18">
        <f t="shared" si="37"/>
        <v>-165.61843199999566</v>
      </c>
      <c r="AD215" s="88"/>
      <c r="AE215" s="89"/>
      <c r="AF215" s="89"/>
      <c r="AG215" s="89"/>
      <c r="AH215" s="89"/>
      <c r="AI215" s="90"/>
      <c r="AJ215" s="90"/>
    </row>
    <row r="216" spans="1:36" ht="13.15" customHeight="1" x14ac:dyDescent="0.2">
      <c r="A216" s="113">
        <v>46266</v>
      </c>
      <c r="B216" s="87">
        <f t="shared" si="67"/>
        <v>2026</v>
      </c>
      <c r="C216" s="87" t="str">
        <f t="shared" si="52"/>
        <v>Q3</v>
      </c>
      <c r="D216" s="112">
        <f t="shared" si="53"/>
        <v>8311.195099999999</v>
      </c>
      <c r="E216" s="112">
        <f t="shared" ref="E216:I216" si="83">E204*(1+$AD$17)</f>
        <v>8349.8422599999994</v>
      </c>
      <c r="F216" s="112">
        <f t="shared" si="83"/>
        <v>3858.7544699999989</v>
      </c>
      <c r="G216" s="112">
        <f t="shared" si="83"/>
        <v>3879.1058999999991</v>
      </c>
      <c r="H216" s="112">
        <f t="shared" si="83"/>
        <v>436.73346499999991</v>
      </c>
      <c r="I216" s="112">
        <f t="shared" si="83"/>
        <v>437.45295999999996</v>
      </c>
      <c r="J216" s="112">
        <f t="shared" si="55"/>
        <v>892378.78763120633</v>
      </c>
      <c r="K216" s="112">
        <f t="shared" si="55"/>
        <v>699865.18158412806</v>
      </c>
      <c r="L216" s="112">
        <f t="shared" si="55"/>
        <v>76814.219776896003</v>
      </c>
      <c r="M216" s="112">
        <f t="shared" ref="M216:N216" si="84">M204*(1+$AD$11)</f>
        <v>891967.02335999999</v>
      </c>
      <c r="N216" s="112">
        <f t="shared" si="84"/>
        <v>709561.1819519999</v>
      </c>
      <c r="O216" s="112">
        <f t="shared" ref="O216" si="85">O204*(1+$AD$11)</f>
        <v>34439.489280000002</v>
      </c>
      <c r="P216" s="18">
        <f t="shared" si="58"/>
        <v>90.428433333332578</v>
      </c>
      <c r="Q216" s="18">
        <f t="shared" si="59"/>
        <v>90.848926666665648</v>
      </c>
      <c r="R216" s="18">
        <f t="shared" si="60"/>
        <v>41.984469999999419</v>
      </c>
      <c r="S216" s="18">
        <f t="shared" si="61"/>
        <v>42.205899999999474</v>
      </c>
      <c r="T216" s="31">
        <f t="shared" si="62"/>
        <v>7082.3713304064004</v>
      </c>
      <c r="U216" s="18">
        <f t="shared" si="63"/>
        <v>741.72672000003513</v>
      </c>
      <c r="V216" s="18">
        <f t="shared" si="36"/>
        <v>2889.686015999876</v>
      </c>
      <c r="W216" s="18">
        <f t="shared" si="37"/>
        <v>-165.61843199999566</v>
      </c>
      <c r="AD216" s="88"/>
      <c r="AE216" s="89"/>
      <c r="AF216" s="89"/>
      <c r="AG216" s="89"/>
      <c r="AH216" s="89"/>
      <c r="AI216" s="90"/>
      <c r="AJ216" s="90"/>
    </row>
    <row r="217" spans="1:36" ht="13.15" customHeight="1" x14ac:dyDescent="0.2">
      <c r="A217" s="113">
        <v>46296</v>
      </c>
      <c r="B217" s="87">
        <f t="shared" si="67"/>
        <v>2026</v>
      </c>
      <c r="C217" s="87" t="str">
        <f t="shared" si="52"/>
        <v>Q4</v>
      </c>
      <c r="D217" s="112">
        <f t="shared" si="53"/>
        <v>8319.4178999999986</v>
      </c>
      <c r="E217" s="112">
        <f t="shared" ref="E217:I217" si="86">E205*(1+$AD$17)</f>
        <v>8335.3495749999984</v>
      </c>
      <c r="F217" s="112">
        <f t="shared" si="86"/>
        <v>3867.2856249999995</v>
      </c>
      <c r="G217" s="112">
        <f t="shared" si="86"/>
        <v>3865.7438499999994</v>
      </c>
      <c r="H217" s="112">
        <f t="shared" si="86"/>
        <v>437.04181999999992</v>
      </c>
      <c r="I217" s="112">
        <f t="shared" si="86"/>
        <v>440.02258499999999</v>
      </c>
      <c r="J217" s="112">
        <f t="shared" si="55"/>
        <v>892378.78763120633</v>
      </c>
      <c r="K217" s="112">
        <f t="shared" si="55"/>
        <v>699865.18158412806</v>
      </c>
      <c r="L217" s="112">
        <f t="shared" si="55"/>
        <v>76814.219776896003</v>
      </c>
      <c r="M217" s="112">
        <f t="shared" ref="M217:N217" si="87">M205*(1+$AD$11)</f>
        <v>896209.01198438404</v>
      </c>
      <c r="N217" s="112">
        <f t="shared" si="87"/>
        <v>707438.23307135992</v>
      </c>
      <c r="O217" s="112">
        <f t="shared" ref="O217" si="88">O205*(1+$AD$11)</f>
        <v>34522.932181247998</v>
      </c>
      <c r="P217" s="18">
        <f t="shared" si="58"/>
        <v>90.517899999998917</v>
      </c>
      <c r="Q217" s="18">
        <f t="shared" si="59"/>
        <v>90.691241666665519</v>
      </c>
      <c r="R217" s="18">
        <f>F217-F205</f>
        <v>42.077291666666497</v>
      </c>
      <c r="S217" s="18">
        <f t="shared" si="61"/>
        <v>42.060516666666445</v>
      </c>
      <c r="T217" s="31">
        <f t="shared" si="62"/>
        <v>7082.3713304064004</v>
      </c>
      <c r="U217" s="18">
        <f t="shared" si="63"/>
        <v>4241.9886243840447</v>
      </c>
      <c r="V217" s="18">
        <f t="shared" si="36"/>
        <v>-2122.948880639975</v>
      </c>
      <c r="W217" s="18">
        <f t="shared" si="37"/>
        <v>83.442901247995906</v>
      </c>
      <c r="AD217" s="88"/>
      <c r="AE217" s="89"/>
      <c r="AF217" s="89"/>
      <c r="AG217" s="89"/>
      <c r="AH217" s="89"/>
      <c r="AI217" s="90"/>
      <c r="AJ217" s="90"/>
    </row>
    <row r="218" spans="1:36" ht="13.15" customHeight="1" x14ac:dyDescent="0.2">
      <c r="A218" s="113">
        <v>46327</v>
      </c>
      <c r="B218" s="87">
        <f t="shared" si="67"/>
        <v>2026</v>
      </c>
      <c r="C218" s="87" t="str">
        <f t="shared" si="52"/>
        <v>Q4</v>
      </c>
      <c r="D218" s="112">
        <f t="shared" si="53"/>
        <v>8328.4629799999984</v>
      </c>
      <c r="E218" s="112">
        <f t="shared" ref="E218:I218" si="89">E206*(1+$AD$17)</f>
        <v>8326.8184199999978</v>
      </c>
      <c r="F218" s="112">
        <f t="shared" si="89"/>
        <v>3870.4719599999994</v>
      </c>
      <c r="G218" s="112">
        <f t="shared" si="89"/>
        <v>3858.7544699999989</v>
      </c>
      <c r="H218" s="112">
        <f t="shared" si="89"/>
        <v>433.85548499999993</v>
      </c>
      <c r="I218" s="112">
        <f t="shared" si="89"/>
        <v>439.20030499999996</v>
      </c>
      <c r="J218" s="112">
        <f t="shared" si="55"/>
        <v>892378.78763120633</v>
      </c>
      <c r="K218" s="112">
        <f t="shared" si="55"/>
        <v>699865.18158412806</v>
      </c>
      <c r="L218" s="112">
        <f t="shared" si="55"/>
        <v>76814.219776896003</v>
      </c>
      <c r="M218" s="112">
        <f t="shared" ref="M218:N218" si="90">M206*(1+$AD$11)</f>
        <v>896209.01198438404</v>
      </c>
      <c r="N218" s="112">
        <f t="shared" si="90"/>
        <v>707438.23307135992</v>
      </c>
      <c r="O218" s="112">
        <f t="shared" ref="O218" si="91">O206*(1+$AD$11)</f>
        <v>34522.932181247998</v>
      </c>
      <c r="P218" s="18">
        <f>D218-D206</f>
        <v>90.616313333332073</v>
      </c>
      <c r="Q218" s="18">
        <f t="shared" si="59"/>
        <v>90.598419999998441</v>
      </c>
      <c r="R218" s="18">
        <f t="shared" si="60"/>
        <v>42.111959999999726</v>
      </c>
      <c r="S218" s="18">
        <f t="shared" si="61"/>
        <v>41.984469999999419</v>
      </c>
      <c r="T218" s="31">
        <f t="shared" si="62"/>
        <v>7082.3713304064004</v>
      </c>
      <c r="U218" s="18">
        <f t="shared" si="63"/>
        <v>4241.9886243840447</v>
      </c>
      <c r="V218" s="18">
        <f t="shared" si="36"/>
        <v>-2122.948880639975</v>
      </c>
      <c r="W218" s="18">
        <f t="shared" si="37"/>
        <v>83.442901247995906</v>
      </c>
      <c r="AD218" s="88"/>
      <c r="AE218" s="89"/>
      <c r="AF218" s="89"/>
      <c r="AG218" s="89"/>
      <c r="AH218" s="89"/>
      <c r="AI218" s="90"/>
      <c r="AJ218" s="90"/>
    </row>
    <row r="219" spans="1:36" ht="13.15" customHeight="1" x14ac:dyDescent="0.2">
      <c r="A219" s="113">
        <v>46357</v>
      </c>
      <c r="B219" s="87">
        <f t="shared" si="67"/>
        <v>2026</v>
      </c>
      <c r="C219" s="87" t="str">
        <f t="shared" si="52"/>
        <v>Q4</v>
      </c>
      <c r="D219" s="112">
        <f t="shared" si="53"/>
        <v>8330.8270349999984</v>
      </c>
      <c r="E219" s="112">
        <f t="shared" ref="E219:I219" si="92">E207*(1+$AD$17)</f>
        <v>8322.809804999999</v>
      </c>
      <c r="F219" s="112">
        <f t="shared" si="92"/>
        <v>3880.7504599999993</v>
      </c>
      <c r="G219" s="112">
        <f t="shared" si="92"/>
        <v>3872.2193049999996</v>
      </c>
      <c r="H219" s="112">
        <f t="shared" si="92"/>
        <v>428.71623499999998</v>
      </c>
      <c r="I219" s="112">
        <f t="shared" si="92"/>
        <v>434.57497999999993</v>
      </c>
      <c r="J219" s="112">
        <f t="shared" si="55"/>
        <v>892378.78763120633</v>
      </c>
      <c r="K219" s="112">
        <f t="shared" si="55"/>
        <v>699865.18158412806</v>
      </c>
      <c r="L219" s="112">
        <f t="shared" si="55"/>
        <v>76814.219776896003</v>
      </c>
      <c r="M219" s="112">
        <f t="shared" ref="M219:N219" si="93">M207*(1+$AD$11)</f>
        <v>896209.01198438404</v>
      </c>
      <c r="N219" s="112">
        <f t="shared" si="93"/>
        <v>707438.23307135992</v>
      </c>
      <c r="O219" s="112">
        <f t="shared" ref="O219" si="94">O207*(1+$AD$11)</f>
        <v>34522.932181247998</v>
      </c>
      <c r="P219" s="18">
        <f t="shared" si="58"/>
        <v>90.642034999998941</v>
      </c>
      <c r="Q219" s="18">
        <f t="shared" si="59"/>
        <v>90.55480499999976</v>
      </c>
      <c r="R219" s="18">
        <f t="shared" si="60"/>
        <v>42.223793333333106</v>
      </c>
      <c r="S219" s="18">
        <f t="shared" si="61"/>
        <v>42.130971666666483</v>
      </c>
      <c r="T219" s="31">
        <f t="shared" si="62"/>
        <v>7082.3713304064004</v>
      </c>
      <c r="U219" s="18">
        <f t="shared" si="63"/>
        <v>4241.9886243840447</v>
      </c>
      <c r="V219" s="18">
        <f t="shared" si="36"/>
        <v>-2122.948880639975</v>
      </c>
      <c r="W219" s="18">
        <f t="shared" si="37"/>
        <v>83.442901247995906</v>
      </c>
      <c r="AD219" s="88"/>
      <c r="AE219" s="89"/>
      <c r="AF219" s="89"/>
      <c r="AG219" s="89"/>
      <c r="AH219" s="89"/>
      <c r="AI219" s="90"/>
      <c r="AJ219" s="90"/>
    </row>
    <row r="220" spans="1:36" ht="13.15" customHeight="1" x14ac:dyDescent="0.2">
      <c r="A220" s="15"/>
      <c r="B220" s="16"/>
      <c r="C220" s="16"/>
      <c r="D220" s="17"/>
      <c r="E220" s="17"/>
      <c r="F220" s="17"/>
      <c r="G220" s="17"/>
      <c r="H220" s="17"/>
      <c r="I220" s="17"/>
      <c r="J220" s="16"/>
      <c r="K220" s="17"/>
      <c r="L220" s="17"/>
      <c r="M220" s="17"/>
      <c r="N220" s="17"/>
      <c r="AD220" s="88"/>
      <c r="AE220" s="89"/>
      <c r="AF220" s="89"/>
      <c r="AG220" s="89"/>
      <c r="AH220" s="89"/>
      <c r="AI220" s="90"/>
      <c r="AJ220" s="90"/>
    </row>
    <row r="221" spans="1:36" ht="13.15" customHeight="1" x14ac:dyDescent="0.2">
      <c r="A221" s="15"/>
      <c r="B221" s="16"/>
      <c r="C221" s="16"/>
      <c r="D221" s="17"/>
      <c r="E221" s="17"/>
      <c r="F221" s="17"/>
      <c r="G221" s="17"/>
      <c r="H221" s="17"/>
      <c r="I221" s="17"/>
      <c r="J221" s="16"/>
      <c r="K221" s="17"/>
      <c r="L221" s="17"/>
      <c r="M221" s="17"/>
      <c r="N221" s="17"/>
      <c r="AD221" s="88"/>
      <c r="AE221" s="89"/>
      <c r="AF221" s="89"/>
      <c r="AG221" s="89"/>
      <c r="AH221" s="89"/>
      <c r="AI221" s="90"/>
      <c r="AJ221" s="90"/>
    </row>
    <row r="222" spans="1:36" ht="13.15" customHeight="1" x14ac:dyDescent="0.2">
      <c r="A222" s="15"/>
      <c r="B222" s="16"/>
      <c r="C222" s="16"/>
      <c r="D222" s="17"/>
      <c r="E222" s="17"/>
      <c r="F222" s="17"/>
      <c r="G222" s="17"/>
      <c r="H222" s="17"/>
      <c r="I222" s="17"/>
      <c r="J222" s="16"/>
      <c r="K222" s="17"/>
      <c r="L222" s="17"/>
      <c r="M222" s="17"/>
      <c r="N222" s="17"/>
      <c r="AD222" s="88"/>
      <c r="AE222" s="89"/>
      <c r="AF222" s="89"/>
      <c r="AG222" s="89"/>
      <c r="AH222" s="89"/>
      <c r="AI222" s="90"/>
      <c r="AJ222" s="90"/>
    </row>
    <row r="223" spans="1:36" ht="13.15" customHeight="1" x14ac:dyDescent="0.2">
      <c r="A223" s="15"/>
      <c r="B223" s="16"/>
      <c r="C223" s="16"/>
      <c r="D223" s="17"/>
      <c r="E223" s="17"/>
      <c r="F223" s="17"/>
      <c r="G223" s="17"/>
      <c r="H223" s="17"/>
      <c r="I223" s="17"/>
      <c r="J223" s="16"/>
      <c r="K223" s="17"/>
      <c r="L223" s="17"/>
      <c r="M223" s="17"/>
      <c r="N223" s="17"/>
      <c r="AD223" s="88"/>
      <c r="AE223" s="89"/>
      <c r="AF223" s="89"/>
      <c r="AG223" s="89"/>
      <c r="AH223" s="89"/>
      <c r="AI223" s="90"/>
      <c r="AJ223" s="90"/>
    </row>
    <row r="224" spans="1:36" ht="13.15" customHeight="1" x14ac:dyDescent="0.2">
      <c r="A224" s="15"/>
      <c r="B224" s="16"/>
      <c r="C224" s="16"/>
      <c r="D224" s="17"/>
      <c r="E224" s="17"/>
      <c r="F224" s="17"/>
      <c r="G224" s="17"/>
      <c r="H224" s="17"/>
      <c r="I224" s="17"/>
      <c r="J224" s="16"/>
      <c r="K224" s="17"/>
      <c r="L224" s="17"/>
      <c r="M224" s="17"/>
      <c r="N224" s="17"/>
      <c r="AD224" s="88"/>
      <c r="AE224" s="89"/>
      <c r="AF224" s="89"/>
      <c r="AG224" s="89"/>
      <c r="AH224" s="89"/>
      <c r="AI224" s="90"/>
      <c r="AJ224" s="90"/>
    </row>
    <row r="225" spans="1:36" ht="13.15" customHeight="1" x14ac:dyDescent="0.2">
      <c r="A225" s="15"/>
      <c r="B225" s="16"/>
      <c r="C225" s="16"/>
      <c r="D225" s="17"/>
      <c r="E225" s="17"/>
      <c r="F225" s="17"/>
      <c r="G225" s="17"/>
      <c r="H225" s="17"/>
      <c r="I225" s="17"/>
      <c r="J225" s="16"/>
      <c r="K225" s="17"/>
      <c r="L225" s="17"/>
      <c r="M225" s="17"/>
      <c r="N225" s="17"/>
      <c r="AD225" s="88"/>
      <c r="AE225" s="89"/>
      <c r="AF225" s="89"/>
      <c r="AG225" s="89"/>
      <c r="AH225" s="89"/>
      <c r="AI225" s="90"/>
      <c r="AJ225" s="90"/>
    </row>
    <row r="226" spans="1:36" ht="13.15" customHeight="1" x14ac:dyDescent="0.2">
      <c r="A226" s="15"/>
      <c r="B226" s="16"/>
      <c r="C226" s="16"/>
      <c r="D226" s="17"/>
      <c r="E226" s="17"/>
      <c r="F226" s="17"/>
      <c r="G226" s="17"/>
      <c r="H226" s="17"/>
      <c r="I226" s="17"/>
      <c r="J226" s="16"/>
      <c r="K226" s="17"/>
      <c r="L226" s="17"/>
      <c r="M226" s="17"/>
      <c r="N226" s="17"/>
      <c r="AD226" s="88"/>
      <c r="AE226" s="89"/>
      <c r="AF226" s="89"/>
      <c r="AG226" s="89"/>
      <c r="AH226" s="89"/>
      <c r="AI226" s="90"/>
      <c r="AJ226" s="90"/>
    </row>
    <row r="227" spans="1:36" ht="13.15" customHeight="1" x14ac:dyDescent="0.2">
      <c r="A227" s="15"/>
      <c r="B227" s="16"/>
      <c r="C227" s="16"/>
      <c r="D227" s="17"/>
      <c r="E227" s="17"/>
      <c r="F227" s="17"/>
      <c r="G227" s="17"/>
      <c r="H227" s="17"/>
      <c r="I227" s="17"/>
      <c r="J227" s="16"/>
      <c r="K227" s="17"/>
      <c r="L227" s="17"/>
      <c r="M227" s="17"/>
      <c r="N227" s="17"/>
      <c r="AD227" s="88"/>
      <c r="AE227" s="89"/>
      <c r="AF227" s="89"/>
      <c r="AG227" s="89"/>
      <c r="AH227" s="89"/>
      <c r="AI227" s="90"/>
      <c r="AJ227" s="90"/>
    </row>
    <row r="228" spans="1:36" ht="13.15" customHeight="1" x14ac:dyDescent="0.2">
      <c r="A228" s="15"/>
      <c r="B228" s="16"/>
      <c r="C228" s="16"/>
      <c r="D228" s="17"/>
      <c r="E228" s="17"/>
      <c r="F228" s="17"/>
      <c r="G228" s="17"/>
      <c r="H228" s="17"/>
      <c r="I228" s="17"/>
      <c r="J228" s="16"/>
      <c r="K228" s="17"/>
      <c r="L228" s="17"/>
      <c r="M228" s="17"/>
      <c r="N228" s="17"/>
      <c r="AD228" s="88"/>
      <c r="AE228" s="89"/>
      <c r="AF228" s="89"/>
      <c r="AG228" s="89"/>
      <c r="AH228" s="89"/>
      <c r="AI228" s="90"/>
      <c r="AJ228" s="90"/>
    </row>
    <row r="229" spans="1:36" ht="13.15" customHeight="1" x14ac:dyDescent="0.2">
      <c r="A229" s="15"/>
      <c r="B229" s="16"/>
      <c r="C229" s="16"/>
      <c r="D229" s="17"/>
      <c r="E229" s="17"/>
      <c r="F229" s="17"/>
      <c r="G229" s="17"/>
      <c r="H229" s="17"/>
      <c r="I229" s="17"/>
      <c r="J229" s="16"/>
      <c r="K229" s="17"/>
      <c r="L229" s="17"/>
      <c r="M229" s="17"/>
      <c r="N229" s="17"/>
      <c r="AD229" s="88"/>
      <c r="AE229" s="89"/>
      <c r="AF229" s="89"/>
      <c r="AG229" s="89"/>
      <c r="AH229" s="89"/>
      <c r="AI229" s="90"/>
      <c r="AJ229" s="90"/>
    </row>
    <row r="230" spans="1:36" ht="13.15" customHeight="1" x14ac:dyDescent="0.2">
      <c r="A230" s="15"/>
      <c r="B230" s="16"/>
      <c r="C230" s="16"/>
      <c r="D230" s="17"/>
      <c r="E230" s="17"/>
      <c r="F230" s="17"/>
      <c r="G230" s="17"/>
      <c r="H230" s="17"/>
      <c r="I230" s="17"/>
      <c r="J230" s="16"/>
      <c r="K230" s="17"/>
      <c r="L230" s="17"/>
      <c r="M230" s="17"/>
      <c r="N230" s="17"/>
      <c r="AD230" s="88"/>
      <c r="AE230" s="89"/>
      <c r="AF230" s="89"/>
      <c r="AG230" s="89"/>
      <c r="AH230" s="89"/>
      <c r="AI230" s="90"/>
      <c r="AJ230" s="90"/>
    </row>
    <row r="231" spans="1:36" ht="13.15" customHeight="1" x14ac:dyDescent="0.2">
      <c r="A231" s="15"/>
      <c r="B231" s="16"/>
      <c r="C231" s="16"/>
      <c r="D231" s="17"/>
      <c r="E231" s="17"/>
      <c r="F231" s="17"/>
      <c r="G231" s="17"/>
      <c r="H231" s="17"/>
      <c r="I231" s="17"/>
      <c r="J231" s="16"/>
      <c r="K231" s="17"/>
      <c r="L231" s="17"/>
      <c r="M231" s="17"/>
      <c r="N231" s="17"/>
      <c r="AD231" s="88"/>
      <c r="AE231" s="89"/>
      <c r="AF231" s="89"/>
      <c r="AG231" s="89"/>
      <c r="AH231" s="89"/>
      <c r="AI231" s="90"/>
      <c r="AJ231" s="90"/>
    </row>
    <row r="232" spans="1:36" ht="13.15" customHeight="1" x14ac:dyDescent="0.2">
      <c r="A232" s="15"/>
      <c r="B232" s="16"/>
      <c r="C232" s="16"/>
      <c r="D232" s="17"/>
      <c r="E232" s="17"/>
      <c r="F232" s="17"/>
      <c r="G232" s="17"/>
      <c r="H232" s="17"/>
      <c r="I232" s="17"/>
      <c r="J232" s="16"/>
      <c r="K232" s="17"/>
      <c r="L232" s="17"/>
      <c r="M232" s="17"/>
      <c r="N232" s="17"/>
      <c r="AD232" s="88"/>
      <c r="AE232" s="89"/>
      <c r="AF232" s="89"/>
      <c r="AG232" s="89"/>
      <c r="AH232" s="89"/>
      <c r="AI232" s="90"/>
      <c r="AJ232" s="90"/>
    </row>
    <row r="233" spans="1:36" ht="13.15" customHeight="1" x14ac:dyDescent="0.2">
      <c r="A233" s="15"/>
      <c r="B233" s="16"/>
      <c r="C233" s="16"/>
      <c r="D233" s="17"/>
      <c r="E233" s="17"/>
      <c r="F233" s="17"/>
      <c r="G233" s="17"/>
      <c r="H233" s="17"/>
      <c r="I233" s="17"/>
      <c r="J233" s="16"/>
      <c r="K233" s="17"/>
      <c r="L233" s="17"/>
      <c r="M233" s="17"/>
      <c r="N233" s="17"/>
      <c r="AD233" s="88"/>
      <c r="AE233" s="89"/>
      <c r="AF233" s="89"/>
      <c r="AG233" s="89"/>
      <c r="AH233" s="89"/>
      <c r="AI233" s="90"/>
      <c r="AJ233" s="90"/>
    </row>
    <row r="234" spans="1:36" ht="13.15" customHeight="1" x14ac:dyDescent="0.2">
      <c r="A234" s="15"/>
      <c r="B234" s="16"/>
      <c r="C234" s="16"/>
      <c r="D234" s="17"/>
      <c r="E234" s="17"/>
      <c r="F234" s="17"/>
      <c r="G234" s="17"/>
      <c r="H234" s="17"/>
      <c r="I234" s="17"/>
      <c r="J234" s="16"/>
      <c r="K234" s="17"/>
      <c r="L234" s="17"/>
      <c r="M234" s="17"/>
      <c r="N234" s="17"/>
      <c r="AD234" s="88"/>
      <c r="AE234" s="89"/>
      <c r="AF234" s="89"/>
      <c r="AG234" s="89"/>
      <c r="AH234" s="89"/>
      <c r="AI234" s="90"/>
      <c r="AJ234" s="90"/>
    </row>
    <row r="235" spans="1:36" ht="13.15" customHeight="1" x14ac:dyDescent="0.2">
      <c r="A235" s="15"/>
      <c r="B235" s="16"/>
      <c r="C235" s="16"/>
      <c r="D235" s="17"/>
      <c r="E235" s="17"/>
      <c r="F235" s="17"/>
      <c r="G235" s="17"/>
      <c r="H235" s="17"/>
      <c r="I235" s="17"/>
      <c r="J235" s="16"/>
      <c r="K235" s="17"/>
      <c r="L235" s="17"/>
      <c r="M235" s="17"/>
      <c r="N235" s="17"/>
      <c r="AD235" s="88"/>
      <c r="AE235" s="89"/>
      <c r="AF235" s="89"/>
      <c r="AG235" s="89"/>
      <c r="AH235" s="89"/>
      <c r="AI235" s="90"/>
      <c r="AJ235" s="90"/>
    </row>
    <row r="236" spans="1:36" ht="13.15" customHeight="1" x14ac:dyDescent="0.2">
      <c r="A236" s="15"/>
      <c r="B236" s="16"/>
      <c r="C236" s="16"/>
      <c r="D236" s="17"/>
      <c r="E236" s="17"/>
      <c r="F236" s="17"/>
      <c r="G236" s="17"/>
      <c r="H236" s="17"/>
      <c r="I236" s="17"/>
      <c r="J236" s="16"/>
      <c r="K236" s="17"/>
      <c r="L236" s="17"/>
      <c r="M236" s="17"/>
      <c r="N236" s="17"/>
      <c r="AD236" s="88"/>
      <c r="AE236" s="89"/>
      <c r="AF236" s="89"/>
      <c r="AG236" s="89"/>
      <c r="AH236" s="89"/>
      <c r="AI236" s="90"/>
      <c r="AJ236" s="90"/>
    </row>
    <row r="237" spans="1:36" ht="13.15" customHeight="1" x14ac:dyDescent="0.2">
      <c r="A237" s="15"/>
      <c r="B237" s="16"/>
      <c r="C237" s="16"/>
      <c r="D237" s="17"/>
      <c r="E237" s="17"/>
      <c r="F237" s="17"/>
      <c r="G237" s="17"/>
      <c r="H237" s="17"/>
      <c r="I237" s="17"/>
      <c r="J237" s="16"/>
      <c r="K237" s="17"/>
      <c r="L237" s="17"/>
      <c r="M237" s="17"/>
      <c r="N237" s="17"/>
      <c r="AD237" s="88"/>
      <c r="AE237" s="89"/>
      <c r="AF237" s="89"/>
      <c r="AG237" s="89"/>
      <c r="AH237" s="89"/>
      <c r="AI237" s="90"/>
      <c r="AJ237" s="90"/>
    </row>
    <row r="238" spans="1:36" ht="13.15" customHeight="1" x14ac:dyDescent="0.2">
      <c r="A238" s="15"/>
      <c r="B238" s="16"/>
      <c r="C238" s="16"/>
      <c r="D238" s="17"/>
      <c r="E238" s="17"/>
      <c r="F238" s="17"/>
      <c r="G238" s="17"/>
      <c r="H238" s="17"/>
      <c r="I238" s="17"/>
      <c r="J238" s="16"/>
      <c r="K238" s="17"/>
      <c r="L238" s="17"/>
      <c r="M238" s="17"/>
      <c r="N238" s="17"/>
      <c r="AD238" s="88"/>
      <c r="AE238" s="89"/>
      <c r="AF238" s="89"/>
      <c r="AG238" s="89"/>
      <c r="AH238" s="89"/>
      <c r="AI238" s="90"/>
      <c r="AJ238" s="90"/>
    </row>
    <row r="239" spans="1:36" ht="13.15" customHeight="1" x14ac:dyDescent="0.2">
      <c r="A239" s="15"/>
      <c r="B239" s="16"/>
      <c r="C239" s="16"/>
      <c r="D239" s="17"/>
      <c r="E239" s="17"/>
      <c r="F239" s="17"/>
      <c r="G239" s="17"/>
      <c r="H239" s="17"/>
      <c r="I239" s="17"/>
      <c r="J239" s="16"/>
      <c r="K239" s="17"/>
      <c r="L239" s="17"/>
      <c r="M239" s="17"/>
      <c r="N239" s="17"/>
      <c r="AD239" s="88"/>
      <c r="AE239" s="89"/>
      <c r="AF239" s="89"/>
      <c r="AG239" s="89"/>
      <c r="AH239" s="89"/>
      <c r="AI239" s="90"/>
      <c r="AJ239" s="90"/>
    </row>
    <row r="240" spans="1:36" ht="13.15" customHeight="1" x14ac:dyDescent="0.2">
      <c r="A240" s="15"/>
      <c r="B240" s="16"/>
      <c r="C240" s="16"/>
      <c r="D240" s="17"/>
      <c r="E240" s="17"/>
      <c r="F240" s="17"/>
      <c r="G240" s="17"/>
      <c r="H240" s="17"/>
      <c r="I240" s="17"/>
      <c r="J240" s="16"/>
      <c r="K240" s="17"/>
      <c r="L240" s="17"/>
      <c r="M240" s="17"/>
      <c r="N240" s="17"/>
      <c r="AD240" s="88"/>
      <c r="AE240" s="89"/>
      <c r="AF240" s="89"/>
      <c r="AG240" s="89"/>
      <c r="AH240" s="89"/>
      <c r="AI240" s="90"/>
      <c r="AJ240" s="90"/>
    </row>
    <row r="241" spans="1:36" ht="13.15" customHeight="1" x14ac:dyDescent="0.2">
      <c r="A241" s="15"/>
      <c r="B241" s="16"/>
      <c r="C241" s="16"/>
      <c r="D241" s="17"/>
      <c r="E241" s="17"/>
      <c r="F241" s="17"/>
      <c r="G241" s="17"/>
      <c r="H241" s="17"/>
      <c r="I241" s="17"/>
      <c r="J241" s="16"/>
      <c r="K241" s="17"/>
      <c r="L241" s="17"/>
      <c r="M241" s="17"/>
      <c r="N241" s="17"/>
      <c r="AD241" s="88"/>
      <c r="AE241" s="89"/>
      <c r="AF241" s="89"/>
      <c r="AG241" s="89"/>
      <c r="AH241" s="89"/>
      <c r="AI241" s="90"/>
      <c r="AJ241" s="90"/>
    </row>
    <row r="242" spans="1:36" ht="13.15" customHeight="1" x14ac:dyDescent="0.2">
      <c r="A242" s="15"/>
      <c r="B242" s="16"/>
      <c r="C242" s="16"/>
      <c r="D242" s="17"/>
      <c r="E242" s="17"/>
      <c r="F242" s="17"/>
      <c r="G242" s="17"/>
      <c r="H242" s="17"/>
      <c r="I242" s="17"/>
      <c r="J242" s="16"/>
      <c r="K242" s="17"/>
      <c r="L242" s="17"/>
      <c r="M242" s="17"/>
      <c r="N242" s="17"/>
      <c r="AD242" s="88"/>
      <c r="AE242" s="89"/>
      <c r="AF242" s="89"/>
      <c r="AG242" s="89"/>
      <c r="AH242" s="89"/>
      <c r="AI242" s="90"/>
      <c r="AJ242" s="90"/>
    </row>
    <row r="243" spans="1:36" ht="13.15" customHeight="1" x14ac:dyDescent="0.2">
      <c r="A243" s="15"/>
      <c r="B243" s="16"/>
      <c r="C243" s="16"/>
      <c r="D243" s="17"/>
      <c r="E243" s="17"/>
      <c r="F243" s="17"/>
      <c r="G243" s="17"/>
      <c r="H243" s="17"/>
      <c r="I243" s="17"/>
      <c r="J243" s="16"/>
      <c r="K243" s="17"/>
      <c r="L243" s="17"/>
      <c r="M243" s="17"/>
      <c r="N243" s="17"/>
      <c r="AD243" s="88"/>
      <c r="AE243" s="89"/>
      <c r="AF243" s="89"/>
      <c r="AG243" s="89"/>
      <c r="AH243" s="89"/>
      <c r="AI243" s="90"/>
      <c r="AJ243" s="90"/>
    </row>
    <row r="244" spans="1:36" ht="13.15" customHeight="1" x14ac:dyDescent="0.2">
      <c r="A244" s="15"/>
      <c r="B244" s="16"/>
      <c r="C244" s="16"/>
      <c r="D244" s="17"/>
      <c r="E244" s="17"/>
      <c r="F244" s="17"/>
      <c r="G244" s="17"/>
      <c r="H244" s="17"/>
      <c r="I244" s="17"/>
      <c r="J244" s="16"/>
      <c r="K244" s="17"/>
      <c r="L244" s="17"/>
      <c r="M244" s="17"/>
      <c r="N244" s="17"/>
      <c r="AD244" s="88"/>
      <c r="AE244" s="89"/>
      <c r="AF244" s="89"/>
      <c r="AG244" s="89"/>
      <c r="AH244" s="89"/>
      <c r="AI244" s="90"/>
      <c r="AJ244" s="90"/>
    </row>
    <row r="245" spans="1:36" ht="13.15" customHeight="1" x14ac:dyDescent="0.2">
      <c r="A245" s="15"/>
      <c r="B245" s="16"/>
      <c r="C245" s="16"/>
      <c r="D245" s="17"/>
      <c r="E245" s="17"/>
      <c r="F245" s="17"/>
      <c r="G245" s="17"/>
      <c r="H245" s="17"/>
      <c r="I245" s="17"/>
      <c r="J245" s="16"/>
      <c r="K245" s="17"/>
      <c r="L245" s="17"/>
      <c r="M245" s="17"/>
      <c r="N245" s="17"/>
      <c r="AD245" s="88"/>
      <c r="AE245" s="89"/>
      <c r="AF245" s="89"/>
      <c r="AG245" s="89"/>
      <c r="AH245" s="89"/>
      <c r="AI245" s="90"/>
      <c r="AJ245" s="90"/>
    </row>
    <row r="246" spans="1:36" ht="13.15" customHeight="1" x14ac:dyDescent="0.2">
      <c r="A246" s="15"/>
      <c r="B246" s="16"/>
      <c r="C246" s="16"/>
      <c r="D246" s="17"/>
      <c r="E246" s="17"/>
      <c r="F246" s="17"/>
      <c r="G246" s="17"/>
      <c r="H246" s="17"/>
      <c r="I246" s="17"/>
      <c r="J246" s="16"/>
      <c r="K246" s="17"/>
      <c r="L246" s="17"/>
      <c r="M246" s="17"/>
      <c r="N246" s="17"/>
      <c r="AD246" s="88"/>
      <c r="AE246" s="89"/>
      <c r="AF246" s="89"/>
      <c r="AG246" s="89"/>
      <c r="AH246" s="89"/>
      <c r="AI246" s="90"/>
      <c r="AJ246" s="90"/>
    </row>
    <row r="247" spans="1:36" ht="13.15" customHeight="1" x14ac:dyDescent="0.2">
      <c r="A247" s="15"/>
      <c r="B247" s="16"/>
      <c r="C247" s="16"/>
      <c r="D247" s="17"/>
      <c r="E247" s="17"/>
      <c r="F247" s="17"/>
      <c r="G247" s="17"/>
      <c r="H247" s="17"/>
      <c r="I247" s="17"/>
      <c r="J247" s="16"/>
      <c r="K247" s="17"/>
      <c r="L247" s="17"/>
      <c r="M247" s="17"/>
      <c r="N247" s="17"/>
      <c r="AD247" s="88"/>
      <c r="AE247" s="89"/>
      <c r="AF247" s="89"/>
      <c r="AG247" s="89"/>
      <c r="AH247" s="89"/>
      <c r="AI247" s="90"/>
      <c r="AJ247" s="90"/>
    </row>
    <row r="248" spans="1:36" ht="13.15" customHeight="1" x14ac:dyDescent="0.2">
      <c r="A248" s="15"/>
      <c r="B248" s="16"/>
      <c r="C248" s="16"/>
      <c r="D248" s="17"/>
      <c r="E248" s="17"/>
      <c r="F248" s="17"/>
      <c r="G248" s="17"/>
      <c r="H248" s="17"/>
      <c r="I248" s="17"/>
      <c r="J248" s="16"/>
      <c r="K248" s="17"/>
      <c r="L248" s="17"/>
      <c r="M248" s="17"/>
      <c r="N248" s="17"/>
      <c r="AD248" s="88"/>
      <c r="AE248" s="89"/>
      <c r="AF248" s="89"/>
      <c r="AG248" s="89"/>
      <c r="AH248" s="89"/>
      <c r="AI248" s="90"/>
      <c r="AJ248" s="90"/>
    </row>
    <row r="249" spans="1:36" ht="13.15" customHeight="1" x14ac:dyDescent="0.2">
      <c r="A249" s="15"/>
      <c r="B249" s="16"/>
      <c r="C249" s="16"/>
      <c r="D249" s="17"/>
      <c r="E249" s="17"/>
      <c r="F249" s="17"/>
      <c r="G249" s="17"/>
      <c r="H249" s="17"/>
      <c r="I249" s="17"/>
      <c r="J249" s="16"/>
      <c r="K249" s="17"/>
      <c r="L249" s="17"/>
      <c r="M249" s="17"/>
      <c r="N249" s="17"/>
      <c r="AD249" s="88"/>
      <c r="AE249" s="89"/>
      <c r="AF249" s="89"/>
      <c r="AG249" s="89"/>
      <c r="AH249" s="89"/>
      <c r="AI249" s="90"/>
      <c r="AJ249" s="90"/>
    </row>
    <row r="250" spans="1:36" ht="13.15" customHeight="1" x14ac:dyDescent="0.2">
      <c r="A250" s="15"/>
      <c r="B250" s="16"/>
      <c r="C250" s="16"/>
      <c r="D250" s="17"/>
      <c r="E250" s="17"/>
      <c r="F250" s="17"/>
      <c r="G250" s="17"/>
      <c r="H250" s="17"/>
      <c r="I250" s="17"/>
      <c r="J250" s="16"/>
      <c r="K250" s="17"/>
      <c r="L250" s="17"/>
      <c r="M250" s="17"/>
      <c r="N250" s="17"/>
      <c r="AD250" s="88"/>
      <c r="AE250" s="89"/>
      <c r="AF250" s="89"/>
      <c r="AG250" s="89"/>
      <c r="AH250" s="89"/>
      <c r="AI250" s="90"/>
      <c r="AJ250" s="90"/>
    </row>
    <row r="251" spans="1:36" ht="13.15" customHeight="1" x14ac:dyDescent="0.2">
      <c r="A251" s="15"/>
      <c r="B251" s="16"/>
      <c r="C251" s="16"/>
      <c r="D251" s="17"/>
      <c r="E251" s="17"/>
      <c r="F251" s="17"/>
      <c r="G251" s="17"/>
      <c r="H251" s="17"/>
      <c r="I251" s="17"/>
      <c r="J251" s="16"/>
      <c r="K251" s="17"/>
      <c r="L251" s="17"/>
      <c r="M251" s="17"/>
      <c r="N251" s="17"/>
      <c r="AD251" s="88"/>
      <c r="AE251" s="89"/>
      <c r="AF251" s="89"/>
      <c r="AG251" s="89"/>
      <c r="AH251" s="89"/>
      <c r="AI251" s="90"/>
      <c r="AJ251" s="90"/>
    </row>
    <row r="252" spans="1:36" ht="13.15" customHeight="1" x14ac:dyDescent="0.2">
      <c r="A252" s="15"/>
      <c r="B252" s="16"/>
      <c r="C252" s="16"/>
      <c r="D252" s="17"/>
      <c r="E252" s="17"/>
      <c r="F252" s="17"/>
      <c r="G252" s="17"/>
      <c r="H252" s="17"/>
      <c r="I252" s="17"/>
      <c r="J252" s="16"/>
      <c r="K252" s="17"/>
      <c r="L252" s="17"/>
      <c r="M252" s="17"/>
      <c r="N252" s="17"/>
      <c r="AD252" s="88"/>
      <c r="AE252" s="89"/>
      <c r="AF252" s="89"/>
      <c r="AG252" s="89"/>
      <c r="AH252" s="89"/>
      <c r="AI252" s="90"/>
      <c r="AJ252" s="90"/>
    </row>
    <row r="253" spans="1:36" ht="13.15" customHeight="1" x14ac:dyDescent="0.2">
      <c r="A253" s="15"/>
      <c r="B253" s="16"/>
      <c r="C253" s="16"/>
      <c r="D253" s="17"/>
      <c r="E253" s="17"/>
      <c r="F253" s="17"/>
      <c r="G253" s="17"/>
      <c r="H253" s="17"/>
      <c r="I253" s="17"/>
      <c r="J253" s="16"/>
      <c r="K253" s="17"/>
      <c r="L253" s="17"/>
      <c r="M253" s="17"/>
      <c r="N253" s="17"/>
      <c r="AD253" s="88"/>
      <c r="AE253" s="89"/>
      <c r="AF253" s="89"/>
      <c r="AG253" s="89"/>
      <c r="AH253" s="89"/>
      <c r="AI253" s="90"/>
      <c r="AJ253" s="90"/>
    </row>
    <row r="254" spans="1:36" ht="13.15" customHeight="1" x14ac:dyDescent="0.2">
      <c r="A254" s="15"/>
      <c r="B254" s="16"/>
      <c r="C254" s="16"/>
      <c r="D254" s="17"/>
      <c r="E254" s="17"/>
      <c r="F254" s="17"/>
      <c r="G254" s="17"/>
      <c r="H254" s="17"/>
      <c r="I254" s="17"/>
      <c r="J254" s="16"/>
      <c r="K254" s="17"/>
      <c r="L254" s="17"/>
      <c r="M254" s="17"/>
      <c r="N254" s="17"/>
      <c r="AD254" s="88"/>
      <c r="AE254" s="89"/>
      <c r="AF254" s="89"/>
      <c r="AG254" s="89"/>
      <c r="AH254" s="89"/>
      <c r="AI254" s="90"/>
      <c r="AJ254" s="90"/>
    </row>
    <row r="255" spans="1:36" ht="13.15" customHeight="1" x14ac:dyDescent="0.2">
      <c r="A255" s="15"/>
      <c r="B255" s="16"/>
      <c r="C255" s="16"/>
      <c r="D255" s="17"/>
      <c r="E255" s="17"/>
      <c r="F255" s="17"/>
      <c r="G255" s="17"/>
      <c r="H255" s="17"/>
      <c r="I255" s="17"/>
      <c r="J255" s="16"/>
      <c r="K255" s="17"/>
      <c r="L255" s="17"/>
      <c r="M255" s="17"/>
      <c r="N255" s="17"/>
      <c r="AD255" s="88"/>
      <c r="AE255" s="89"/>
      <c r="AF255" s="89"/>
      <c r="AG255" s="89"/>
      <c r="AH255" s="89"/>
      <c r="AI255" s="90"/>
      <c r="AJ255" s="90"/>
    </row>
    <row r="256" spans="1:36" ht="13.15" customHeight="1" x14ac:dyDescent="0.2">
      <c r="A256" s="15"/>
      <c r="B256" s="16"/>
      <c r="C256" s="16"/>
      <c r="D256" s="17"/>
      <c r="E256" s="17"/>
      <c r="F256" s="17"/>
      <c r="G256" s="17"/>
      <c r="H256" s="17"/>
      <c r="I256" s="17"/>
      <c r="J256" s="16"/>
      <c r="K256" s="17"/>
      <c r="L256" s="17"/>
      <c r="M256" s="17"/>
      <c r="N256" s="17"/>
      <c r="AD256" s="88"/>
      <c r="AE256" s="89"/>
      <c r="AF256" s="89"/>
      <c r="AG256" s="89"/>
      <c r="AH256" s="89"/>
      <c r="AI256" s="90"/>
      <c r="AJ256" s="90"/>
    </row>
    <row r="257" spans="1:36" ht="13.15" customHeight="1" x14ac:dyDescent="0.2">
      <c r="A257" s="15"/>
      <c r="B257" s="16"/>
      <c r="C257" s="16"/>
      <c r="D257" s="17"/>
      <c r="E257" s="17"/>
      <c r="F257" s="17"/>
      <c r="G257" s="17"/>
      <c r="H257" s="17"/>
      <c r="I257" s="17"/>
      <c r="J257" s="16"/>
      <c r="K257" s="17"/>
      <c r="L257" s="17"/>
      <c r="M257" s="17"/>
      <c r="N257" s="17"/>
      <c r="AD257" s="88"/>
      <c r="AE257" s="89"/>
      <c r="AF257" s="89"/>
      <c r="AG257" s="89"/>
      <c r="AH257" s="89"/>
      <c r="AI257" s="90"/>
      <c r="AJ257" s="90"/>
    </row>
    <row r="258" spans="1:36" ht="13.15" customHeight="1" x14ac:dyDescent="0.2">
      <c r="A258" s="15"/>
      <c r="B258" s="16"/>
      <c r="C258" s="16"/>
      <c r="D258" s="17"/>
      <c r="E258" s="17"/>
      <c r="F258" s="17"/>
      <c r="G258" s="17"/>
      <c r="H258" s="17"/>
      <c r="I258" s="17"/>
      <c r="J258" s="16"/>
      <c r="K258" s="17"/>
      <c r="L258" s="17"/>
      <c r="M258" s="17"/>
      <c r="N258" s="17"/>
      <c r="AD258" s="88"/>
      <c r="AE258" s="89"/>
      <c r="AF258" s="89"/>
      <c r="AG258" s="89"/>
      <c r="AH258" s="89"/>
      <c r="AI258" s="90"/>
      <c r="AJ258" s="90"/>
    </row>
    <row r="259" spans="1:36" ht="13.15" customHeight="1" x14ac:dyDescent="0.2">
      <c r="A259" s="15"/>
      <c r="B259" s="16"/>
      <c r="C259" s="16"/>
      <c r="D259" s="17"/>
      <c r="E259" s="17"/>
      <c r="F259" s="17"/>
      <c r="G259" s="17"/>
      <c r="H259" s="17"/>
      <c r="I259" s="17"/>
      <c r="J259" s="16"/>
      <c r="K259" s="17"/>
      <c r="L259" s="17"/>
      <c r="M259" s="17"/>
      <c r="N259" s="17"/>
      <c r="AD259" s="88"/>
      <c r="AE259" s="89"/>
      <c r="AF259" s="89"/>
      <c r="AG259" s="89"/>
      <c r="AH259" s="89"/>
      <c r="AI259" s="90"/>
      <c r="AJ259" s="90"/>
    </row>
    <row r="260" spans="1:36" ht="13.15" customHeight="1" x14ac:dyDescent="0.2">
      <c r="A260" s="15"/>
      <c r="B260" s="16"/>
      <c r="C260" s="16"/>
      <c r="D260" s="17"/>
      <c r="E260" s="17"/>
      <c r="F260" s="17"/>
      <c r="G260" s="17"/>
      <c r="H260" s="17"/>
      <c r="I260" s="17"/>
      <c r="J260" s="16"/>
      <c r="K260" s="17"/>
      <c r="L260" s="17"/>
      <c r="M260" s="17"/>
      <c r="N260" s="17"/>
      <c r="AD260" s="88"/>
      <c r="AE260" s="89"/>
      <c r="AF260" s="89"/>
      <c r="AG260" s="89"/>
      <c r="AH260" s="89"/>
      <c r="AI260" s="90"/>
      <c r="AJ260" s="90"/>
    </row>
    <row r="261" spans="1:36" ht="13.15" customHeight="1" x14ac:dyDescent="0.2">
      <c r="A261" s="15"/>
      <c r="B261" s="16"/>
      <c r="C261" s="16"/>
      <c r="D261" s="17"/>
      <c r="E261" s="17"/>
      <c r="F261" s="17"/>
      <c r="G261" s="17"/>
      <c r="H261" s="17"/>
      <c r="I261" s="17"/>
      <c r="J261" s="16"/>
      <c r="K261" s="17"/>
      <c r="L261" s="17"/>
      <c r="M261" s="17"/>
      <c r="N261" s="17"/>
      <c r="AD261" s="88"/>
      <c r="AE261" s="89"/>
      <c r="AF261" s="89"/>
      <c r="AG261" s="89"/>
      <c r="AH261" s="89"/>
      <c r="AI261" s="90"/>
      <c r="AJ261" s="90"/>
    </row>
    <row r="262" spans="1:36" ht="13.15" customHeight="1" x14ac:dyDescent="0.2">
      <c r="A262" s="15"/>
      <c r="B262" s="16"/>
      <c r="C262" s="16"/>
      <c r="D262" s="17"/>
      <c r="E262" s="17"/>
      <c r="F262" s="17"/>
      <c r="G262" s="17"/>
      <c r="H262" s="17"/>
      <c r="I262" s="17"/>
      <c r="J262" s="16"/>
      <c r="K262" s="17"/>
      <c r="L262" s="17"/>
      <c r="M262" s="17"/>
      <c r="N262" s="17"/>
      <c r="AD262" s="88"/>
      <c r="AE262" s="89"/>
      <c r="AF262" s="89"/>
      <c r="AG262" s="89"/>
      <c r="AH262" s="89"/>
      <c r="AI262" s="90"/>
      <c r="AJ262" s="90"/>
    </row>
    <row r="263" spans="1:36" ht="13.15" customHeight="1" x14ac:dyDescent="0.2">
      <c r="A263" s="15"/>
      <c r="B263" s="16"/>
      <c r="C263" s="16"/>
      <c r="D263" s="17"/>
      <c r="E263" s="17"/>
      <c r="F263" s="17"/>
      <c r="G263" s="17"/>
      <c r="H263" s="17"/>
      <c r="I263" s="17"/>
      <c r="J263" s="16"/>
      <c r="K263" s="17"/>
      <c r="L263" s="17"/>
      <c r="M263" s="17"/>
      <c r="N263" s="17"/>
      <c r="AD263" s="88"/>
      <c r="AE263" s="89"/>
      <c r="AF263" s="89"/>
      <c r="AG263" s="89"/>
      <c r="AH263" s="89"/>
      <c r="AI263" s="90"/>
      <c r="AJ263" s="90"/>
    </row>
    <row r="264" spans="1:36" ht="13.15" customHeight="1" x14ac:dyDescent="0.2">
      <c r="A264" s="15"/>
      <c r="B264" s="16"/>
      <c r="C264" s="16"/>
      <c r="D264" s="17"/>
      <c r="E264" s="17"/>
      <c r="F264" s="17"/>
      <c r="G264" s="17"/>
      <c r="H264" s="17"/>
      <c r="I264" s="17"/>
      <c r="J264" s="16"/>
      <c r="K264" s="17"/>
      <c r="L264" s="17"/>
      <c r="M264" s="17"/>
      <c r="N264" s="17"/>
      <c r="AD264" s="88"/>
      <c r="AE264" s="89"/>
      <c r="AF264" s="89"/>
      <c r="AG264" s="89"/>
      <c r="AH264" s="89"/>
      <c r="AI264" s="90"/>
      <c r="AJ264" s="90"/>
    </row>
    <row r="265" spans="1:36" ht="13.15" customHeight="1" x14ac:dyDescent="0.2">
      <c r="AD265" s="88"/>
      <c r="AE265" s="89"/>
      <c r="AF265" s="89"/>
      <c r="AG265" s="89"/>
      <c r="AH265" s="89"/>
      <c r="AI265" s="90"/>
      <c r="AJ265" s="90"/>
    </row>
    <row r="266" spans="1:36" ht="13.15" customHeight="1" x14ac:dyDescent="0.2">
      <c r="AD266" s="88"/>
      <c r="AE266" s="89"/>
      <c r="AF266" s="89"/>
      <c r="AG266" s="89"/>
      <c r="AH266" s="89"/>
      <c r="AI266" s="90"/>
      <c r="AJ266" s="90"/>
    </row>
    <row r="267" spans="1:36" ht="13.15" customHeight="1" x14ac:dyDescent="0.2">
      <c r="AD267" s="88"/>
      <c r="AE267" s="89"/>
      <c r="AF267" s="89"/>
      <c r="AG267" s="89"/>
      <c r="AH267" s="89"/>
      <c r="AI267" s="90"/>
      <c r="AJ267" s="90"/>
    </row>
    <row r="268" spans="1:36" ht="13.15" customHeight="1" x14ac:dyDescent="0.2">
      <c r="AD268" s="88"/>
      <c r="AE268" s="89"/>
      <c r="AF268" s="89"/>
      <c r="AG268" s="89"/>
      <c r="AH268" s="89"/>
      <c r="AI268" s="90"/>
      <c r="AJ268" s="90"/>
    </row>
    <row r="269" spans="1:36" ht="13.15" customHeight="1" x14ac:dyDescent="0.2">
      <c r="AD269" s="88"/>
      <c r="AE269" s="89"/>
      <c r="AF269" s="89"/>
      <c r="AG269" s="89"/>
      <c r="AH269" s="89"/>
      <c r="AI269" s="90"/>
      <c r="AJ269" s="90"/>
    </row>
    <row r="270" spans="1:36" ht="13.15" customHeight="1" x14ac:dyDescent="0.2">
      <c r="AD270" s="88"/>
      <c r="AE270" s="89"/>
      <c r="AF270" s="89"/>
      <c r="AG270" s="89"/>
      <c r="AH270" s="89"/>
      <c r="AI270" s="90"/>
      <c r="AJ270" s="90"/>
    </row>
    <row r="271" spans="1:36" ht="13.15" customHeight="1" x14ac:dyDescent="0.2">
      <c r="AD271" s="88"/>
      <c r="AE271" s="89"/>
      <c r="AF271" s="89"/>
      <c r="AG271" s="89"/>
      <c r="AH271" s="89"/>
      <c r="AI271" s="90"/>
      <c r="AJ271" s="90"/>
    </row>
    <row r="272" spans="1:36" ht="13.15" customHeight="1" x14ac:dyDescent="0.2">
      <c r="AD272" s="88"/>
      <c r="AE272" s="89"/>
      <c r="AF272" s="89"/>
      <c r="AG272" s="89"/>
      <c r="AH272" s="89"/>
      <c r="AI272" s="90"/>
      <c r="AJ272" s="90"/>
    </row>
    <row r="273" spans="30:36" ht="13.15" customHeight="1" x14ac:dyDescent="0.2">
      <c r="AD273" s="88"/>
      <c r="AE273" s="89"/>
      <c r="AF273" s="89"/>
      <c r="AG273" s="89"/>
      <c r="AH273" s="89"/>
      <c r="AI273" s="90"/>
      <c r="AJ273" s="90"/>
    </row>
    <row r="274" spans="30:36" ht="13.15" customHeight="1" x14ac:dyDescent="0.2">
      <c r="AD274" s="88"/>
      <c r="AE274" s="89"/>
      <c r="AF274" s="89"/>
      <c r="AG274" s="89"/>
      <c r="AH274" s="89"/>
      <c r="AI274" s="90"/>
      <c r="AJ274" s="90"/>
    </row>
    <row r="275" spans="30:36" ht="13.15" customHeight="1" x14ac:dyDescent="0.2">
      <c r="AD275" s="88"/>
      <c r="AE275" s="89"/>
      <c r="AF275" s="89"/>
      <c r="AG275" s="89"/>
      <c r="AH275" s="89"/>
      <c r="AI275" s="90"/>
      <c r="AJ275" s="90"/>
    </row>
    <row r="276" spans="30:36" ht="13.15" customHeight="1" x14ac:dyDescent="0.2">
      <c r="AD276" s="88"/>
      <c r="AE276" s="89"/>
      <c r="AF276" s="89"/>
      <c r="AG276" s="89"/>
      <c r="AH276" s="89"/>
      <c r="AI276" s="90"/>
      <c r="AJ276" s="90"/>
    </row>
    <row r="277" spans="30:36" ht="13.15" customHeight="1" x14ac:dyDescent="0.2">
      <c r="AD277" s="88"/>
      <c r="AE277" s="89"/>
      <c r="AF277" s="89"/>
      <c r="AG277" s="89"/>
      <c r="AH277" s="89"/>
      <c r="AI277" s="90"/>
      <c r="AJ277" s="90"/>
    </row>
    <row r="278" spans="30:36" ht="13.15" customHeight="1" x14ac:dyDescent="0.2">
      <c r="AD278" s="88"/>
      <c r="AE278" s="89"/>
      <c r="AF278" s="89"/>
      <c r="AG278" s="89"/>
      <c r="AH278" s="89"/>
      <c r="AI278" s="90"/>
      <c r="AJ278" s="90"/>
    </row>
    <row r="279" spans="30:36" ht="13.15" customHeight="1" x14ac:dyDescent="0.2">
      <c r="AD279" s="88"/>
      <c r="AE279" s="89"/>
      <c r="AF279" s="89"/>
      <c r="AG279" s="89"/>
      <c r="AH279" s="89"/>
      <c r="AI279" s="90"/>
      <c r="AJ279" s="90"/>
    </row>
    <row r="280" spans="30:36" ht="13.15" customHeight="1" x14ac:dyDescent="0.2">
      <c r="AD280" s="88"/>
      <c r="AE280" s="89"/>
      <c r="AF280" s="89"/>
      <c r="AG280" s="89"/>
      <c r="AH280" s="89"/>
      <c r="AI280" s="90"/>
      <c r="AJ280" s="90"/>
    </row>
    <row r="281" spans="30:36" ht="13.15" customHeight="1" x14ac:dyDescent="0.2">
      <c r="AD281" s="88"/>
      <c r="AE281" s="89"/>
      <c r="AF281" s="89"/>
      <c r="AG281" s="89"/>
      <c r="AH281" s="89"/>
      <c r="AI281" s="90"/>
      <c r="AJ281" s="90"/>
    </row>
    <row r="282" spans="30:36" ht="13.15" customHeight="1" x14ac:dyDescent="0.2">
      <c r="AD282" s="88"/>
      <c r="AE282" s="89"/>
      <c r="AF282" s="89"/>
      <c r="AG282" s="89"/>
      <c r="AH282" s="89"/>
      <c r="AI282" s="90"/>
      <c r="AJ282" s="90"/>
    </row>
    <row r="283" spans="30:36" ht="13.15" customHeight="1" x14ac:dyDescent="0.2">
      <c r="AD283" s="88"/>
      <c r="AE283" s="89"/>
      <c r="AF283" s="89"/>
      <c r="AG283" s="89"/>
      <c r="AH283" s="89"/>
      <c r="AI283" s="90"/>
      <c r="AJ283" s="90"/>
    </row>
    <row r="284" spans="30:36" ht="13.15" customHeight="1" x14ac:dyDescent="0.2">
      <c r="AD284" s="88"/>
      <c r="AE284" s="89"/>
      <c r="AF284" s="89"/>
      <c r="AG284" s="89"/>
      <c r="AH284" s="89"/>
      <c r="AI284" s="90"/>
      <c r="AJ284" s="90"/>
    </row>
    <row r="285" spans="30:36" ht="13.15" customHeight="1" x14ac:dyDescent="0.2">
      <c r="AD285" s="88"/>
      <c r="AE285" s="89"/>
      <c r="AF285" s="89"/>
      <c r="AG285" s="89"/>
      <c r="AH285" s="89"/>
      <c r="AI285" s="90"/>
      <c r="AJ285" s="90"/>
    </row>
    <row r="286" spans="30:36" ht="13.15" customHeight="1" x14ac:dyDescent="0.2">
      <c r="AD286" s="88"/>
      <c r="AE286" s="89"/>
      <c r="AF286" s="89"/>
      <c r="AG286" s="89"/>
      <c r="AH286" s="89"/>
      <c r="AI286" s="90"/>
      <c r="AJ286" s="90"/>
    </row>
    <row r="287" spans="30:36" ht="13.15" customHeight="1" x14ac:dyDescent="0.2">
      <c r="AD287" s="88"/>
      <c r="AE287" s="89"/>
      <c r="AF287" s="89"/>
      <c r="AG287" s="89"/>
      <c r="AH287" s="89"/>
      <c r="AI287" s="90"/>
      <c r="AJ287" s="90"/>
    </row>
    <row r="288" spans="30:36" ht="13.15" customHeight="1" x14ac:dyDescent="0.2">
      <c r="AD288" s="88"/>
      <c r="AE288" s="89"/>
      <c r="AF288" s="89"/>
      <c r="AG288" s="89"/>
      <c r="AH288" s="89"/>
      <c r="AI288" s="90"/>
      <c r="AJ288" s="90"/>
    </row>
    <row r="289" spans="30:36" ht="13.15" customHeight="1" x14ac:dyDescent="0.2">
      <c r="AD289" s="88"/>
      <c r="AE289" s="89"/>
      <c r="AF289" s="89"/>
      <c r="AG289" s="89"/>
      <c r="AH289" s="89"/>
      <c r="AI289" s="90"/>
      <c r="AJ289" s="90"/>
    </row>
    <row r="290" spans="30:36" ht="13.15" customHeight="1" x14ac:dyDescent="0.2">
      <c r="AD290" s="88"/>
      <c r="AE290" s="89"/>
      <c r="AF290" s="89"/>
      <c r="AG290" s="89"/>
      <c r="AH290" s="89"/>
      <c r="AI290" s="90"/>
      <c r="AJ290" s="90"/>
    </row>
    <row r="291" spans="30:36" ht="13.15" customHeight="1" x14ac:dyDescent="0.2">
      <c r="AD291" s="88"/>
      <c r="AE291" s="89"/>
      <c r="AF291" s="89"/>
      <c r="AG291" s="89"/>
      <c r="AH291" s="89"/>
      <c r="AI291" s="90"/>
      <c r="AJ291" s="90"/>
    </row>
    <row r="292" spans="30:36" ht="13.15" customHeight="1" x14ac:dyDescent="0.2">
      <c r="AD292" s="88"/>
      <c r="AE292" s="89"/>
      <c r="AF292" s="89"/>
      <c r="AG292" s="89"/>
      <c r="AH292" s="89"/>
      <c r="AI292" s="90"/>
      <c r="AJ292" s="90"/>
    </row>
    <row r="293" spans="30:36" ht="13.15" customHeight="1" x14ac:dyDescent="0.2">
      <c r="AD293" s="88"/>
      <c r="AE293" s="89"/>
      <c r="AF293" s="89"/>
      <c r="AG293" s="89"/>
      <c r="AH293" s="89"/>
      <c r="AI293" s="90"/>
      <c r="AJ293" s="90"/>
    </row>
    <row r="294" spans="30:36" ht="13.15" customHeight="1" x14ac:dyDescent="0.2">
      <c r="AD294" s="88"/>
      <c r="AE294" s="89"/>
      <c r="AF294" s="89"/>
      <c r="AG294" s="89"/>
      <c r="AH294" s="89"/>
      <c r="AI294" s="90"/>
      <c r="AJ294" s="90"/>
    </row>
    <row r="295" spans="30:36" ht="13.15" customHeight="1" x14ac:dyDescent="0.2">
      <c r="AD295" s="88"/>
      <c r="AE295" s="89"/>
      <c r="AF295" s="89"/>
      <c r="AG295" s="89"/>
      <c r="AH295" s="89"/>
      <c r="AI295" s="90"/>
      <c r="AJ295" s="90"/>
    </row>
    <row r="296" spans="30:36" ht="13.15" customHeight="1" x14ac:dyDescent="0.2">
      <c r="AD296" s="88"/>
      <c r="AE296" s="89"/>
      <c r="AF296" s="89"/>
      <c r="AG296" s="89"/>
      <c r="AH296" s="89"/>
      <c r="AI296" s="90"/>
      <c r="AJ296" s="90"/>
    </row>
    <row r="297" spans="30:36" ht="13.15" customHeight="1" x14ac:dyDescent="0.2">
      <c r="AD297" s="88"/>
      <c r="AE297" s="89"/>
      <c r="AF297" s="89"/>
      <c r="AG297" s="89"/>
      <c r="AH297" s="89"/>
      <c r="AI297" s="90"/>
      <c r="AJ297" s="90"/>
    </row>
    <row r="298" spans="30:36" ht="13.15" customHeight="1" x14ac:dyDescent="0.2">
      <c r="AD298" s="88"/>
      <c r="AE298" s="89"/>
      <c r="AF298" s="89"/>
      <c r="AG298" s="89"/>
      <c r="AH298" s="89"/>
      <c r="AI298" s="90"/>
      <c r="AJ298" s="90"/>
    </row>
    <row r="299" spans="30:36" ht="13.15" customHeight="1" x14ac:dyDescent="0.2">
      <c r="AD299" s="88"/>
      <c r="AE299" s="89"/>
      <c r="AF299" s="89"/>
      <c r="AG299" s="89"/>
      <c r="AH299" s="89"/>
      <c r="AI299" s="90"/>
      <c r="AJ299" s="90"/>
    </row>
    <row r="300" spans="30:36" ht="13.15" customHeight="1" x14ac:dyDescent="0.2">
      <c r="AD300" s="88"/>
      <c r="AE300" s="89"/>
      <c r="AF300" s="89"/>
      <c r="AG300" s="89"/>
      <c r="AH300" s="89"/>
      <c r="AI300" s="90"/>
      <c r="AJ300" s="90"/>
    </row>
    <row r="301" spans="30:36" ht="13.15" customHeight="1" x14ac:dyDescent="0.2">
      <c r="AD301" s="88"/>
      <c r="AE301" s="89"/>
      <c r="AF301" s="89"/>
      <c r="AG301" s="89"/>
      <c r="AH301" s="89"/>
      <c r="AI301" s="90"/>
      <c r="AJ301" s="90"/>
    </row>
    <row r="302" spans="30:36" ht="13.15" customHeight="1" x14ac:dyDescent="0.2">
      <c r="AD302" s="88"/>
      <c r="AE302" s="89"/>
      <c r="AF302" s="89"/>
      <c r="AG302" s="89"/>
      <c r="AH302" s="89"/>
      <c r="AI302" s="90"/>
      <c r="AJ302" s="90"/>
    </row>
    <row r="303" spans="30:36" ht="13.15" customHeight="1" x14ac:dyDescent="0.2">
      <c r="AD303" s="88"/>
      <c r="AE303" s="89"/>
      <c r="AF303" s="89"/>
      <c r="AG303" s="89"/>
      <c r="AH303" s="89"/>
      <c r="AI303" s="90"/>
      <c r="AJ303" s="90"/>
    </row>
    <row r="304" spans="30:36" ht="13.15" customHeight="1" x14ac:dyDescent="0.2">
      <c r="AD304" s="88"/>
      <c r="AE304" s="89"/>
      <c r="AF304" s="89"/>
      <c r="AG304" s="89"/>
      <c r="AH304" s="89"/>
      <c r="AI304" s="90"/>
      <c r="AJ304" s="90"/>
    </row>
    <row r="305" spans="30:36" ht="13.15" customHeight="1" x14ac:dyDescent="0.2">
      <c r="AD305" s="88"/>
      <c r="AE305" s="89"/>
      <c r="AF305" s="89"/>
      <c r="AG305" s="89"/>
      <c r="AH305" s="89"/>
      <c r="AI305" s="90"/>
      <c r="AJ305" s="90"/>
    </row>
    <row r="306" spans="30:36" ht="13.15" customHeight="1" x14ac:dyDescent="0.2">
      <c r="AD306" s="88"/>
      <c r="AE306" s="89"/>
      <c r="AF306" s="89"/>
      <c r="AG306" s="89"/>
      <c r="AH306" s="89"/>
      <c r="AI306" s="90"/>
      <c r="AJ306" s="90"/>
    </row>
    <row r="307" spans="30:36" ht="13.15" customHeight="1" x14ac:dyDescent="0.2">
      <c r="AD307" s="88"/>
      <c r="AE307" s="89"/>
      <c r="AF307" s="89"/>
      <c r="AG307" s="89"/>
      <c r="AH307" s="89"/>
      <c r="AI307" s="90"/>
      <c r="AJ307" s="90"/>
    </row>
  </sheetData>
  <mergeCells count="3">
    <mergeCell ref="D3:I3"/>
    <mergeCell ref="M3:O3"/>
    <mergeCell ref="J3:L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2"/>
  <dimension ref="A2:AS59"/>
  <sheetViews>
    <sheetView workbookViewId="0">
      <selection activeCell="C5" sqref="C5"/>
    </sheetView>
  </sheetViews>
  <sheetFormatPr defaultRowHeight="12.75" x14ac:dyDescent="0.2"/>
  <cols>
    <col min="1" max="1" width="7" customWidth="1"/>
    <col min="2" max="2" width="5.83203125" bestFit="1" customWidth="1"/>
    <col min="3" max="3" width="11.6640625" bestFit="1" customWidth="1"/>
    <col min="4" max="4" width="11.5" customWidth="1"/>
    <col min="5" max="6" width="6.1640625" customWidth="1"/>
    <col min="7" max="7" width="11.6640625" bestFit="1" customWidth="1"/>
    <col min="8" max="8" width="10.83203125" bestFit="1" customWidth="1"/>
    <col min="9" max="9" width="6.6640625" customWidth="1"/>
    <col min="10" max="10" width="5.83203125" bestFit="1" customWidth="1"/>
    <col min="11" max="11" width="11.6640625" bestFit="1" customWidth="1"/>
    <col min="12" max="12" width="12.83203125" customWidth="1"/>
    <col min="13" max="13" width="7.6640625" customWidth="1"/>
    <col min="14" max="14" width="5.83203125" bestFit="1" customWidth="1"/>
    <col min="15" max="15" width="11.6640625" bestFit="1" customWidth="1"/>
    <col min="16" max="16" width="10.83203125" bestFit="1" customWidth="1"/>
    <col min="17" max="17" width="8.33203125" customWidth="1"/>
    <col min="18" max="18" width="5.83203125" bestFit="1" customWidth="1"/>
    <col min="19" max="19" width="11.6640625" bestFit="1" customWidth="1"/>
    <col min="20" max="20" width="9.6640625" bestFit="1" customWidth="1"/>
  </cols>
  <sheetData>
    <row r="2" spans="2:22" ht="13.15" customHeight="1" x14ac:dyDescent="0.2">
      <c r="B2" s="549" t="s">
        <v>29</v>
      </c>
      <c r="C2" s="549"/>
      <c r="D2" s="550" t="s">
        <v>118</v>
      </c>
      <c r="E2" s="10"/>
      <c r="F2" s="549" t="s">
        <v>119</v>
      </c>
      <c r="G2" s="549"/>
      <c r="H2" s="550" t="s">
        <v>118</v>
      </c>
      <c r="I2" s="10"/>
      <c r="J2" s="549" t="s">
        <v>120</v>
      </c>
      <c r="K2" s="549"/>
      <c r="L2" s="550" t="s">
        <v>118</v>
      </c>
      <c r="M2" s="10"/>
      <c r="N2" s="549" t="s">
        <v>121</v>
      </c>
      <c r="O2" s="549"/>
      <c r="P2" s="550" t="s">
        <v>118</v>
      </c>
      <c r="Q2" s="10"/>
      <c r="R2" s="549" t="s">
        <v>41</v>
      </c>
      <c r="S2" s="549"/>
      <c r="T2" s="550" t="s">
        <v>118</v>
      </c>
      <c r="U2" s="10"/>
    </row>
    <row r="3" spans="2:22" x14ac:dyDescent="0.2">
      <c r="B3" s="350" t="s">
        <v>0</v>
      </c>
      <c r="C3" s="350" t="s">
        <v>122</v>
      </c>
      <c r="D3" s="550"/>
      <c r="E3" s="10"/>
      <c r="F3" s="350" t="s">
        <v>0</v>
      </c>
      <c r="G3" s="350" t="s">
        <v>122</v>
      </c>
      <c r="H3" s="550"/>
      <c r="I3" s="10"/>
      <c r="J3" s="350" t="s">
        <v>0</v>
      </c>
      <c r="K3" s="350" t="s">
        <v>122</v>
      </c>
      <c r="L3" s="550"/>
      <c r="M3" s="10"/>
      <c r="N3" s="350" t="s">
        <v>0</v>
      </c>
      <c r="O3" s="350" t="s">
        <v>194</v>
      </c>
      <c r="P3" s="550"/>
      <c r="Q3" s="10"/>
      <c r="R3" s="350" t="s">
        <v>0</v>
      </c>
      <c r="S3" s="350" t="s">
        <v>194</v>
      </c>
      <c r="T3" s="550"/>
      <c r="U3" s="10"/>
    </row>
    <row r="4" spans="2:22" x14ac:dyDescent="0.2">
      <c r="B4" s="350"/>
      <c r="C4" s="350"/>
      <c r="D4" s="509"/>
      <c r="E4" s="10"/>
      <c r="F4" s="350"/>
      <c r="G4" s="350"/>
      <c r="H4" s="509"/>
      <c r="I4" s="10"/>
      <c r="J4" s="350"/>
      <c r="K4" s="350"/>
      <c r="L4" s="509"/>
      <c r="M4" s="10"/>
      <c r="N4" s="350"/>
      <c r="O4" s="350"/>
      <c r="P4" s="509"/>
      <c r="Q4" s="10"/>
      <c r="R4" s="350"/>
      <c r="S4" s="350"/>
      <c r="T4" s="509"/>
      <c r="U4" s="10"/>
    </row>
    <row r="5" spans="2:22" x14ac:dyDescent="0.2">
      <c r="B5" s="10">
        <v>2015</v>
      </c>
      <c r="C5" s="45">
        <f>AVERAGEIF('Monthly Data'!B:B,B5,'Monthly Data'!G:G)</f>
        <v>60123.25</v>
      </c>
      <c r="D5" s="46"/>
      <c r="E5" s="47"/>
      <c r="F5" s="10">
        <v>2015</v>
      </c>
      <c r="G5" s="45">
        <f>AVERAGEIF('Monthly Data'!B:B,B5,'Monthly Data'!K:K)</f>
        <v>5238.5</v>
      </c>
      <c r="H5" s="46"/>
      <c r="I5" s="47"/>
      <c r="J5" s="10">
        <v>2015</v>
      </c>
      <c r="K5" s="45">
        <f>AVERAGEIF('Monthly Data'!B:B,B5,'Monthly Data'!P:P)</f>
        <v>1027.6666666666667</v>
      </c>
      <c r="L5" s="46"/>
      <c r="M5" s="47"/>
      <c r="N5" s="10">
        <v>2015</v>
      </c>
      <c r="O5" s="45">
        <f>AVERAGEIF('Monthly Data'!B:B,B5,'Monthly Data'!S:S)</f>
        <v>15228.583333333334</v>
      </c>
      <c r="P5" s="46"/>
      <c r="Q5" s="47"/>
      <c r="R5" s="10">
        <v>2015</v>
      </c>
      <c r="S5" s="45">
        <f>AVERAGEIF('Monthly Data'!B:B,B5,'Monthly Data'!V:V)</f>
        <v>556.75</v>
      </c>
      <c r="T5" s="46"/>
      <c r="U5" s="47"/>
    </row>
    <row r="6" spans="2:22" x14ac:dyDescent="0.2">
      <c r="B6" s="10">
        <f t="shared" ref="B6:B16" si="0">B5+1</f>
        <v>2016</v>
      </c>
      <c r="C6" s="45">
        <f>AVERAGEIF('Monthly Data'!B:B,B6,'Monthly Data'!G:G)</f>
        <v>60318.833333333336</v>
      </c>
      <c r="D6" s="46">
        <f t="shared" ref="D6:D8" si="1">C6/C5</f>
        <v>1.0032530399360204</v>
      </c>
      <c r="E6" s="47"/>
      <c r="F6" s="10">
        <f t="shared" ref="F6:F14" si="2">F5+1</f>
        <v>2016</v>
      </c>
      <c r="G6" s="45">
        <f>AVERAGEIF('Monthly Data'!B:B,B6,'Monthly Data'!K:K)</f>
        <v>5272.833333333333</v>
      </c>
      <c r="H6" s="46">
        <f t="shared" ref="H6:H8" si="3">G6/G5</f>
        <v>1.0065540390060768</v>
      </c>
      <c r="I6" s="47"/>
      <c r="J6" s="10">
        <f t="shared" ref="J6:J14" si="4">J5+1</f>
        <v>2016</v>
      </c>
      <c r="K6" s="45">
        <f>AVERAGEIF('Monthly Data'!B:B,B6,'Monthly Data'!P:P)</f>
        <v>1034.1666666666667</v>
      </c>
      <c r="L6" s="46">
        <f t="shared" ref="L6:L8" si="5">K6/K5</f>
        <v>1.0063250081089847</v>
      </c>
      <c r="M6" s="47"/>
      <c r="N6" s="10">
        <f t="shared" ref="N6:N14" si="6">N5+1</f>
        <v>2016</v>
      </c>
      <c r="O6" s="45">
        <f>AVERAGEIF('Monthly Data'!B:B,B6,'Monthly Data'!S:S)</f>
        <v>15252.666666666666</v>
      </c>
      <c r="P6" s="46">
        <f t="shared" ref="P6:P8" si="7">O6/O5</f>
        <v>1.0015814559244403</v>
      </c>
      <c r="Q6" s="47"/>
      <c r="R6" s="10">
        <f t="shared" ref="R6:R14" si="8">R5+1</f>
        <v>2016</v>
      </c>
      <c r="S6" s="45">
        <f>AVERAGEIF('Monthly Data'!B:B,B6,'Monthly Data'!V:V)</f>
        <v>559.08333333333337</v>
      </c>
      <c r="T6" s="46">
        <f t="shared" ref="T6:T8" si="9">S6/S5</f>
        <v>1.0041909893728485</v>
      </c>
      <c r="U6" s="47"/>
    </row>
    <row r="7" spans="2:22" x14ac:dyDescent="0.2">
      <c r="B7" s="10">
        <f t="shared" si="0"/>
        <v>2017</v>
      </c>
      <c r="C7" s="45">
        <f>AVERAGEIF('Monthly Data'!B:B,B7,'Monthly Data'!G:G)</f>
        <v>60502</v>
      </c>
      <c r="D7" s="46">
        <f t="shared" si="1"/>
        <v>1.003036641402768</v>
      </c>
      <c r="E7" s="47"/>
      <c r="F7" s="10">
        <f t="shared" si="2"/>
        <v>2017</v>
      </c>
      <c r="G7" s="45">
        <f>AVERAGEIF('Monthly Data'!B:B,B7,'Monthly Data'!K:K)</f>
        <v>5341.666666666667</v>
      </c>
      <c r="H7" s="46">
        <f t="shared" si="3"/>
        <v>1.0130543351139489</v>
      </c>
      <c r="I7" s="47"/>
      <c r="J7" s="10">
        <f t="shared" si="4"/>
        <v>2017</v>
      </c>
      <c r="K7" s="45">
        <f>AVERAGEIF('Monthly Data'!B:B,B7,'Monthly Data'!P:P)</f>
        <v>1003.6666666666666</v>
      </c>
      <c r="L7" s="46">
        <f t="shared" si="5"/>
        <v>0.97050765511684112</v>
      </c>
      <c r="M7" s="47"/>
      <c r="N7" s="10">
        <f t="shared" si="6"/>
        <v>2017</v>
      </c>
      <c r="O7" s="45">
        <f>AVERAGEIF('Monthly Data'!B:B,B7,'Monthly Data'!S:S)</f>
        <v>17184</v>
      </c>
      <c r="P7" s="51">
        <f t="shared" si="7"/>
        <v>1.12662266707461</v>
      </c>
      <c r="Q7" s="47"/>
      <c r="R7" s="10">
        <f t="shared" si="8"/>
        <v>2017</v>
      </c>
      <c r="S7" s="45">
        <f>AVERAGEIF('Monthly Data'!B:B,B7,'Monthly Data'!V:V)</f>
        <v>561.91666666666663</v>
      </c>
      <c r="T7" s="46">
        <f t="shared" si="9"/>
        <v>1.0050678193471454</v>
      </c>
      <c r="U7" s="47"/>
      <c r="V7" t="s">
        <v>181</v>
      </c>
    </row>
    <row r="8" spans="2:22" x14ac:dyDescent="0.2">
      <c r="B8" s="10">
        <f t="shared" si="0"/>
        <v>2018</v>
      </c>
      <c r="C8" s="45">
        <f>AVERAGEIF('Monthly Data'!B:B,B8,'Monthly Data'!G:G)</f>
        <v>60920.083333333336</v>
      </c>
      <c r="D8" s="46">
        <f t="shared" si="1"/>
        <v>1.0069102398818772</v>
      </c>
      <c r="E8" s="47"/>
      <c r="F8" s="10">
        <f t="shared" si="2"/>
        <v>2018</v>
      </c>
      <c r="G8" s="45">
        <f>AVERAGEIF('Monthly Data'!B:B,B8,'Monthly Data'!K:K)</f>
        <v>5427.75</v>
      </c>
      <c r="H8" s="46">
        <f t="shared" si="3"/>
        <v>1.0161154446177847</v>
      </c>
      <c r="I8" s="47"/>
      <c r="J8" s="10">
        <f t="shared" si="4"/>
        <v>2018</v>
      </c>
      <c r="K8" s="45">
        <f>AVERAGEIF('Monthly Data'!B:B,B8,'Monthly Data'!P:P)</f>
        <v>985.83333333333337</v>
      </c>
      <c r="L8" s="46">
        <f t="shared" si="5"/>
        <v>0.98223181667220205</v>
      </c>
      <c r="M8" s="47"/>
      <c r="N8" s="10">
        <f t="shared" si="6"/>
        <v>2018</v>
      </c>
      <c r="O8" s="45">
        <f>AVERAGEIF('Monthly Data'!B:B,B8,'Monthly Data'!S:S)</f>
        <v>17184</v>
      </c>
      <c r="P8" s="46">
        <f t="shared" si="7"/>
        <v>1</v>
      </c>
      <c r="Q8" s="47"/>
      <c r="R8" s="10">
        <f t="shared" si="8"/>
        <v>2018</v>
      </c>
      <c r="S8" s="45">
        <f>AVERAGEIF('Monthly Data'!B:B,B8,'Monthly Data'!V:V)</f>
        <v>563.33333333333337</v>
      </c>
      <c r="T8" s="46">
        <f t="shared" si="9"/>
        <v>1.0025211330268429</v>
      </c>
      <c r="U8" s="47"/>
    </row>
    <row r="9" spans="2:22" s="37" customFormat="1" ht="15" x14ac:dyDescent="0.25">
      <c r="B9" s="10">
        <f t="shared" si="0"/>
        <v>2019</v>
      </c>
      <c r="C9" s="45">
        <f>AVERAGEIF('Monthly Data'!B:B,B9,'Monthly Data'!G:G)</f>
        <v>61427.666666666664</v>
      </c>
      <c r="D9" s="46">
        <f t="shared" ref="D9" si="10">C9/C8</f>
        <v>1.0083319540217306</v>
      </c>
      <c r="E9" s="47"/>
      <c r="F9" s="10">
        <f t="shared" si="2"/>
        <v>2019</v>
      </c>
      <c r="G9" s="45">
        <f>AVERAGEIF('Monthly Data'!B:B,B9,'Monthly Data'!K:K)</f>
        <v>5489.5</v>
      </c>
      <c r="H9" s="46">
        <f t="shared" ref="H9" si="11">G9/G8</f>
        <v>1.0113767214775919</v>
      </c>
      <c r="I9" s="47"/>
      <c r="J9" s="10">
        <f t="shared" si="4"/>
        <v>2019</v>
      </c>
      <c r="K9" s="45">
        <f>AVERAGEIF('Monthly Data'!B:B,B9,'Monthly Data'!P:P)</f>
        <v>984.83333333333337</v>
      </c>
      <c r="L9" s="46">
        <f t="shared" ref="L9" si="12">K9/K8</f>
        <v>0.99898562975486049</v>
      </c>
      <c r="M9" s="47"/>
      <c r="N9" s="10">
        <f t="shared" si="6"/>
        <v>2019</v>
      </c>
      <c r="O9" s="45">
        <f>AVERAGEIF('Monthly Data'!B:B,B9,'Monthly Data'!S:S)</f>
        <v>17184</v>
      </c>
      <c r="P9" s="46">
        <f t="shared" ref="P9" si="13">O9/O8</f>
        <v>1</v>
      </c>
      <c r="Q9" s="47"/>
      <c r="R9" s="10">
        <f t="shared" si="8"/>
        <v>2019</v>
      </c>
      <c r="S9" s="45">
        <f>AVERAGEIF('Monthly Data'!B:B,B9,'Monthly Data'!V:V)</f>
        <v>561.5</v>
      </c>
      <c r="T9" s="46">
        <f t="shared" ref="T9" si="14">S9/S8</f>
        <v>0.9967455621301774</v>
      </c>
      <c r="U9" s="47"/>
    </row>
    <row r="10" spans="2:22" s="37" customFormat="1" ht="15" x14ac:dyDescent="0.25">
      <c r="B10" s="10">
        <f t="shared" si="0"/>
        <v>2020</v>
      </c>
      <c r="C10" s="45">
        <f>AVERAGEIF('Monthly Data'!B:B,B10,'Monthly Data'!G:G)</f>
        <v>61640</v>
      </c>
      <c r="D10" s="46">
        <f t="shared" ref="D10:D13" si="15">C10/C9</f>
        <v>1.0034566400590397</v>
      </c>
      <c r="E10" s="47"/>
      <c r="F10" s="10">
        <f t="shared" si="2"/>
        <v>2020</v>
      </c>
      <c r="G10" s="45">
        <f>AVERAGEIF('Monthly Data'!B:B,B10,'Monthly Data'!K:K)</f>
        <v>5513.833333333333</v>
      </c>
      <c r="H10" s="46">
        <f t="shared" ref="H10:H13" si="16">G10/G9</f>
        <v>1.0044327048607948</v>
      </c>
      <c r="I10" s="47"/>
      <c r="J10" s="10">
        <f t="shared" si="4"/>
        <v>2020</v>
      </c>
      <c r="K10" s="45">
        <f>AVERAGEIF('Monthly Data'!B:B,B10,'Monthly Data'!P:P)</f>
        <v>1001.5</v>
      </c>
      <c r="L10" s="46">
        <f t="shared" ref="L10:L13" si="17">K10/K9</f>
        <v>1.016923337282112</v>
      </c>
      <c r="M10" s="47"/>
      <c r="N10" s="10">
        <f t="shared" si="6"/>
        <v>2020</v>
      </c>
      <c r="O10" s="45">
        <f>AVERAGEIF('Monthly Data'!B:B,B10,'Monthly Data'!S:S)</f>
        <v>17185.333333333332</v>
      </c>
      <c r="P10" s="46">
        <f t="shared" ref="P10:P13" si="18">O10/O9</f>
        <v>1.0000775915580384</v>
      </c>
      <c r="Q10" s="47"/>
      <c r="R10" s="10">
        <f t="shared" si="8"/>
        <v>2020</v>
      </c>
      <c r="S10" s="45">
        <f>AVERAGEIF('Monthly Data'!B:B,B10,'Monthly Data'!V:V)</f>
        <v>576</v>
      </c>
      <c r="T10" s="46">
        <f t="shared" ref="T10:T13" si="19">S10/S9</f>
        <v>1.0258236865538735</v>
      </c>
      <c r="U10" s="47"/>
    </row>
    <row r="11" spans="2:22" s="37" customFormat="1" ht="15" x14ac:dyDescent="0.25">
      <c r="B11" s="10">
        <f t="shared" si="0"/>
        <v>2021</v>
      </c>
      <c r="C11" s="45">
        <f>AVERAGEIF('Monthly Data'!B:B,B11,'Monthly Data'!G:G)</f>
        <v>61867.75</v>
      </c>
      <c r="D11" s="46">
        <f t="shared" si="15"/>
        <v>1.0036948410123296</v>
      </c>
      <c r="E11" s="47"/>
      <c r="F11" s="10">
        <f t="shared" si="2"/>
        <v>2021</v>
      </c>
      <c r="G11" s="45">
        <f>AVERAGEIF('Monthly Data'!B:B,B11,'Monthly Data'!K:K)</f>
        <v>5605.083333333333</v>
      </c>
      <c r="H11" s="46">
        <f t="shared" si="16"/>
        <v>1.0165492851313362</v>
      </c>
      <c r="I11" s="47"/>
      <c r="J11" s="10">
        <f t="shared" si="4"/>
        <v>2021</v>
      </c>
      <c r="K11" s="45">
        <f>AVERAGEIF('Monthly Data'!B:B,B11,'Monthly Data'!P:P)</f>
        <v>985.58333333333337</v>
      </c>
      <c r="L11" s="46">
        <f t="shared" si="17"/>
        <v>0.98410717257447167</v>
      </c>
      <c r="M11" s="47"/>
      <c r="N11" s="10">
        <f t="shared" si="6"/>
        <v>2021</v>
      </c>
      <c r="O11" s="45">
        <f>AVERAGEIF('Monthly Data'!B:B,B11,'Monthly Data'!S:S)</f>
        <v>17189</v>
      </c>
      <c r="P11" s="46">
        <f t="shared" si="18"/>
        <v>1.0002133602296532</v>
      </c>
      <c r="Q11" s="47"/>
      <c r="R11" s="10">
        <f t="shared" si="8"/>
        <v>2021</v>
      </c>
      <c r="S11" s="45">
        <f>AVERAGEIF('Monthly Data'!B:B,B11,'Monthly Data'!V:V)</f>
        <v>573.58333333333337</v>
      </c>
      <c r="T11" s="46">
        <f t="shared" si="19"/>
        <v>0.99580439814814825</v>
      </c>
      <c r="U11" s="47"/>
    </row>
    <row r="12" spans="2:22" s="37" customFormat="1" ht="15" x14ac:dyDescent="0.25">
      <c r="B12" s="10">
        <f t="shared" si="0"/>
        <v>2022</v>
      </c>
      <c r="C12" s="45">
        <f>AVERAGEIF('Monthly Data'!B:B,B12,'Monthly Data'!G:G)</f>
        <v>62004.083333333336</v>
      </c>
      <c r="D12" s="46">
        <f t="shared" si="15"/>
        <v>1.0022036252059163</v>
      </c>
      <c r="E12" s="47"/>
      <c r="F12" s="10">
        <f t="shared" si="2"/>
        <v>2022</v>
      </c>
      <c r="G12" s="45">
        <f>AVERAGEIF('Monthly Data'!B:B,B12,'Monthly Data'!K:K)</f>
        <v>5664.333333333333</v>
      </c>
      <c r="H12" s="46">
        <f t="shared" si="16"/>
        <v>1.0105707616598028</v>
      </c>
      <c r="I12" s="47"/>
      <c r="J12" s="10">
        <f t="shared" si="4"/>
        <v>2022</v>
      </c>
      <c r="K12" s="45">
        <f>AVERAGEIF('Monthly Data'!B:B,B12,'Monthly Data'!P:P)</f>
        <v>967.08333333333337</v>
      </c>
      <c r="L12" s="46">
        <f t="shared" si="17"/>
        <v>0.98122939037794876</v>
      </c>
      <c r="M12" s="47"/>
      <c r="N12" s="10">
        <f t="shared" si="6"/>
        <v>2022</v>
      </c>
      <c r="O12" s="45">
        <f>AVERAGEIF('Monthly Data'!B:B,B12,'Monthly Data'!S:S)</f>
        <v>17201</v>
      </c>
      <c r="P12" s="46">
        <f t="shared" si="18"/>
        <v>1.0006981208912678</v>
      </c>
      <c r="Q12" s="47"/>
      <c r="R12" s="10">
        <f t="shared" si="8"/>
        <v>2022</v>
      </c>
      <c r="S12" s="45">
        <f>AVERAGEIF('Monthly Data'!B:B,B12,'Monthly Data'!V:V)</f>
        <v>573.5</v>
      </c>
      <c r="T12" s="46">
        <f t="shared" si="19"/>
        <v>0.99985471451401997</v>
      </c>
      <c r="U12" s="47"/>
    </row>
    <row r="13" spans="2:22" s="37" customFormat="1" ht="15" x14ac:dyDescent="0.25">
      <c r="B13" s="10">
        <f t="shared" si="0"/>
        <v>2023</v>
      </c>
      <c r="C13" s="45">
        <f>AVERAGEIF('Monthly Data'!B:B,B13,'Monthly Data'!G:G)</f>
        <v>62206.666666666664</v>
      </c>
      <c r="D13" s="46">
        <f t="shared" si="15"/>
        <v>1.0032672579359692</v>
      </c>
      <c r="E13" s="47"/>
      <c r="F13" s="10">
        <f t="shared" si="2"/>
        <v>2023</v>
      </c>
      <c r="G13" s="45">
        <f>AVERAGEIF('Monthly Data'!B:B,B13,'Monthly Data'!K:K)</f>
        <v>5698.833333333333</v>
      </c>
      <c r="H13" s="46">
        <f t="shared" si="16"/>
        <v>1.0060907432472195</v>
      </c>
      <c r="I13" s="47"/>
      <c r="J13" s="10">
        <f t="shared" si="4"/>
        <v>2023</v>
      </c>
      <c r="K13" s="45">
        <f>AVERAGEIF('Monthly Data'!B:B,B13,'Monthly Data'!P:P)</f>
        <v>943.58333333333337</v>
      </c>
      <c r="L13" s="46">
        <f t="shared" si="17"/>
        <v>0.97570012925463168</v>
      </c>
      <c r="M13" s="47"/>
      <c r="N13" s="10">
        <f t="shared" si="6"/>
        <v>2023</v>
      </c>
      <c r="O13" s="45">
        <f>AVERAGEIF('Monthly Data'!B:B,B13,'Monthly Data'!S:S)</f>
        <v>17210</v>
      </c>
      <c r="P13" s="46">
        <f t="shared" si="18"/>
        <v>1.0005232253938725</v>
      </c>
      <c r="Q13" s="47"/>
      <c r="R13" s="10">
        <f t="shared" si="8"/>
        <v>2023</v>
      </c>
      <c r="S13" s="45">
        <f>AVERAGEIF('Monthly Data'!B:B,B13,'Monthly Data'!V:V)</f>
        <v>575.08333333333337</v>
      </c>
      <c r="T13" s="46">
        <f t="shared" si="19"/>
        <v>1.0027608253414706</v>
      </c>
      <c r="U13" s="47"/>
    </row>
    <row r="14" spans="2:22" x14ac:dyDescent="0.2">
      <c r="B14" s="10">
        <f t="shared" si="0"/>
        <v>2024</v>
      </c>
      <c r="C14" s="45">
        <f>AVERAGEIF('Monthly Data'!B:B,B14,'Monthly Data'!G:G)</f>
        <v>62563.5</v>
      </c>
      <c r="D14" s="46">
        <f t="shared" ref="D14" si="20">C14/C13</f>
        <v>1.0057362554924445</v>
      </c>
      <c r="E14" s="47"/>
      <c r="F14" s="10">
        <f t="shared" si="2"/>
        <v>2024</v>
      </c>
      <c r="G14" s="45">
        <f>AVERAGEIF('Monthly Data'!B:B,B14,'Monthly Data'!K:K)</f>
        <v>5712.416666666667</v>
      </c>
      <c r="H14" s="46">
        <f t="shared" ref="H14" si="21">G14/G13</f>
        <v>1.002383528792443</v>
      </c>
      <c r="I14" s="47"/>
      <c r="J14" s="10">
        <f t="shared" si="4"/>
        <v>2024</v>
      </c>
      <c r="K14" s="45">
        <f>AVERAGEIF('Monthly Data'!B:B,B14,'Monthly Data'!P:P)</f>
        <v>965.33333333333337</v>
      </c>
      <c r="L14" s="46">
        <f t="shared" ref="L14" si="22">K14/K13</f>
        <v>1.0230504283317141</v>
      </c>
      <c r="M14" s="47"/>
      <c r="N14" s="10">
        <f t="shared" si="6"/>
        <v>2024</v>
      </c>
      <c r="O14" s="45">
        <f>AVERAGEIF('Monthly Data'!B:B,B14,'Monthly Data'!S:S)</f>
        <v>17309.75</v>
      </c>
      <c r="P14" s="46">
        <f t="shared" ref="P14" si="23">O14/O13</f>
        <v>1.005796048808832</v>
      </c>
      <c r="Q14" s="47"/>
      <c r="R14" s="10">
        <f t="shared" si="8"/>
        <v>2024</v>
      </c>
      <c r="S14" s="45">
        <f>AVERAGEIF('Monthly Data'!B:B,B14,'Monthly Data'!V:V)</f>
        <v>578.91666666666663</v>
      </c>
      <c r="T14" s="46">
        <f t="shared" ref="T14" si="24">S14/S13</f>
        <v>1.0066657006230979</v>
      </c>
      <c r="U14" s="47"/>
    </row>
    <row r="15" spans="2:22" x14ac:dyDescent="0.2">
      <c r="B15" s="47">
        <f t="shared" si="0"/>
        <v>2025</v>
      </c>
      <c r="C15" s="48">
        <f>C14*D15</f>
        <v>62840.680541172725</v>
      </c>
      <c r="D15" s="49">
        <f>GEOMEAN(D6:D14)</f>
        <v>1.0044303873851803</v>
      </c>
      <c r="E15" s="47"/>
      <c r="F15" s="47">
        <f t="shared" ref="F15:F16" si="25">F14+1</f>
        <v>2025</v>
      </c>
      <c r="G15" s="48">
        <f>G14*H15</f>
        <v>5767.6525747042533</v>
      </c>
      <c r="H15" s="49">
        <f>GEOMEAN(H6:H14)</f>
        <v>1.00966944662141</v>
      </c>
      <c r="I15" s="47"/>
      <c r="J15" s="47">
        <f t="shared" ref="J15:J16" si="26">J14+1</f>
        <v>2025</v>
      </c>
      <c r="K15" s="48">
        <f>K14*L15</f>
        <v>958.64511156610388</v>
      </c>
      <c r="L15" s="49">
        <f>GEOMEAN(L6:L14)</f>
        <v>0.99307159347317386</v>
      </c>
      <c r="M15" s="47"/>
      <c r="N15" s="47">
        <f t="shared" ref="N15:N16" si="27">N14+1</f>
        <v>2025</v>
      </c>
      <c r="O15" s="48">
        <f>O14*P15</f>
        <v>17328.955893925715</v>
      </c>
      <c r="P15" s="49">
        <f>GEOMEAN(P6,P8:P14)</f>
        <v>1.0011095419590528</v>
      </c>
      <c r="Q15" s="47"/>
      <c r="R15" s="47">
        <f t="shared" ref="R15:R16" si="28">R14+1</f>
        <v>2025</v>
      </c>
      <c r="S15" s="48">
        <f>S14*T15</f>
        <v>581.43347731611095</v>
      </c>
      <c r="T15" s="49">
        <f>GEOMEAN(T6:T14)</f>
        <v>1.0043474489410296</v>
      </c>
    </row>
    <row r="16" spans="2:22" x14ac:dyDescent="0.2">
      <c r="B16" s="47">
        <f t="shared" si="0"/>
        <v>2026</v>
      </c>
      <c r="C16" s="48">
        <f>C15*D16</f>
        <v>63119.089099518482</v>
      </c>
      <c r="D16" s="49">
        <f>D15</f>
        <v>1.0044303873851803</v>
      </c>
      <c r="E16" s="47"/>
      <c r="F16" s="47">
        <f t="shared" si="25"/>
        <v>2026</v>
      </c>
      <c r="G16" s="48">
        <f>G15*H16</f>
        <v>5823.4225834061945</v>
      </c>
      <c r="H16" s="49">
        <f>H15</f>
        <v>1.00966944662141</v>
      </c>
      <c r="I16" s="47"/>
      <c r="J16" s="47">
        <f t="shared" si="26"/>
        <v>2026</v>
      </c>
      <c r="K16" s="48">
        <f>K15*L16</f>
        <v>952.00322851821932</v>
      </c>
      <c r="L16" s="49">
        <f>L15</f>
        <v>0.99307159347317386</v>
      </c>
      <c r="M16" s="47"/>
      <c r="N16" s="47">
        <f t="shared" si="27"/>
        <v>2026</v>
      </c>
      <c r="O16" s="48">
        <f>O15*P16</f>
        <v>17348.1830975966</v>
      </c>
      <c r="P16" s="49">
        <f>P15</f>
        <v>1.0011095419590528</v>
      </c>
      <c r="Q16" s="47"/>
      <c r="R16" s="47">
        <f t="shared" si="28"/>
        <v>2026</v>
      </c>
      <c r="S16" s="48">
        <f>S15*T16</f>
        <v>583.96122967134806</v>
      </c>
      <c r="T16" s="49">
        <f>T15</f>
        <v>1.0043474489410296</v>
      </c>
    </row>
    <row r="18" spans="1:45" x14ac:dyDescent="0.2">
      <c r="B18" s="47">
        <f>B14</f>
        <v>2024</v>
      </c>
      <c r="C18" s="48">
        <f>AVERAGE(C24:C35)</f>
        <v>62563.5</v>
      </c>
      <c r="D18" s="49">
        <f>C18/C13</f>
        <v>1.0057362554924445</v>
      </c>
      <c r="E18" s="47"/>
      <c r="F18" s="47">
        <f>F14</f>
        <v>2024</v>
      </c>
      <c r="G18" s="48">
        <f>AVERAGE(G24:G35)</f>
        <v>5712.416666666667</v>
      </c>
      <c r="H18" s="49">
        <f>G18/G13</f>
        <v>1.002383528792443</v>
      </c>
      <c r="I18" s="47"/>
      <c r="J18" s="47">
        <f>J14</f>
        <v>2024</v>
      </c>
      <c r="K18" s="48">
        <f>AVERAGE(K24:K35)</f>
        <v>965.33333333333337</v>
      </c>
      <c r="L18" s="49">
        <f>K18/K13</f>
        <v>1.0230504283317141</v>
      </c>
      <c r="M18" s="47"/>
      <c r="N18" s="47">
        <f>N14</f>
        <v>2024</v>
      </c>
      <c r="O18" s="48">
        <f>AVERAGE(O24:O35)</f>
        <v>17309.75</v>
      </c>
      <c r="P18" s="49">
        <f>O18/O13</f>
        <v>1.005796048808832</v>
      </c>
      <c r="Q18" s="47"/>
      <c r="R18" s="47">
        <f>R14</f>
        <v>2024</v>
      </c>
      <c r="S18" s="48">
        <f>AVERAGE(S24:S35)</f>
        <v>578.91666666666663</v>
      </c>
      <c r="T18" s="49">
        <f>S18/S13</f>
        <v>1.0066657006230979</v>
      </c>
      <c r="V18" s="34"/>
    </row>
    <row r="19" spans="1:45" x14ac:dyDescent="0.2">
      <c r="B19" s="47">
        <f>B15</f>
        <v>2025</v>
      </c>
      <c r="C19" s="48">
        <f>AVERAGE(C36:C47)</f>
        <v>62840.624421126122</v>
      </c>
      <c r="D19" s="49">
        <f>C19/C18</f>
        <v>1.0044294903757962</v>
      </c>
      <c r="E19" s="47"/>
      <c r="F19" s="47">
        <f>F15</f>
        <v>2025</v>
      </c>
      <c r="G19" s="48">
        <f>AVERAGE(G36:G47)</f>
        <v>5767.6533095588848</v>
      </c>
      <c r="H19" s="49">
        <f>G19/G18</f>
        <v>1.0096695752630471</v>
      </c>
      <c r="I19" s="47"/>
      <c r="J19" s="47">
        <f>J15</f>
        <v>2025</v>
      </c>
      <c r="K19" s="48">
        <f>AVERAGE(K36:K47)</f>
        <v>958.64959452003393</v>
      </c>
      <c r="L19" s="49">
        <f>K19/K18</f>
        <v>0.99307623741716222</v>
      </c>
      <c r="M19" s="47"/>
      <c r="N19" s="47">
        <f>N15</f>
        <v>2025</v>
      </c>
      <c r="O19" s="48">
        <f>AVERAGE(O36:O47)</f>
        <v>17328.949378578214</v>
      </c>
      <c r="P19" s="49">
        <f>O19/O18</f>
        <v>1.0011091655615023</v>
      </c>
      <c r="Q19" s="47"/>
      <c r="R19" s="47">
        <f>R15</f>
        <v>2025</v>
      </c>
      <c r="S19" s="48">
        <f>AVERAGE(S36:S47)</f>
        <v>581.43295914678447</v>
      </c>
      <c r="T19" s="49">
        <f>S19/S18</f>
        <v>1.0043465538738181</v>
      </c>
    </row>
    <row r="20" spans="1:45" x14ac:dyDescent="0.2">
      <c r="B20" s="47">
        <v>2026</v>
      </c>
      <c r="C20" s="48">
        <f>AVERAGE(C48:C59)</f>
        <v>63119.032730838313</v>
      </c>
      <c r="D20" s="49">
        <f>C20/C19</f>
        <v>1.0044303873851801</v>
      </c>
      <c r="E20" s="47"/>
      <c r="F20" s="47">
        <v>2026</v>
      </c>
      <c r="G20" s="48">
        <f>AVERAGE(G48:G59)</f>
        <v>5823.4233253664679</v>
      </c>
      <c r="H20" s="49">
        <f>G20/G19</f>
        <v>1.0096694466214109</v>
      </c>
      <c r="I20" s="47"/>
      <c r="J20" s="47">
        <v>2026</v>
      </c>
      <c r="K20" s="48">
        <f>AVERAGE(K48:K59)</f>
        <v>952.00768041242202</v>
      </c>
      <c r="L20" s="49">
        <f>K20/K19</f>
        <v>0.99307159347317375</v>
      </c>
      <c r="M20" s="47"/>
      <c r="N20" s="47">
        <v>2026</v>
      </c>
      <c r="O20" s="48">
        <f>AVERAGE(O48:O59)</f>
        <v>17348.176575020057</v>
      </c>
      <c r="P20" s="49">
        <f>O20/O19</f>
        <v>1.0011095419590532</v>
      </c>
      <c r="Q20" s="47"/>
      <c r="R20" s="47">
        <v>2026</v>
      </c>
      <c r="S20" s="48">
        <f>AVERAGE(S48:S59)</f>
        <v>583.96070924930689</v>
      </c>
      <c r="T20" s="49">
        <f>S20/S19</f>
        <v>1.0043474489410296</v>
      </c>
    </row>
    <row r="21" spans="1:45" x14ac:dyDescent="0.2">
      <c r="H21" s="77"/>
      <c r="L21" s="77"/>
    </row>
    <row r="22" spans="1:45" ht="15" x14ac:dyDescent="0.25">
      <c r="A22" s="118" t="s">
        <v>213</v>
      </c>
      <c r="C22" s="119" t="str">
        <f>IF(ROUND(C19,0)=ROUND(C15,0),IF(ROUND(C20,0)=ROUND(C16,0),"Match","Check"),"Check")</f>
        <v>Match</v>
      </c>
      <c r="G22" s="119" t="str">
        <f>IF(ROUND(G19,0)=ROUND(G15,0),IF(ROUND(G20,0)=ROUND(G16,0),"Match","Check"),"Check")</f>
        <v>Match</v>
      </c>
      <c r="K22" s="119" t="str">
        <f>IF(ROUND(K19,0)=ROUND(K15,0),IF(ROUND(K20,0)=ROUND(K16,0),"Match","Check"),"Check")</f>
        <v>Match</v>
      </c>
      <c r="O22" s="119" t="str">
        <f>IF(ROUND(O19,0)=ROUND(O15,0),IF(ROUND(O20,0)=ROUND(O16,0),"Match","Check"),"Check")</f>
        <v>Match</v>
      </c>
      <c r="S22" s="119" t="str">
        <f>IF(ROUND(S19,0)=ROUND(S15,0),IF(ROUND(S20,0)=ROUND(S16,0),"Match","Check"),"Check")</f>
        <v>Match</v>
      </c>
    </row>
    <row r="23" spans="1:45" ht="15" x14ac:dyDescent="0.25">
      <c r="A23" s="37"/>
      <c r="C23" s="119"/>
      <c r="G23" s="119"/>
      <c r="H23" s="35"/>
      <c r="K23" s="119"/>
      <c r="O23" s="119"/>
      <c r="S23" s="119"/>
      <c r="W23" s="119"/>
      <c r="AA23" s="37"/>
      <c r="AC23" s="119"/>
      <c r="AG23" s="119"/>
      <c r="AK23" s="119"/>
      <c r="AL23" s="119"/>
      <c r="AO23" s="119"/>
      <c r="AS23" s="119"/>
    </row>
    <row r="24" spans="1:45" x14ac:dyDescent="0.2">
      <c r="A24">
        <v>2024</v>
      </c>
      <c r="B24" t="s">
        <v>50</v>
      </c>
      <c r="C24" s="20">
        <f>'Monthly Data'!G110</f>
        <v>62372</v>
      </c>
      <c r="D24" s="75"/>
      <c r="E24" s="87"/>
      <c r="F24" s="87"/>
      <c r="G24" s="20">
        <f>'Monthly Data'!K110</f>
        <v>5693</v>
      </c>
      <c r="H24" s="75"/>
      <c r="I24" s="87"/>
      <c r="J24" s="87"/>
      <c r="K24" s="20">
        <f>'Monthly Data'!P110</f>
        <v>969</v>
      </c>
      <c r="L24" s="75"/>
      <c r="M24" s="87"/>
      <c r="N24" s="87"/>
      <c r="O24" s="18">
        <f>'Monthly Data'!S110</f>
        <v>17249</v>
      </c>
      <c r="P24" s="35"/>
      <c r="Q24" s="87"/>
      <c r="R24" s="87"/>
      <c r="S24" s="18">
        <f>'Monthly Data'!V110</f>
        <v>578</v>
      </c>
      <c r="T24" s="35"/>
    </row>
    <row r="25" spans="1:45" x14ac:dyDescent="0.2">
      <c r="B25" t="s">
        <v>51</v>
      </c>
      <c r="C25" s="20">
        <f>'Monthly Data'!G111</f>
        <v>62384</v>
      </c>
      <c r="D25" s="75">
        <f t="shared" ref="D25:D29" si="29">C25/C24</f>
        <v>1.0001923940229591</v>
      </c>
      <c r="E25" s="87"/>
      <c r="F25" s="87"/>
      <c r="G25" s="20">
        <f>'Monthly Data'!K111</f>
        <v>5693</v>
      </c>
      <c r="H25" s="75">
        <f t="shared" ref="H25:H29" si="30">G25/G24</f>
        <v>1</v>
      </c>
      <c r="I25" s="87"/>
      <c r="J25" s="87"/>
      <c r="K25" s="20">
        <f>'Monthly Data'!P111</f>
        <v>969</v>
      </c>
      <c r="L25" s="75">
        <f t="shared" ref="L25:L29" si="31">K25/K24</f>
        <v>1</v>
      </c>
      <c r="M25" s="87"/>
      <c r="N25" s="87"/>
      <c r="O25" s="18">
        <f>'Monthly Data'!S111</f>
        <v>17249</v>
      </c>
      <c r="P25" s="35">
        <f t="shared" ref="P25:P29" si="32">O25/O24</f>
        <v>1</v>
      </c>
      <c r="Q25" s="87"/>
      <c r="R25" s="87"/>
      <c r="S25" s="18">
        <f>'Monthly Data'!V111</f>
        <v>579</v>
      </c>
      <c r="T25" s="35">
        <f t="shared" ref="T25:T29" si="33">S25/S24</f>
        <v>1.0017301038062283</v>
      </c>
    </row>
    <row r="26" spans="1:45" x14ac:dyDescent="0.2">
      <c r="B26" t="s">
        <v>52</v>
      </c>
      <c r="C26" s="20">
        <f>'Monthly Data'!G112</f>
        <v>62449</v>
      </c>
      <c r="D26" s="75">
        <f t="shared" si="29"/>
        <v>1.0010419338291869</v>
      </c>
      <c r="E26" s="87"/>
      <c r="F26" s="87"/>
      <c r="G26" s="20">
        <f>'Monthly Data'!K112</f>
        <v>5700</v>
      </c>
      <c r="H26" s="75">
        <f t="shared" si="30"/>
        <v>1.0012295801861937</v>
      </c>
      <c r="I26" s="87"/>
      <c r="J26" s="87"/>
      <c r="K26" s="20">
        <f>'Monthly Data'!P112</f>
        <v>970</v>
      </c>
      <c r="L26" s="75">
        <f t="shared" si="31"/>
        <v>1.001031991744066</v>
      </c>
      <c r="M26" s="87"/>
      <c r="N26" s="87"/>
      <c r="O26" s="18">
        <f>'Monthly Data'!S112</f>
        <v>17249</v>
      </c>
      <c r="P26" s="35">
        <f t="shared" si="32"/>
        <v>1</v>
      </c>
      <c r="Q26" s="87"/>
      <c r="R26" s="87"/>
      <c r="S26" s="18">
        <f>'Monthly Data'!V112</f>
        <v>579</v>
      </c>
      <c r="T26" s="35">
        <f t="shared" si="33"/>
        <v>1</v>
      </c>
    </row>
    <row r="27" spans="1:45" x14ac:dyDescent="0.2">
      <c r="B27" t="s">
        <v>53</v>
      </c>
      <c r="C27" s="20">
        <f>'Monthly Data'!G113</f>
        <v>62563</v>
      </c>
      <c r="D27" s="75">
        <f t="shared" si="29"/>
        <v>1.0018254895995131</v>
      </c>
      <c r="E27" s="87"/>
      <c r="F27" s="87"/>
      <c r="G27" s="20">
        <f>'Monthly Data'!K113</f>
        <v>5698</v>
      </c>
      <c r="H27" s="75">
        <f t="shared" si="30"/>
        <v>0.99964912280701756</v>
      </c>
      <c r="I27" s="87"/>
      <c r="J27" s="87"/>
      <c r="K27" s="20">
        <f>'Monthly Data'!P113</f>
        <v>968</v>
      </c>
      <c r="L27" s="75">
        <f t="shared" si="31"/>
        <v>0.99793814432989691</v>
      </c>
      <c r="M27" s="87"/>
      <c r="N27" s="87"/>
      <c r="O27" s="18">
        <f>'Monthly Data'!S113</f>
        <v>17330</v>
      </c>
      <c r="P27" s="35">
        <f t="shared" si="32"/>
        <v>1.0046959244014146</v>
      </c>
      <c r="Q27" s="87"/>
      <c r="R27" s="87"/>
      <c r="S27" s="18">
        <f>'Monthly Data'!V113</f>
        <v>579</v>
      </c>
      <c r="T27" s="35">
        <f t="shared" si="33"/>
        <v>1</v>
      </c>
    </row>
    <row r="28" spans="1:45" x14ac:dyDescent="0.2">
      <c r="B28" t="s">
        <v>54</v>
      </c>
      <c r="C28" s="20">
        <f>'Monthly Data'!G114</f>
        <v>62610</v>
      </c>
      <c r="D28" s="75">
        <f t="shared" si="29"/>
        <v>1.0007512427473106</v>
      </c>
      <c r="E28" s="87"/>
      <c r="F28" s="87"/>
      <c r="G28" s="20">
        <f>'Monthly Data'!K114</f>
        <v>5710</v>
      </c>
      <c r="H28" s="75">
        <f t="shared" si="30"/>
        <v>1.0021060021060022</v>
      </c>
      <c r="I28" s="87"/>
      <c r="J28" s="87"/>
      <c r="K28" s="20">
        <f>'Monthly Data'!P114</f>
        <v>970</v>
      </c>
      <c r="L28" s="75">
        <f t="shared" si="31"/>
        <v>1.0020661157024793</v>
      </c>
      <c r="M28" s="87"/>
      <c r="N28" s="87"/>
      <c r="O28" s="18">
        <f>'Monthly Data'!S114</f>
        <v>17330</v>
      </c>
      <c r="P28" s="35">
        <f t="shared" si="32"/>
        <v>1</v>
      </c>
      <c r="Q28" s="87"/>
      <c r="R28" s="87"/>
      <c r="S28" s="18">
        <f>'Monthly Data'!V114</f>
        <v>579</v>
      </c>
      <c r="T28" s="35">
        <f t="shared" si="33"/>
        <v>1</v>
      </c>
    </row>
    <row r="29" spans="1:45" x14ac:dyDescent="0.2">
      <c r="B29" t="s">
        <v>55</v>
      </c>
      <c r="C29" s="20">
        <f>'Monthly Data'!G115</f>
        <v>62506</v>
      </c>
      <c r="D29" s="75">
        <f t="shared" si="29"/>
        <v>0.99833892349464937</v>
      </c>
      <c r="E29" s="87"/>
      <c r="F29" s="87"/>
      <c r="G29" s="20">
        <f>'Monthly Data'!K115</f>
        <v>5709</v>
      </c>
      <c r="H29" s="75">
        <f t="shared" si="30"/>
        <v>0.99982486865148856</v>
      </c>
      <c r="I29" s="87"/>
      <c r="J29" s="87"/>
      <c r="K29" s="20">
        <f>'Monthly Data'!P115</f>
        <v>968</v>
      </c>
      <c r="L29" s="75">
        <f t="shared" si="31"/>
        <v>0.99793814432989691</v>
      </c>
      <c r="M29" s="87"/>
      <c r="N29" s="87"/>
      <c r="O29" s="18">
        <f>'Monthly Data'!S115</f>
        <v>17330</v>
      </c>
      <c r="P29" s="35">
        <f t="shared" si="32"/>
        <v>1</v>
      </c>
      <c r="Q29" s="87"/>
      <c r="R29" s="87"/>
      <c r="S29" s="18">
        <f>'Monthly Data'!V115</f>
        <v>579</v>
      </c>
      <c r="T29" s="35">
        <f t="shared" si="33"/>
        <v>1</v>
      </c>
    </row>
    <row r="30" spans="1:45" x14ac:dyDescent="0.2">
      <c r="B30" t="s">
        <v>56</v>
      </c>
      <c r="C30" s="20">
        <f>'Monthly Data'!G116</f>
        <v>62650</v>
      </c>
      <c r="D30" s="75">
        <f t="shared" ref="D30:D35" si="34">C30/C29</f>
        <v>1.0023037788372315</v>
      </c>
      <c r="E30" s="87"/>
      <c r="F30" s="87"/>
      <c r="G30" s="20">
        <f>'Monthly Data'!K116</f>
        <v>5715</v>
      </c>
      <c r="H30" s="75">
        <f t="shared" ref="H30:H35" si="35">G30/G29</f>
        <v>1.001050972149238</v>
      </c>
      <c r="I30" s="87"/>
      <c r="J30" s="87"/>
      <c r="K30" s="20">
        <f>'Monthly Data'!P116</f>
        <v>964</v>
      </c>
      <c r="L30" s="75">
        <f t="shared" ref="L30:L35" si="36">K30/K29</f>
        <v>0.99586776859504134</v>
      </c>
      <c r="M30" s="87"/>
      <c r="N30" s="87"/>
      <c r="O30" s="18">
        <f>'Monthly Data'!S116</f>
        <v>17330</v>
      </c>
      <c r="P30" s="35">
        <f t="shared" ref="P30:P35" si="37">O30/O29</f>
        <v>1</v>
      </c>
      <c r="Q30" s="87"/>
      <c r="R30" s="87"/>
      <c r="S30" s="18">
        <f>'Monthly Data'!V116</f>
        <v>579</v>
      </c>
      <c r="T30" s="35">
        <f t="shared" ref="T30:T35" si="38">S30/S29</f>
        <v>1</v>
      </c>
    </row>
    <row r="31" spans="1:45" x14ac:dyDescent="0.2">
      <c r="B31" t="s">
        <v>57</v>
      </c>
      <c r="C31" s="20">
        <f>'Monthly Data'!G117</f>
        <v>62612</v>
      </c>
      <c r="D31" s="75">
        <f t="shared" si="34"/>
        <v>0.99939345570630489</v>
      </c>
      <c r="E31" s="87"/>
      <c r="F31" s="87"/>
      <c r="G31" s="20">
        <f>'Monthly Data'!K117</f>
        <v>5712</v>
      </c>
      <c r="H31" s="75">
        <f t="shared" si="35"/>
        <v>0.99947506561679789</v>
      </c>
      <c r="I31" s="87"/>
      <c r="J31" s="87"/>
      <c r="K31" s="20">
        <f>'Monthly Data'!P117</f>
        <v>964</v>
      </c>
      <c r="L31" s="75">
        <f t="shared" si="36"/>
        <v>1</v>
      </c>
      <c r="M31" s="87"/>
      <c r="N31" s="87"/>
      <c r="O31" s="18">
        <f>'Monthly Data'!S117</f>
        <v>17330</v>
      </c>
      <c r="P31" s="35">
        <f t="shared" si="37"/>
        <v>1</v>
      </c>
      <c r="Q31" s="87"/>
      <c r="R31" s="87"/>
      <c r="S31" s="18">
        <f>'Monthly Data'!V117</f>
        <v>579</v>
      </c>
      <c r="T31" s="35">
        <f t="shared" si="38"/>
        <v>1</v>
      </c>
    </row>
    <row r="32" spans="1:45" x14ac:dyDescent="0.2">
      <c r="B32" t="s">
        <v>177</v>
      </c>
      <c r="C32" s="20">
        <f>'Monthly Data'!G118</f>
        <v>62663</v>
      </c>
      <c r="D32" s="75">
        <f t="shared" si="34"/>
        <v>1.0008145403437041</v>
      </c>
      <c r="E32" s="87"/>
      <c r="F32" s="87"/>
      <c r="G32" s="20">
        <f>'Monthly Data'!K118</f>
        <v>5736</v>
      </c>
      <c r="H32" s="75">
        <f t="shared" si="35"/>
        <v>1.0042016806722689</v>
      </c>
      <c r="I32" s="87"/>
      <c r="J32" s="87"/>
      <c r="K32" s="20">
        <f>'Monthly Data'!P118</f>
        <v>964</v>
      </c>
      <c r="L32" s="75">
        <f t="shared" si="36"/>
        <v>1</v>
      </c>
      <c r="M32" s="87"/>
      <c r="N32" s="87"/>
      <c r="O32" s="18">
        <f>'Monthly Data'!S118</f>
        <v>17330</v>
      </c>
      <c r="P32" s="35">
        <f t="shared" si="37"/>
        <v>1</v>
      </c>
      <c r="Q32" s="87"/>
      <c r="R32" s="87"/>
      <c r="S32" s="18">
        <f>'Monthly Data'!V118</f>
        <v>579</v>
      </c>
      <c r="T32" s="35">
        <f t="shared" si="38"/>
        <v>1</v>
      </c>
    </row>
    <row r="33" spans="1:20" x14ac:dyDescent="0.2">
      <c r="B33" t="s">
        <v>59</v>
      </c>
      <c r="C33" s="20">
        <f>'Monthly Data'!G119</f>
        <v>62674</v>
      </c>
      <c r="D33" s="75">
        <f t="shared" si="34"/>
        <v>1.000175542185979</v>
      </c>
      <c r="E33" s="87"/>
      <c r="F33" s="87"/>
      <c r="G33" s="20">
        <f>'Monthly Data'!K119</f>
        <v>5733</v>
      </c>
      <c r="H33" s="75">
        <f t="shared" si="35"/>
        <v>0.99947698744769875</v>
      </c>
      <c r="I33" s="87"/>
      <c r="J33" s="87"/>
      <c r="K33" s="20">
        <f>'Monthly Data'!P119</f>
        <v>958</v>
      </c>
      <c r="L33" s="75">
        <f t="shared" si="36"/>
        <v>0.99377593360995853</v>
      </c>
      <c r="M33" s="87"/>
      <c r="N33" s="87"/>
      <c r="O33" s="18">
        <f>'Monthly Data'!S119</f>
        <v>17330</v>
      </c>
      <c r="P33" s="35">
        <f t="shared" si="37"/>
        <v>1</v>
      </c>
      <c r="Q33" s="87"/>
      <c r="R33" s="87"/>
      <c r="S33" s="18">
        <f>'Monthly Data'!V119</f>
        <v>579</v>
      </c>
      <c r="T33" s="35">
        <f t="shared" si="38"/>
        <v>1</v>
      </c>
    </row>
    <row r="34" spans="1:20" x14ac:dyDescent="0.2">
      <c r="B34" t="s">
        <v>60</v>
      </c>
      <c r="C34" s="20">
        <f>'Monthly Data'!G120</f>
        <v>62628</v>
      </c>
      <c r="D34" s="75">
        <f t="shared" si="34"/>
        <v>0.9992660433353544</v>
      </c>
      <c r="E34" s="87"/>
      <c r="F34" s="87"/>
      <c r="G34" s="20">
        <f>'Monthly Data'!K120</f>
        <v>5717</v>
      </c>
      <c r="H34" s="75">
        <f t="shared" si="35"/>
        <v>0.99720914006628292</v>
      </c>
      <c r="I34" s="87"/>
      <c r="J34" s="87"/>
      <c r="K34" s="20">
        <f>'Monthly Data'!P120</f>
        <v>961</v>
      </c>
      <c r="L34" s="75">
        <f t="shared" si="36"/>
        <v>1.0031315240083507</v>
      </c>
      <c r="M34" s="87"/>
      <c r="N34" s="87"/>
      <c r="O34" s="18">
        <f>'Monthly Data'!S120</f>
        <v>17330</v>
      </c>
      <c r="P34" s="35">
        <f t="shared" si="37"/>
        <v>1</v>
      </c>
      <c r="Q34" s="87"/>
      <c r="R34" s="87"/>
      <c r="S34" s="18">
        <f>'Monthly Data'!V120</f>
        <v>579</v>
      </c>
      <c r="T34" s="35">
        <f t="shared" si="38"/>
        <v>1</v>
      </c>
    </row>
    <row r="35" spans="1:20" x14ac:dyDescent="0.2">
      <c r="B35" t="s">
        <v>61</v>
      </c>
      <c r="C35" s="20">
        <f>'Monthly Data'!G121</f>
        <v>62651</v>
      </c>
      <c r="D35" s="75">
        <f t="shared" si="34"/>
        <v>1.0003672478763492</v>
      </c>
      <c r="E35" s="87"/>
      <c r="F35" s="87"/>
      <c r="G35" s="20">
        <f>'Monthly Data'!K121</f>
        <v>5733</v>
      </c>
      <c r="H35" s="75">
        <f t="shared" si="35"/>
        <v>1.00279867063145</v>
      </c>
      <c r="I35" s="87"/>
      <c r="J35" s="87"/>
      <c r="K35" s="20">
        <f>'Monthly Data'!P121</f>
        <v>959</v>
      </c>
      <c r="L35" s="75">
        <f t="shared" si="36"/>
        <v>0.99791883454734653</v>
      </c>
      <c r="M35" s="87"/>
      <c r="N35" s="87"/>
      <c r="O35" s="18">
        <f>'Monthly Data'!S121</f>
        <v>17330</v>
      </c>
      <c r="P35" s="35">
        <f t="shared" si="37"/>
        <v>1</v>
      </c>
      <c r="Q35" s="87"/>
      <c r="R35" s="87"/>
      <c r="S35" s="18">
        <f>'Monthly Data'!V121</f>
        <v>579</v>
      </c>
      <c r="T35" s="35">
        <f t="shared" si="38"/>
        <v>1</v>
      </c>
    </row>
    <row r="36" spans="1:20" x14ac:dyDescent="0.2">
      <c r="A36">
        <v>2025</v>
      </c>
      <c r="B36" t="s">
        <v>50</v>
      </c>
      <c r="C36" s="85">
        <f>C15/D15^(5.5046192/12)</f>
        <v>62713.380635540663</v>
      </c>
      <c r="D36" s="86">
        <f>C36/C35</f>
        <v>1.0009956845946699</v>
      </c>
      <c r="E36" s="87"/>
      <c r="F36" s="87"/>
      <c r="G36" s="85">
        <f>G15/H15^(5.5046192/12)</f>
        <v>5742.2488571456734</v>
      </c>
      <c r="H36" s="86">
        <f>G36/G35</f>
        <v>1.0016132665525332</v>
      </c>
      <c r="I36" s="87"/>
      <c r="J36" s="87"/>
      <c r="K36" s="85">
        <f>K15/L15^(5.5046192/12)</f>
        <v>961.70734874360232</v>
      </c>
      <c r="L36" s="86">
        <f>K36/K35</f>
        <v>1.0028230956659043</v>
      </c>
      <c r="M36" s="87"/>
      <c r="N36" s="87"/>
      <c r="O36" s="85">
        <f>O15/P15^(5.5046192/12)</f>
        <v>17320.143155420334</v>
      </c>
      <c r="P36" s="86">
        <f>O36/O35</f>
        <v>0.9994312265101174</v>
      </c>
      <c r="Q36" s="87"/>
      <c r="R36" s="87"/>
      <c r="S36" s="85">
        <f>S15/T15^(5.5046192/12)</f>
        <v>580.27761477142326</v>
      </c>
      <c r="T36" s="86">
        <f>S36/S35</f>
        <v>1.0022065885516809</v>
      </c>
    </row>
    <row r="37" spans="1:20" x14ac:dyDescent="0.2">
      <c r="B37" t="s">
        <v>51</v>
      </c>
      <c r="C37" s="85">
        <f>C36*D$15^(1/12)</f>
        <v>62736.487466597595</v>
      </c>
      <c r="D37" s="86">
        <f>C37/C36</f>
        <v>1.0003684513707085</v>
      </c>
      <c r="E37" s="87"/>
      <c r="F37" s="87"/>
      <c r="G37" s="85">
        <f>G36*H$15^(1/12)</f>
        <v>5746.8555074624846</v>
      </c>
      <c r="H37" s="86">
        <f>G37/G36</f>
        <v>1.0008022380136101</v>
      </c>
      <c r="I37" s="87"/>
      <c r="J37" s="87"/>
      <c r="K37" s="85">
        <f>K36*L$15^(1/12)</f>
        <v>961.15031937609444</v>
      </c>
      <c r="L37" s="86">
        <f t="shared" ref="L37:L54" si="39">K37/K36</f>
        <v>0.99942079119158689</v>
      </c>
      <c r="M37" s="87"/>
      <c r="N37" s="87"/>
      <c r="O37" s="85">
        <f t="shared" ref="O37:O54" si="40">O36*P$15^(1/12)</f>
        <v>17321.743793725251</v>
      </c>
      <c r="P37" s="86">
        <f t="shared" ref="P37:P54" si="41">O37/O36</f>
        <v>1.0000924148426809</v>
      </c>
      <c r="Q37" s="87"/>
      <c r="R37" s="87"/>
      <c r="S37" s="85">
        <f t="shared" ref="S37:S54" si="42">S36*T$15^(1/12)</f>
        <v>580.487424311572</v>
      </c>
      <c r="T37" s="86">
        <f t="shared" ref="T37:T54" si="43">S37/S36</f>
        <v>1.0003615675235575</v>
      </c>
    </row>
    <row r="38" spans="1:20" x14ac:dyDescent="0.2">
      <c r="B38" t="s">
        <v>52</v>
      </c>
      <c r="C38" s="85">
        <f t="shared" ref="C38:C47" si="44">C37*D$15^(1/12)</f>
        <v>62759.602811398101</v>
      </c>
      <c r="D38" s="86">
        <f t="shared" ref="D38:D54" si="45">C38/C37</f>
        <v>1.0003684513707085</v>
      </c>
      <c r="E38" s="87"/>
      <c r="F38" s="87"/>
      <c r="G38" s="85">
        <f t="shared" ref="G38:G47" si="46">G37*H$15^(1/12)</f>
        <v>5751.465853409296</v>
      </c>
      <c r="H38" s="86">
        <f t="shared" ref="H38:H54" si="47">G38/G37</f>
        <v>1.0008022380136101</v>
      </c>
      <c r="I38" s="87"/>
      <c r="J38" s="87"/>
      <c r="K38" s="85">
        <f t="shared" ref="K38:K47" si="48">K37*L$15^(1/12)</f>
        <v>960.59361264490269</v>
      </c>
      <c r="L38" s="86">
        <f t="shared" si="39"/>
        <v>0.99942079119158689</v>
      </c>
      <c r="M38" s="87"/>
      <c r="N38" s="87"/>
      <c r="O38" s="85">
        <f t="shared" si="40"/>
        <v>17323.344579952907</v>
      </c>
      <c r="P38" s="86">
        <f t="shared" si="41"/>
        <v>1.0000924148426809</v>
      </c>
      <c r="Q38" s="87"/>
      <c r="R38" s="87"/>
      <c r="S38" s="85">
        <f t="shared" si="42"/>
        <v>580.6973097120366</v>
      </c>
      <c r="T38" s="86">
        <f t="shared" si="43"/>
        <v>1.0003615675235575</v>
      </c>
    </row>
    <row r="39" spans="1:20" x14ac:dyDescent="0.2">
      <c r="B39" t="s">
        <v>53</v>
      </c>
      <c r="C39" s="85">
        <f t="shared" si="44"/>
        <v>62782.72667307908</v>
      </c>
      <c r="D39" s="86">
        <f t="shared" si="45"/>
        <v>1.0003684513707085</v>
      </c>
      <c r="E39" s="87"/>
      <c r="F39" s="87"/>
      <c r="G39" s="85">
        <f t="shared" si="46"/>
        <v>5756.0798979508818</v>
      </c>
      <c r="H39" s="86">
        <f t="shared" si="47"/>
        <v>1.0008022380136101</v>
      </c>
      <c r="I39" s="87"/>
      <c r="J39" s="87"/>
      <c r="K39" s="85">
        <f t="shared" si="48"/>
        <v>960.03722836315342</v>
      </c>
      <c r="L39" s="86">
        <f t="shared" si="39"/>
        <v>0.99942079119158689</v>
      </c>
      <c r="M39" s="87"/>
      <c r="N39" s="87"/>
      <c r="O39" s="85">
        <f t="shared" si="40"/>
        <v>17324.945514116971</v>
      </c>
      <c r="P39" s="86">
        <f t="shared" si="41"/>
        <v>1.0000924148426809</v>
      </c>
      <c r="Q39" s="87"/>
      <c r="R39" s="87"/>
      <c r="S39" s="85">
        <f t="shared" si="42"/>
        <v>580.90727100024571</v>
      </c>
      <c r="T39" s="86">
        <f t="shared" si="43"/>
        <v>1.0003615675235575</v>
      </c>
    </row>
    <row r="40" spans="1:20" x14ac:dyDescent="0.2">
      <c r="B40" t="s">
        <v>54</v>
      </c>
      <c r="C40" s="85">
        <f t="shared" si="44"/>
        <v>62805.859054778593</v>
      </c>
      <c r="D40" s="86">
        <f t="shared" si="45"/>
        <v>1.0003684513707085</v>
      </c>
      <c r="E40" s="87"/>
      <c r="F40" s="87"/>
      <c r="G40" s="85">
        <f t="shared" si="46"/>
        <v>5760.6976440543949</v>
      </c>
      <c r="H40" s="86">
        <f t="shared" si="47"/>
        <v>1.0008022380136101</v>
      </c>
      <c r="I40" s="87"/>
      <c r="J40" s="87"/>
      <c r="K40" s="85">
        <f t="shared" si="48"/>
        <v>959.48116634408098</v>
      </c>
      <c r="L40" s="86">
        <f t="shared" si="39"/>
        <v>0.99942079119158689</v>
      </c>
      <c r="M40" s="87"/>
      <c r="N40" s="87"/>
      <c r="O40" s="85">
        <f t="shared" si="40"/>
        <v>17326.546596231114</v>
      </c>
      <c r="P40" s="86">
        <f t="shared" si="41"/>
        <v>1.0000924148426809</v>
      </c>
      <c r="Q40" s="87"/>
      <c r="R40" s="87"/>
      <c r="S40" s="85">
        <f t="shared" si="42"/>
        <v>581.11730820363789</v>
      </c>
      <c r="T40" s="86">
        <f t="shared" si="43"/>
        <v>1.0003615675235575</v>
      </c>
    </row>
    <row r="41" spans="1:20" x14ac:dyDescent="0.2">
      <c r="B41" t="s">
        <v>55</v>
      </c>
      <c r="C41" s="85">
        <f t="shared" si="44"/>
        <v>62828.999959635854</v>
      </c>
      <c r="D41" s="86">
        <f t="shared" si="45"/>
        <v>1.0003684513707085</v>
      </c>
      <c r="E41" s="87"/>
      <c r="F41" s="87"/>
      <c r="G41" s="85">
        <f t="shared" si="46"/>
        <v>5765.3190946893692</v>
      </c>
      <c r="H41" s="86">
        <f t="shared" si="47"/>
        <v>1.0008022380136101</v>
      </c>
      <c r="I41" s="87"/>
      <c r="J41" s="87"/>
      <c r="K41" s="85">
        <f t="shared" si="48"/>
        <v>958.92542640102795</v>
      </c>
      <c r="L41" s="86">
        <f t="shared" si="39"/>
        <v>0.99942079119158689</v>
      </c>
      <c r="M41" s="87"/>
      <c r="N41" s="87"/>
      <c r="O41" s="85">
        <f t="shared" si="40"/>
        <v>17328.147826309007</v>
      </c>
      <c r="P41" s="86">
        <f t="shared" si="41"/>
        <v>1.0000924148426809</v>
      </c>
      <c r="Q41" s="87"/>
      <c r="R41" s="87"/>
      <c r="S41" s="85">
        <f t="shared" si="42"/>
        <v>581.32742134966145</v>
      </c>
      <c r="T41" s="86">
        <f t="shared" si="43"/>
        <v>1.0003615675235575</v>
      </c>
    </row>
    <row r="42" spans="1:20" x14ac:dyDescent="0.2">
      <c r="B42" t="s">
        <v>56</v>
      </c>
      <c r="C42" s="85">
        <f t="shared" si="44"/>
        <v>62852.14939079123</v>
      </c>
      <c r="D42" s="86">
        <f t="shared" si="45"/>
        <v>1.0003684513707085</v>
      </c>
      <c r="E42" s="87"/>
      <c r="F42" s="87"/>
      <c r="G42" s="85">
        <f t="shared" si="46"/>
        <v>5769.9442528277214</v>
      </c>
      <c r="H42" s="86">
        <f t="shared" si="47"/>
        <v>1.0008022380136101</v>
      </c>
      <c r="I42" s="87"/>
      <c r="J42" s="87"/>
      <c r="K42" s="85">
        <f t="shared" si="48"/>
        <v>958.37000834744515</v>
      </c>
      <c r="L42" s="86">
        <f t="shared" si="39"/>
        <v>0.99942079119158689</v>
      </c>
      <c r="M42" s="87"/>
      <c r="N42" s="87"/>
      <c r="O42" s="85">
        <f t="shared" si="40"/>
        <v>17329.749204364325</v>
      </c>
      <c r="P42" s="86">
        <f t="shared" si="41"/>
        <v>1.0000924148426809</v>
      </c>
      <c r="Q42" s="87"/>
      <c r="R42" s="87"/>
      <c r="S42" s="85">
        <f t="shared" si="42"/>
        <v>581.53761046577495</v>
      </c>
      <c r="T42" s="86">
        <f t="shared" si="43"/>
        <v>1.0003615675235575</v>
      </c>
    </row>
    <row r="43" spans="1:20" x14ac:dyDescent="0.2">
      <c r="B43" t="s">
        <v>57</v>
      </c>
      <c r="C43" s="85">
        <f t="shared" si="44"/>
        <v>62875.30735138624</v>
      </c>
      <c r="D43" s="86">
        <f t="shared" si="45"/>
        <v>1.0003684513707085</v>
      </c>
      <c r="E43" s="87"/>
      <c r="F43" s="87"/>
      <c r="G43" s="85">
        <f t="shared" si="46"/>
        <v>5774.573121443751</v>
      </c>
      <c r="H43" s="86">
        <f t="shared" si="47"/>
        <v>1.0008022380136101</v>
      </c>
      <c r="I43" s="87"/>
      <c r="J43" s="87"/>
      <c r="K43" s="85">
        <f t="shared" si="48"/>
        <v>957.8149119968914</v>
      </c>
      <c r="L43" s="86">
        <f t="shared" si="39"/>
        <v>0.99942079119158689</v>
      </c>
      <c r="M43" s="87"/>
      <c r="N43" s="87"/>
      <c r="O43" s="85">
        <f t="shared" si="40"/>
        <v>17331.350730410744</v>
      </c>
      <c r="P43" s="86">
        <f t="shared" si="41"/>
        <v>1.0000924148426809</v>
      </c>
      <c r="Q43" s="87"/>
      <c r="R43" s="87"/>
      <c r="S43" s="85">
        <f t="shared" si="42"/>
        <v>581.7478755794466</v>
      </c>
      <c r="T43" s="86">
        <f t="shared" si="43"/>
        <v>1.0003615675235575</v>
      </c>
    </row>
    <row r="44" spans="1:20" x14ac:dyDescent="0.2">
      <c r="B44" t="s">
        <v>177</v>
      </c>
      <c r="C44" s="85">
        <f t="shared" si="44"/>
        <v>62898.473844563574</v>
      </c>
      <c r="D44" s="86">
        <f t="shared" si="45"/>
        <v>1.0003684513707085</v>
      </c>
      <c r="E44" s="87"/>
      <c r="F44" s="87"/>
      <c r="G44" s="85">
        <f t="shared" si="46"/>
        <v>5779.2057035141443</v>
      </c>
      <c r="H44" s="86">
        <f t="shared" si="47"/>
        <v>1.0008022380136101</v>
      </c>
      <c r="I44" s="87"/>
      <c r="J44" s="87"/>
      <c r="K44" s="85">
        <f t="shared" si="48"/>
        <v>957.26013716303339</v>
      </c>
      <c r="L44" s="86">
        <f t="shared" si="39"/>
        <v>0.99942079119158689</v>
      </c>
      <c r="M44" s="87"/>
      <c r="N44" s="87"/>
      <c r="O44" s="85">
        <f t="shared" si="40"/>
        <v>17332.952404461943</v>
      </c>
      <c r="P44" s="86">
        <f t="shared" si="41"/>
        <v>1.0000924148426809</v>
      </c>
      <c r="Q44" s="87"/>
      <c r="R44" s="87"/>
      <c r="S44" s="85">
        <f t="shared" si="42"/>
        <v>581.95821671815474</v>
      </c>
      <c r="T44" s="86">
        <f t="shared" si="43"/>
        <v>1.0003615675235575</v>
      </c>
    </row>
    <row r="45" spans="1:20" x14ac:dyDescent="0.2">
      <c r="B45" t="s">
        <v>59</v>
      </c>
      <c r="C45" s="85">
        <f t="shared" si="44"/>
        <v>62921.648873467078</v>
      </c>
      <c r="D45" s="86">
        <f t="shared" si="45"/>
        <v>1.0003684513707085</v>
      </c>
      <c r="E45" s="87"/>
      <c r="F45" s="87"/>
      <c r="G45" s="85">
        <f t="shared" si="46"/>
        <v>5783.8420020179756</v>
      </c>
      <c r="H45" s="86">
        <f t="shared" si="47"/>
        <v>1.0008022380136101</v>
      </c>
      <c r="I45" s="87"/>
      <c r="J45" s="87"/>
      <c r="K45" s="85">
        <f t="shared" si="48"/>
        <v>956.70568365964584</v>
      </c>
      <c r="L45" s="86">
        <f t="shared" si="39"/>
        <v>0.99942079119158689</v>
      </c>
      <c r="M45" s="87"/>
      <c r="N45" s="87"/>
      <c r="O45" s="85">
        <f t="shared" si="40"/>
        <v>17334.554226531596</v>
      </c>
      <c r="P45" s="86">
        <f t="shared" si="41"/>
        <v>1.0000924148426809</v>
      </c>
      <c r="Q45" s="87"/>
      <c r="R45" s="87"/>
      <c r="S45" s="85">
        <f t="shared" si="42"/>
        <v>582.16863390938749</v>
      </c>
      <c r="T45" s="86">
        <f t="shared" si="43"/>
        <v>1.0003615675235575</v>
      </c>
    </row>
    <row r="46" spans="1:20" x14ac:dyDescent="0.2">
      <c r="B46" t="s">
        <v>60</v>
      </c>
      <c r="C46" s="85">
        <f t="shared" si="44"/>
        <v>62944.83244124175</v>
      </c>
      <c r="D46" s="86">
        <f t="shared" si="45"/>
        <v>1.0003684513707085</v>
      </c>
      <c r="E46" s="87"/>
      <c r="F46" s="87"/>
      <c r="G46" s="85">
        <f t="shared" si="46"/>
        <v>5788.4820199367095</v>
      </c>
      <c r="H46" s="86">
        <f t="shared" si="47"/>
        <v>1.0008022380136101</v>
      </c>
      <c r="I46" s="87"/>
      <c r="J46" s="87"/>
      <c r="K46" s="85">
        <f t="shared" si="48"/>
        <v>956.15155130061123</v>
      </c>
      <c r="L46" s="86">
        <f t="shared" si="39"/>
        <v>0.99942079119158678</v>
      </c>
      <c r="M46" s="87"/>
      <c r="N46" s="87"/>
      <c r="O46" s="85">
        <f t="shared" si="40"/>
        <v>17336.156196633383</v>
      </c>
      <c r="P46" s="86">
        <f t="shared" si="41"/>
        <v>1.0000924148426809</v>
      </c>
      <c r="Q46" s="87"/>
      <c r="R46" s="87"/>
      <c r="S46" s="85">
        <f t="shared" si="42"/>
        <v>582.37912718064297</v>
      </c>
      <c r="T46" s="86">
        <f t="shared" si="43"/>
        <v>1.0003615675235575</v>
      </c>
    </row>
    <row r="47" spans="1:20" x14ac:dyDescent="0.2">
      <c r="B47" t="s">
        <v>61</v>
      </c>
      <c r="C47" s="85">
        <f t="shared" si="44"/>
        <v>62968.024551033741</v>
      </c>
      <c r="D47" s="86">
        <f t="shared" si="45"/>
        <v>1.0003684513707085</v>
      </c>
      <c r="E47" s="87"/>
      <c r="F47" s="87"/>
      <c r="G47" s="85">
        <f t="shared" si="46"/>
        <v>5793.1257602542019</v>
      </c>
      <c r="H47" s="86">
        <f t="shared" si="47"/>
        <v>1.0008022380136101</v>
      </c>
      <c r="I47" s="87"/>
      <c r="J47" s="87"/>
      <c r="K47" s="85">
        <f t="shared" si="48"/>
        <v>955.59773989992004</v>
      </c>
      <c r="L47" s="86">
        <f t="shared" si="39"/>
        <v>0.99942079119158689</v>
      </c>
      <c r="M47" s="87"/>
      <c r="N47" s="87"/>
      <c r="O47" s="85">
        <f t="shared" si="40"/>
        <v>17337.758314780986</v>
      </c>
      <c r="P47" s="86">
        <f t="shared" si="41"/>
        <v>1.0000924148426809</v>
      </c>
      <c r="Q47" s="87"/>
      <c r="R47" s="87"/>
      <c r="S47" s="85">
        <f t="shared" si="42"/>
        <v>582.58969655942929</v>
      </c>
      <c r="T47" s="86">
        <f t="shared" si="43"/>
        <v>1.0003615675235575</v>
      </c>
    </row>
    <row r="48" spans="1:20" x14ac:dyDescent="0.2">
      <c r="A48">
        <v>2026</v>
      </c>
      <c r="B48" t="s">
        <v>50</v>
      </c>
      <c r="C48" s="85">
        <f>C47*D$16^(1/12)</f>
        <v>62991.225205990377</v>
      </c>
      <c r="D48" s="86">
        <f t="shared" si="45"/>
        <v>1.0003684513707085</v>
      </c>
      <c r="E48" s="87"/>
      <c r="F48" s="87"/>
      <c r="G48" s="85">
        <f>G47*H$16^(1/12)</f>
        <v>5797.7732259567019</v>
      </c>
      <c r="H48" s="86">
        <f t="shared" si="47"/>
        <v>1.0008022380136101</v>
      </c>
      <c r="I48" s="87"/>
      <c r="J48" s="87"/>
      <c r="K48" s="85">
        <f>K47*L$16^(1/12)</f>
        <v>955.04424927167031</v>
      </c>
      <c r="L48" s="86">
        <f t="shared" si="39"/>
        <v>0.99942079119158689</v>
      </c>
      <c r="M48" s="87"/>
      <c r="N48" s="87"/>
      <c r="O48" s="85">
        <f t="shared" si="40"/>
        <v>17339.360580988086</v>
      </c>
      <c r="P48" s="86">
        <f t="shared" si="41"/>
        <v>1.0000924148426809</v>
      </c>
      <c r="Q48" s="87"/>
      <c r="R48" s="87"/>
      <c r="S48" s="85">
        <f t="shared" si="42"/>
        <v>582.80034207326446</v>
      </c>
      <c r="T48" s="86">
        <f t="shared" si="43"/>
        <v>1.0003615675235575</v>
      </c>
    </row>
    <row r="49" spans="2:20" x14ac:dyDescent="0.2">
      <c r="B49" t="s">
        <v>51</v>
      </c>
      <c r="C49" s="85">
        <f t="shared" ref="C49:C59" si="49">C48*D$16^(1/12)</f>
        <v>63014.434409260131</v>
      </c>
      <c r="D49" s="86">
        <f t="shared" si="45"/>
        <v>1.0003684513707085</v>
      </c>
      <c r="E49" s="87"/>
      <c r="F49" s="87"/>
      <c r="G49" s="85">
        <f t="shared" ref="G49:G59" si="50">G48*H$16^(1/12)</f>
        <v>5802.4244200328558</v>
      </c>
      <c r="H49" s="86">
        <f t="shared" si="47"/>
        <v>1.0008022380136101</v>
      </c>
      <c r="I49" s="87"/>
      <c r="J49" s="87"/>
      <c r="K49" s="85">
        <f t="shared" ref="K49:K59" si="51">K48*L$16^(1/12)</f>
        <v>954.49107923006784</v>
      </c>
      <c r="L49" s="86">
        <f t="shared" si="39"/>
        <v>0.99942079119158689</v>
      </c>
      <c r="M49" s="87"/>
      <c r="N49" s="87"/>
      <c r="O49" s="85">
        <f t="shared" si="40"/>
        <v>17340.962995268364</v>
      </c>
      <c r="P49" s="86">
        <f t="shared" si="41"/>
        <v>1.0000924148426809</v>
      </c>
      <c r="Q49" s="87"/>
      <c r="R49" s="87"/>
      <c r="S49" s="85">
        <f t="shared" si="42"/>
        <v>583.0110637496764</v>
      </c>
      <c r="T49" s="86">
        <f t="shared" si="43"/>
        <v>1.0003615675235575</v>
      </c>
    </row>
    <row r="50" spans="2:20" x14ac:dyDescent="0.2">
      <c r="B50" t="s">
        <v>52</v>
      </c>
      <c r="C50" s="85">
        <f t="shared" si="49"/>
        <v>63037.652163992643</v>
      </c>
      <c r="D50" s="86">
        <f t="shared" si="45"/>
        <v>1.0003684513707085</v>
      </c>
      <c r="E50" s="87"/>
      <c r="F50" s="87"/>
      <c r="G50" s="85">
        <f t="shared" si="50"/>
        <v>5807.0793454737059</v>
      </c>
      <c r="H50" s="86">
        <f t="shared" si="47"/>
        <v>1.0008022380136101</v>
      </c>
      <c r="I50" s="87"/>
      <c r="J50" s="87"/>
      <c r="K50" s="85">
        <f t="shared" si="51"/>
        <v>953.9382295894261</v>
      </c>
      <c r="L50" s="86">
        <f t="shared" si="39"/>
        <v>0.999420791191587</v>
      </c>
      <c r="M50" s="87"/>
      <c r="N50" s="87"/>
      <c r="O50" s="85">
        <f t="shared" si="40"/>
        <v>17342.565557635506</v>
      </c>
      <c r="P50" s="86">
        <f t="shared" si="41"/>
        <v>1.0000924148426809</v>
      </c>
      <c r="Q50" s="87"/>
      <c r="R50" s="87"/>
      <c r="S50" s="85">
        <f t="shared" si="42"/>
        <v>583.221861616203</v>
      </c>
      <c r="T50" s="86">
        <f t="shared" si="43"/>
        <v>1.0003615675235575</v>
      </c>
    </row>
    <row r="51" spans="2:20" x14ac:dyDescent="0.2">
      <c r="B51" t="s">
        <v>53</v>
      </c>
      <c r="C51" s="85">
        <f t="shared" si="49"/>
        <v>63060.878473338715</v>
      </c>
      <c r="D51" s="86">
        <f t="shared" si="45"/>
        <v>1.0003684513707085</v>
      </c>
      <c r="E51" s="87"/>
      <c r="F51" s="87"/>
      <c r="G51" s="85">
        <f t="shared" si="50"/>
        <v>5811.7380052726949</v>
      </c>
      <c r="H51" s="86">
        <f t="shared" si="47"/>
        <v>1.0008022380136101</v>
      </c>
      <c r="I51" s="87"/>
      <c r="J51" s="87"/>
      <c r="K51" s="85">
        <f t="shared" si="51"/>
        <v>953.38570016416588</v>
      </c>
      <c r="L51" s="86">
        <f t="shared" si="39"/>
        <v>0.99942079119158689</v>
      </c>
      <c r="M51" s="87"/>
      <c r="N51" s="87"/>
      <c r="O51" s="85">
        <f t="shared" si="40"/>
        <v>17344.168268103196</v>
      </c>
      <c r="P51" s="86">
        <f t="shared" si="41"/>
        <v>1.0000924148426809</v>
      </c>
      <c r="Q51" s="87"/>
      <c r="R51" s="87"/>
      <c r="S51" s="85">
        <f t="shared" si="42"/>
        <v>583.43273570039219</v>
      </c>
      <c r="T51" s="86">
        <f t="shared" si="43"/>
        <v>1.0003615675235575</v>
      </c>
    </row>
    <row r="52" spans="2:20" x14ac:dyDescent="0.2">
      <c r="B52" t="s">
        <v>54</v>
      </c>
      <c r="C52" s="85">
        <f t="shared" si="49"/>
        <v>63084.113340450298</v>
      </c>
      <c r="D52" s="86">
        <f t="shared" si="45"/>
        <v>1.0003684513707085</v>
      </c>
      <c r="E52" s="87"/>
      <c r="F52" s="87"/>
      <c r="G52" s="85">
        <f t="shared" si="50"/>
        <v>5816.4004024256674</v>
      </c>
      <c r="H52" s="86">
        <f t="shared" si="47"/>
        <v>1.0008022380136101</v>
      </c>
      <c r="I52" s="87"/>
      <c r="J52" s="87"/>
      <c r="K52" s="85">
        <f t="shared" si="51"/>
        <v>952.83349076881575</v>
      </c>
      <c r="L52" s="86">
        <f t="shared" si="39"/>
        <v>0.999420791191587</v>
      </c>
      <c r="M52" s="87"/>
      <c r="N52" s="87"/>
      <c r="O52" s="85">
        <f t="shared" si="40"/>
        <v>17345.771126685122</v>
      </c>
      <c r="P52" s="86">
        <f t="shared" si="41"/>
        <v>1.0000924148426809</v>
      </c>
      <c r="Q52" s="87"/>
      <c r="R52" s="87"/>
      <c r="S52" s="85">
        <f t="shared" si="42"/>
        <v>583.64368602980176</v>
      </c>
      <c r="T52" s="86">
        <f t="shared" si="43"/>
        <v>1.0003615675235575</v>
      </c>
    </row>
    <row r="53" spans="2:20" x14ac:dyDescent="0.2">
      <c r="B53" t="s">
        <v>55</v>
      </c>
      <c r="C53" s="85">
        <f t="shared" si="49"/>
        <v>63107.356768480517</v>
      </c>
      <c r="D53" s="86">
        <f t="shared" si="45"/>
        <v>1.0003684513707085</v>
      </c>
      <c r="E53" s="87"/>
      <c r="F53" s="87"/>
      <c r="G53" s="85">
        <f t="shared" si="50"/>
        <v>5821.06653993087</v>
      </c>
      <c r="H53" s="86">
        <f t="shared" si="47"/>
        <v>1.0008022380136101</v>
      </c>
      <c r="I53" s="87"/>
      <c r="J53" s="87"/>
      <c r="K53" s="85">
        <f t="shared" si="51"/>
        <v>952.28160121801147</v>
      </c>
      <c r="L53" s="86">
        <f t="shared" si="39"/>
        <v>0.99942079119158689</v>
      </c>
      <c r="M53" s="87"/>
      <c r="N53" s="87"/>
      <c r="O53" s="85">
        <f t="shared" si="40"/>
        <v>17347.374133394973</v>
      </c>
      <c r="P53" s="86">
        <f t="shared" si="41"/>
        <v>1.0000924148426809</v>
      </c>
      <c r="Q53" s="87"/>
      <c r="R53" s="87"/>
      <c r="S53" s="85">
        <f t="shared" si="42"/>
        <v>583.85471263199952</v>
      </c>
      <c r="T53" s="86">
        <f t="shared" si="43"/>
        <v>1.0003615675235575</v>
      </c>
    </row>
    <row r="54" spans="2:20" x14ac:dyDescent="0.2">
      <c r="B54" t="s">
        <v>56</v>
      </c>
      <c r="C54" s="85">
        <f t="shared" si="49"/>
        <v>63130.608760583651</v>
      </c>
      <c r="D54" s="86">
        <f t="shared" si="45"/>
        <v>1.0003684513707085</v>
      </c>
      <c r="E54" s="87"/>
      <c r="F54" s="87"/>
      <c r="G54" s="85">
        <f t="shared" si="50"/>
        <v>5825.7364207889568</v>
      </c>
      <c r="H54" s="86">
        <f t="shared" si="47"/>
        <v>1.0008022380136101</v>
      </c>
      <c r="I54" s="87"/>
      <c r="J54" s="87"/>
      <c r="K54" s="85">
        <f t="shared" si="51"/>
        <v>951.73003132649626</v>
      </c>
      <c r="L54" s="86">
        <f t="shared" si="39"/>
        <v>0.99942079119158689</v>
      </c>
      <c r="M54" s="87"/>
      <c r="N54" s="87"/>
      <c r="O54" s="85">
        <f t="shared" si="40"/>
        <v>17348.977288246435</v>
      </c>
      <c r="P54" s="86">
        <f t="shared" si="41"/>
        <v>1.0000924148426809</v>
      </c>
      <c r="Q54" s="87"/>
      <c r="R54" s="87"/>
      <c r="S54" s="85">
        <f t="shared" si="42"/>
        <v>584.06581553456328</v>
      </c>
      <c r="T54" s="86">
        <f t="shared" si="43"/>
        <v>1.0003615675235575</v>
      </c>
    </row>
    <row r="55" spans="2:20" x14ac:dyDescent="0.2">
      <c r="B55" t="s">
        <v>57</v>
      </c>
      <c r="C55" s="85">
        <f t="shared" si="49"/>
        <v>63153.869319915153</v>
      </c>
      <c r="D55" s="86">
        <f t="shared" ref="D55:D59" si="52">C55/C54</f>
        <v>1.0003684513707085</v>
      </c>
      <c r="E55" s="87"/>
      <c r="F55" s="87"/>
      <c r="G55" s="85">
        <f t="shared" si="50"/>
        <v>5830.4100480029865</v>
      </c>
      <c r="H55" s="86">
        <f t="shared" ref="H55:H59" si="53">G55/G54</f>
        <v>1.0008022380136101</v>
      </c>
      <c r="I55" s="87"/>
      <c r="J55" s="87"/>
      <c r="K55" s="85">
        <f t="shared" si="51"/>
        <v>951.17878090912063</v>
      </c>
      <c r="L55" s="86">
        <f t="shared" ref="L55:L59" si="54">K55/K54</f>
        <v>0.99942079119158689</v>
      </c>
      <c r="M55" s="87"/>
      <c r="N55" s="87"/>
      <c r="O55" s="85">
        <f t="shared" ref="O55:O59" si="55">O54*P$15^(1/12)</f>
        <v>17350.580591253201</v>
      </c>
      <c r="P55" s="86">
        <f t="shared" ref="P55:P59" si="56">O55/O54</f>
        <v>1.0000924148426809</v>
      </c>
      <c r="Q55" s="87"/>
      <c r="R55" s="87"/>
      <c r="S55" s="85">
        <f t="shared" ref="S55:S59" si="57">S54*T$15^(1/12)</f>
        <v>584.27699476508076</v>
      </c>
      <c r="T55" s="86">
        <f t="shared" ref="T55:T59" si="58">S55/S54</f>
        <v>1.0003615675235575</v>
      </c>
    </row>
    <row r="56" spans="2:20" x14ac:dyDescent="0.2">
      <c r="B56" t="s">
        <v>177</v>
      </c>
      <c r="C56" s="85">
        <f t="shared" si="49"/>
        <v>63177.138449631624</v>
      </c>
      <c r="D56" s="86">
        <f t="shared" si="52"/>
        <v>1.0003684513707085</v>
      </c>
      <c r="E56" s="87"/>
      <c r="F56" s="87"/>
      <c r="G56" s="85">
        <f t="shared" si="50"/>
        <v>5835.0874245784289</v>
      </c>
      <c r="H56" s="86">
        <f t="shared" si="53"/>
        <v>1.0008022380136101</v>
      </c>
      <c r="I56" s="87"/>
      <c r="J56" s="87"/>
      <c r="K56" s="85">
        <f t="shared" si="51"/>
        <v>950.62784978084244</v>
      </c>
      <c r="L56" s="86">
        <f t="shared" si="54"/>
        <v>0.99942079119158689</v>
      </c>
      <c r="M56" s="87"/>
      <c r="N56" s="87"/>
      <c r="O56" s="85">
        <f t="shared" si="55"/>
        <v>17352.184042428962</v>
      </c>
      <c r="P56" s="86">
        <f t="shared" si="56"/>
        <v>1.0000924148426809</v>
      </c>
      <c r="Q56" s="87"/>
      <c r="R56" s="87"/>
      <c r="S56" s="85">
        <f t="shared" si="57"/>
        <v>584.48825035114965</v>
      </c>
      <c r="T56" s="86">
        <f t="shared" si="58"/>
        <v>1.0003615675235575</v>
      </c>
    </row>
    <row r="57" spans="2:20" x14ac:dyDescent="0.2">
      <c r="B57" t="s">
        <v>59</v>
      </c>
      <c r="C57" s="85">
        <f t="shared" si="49"/>
        <v>63200.41615289083</v>
      </c>
      <c r="D57" s="86">
        <f t="shared" si="52"/>
        <v>1.0003684513707085</v>
      </c>
      <c r="E57" s="87"/>
      <c r="F57" s="87"/>
      <c r="G57" s="85">
        <f t="shared" si="50"/>
        <v>5839.768553523164</v>
      </c>
      <c r="H57" s="86">
        <f t="shared" si="53"/>
        <v>1.0008022380136101</v>
      </c>
      <c r="I57" s="87"/>
      <c r="J57" s="87"/>
      <c r="K57" s="85">
        <f t="shared" si="51"/>
        <v>950.0772377567265</v>
      </c>
      <c r="L57" s="86">
        <f t="shared" si="54"/>
        <v>0.99942079119158678</v>
      </c>
      <c r="M57" s="87"/>
      <c r="N57" s="87"/>
      <c r="O57" s="85">
        <f t="shared" si="55"/>
        <v>17353.787641787414</v>
      </c>
      <c r="P57" s="86">
        <f t="shared" si="56"/>
        <v>1.0000924148426809</v>
      </c>
      <c r="Q57" s="87"/>
      <c r="R57" s="87"/>
      <c r="S57" s="85">
        <f t="shared" si="57"/>
        <v>584.69958232037754</v>
      </c>
      <c r="T57" s="86">
        <f t="shared" si="58"/>
        <v>1.0003615675235575</v>
      </c>
    </row>
    <row r="58" spans="2:20" x14ac:dyDescent="0.2">
      <c r="B58" t="s">
        <v>60</v>
      </c>
      <c r="C58" s="85">
        <f t="shared" si="49"/>
        <v>63223.702432851707</v>
      </c>
      <c r="D58" s="86">
        <f t="shared" si="52"/>
        <v>1.0003684513707085</v>
      </c>
      <c r="E58" s="87"/>
      <c r="F58" s="87"/>
      <c r="G58" s="85">
        <f t="shared" si="50"/>
        <v>5844.4534378474855</v>
      </c>
      <c r="H58" s="86">
        <f t="shared" si="53"/>
        <v>1.0008022380136101</v>
      </c>
      <c r="I58" s="87"/>
      <c r="J58" s="87"/>
      <c r="K58" s="85">
        <f t="shared" si="51"/>
        <v>949.52694465194497</v>
      </c>
      <c r="L58" s="86">
        <f t="shared" si="54"/>
        <v>0.99942079119158689</v>
      </c>
      <c r="M58" s="87"/>
      <c r="N58" s="87"/>
      <c r="O58" s="85">
        <f t="shared" si="55"/>
        <v>17355.391389342247</v>
      </c>
      <c r="P58" s="86">
        <f t="shared" si="56"/>
        <v>1.0000924148426809</v>
      </c>
      <c r="Q58" s="87"/>
      <c r="R58" s="87"/>
      <c r="S58" s="85">
        <f t="shared" si="57"/>
        <v>584.91099070038229</v>
      </c>
      <c r="T58" s="86">
        <f t="shared" si="58"/>
        <v>1.0003615675235575</v>
      </c>
    </row>
    <row r="59" spans="2:20" x14ac:dyDescent="0.2">
      <c r="B59" t="s">
        <v>61</v>
      </c>
      <c r="C59" s="85">
        <f t="shared" si="49"/>
        <v>63246.997292674358</v>
      </c>
      <c r="D59" s="86">
        <f t="shared" si="52"/>
        <v>1.0003684513707085</v>
      </c>
      <c r="E59" s="87"/>
      <c r="F59" s="87"/>
      <c r="G59" s="85">
        <f t="shared" si="50"/>
        <v>5849.142080564101</v>
      </c>
      <c r="H59" s="86">
        <f t="shared" si="53"/>
        <v>1.0008022380136101</v>
      </c>
      <c r="I59" s="87"/>
      <c r="J59" s="87"/>
      <c r="K59" s="85">
        <f t="shared" si="51"/>
        <v>948.97697028177697</v>
      </c>
      <c r="L59" s="86">
        <f t="shared" si="54"/>
        <v>0.99942079119158689</v>
      </c>
      <c r="M59" s="87"/>
      <c r="N59" s="87"/>
      <c r="O59" s="85">
        <f t="shared" si="55"/>
        <v>17356.995285107158</v>
      </c>
      <c r="P59" s="86">
        <f t="shared" si="56"/>
        <v>1.0000924148426809</v>
      </c>
      <c r="Q59" s="87"/>
      <c r="R59" s="87"/>
      <c r="S59" s="85">
        <f t="shared" si="57"/>
        <v>585.12247551879136</v>
      </c>
      <c r="T59" s="86">
        <f t="shared" si="58"/>
        <v>1.0003615675235575</v>
      </c>
    </row>
  </sheetData>
  <mergeCells count="10">
    <mergeCell ref="R2:S2"/>
    <mergeCell ref="T2:T3"/>
    <mergeCell ref="N2:O2"/>
    <mergeCell ref="P2:P3"/>
    <mergeCell ref="B2:C2"/>
    <mergeCell ref="D2:D3"/>
    <mergeCell ref="F2:G2"/>
    <mergeCell ref="H2:H3"/>
    <mergeCell ref="J2:K2"/>
    <mergeCell ref="L2:L3"/>
  </mergeCells>
  <phoneticPr fontId="40"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5"/>
  <dimension ref="A2:T50"/>
  <sheetViews>
    <sheetView workbookViewId="0">
      <selection activeCell="C6" sqref="C6"/>
    </sheetView>
  </sheetViews>
  <sheetFormatPr defaultRowHeight="12.75" x14ac:dyDescent="0.2"/>
  <cols>
    <col min="3" max="3" width="17.5" bestFit="1" customWidth="1"/>
    <col min="4" max="4" width="15.33203125" customWidth="1"/>
    <col min="5" max="5" width="12.83203125" customWidth="1"/>
    <col min="6" max="6" width="11.33203125" bestFit="1" customWidth="1"/>
    <col min="7" max="7" width="11.33203125" customWidth="1"/>
    <col min="8" max="8" width="12.1640625" customWidth="1"/>
    <col min="11" max="11" width="14.6640625" customWidth="1"/>
    <col min="12" max="12" width="16.1640625" customWidth="1"/>
    <col min="13" max="13" width="15.83203125" customWidth="1"/>
    <col min="14" max="14" width="11" customWidth="1"/>
    <col min="16" max="16" width="9.33203125" customWidth="1"/>
    <col min="17" max="17" width="10.6640625" bestFit="1" customWidth="1"/>
  </cols>
  <sheetData>
    <row r="2" spans="1:20" x14ac:dyDescent="0.2">
      <c r="C2" s="549" t="s">
        <v>120</v>
      </c>
      <c r="D2" s="549"/>
      <c r="E2" s="549"/>
      <c r="F2" s="351"/>
      <c r="K2" s="549" t="s">
        <v>123</v>
      </c>
      <c r="L2" s="549"/>
      <c r="M2" s="549"/>
      <c r="N2" s="351"/>
      <c r="Q2" s="523"/>
      <c r="R2" s="523"/>
      <c r="S2" s="523"/>
    </row>
    <row r="3" spans="1:20" x14ac:dyDescent="0.2">
      <c r="A3" s="52"/>
      <c r="B3" s="52"/>
      <c r="C3" s="349" t="s">
        <v>124</v>
      </c>
      <c r="D3" s="349" t="s">
        <v>125</v>
      </c>
      <c r="E3" s="349" t="s">
        <v>149</v>
      </c>
      <c r="F3" s="349" t="s">
        <v>150</v>
      </c>
      <c r="G3" s="50"/>
      <c r="H3" s="50"/>
      <c r="J3" s="52"/>
      <c r="K3" s="349" t="s">
        <v>124</v>
      </c>
      <c r="L3" s="349" t="s">
        <v>125</v>
      </c>
      <c r="M3" s="349" t="s">
        <v>149</v>
      </c>
      <c r="N3" s="349" t="s">
        <v>150</v>
      </c>
      <c r="P3" s="52"/>
      <c r="Q3" s="50"/>
      <c r="R3" s="50"/>
      <c r="S3" s="52"/>
    </row>
    <row r="4" spans="1:20" x14ac:dyDescent="0.2">
      <c r="A4" s="52"/>
      <c r="B4" s="52"/>
      <c r="C4" s="349" t="s">
        <v>110</v>
      </c>
      <c r="D4" s="349" t="s">
        <v>111</v>
      </c>
      <c r="E4" s="349" t="s">
        <v>148</v>
      </c>
      <c r="F4" s="349"/>
      <c r="G4" s="50"/>
      <c r="H4" s="50"/>
      <c r="J4" s="52"/>
      <c r="K4" s="349" t="s">
        <v>110</v>
      </c>
      <c r="L4" s="349" t="s">
        <v>111</v>
      </c>
      <c r="M4" s="349" t="s">
        <v>148</v>
      </c>
      <c r="N4" s="349"/>
      <c r="P4" s="52"/>
      <c r="Q4" s="50"/>
      <c r="R4" s="50"/>
      <c r="S4" s="52"/>
    </row>
    <row r="5" spans="1:20" x14ac:dyDescent="0.2">
      <c r="A5" s="10"/>
      <c r="B5" s="10">
        <v>2015</v>
      </c>
      <c r="C5" s="45">
        <f>'Normalized Annual Summary'!Y6</f>
        <v>907051642</v>
      </c>
      <c r="D5" s="45">
        <f>SUMIF('Monthly Data'!B:B,B5,'Monthly Data'!O:O)</f>
        <v>2374100</v>
      </c>
      <c r="E5" s="53">
        <f t="shared" ref="E5:E8" si="0">D5/C5</f>
        <v>2.6173812934897922E-3</v>
      </c>
      <c r="F5" s="19"/>
      <c r="G5" s="19"/>
      <c r="H5" s="19"/>
      <c r="J5" s="10">
        <v>2015</v>
      </c>
      <c r="K5" s="45">
        <f>'Normalized Annual Summary'!AJ6</f>
        <v>9918681</v>
      </c>
      <c r="L5" s="45">
        <f>SUMIF('Monthly Data'!$B:$B,J5,'Monthly Data'!R:R)</f>
        <v>27661</v>
      </c>
      <c r="M5" s="53">
        <f t="shared" ref="M5:M8" si="1">L5/K5</f>
        <v>2.788778064341418E-3</v>
      </c>
      <c r="N5" s="19"/>
      <c r="O5" s="19"/>
      <c r="P5" s="10"/>
      <c r="Q5" s="45"/>
      <c r="R5" s="45"/>
      <c r="S5" s="53"/>
      <c r="T5" s="19"/>
    </row>
    <row r="6" spans="1:20" x14ac:dyDescent="0.2">
      <c r="A6" s="10"/>
      <c r="B6" s="10">
        <f t="shared" ref="B6:B14" si="2">B5+1</f>
        <v>2016</v>
      </c>
      <c r="C6" s="45">
        <f>'Normalized Annual Summary'!Y7</f>
        <v>920835908</v>
      </c>
      <c r="D6" s="45">
        <f>SUMIF('Monthly Data'!B:B,B6,'Monthly Data'!O:O)</f>
        <v>2410544</v>
      </c>
      <c r="E6" s="53">
        <f t="shared" si="0"/>
        <v>2.6177780200117911E-3</v>
      </c>
      <c r="F6" s="19"/>
      <c r="G6" s="19"/>
      <c r="H6" s="19"/>
      <c r="J6" s="10">
        <f t="shared" ref="J6:J14" si="3">J5+1</f>
        <v>2016</v>
      </c>
      <c r="K6" s="45">
        <f>'Normalized Annual Summary'!AJ7</f>
        <v>9945876</v>
      </c>
      <c r="L6" s="45">
        <f>SUMIF('Monthly Data'!$B:$B,J6,'Monthly Data'!R:R)</f>
        <v>27648</v>
      </c>
      <c r="M6" s="53">
        <f t="shared" si="1"/>
        <v>2.7798456365231176E-3</v>
      </c>
      <c r="N6" s="19"/>
      <c r="O6" s="19"/>
      <c r="P6" s="10"/>
      <c r="Q6" s="45"/>
      <c r="R6" s="45"/>
      <c r="S6" s="53"/>
      <c r="T6" s="19"/>
    </row>
    <row r="7" spans="1:20" x14ac:dyDescent="0.2">
      <c r="A7" s="10"/>
      <c r="B7" s="10">
        <f t="shared" si="2"/>
        <v>2017</v>
      </c>
      <c r="C7" s="45">
        <f>'Normalized Annual Summary'!Y8</f>
        <v>885596225</v>
      </c>
      <c r="D7" s="45">
        <f>SUMIF('Monthly Data'!B:B,B7,'Monthly Data'!O:O)</f>
        <v>2363980</v>
      </c>
      <c r="E7" s="53">
        <f t="shared" si="0"/>
        <v>2.6693654887700092E-3</v>
      </c>
      <c r="F7" s="19">
        <f t="shared" ref="F7:F8" si="4">AVERAGE(E5:E7)</f>
        <v>2.6348416007571976E-3</v>
      </c>
      <c r="G7" s="19"/>
      <c r="H7" s="19"/>
      <c r="J7" s="10">
        <f t="shared" si="3"/>
        <v>2017</v>
      </c>
      <c r="K7" s="45">
        <f>'Normalized Annual Summary'!AJ8</f>
        <v>11286654.700000001</v>
      </c>
      <c r="L7" s="45">
        <f>SUMIF('Monthly Data'!$B:$B,J7,'Monthly Data'!R:R)</f>
        <v>30451.800000000003</v>
      </c>
      <c r="M7" s="70">
        <f t="shared" si="1"/>
        <v>2.6980359379648604E-3</v>
      </c>
      <c r="N7" s="19">
        <f>AVERAGE(M5:M6)</f>
        <v>2.7843118504322678E-3</v>
      </c>
      <c r="O7" s="19"/>
      <c r="P7" s="10" t="s">
        <v>164</v>
      </c>
      <c r="Q7" s="45"/>
      <c r="R7" s="45"/>
      <c r="S7" s="53"/>
      <c r="T7" s="19"/>
    </row>
    <row r="8" spans="1:20" x14ac:dyDescent="0.2">
      <c r="A8" s="10"/>
      <c r="B8" s="10">
        <f t="shared" si="2"/>
        <v>2018</v>
      </c>
      <c r="C8" s="45">
        <f>'Normalized Annual Summary'!Y9</f>
        <v>874283086</v>
      </c>
      <c r="D8" s="45">
        <f>SUMIF('Monthly Data'!B:B,B8,'Monthly Data'!O:O)</f>
        <v>2353522</v>
      </c>
      <c r="E8" s="53">
        <f t="shared" si="0"/>
        <v>2.6919450206543283E-3</v>
      </c>
      <c r="F8" s="19">
        <f t="shared" si="4"/>
        <v>2.6596961764787097E-3</v>
      </c>
      <c r="G8" s="19"/>
      <c r="H8" s="19"/>
      <c r="J8" s="10">
        <f t="shared" si="3"/>
        <v>2018</v>
      </c>
      <c r="K8" s="45">
        <f>'Normalized Annual Summary'!AJ9</f>
        <v>6528022.6000000006</v>
      </c>
      <c r="L8" s="45">
        <f>SUMIF('Monthly Data'!$B:$B,J8,'Monthly Data'!R:R)</f>
        <v>18200.899999999998</v>
      </c>
      <c r="M8" s="53">
        <f t="shared" si="1"/>
        <v>2.7881184112322154E-3</v>
      </c>
      <c r="N8" s="19">
        <f>AVERAGE(M6,M8)</f>
        <v>2.7839820238776663E-3</v>
      </c>
      <c r="O8" s="19"/>
      <c r="P8" s="10"/>
      <c r="Q8" s="45"/>
      <c r="R8" s="45"/>
      <c r="S8" s="53"/>
      <c r="T8" s="19"/>
    </row>
    <row r="9" spans="1:20" x14ac:dyDescent="0.2">
      <c r="A9" s="10"/>
      <c r="B9" s="10">
        <f t="shared" si="2"/>
        <v>2019</v>
      </c>
      <c r="C9" s="45">
        <f>'Normalized Annual Summary'!Y10</f>
        <v>837536595</v>
      </c>
      <c r="D9" s="45">
        <f>SUMIF('Monthly Data'!B:B,B9,'Monthly Data'!O:O)</f>
        <v>2275484</v>
      </c>
      <c r="E9" s="53">
        <f t="shared" ref="E9:E10" si="5">D9/C9</f>
        <v>2.7168771055311319E-3</v>
      </c>
      <c r="F9" s="19">
        <f t="shared" ref="F9:F10" si="6">AVERAGE(E7:E9)</f>
        <v>2.6927292049851565E-3</v>
      </c>
      <c r="G9" s="19"/>
      <c r="H9" s="19"/>
      <c r="J9" s="10">
        <f t="shared" si="3"/>
        <v>2019</v>
      </c>
      <c r="K9" s="45">
        <f>'Normalized Annual Summary'!AJ10</f>
        <v>5537652.8999999994</v>
      </c>
      <c r="L9" s="45">
        <f>SUMIF('Monthly Data'!$B:$B,J9,'Monthly Data'!R:R)</f>
        <v>15445.800000000001</v>
      </c>
      <c r="M9" s="53">
        <f t="shared" ref="M9:M10" si="7">L9/K9</f>
        <v>2.7892322395287727E-3</v>
      </c>
      <c r="N9" s="19">
        <f>AVERAGE(M8:M9)</f>
        <v>2.7886753253804943E-3</v>
      </c>
      <c r="O9" s="19"/>
      <c r="P9" s="10"/>
      <c r="Q9" s="45"/>
      <c r="R9" s="45"/>
      <c r="S9" s="53"/>
      <c r="T9" s="19"/>
    </row>
    <row r="10" spans="1:20" x14ac:dyDescent="0.2">
      <c r="A10" s="10"/>
      <c r="B10" s="10">
        <f t="shared" si="2"/>
        <v>2020</v>
      </c>
      <c r="C10" s="45">
        <f>'Normalized Annual Summary'!Y11</f>
        <v>787632949</v>
      </c>
      <c r="D10" s="45">
        <f>SUMIF('Monthly Data'!B:B,B10,'Monthly Data'!O:O)</f>
        <v>2183219</v>
      </c>
      <c r="E10" s="53">
        <f t="shared" si="5"/>
        <v>2.7718736281562035E-3</v>
      </c>
      <c r="F10" s="19">
        <f t="shared" si="6"/>
        <v>2.7268985847805544E-3</v>
      </c>
      <c r="G10" s="19"/>
      <c r="H10" s="19"/>
      <c r="J10" s="10">
        <f t="shared" si="3"/>
        <v>2020</v>
      </c>
      <c r="K10" s="45">
        <f>'Normalized Annual Summary'!AJ11</f>
        <v>5409836</v>
      </c>
      <c r="L10" s="45">
        <f>SUMIF('Monthly Data'!$B:$B,J10,'Monthly Data'!R:R)</f>
        <v>15463</v>
      </c>
      <c r="M10" s="53">
        <f t="shared" si="7"/>
        <v>2.8583121558583293E-3</v>
      </c>
      <c r="N10" s="19">
        <f t="shared" ref="N10" si="8">AVERAGE(M8,M10)</f>
        <v>2.8232152835452723E-3</v>
      </c>
      <c r="O10" s="19"/>
      <c r="P10" s="10"/>
      <c r="Q10" s="45"/>
      <c r="R10" s="45"/>
      <c r="S10" s="53"/>
      <c r="T10" s="19"/>
    </row>
    <row r="11" spans="1:20" x14ac:dyDescent="0.2">
      <c r="A11" s="10"/>
      <c r="B11" s="10">
        <f t="shared" si="2"/>
        <v>2021</v>
      </c>
      <c r="C11" s="45">
        <f>'Normalized Annual Summary'!Y12</f>
        <v>797368549</v>
      </c>
      <c r="D11" s="45">
        <f>SUMIF('Monthly Data'!B:B,B11,'Monthly Data'!O:O)</f>
        <v>2160311</v>
      </c>
      <c r="E11" s="53">
        <f t="shared" ref="E11:E13" si="9">D11/C11</f>
        <v>2.709300489352509E-3</v>
      </c>
      <c r="F11" s="19">
        <f t="shared" ref="F11:F13" si="10">AVERAGE(E9:E11)</f>
        <v>2.7326837410132816E-3</v>
      </c>
      <c r="G11" s="19"/>
      <c r="H11" s="19"/>
      <c r="J11" s="10">
        <f t="shared" si="3"/>
        <v>2021</v>
      </c>
      <c r="K11" s="45">
        <f>'Normalized Annual Summary'!AJ12</f>
        <v>5543828</v>
      </c>
      <c r="L11" s="45">
        <f>SUMIF('Monthly Data'!$B:$B,J11,'Monthly Data'!R:R)</f>
        <v>15461</v>
      </c>
      <c r="M11" s="53">
        <f t="shared" ref="M11:M13" si="11">L11/K11</f>
        <v>2.7888671870772326E-3</v>
      </c>
      <c r="N11" s="19">
        <f t="shared" ref="N11" si="12">AVERAGE(M10:M11)</f>
        <v>2.8235896714677812E-3</v>
      </c>
      <c r="O11" s="19"/>
      <c r="P11" s="10"/>
      <c r="Q11" s="45"/>
      <c r="R11" s="45"/>
      <c r="S11" s="53"/>
      <c r="T11" s="19"/>
    </row>
    <row r="12" spans="1:20" x14ac:dyDescent="0.2">
      <c r="A12" s="10"/>
      <c r="B12" s="10">
        <f t="shared" si="2"/>
        <v>2022</v>
      </c>
      <c r="C12" s="45">
        <f>'Normalized Annual Summary'!Y13</f>
        <v>812199013</v>
      </c>
      <c r="D12" s="45">
        <f>SUMIF('Monthly Data'!B:B,B12,'Monthly Data'!O:O)</f>
        <v>2180017</v>
      </c>
      <c r="E12" s="53">
        <f t="shared" si="9"/>
        <v>2.6840921561178998E-3</v>
      </c>
      <c r="F12" s="19">
        <f t="shared" si="10"/>
        <v>2.7217554245422041E-3</v>
      </c>
      <c r="G12" s="19"/>
      <c r="H12" s="19"/>
      <c r="J12" s="10">
        <f t="shared" si="3"/>
        <v>2022</v>
      </c>
      <c r="K12" s="45">
        <f>'Normalized Annual Summary'!AJ13</f>
        <v>5550156</v>
      </c>
      <c r="L12" s="45">
        <f>SUMIF('Monthly Data'!$B:$B,J12,'Monthly Data'!R:R)</f>
        <v>15480</v>
      </c>
      <c r="M12" s="53">
        <f t="shared" si="11"/>
        <v>2.7891107925615065E-3</v>
      </c>
      <c r="N12" s="19">
        <f t="shared" ref="N12" si="13">AVERAGE(M10,M12)</f>
        <v>2.8237114742099179E-3</v>
      </c>
      <c r="O12" s="19"/>
      <c r="P12" s="10"/>
      <c r="Q12" s="45"/>
      <c r="R12" s="45"/>
      <c r="S12" s="53"/>
      <c r="T12" s="19"/>
    </row>
    <row r="13" spans="1:20" x14ac:dyDescent="0.2">
      <c r="A13" s="10"/>
      <c r="B13" s="10">
        <f t="shared" si="2"/>
        <v>2023</v>
      </c>
      <c r="C13" s="45">
        <f>'Normalized Annual Summary'!Y14</f>
        <v>785675948</v>
      </c>
      <c r="D13" s="45">
        <f>SUMIF('Monthly Data'!B:B,B13,'Monthly Data'!O:O)</f>
        <v>2133862</v>
      </c>
      <c r="E13" s="53">
        <f t="shared" si="9"/>
        <v>2.7159568845551577E-3</v>
      </c>
      <c r="F13" s="19">
        <f t="shared" si="10"/>
        <v>2.7031165100085222E-3</v>
      </c>
      <c r="G13" s="19"/>
      <c r="H13" s="19"/>
      <c r="J13" s="10">
        <f t="shared" si="3"/>
        <v>2023</v>
      </c>
      <c r="K13" s="45">
        <f>'Normalized Annual Summary'!AJ14</f>
        <v>5553781</v>
      </c>
      <c r="L13" s="45">
        <f>SUMIF('Monthly Data'!$B:$B,J13,'Monthly Data'!R:R)</f>
        <v>15486</v>
      </c>
      <c r="M13" s="53">
        <f t="shared" si="11"/>
        <v>2.7883706613566505E-3</v>
      </c>
      <c r="N13" s="19">
        <f t="shared" ref="N13" si="14">AVERAGE(M12:M13)</f>
        <v>2.7887407269590785E-3</v>
      </c>
      <c r="O13" s="19"/>
      <c r="P13" s="10"/>
      <c r="Q13" s="45"/>
      <c r="R13" s="45"/>
      <c r="S13" s="53"/>
      <c r="T13" s="19"/>
    </row>
    <row r="14" spans="1:20" x14ac:dyDescent="0.2">
      <c r="A14" s="10"/>
      <c r="B14" s="10">
        <f t="shared" si="2"/>
        <v>2024</v>
      </c>
      <c r="C14" s="45">
        <f>'Normalized Annual Summary'!Y15</f>
        <v>796891425.15999985</v>
      </c>
      <c r="D14" s="45">
        <f>SUMIF('Monthly Data'!B:B,B14,'Monthly Data'!O:O)</f>
        <v>2107340.8080000002</v>
      </c>
      <c r="E14" s="53">
        <f t="shared" ref="E14" si="15">D14/C14</f>
        <v>2.6444516046547849E-3</v>
      </c>
      <c r="F14" s="19">
        <f t="shared" ref="F14" si="16">AVERAGE(E12:E14)</f>
        <v>2.6815002151092809E-3</v>
      </c>
      <c r="G14" s="19"/>
      <c r="H14" s="19"/>
      <c r="J14" s="10">
        <f t="shared" si="3"/>
        <v>2024</v>
      </c>
      <c r="K14" s="45">
        <f>'Normalized Annual Summary'!AJ15</f>
        <v>5595608.9199999999</v>
      </c>
      <c r="L14" s="45">
        <f>SUMIF('Monthly Data'!$B:$B,J14,'Monthly Data'!R:R)</f>
        <v>15557.879999999997</v>
      </c>
      <c r="M14" s="53">
        <f t="shared" ref="M14" si="17">L14/K14</f>
        <v>2.7803730071972216E-3</v>
      </c>
      <c r="N14" s="19">
        <f t="shared" ref="N14" si="18">AVERAGE(M12,M14)</f>
        <v>2.784741899879364E-3</v>
      </c>
      <c r="O14" s="19"/>
      <c r="P14" s="10"/>
      <c r="Q14" s="45"/>
      <c r="R14" s="45"/>
      <c r="S14" s="53"/>
      <c r="T14" s="19"/>
    </row>
    <row r="15" spans="1:20" x14ac:dyDescent="0.2">
      <c r="A15" s="10"/>
      <c r="B15" s="10"/>
      <c r="C15" s="506"/>
      <c r="D15" s="506"/>
      <c r="E15" s="53"/>
      <c r="F15" s="19"/>
      <c r="G15" s="19"/>
      <c r="H15" s="19"/>
      <c r="J15" s="10"/>
      <c r="K15" s="45"/>
      <c r="L15" s="45"/>
      <c r="M15" s="53"/>
      <c r="N15" s="19"/>
      <c r="O15" s="19"/>
      <c r="P15" s="10"/>
      <c r="Q15" s="45"/>
      <c r="R15" s="45"/>
      <c r="S15" s="53"/>
      <c r="T15" s="19"/>
    </row>
    <row r="16" spans="1:20" x14ac:dyDescent="0.2">
      <c r="B16" s="10"/>
      <c r="C16" s="10" t="s">
        <v>126</v>
      </c>
      <c r="D16" s="54" t="s">
        <v>127</v>
      </c>
      <c r="E16" t="s">
        <v>511</v>
      </c>
      <c r="F16" t="s">
        <v>512</v>
      </c>
      <c r="G16" t="s">
        <v>492</v>
      </c>
      <c r="H16" t="s">
        <v>472</v>
      </c>
      <c r="J16" s="10"/>
      <c r="K16" s="10" t="s">
        <v>126</v>
      </c>
      <c r="L16" s="54" t="s">
        <v>127</v>
      </c>
      <c r="M16" t="s">
        <v>511</v>
      </c>
      <c r="N16" t="s">
        <v>180</v>
      </c>
      <c r="P16" s="10"/>
      <c r="Q16" s="10"/>
      <c r="R16" s="53"/>
      <c r="S16" s="54"/>
    </row>
    <row r="17" spans="1:19" x14ac:dyDescent="0.2">
      <c r="B17" s="52"/>
      <c r="C17" s="52" t="s">
        <v>113</v>
      </c>
      <c r="D17" s="55" t="s">
        <v>179</v>
      </c>
      <c r="E17" s="56" t="s">
        <v>144</v>
      </c>
      <c r="F17" s="315" t="s">
        <v>158</v>
      </c>
      <c r="G17" s="315" t="s">
        <v>418</v>
      </c>
      <c r="H17" s="315" t="s">
        <v>473</v>
      </c>
      <c r="J17" s="52"/>
      <c r="K17" s="52" t="s">
        <v>113</v>
      </c>
      <c r="L17" s="55" t="s">
        <v>159</v>
      </c>
      <c r="M17" s="56" t="s">
        <v>144</v>
      </c>
      <c r="N17" s="315" t="s">
        <v>158</v>
      </c>
      <c r="P17" s="52"/>
      <c r="Q17" s="52"/>
      <c r="R17" s="55"/>
      <c r="S17" s="56"/>
    </row>
    <row r="18" spans="1:19" x14ac:dyDescent="0.2">
      <c r="B18" s="47">
        <v>2023</v>
      </c>
      <c r="C18" s="48">
        <f ca="1">'Normalized Annual Summary'!AE14</f>
        <v>792143831.97217953</v>
      </c>
      <c r="D18" s="57">
        <f ca="1">C18*E18</f>
        <v>2126036.5488925762</v>
      </c>
      <c r="E18" s="76">
        <f>AVERAGE(E5:E14)</f>
        <v>2.6839021691293604E-3</v>
      </c>
      <c r="F18" s="316">
        <f>TREND($E$5:$E$14,$B$5:$B$14,B18)</f>
        <v>2.7074811625361263E-3</v>
      </c>
      <c r="G18" s="93"/>
      <c r="H18" s="312">
        <f ca="1">D18+G18</f>
        <v>2126036.5488925762</v>
      </c>
      <c r="J18" s="47">
        <v>2023</v>
      </c>
      <c r="K18" s="48">
        <f>'Normalized Annual Summary'!AM14</f>
        <v>5553781</v>
      </c>
      <c r="L18" s="57">
        <f>K18*M18</f>
        <v>15520.354580649002</v>
      </c>
      <c r="M18" s="76">
        <f>AVERAGE(M5:M6,M8:M14)</f>
        <v>2.7945564617418298E-3</v>
      </c>
      <c r="N18" s="58">
        <f>TREND($N$7:$N$14,$J$7:$J$14,J18)</f>
        <v>2.8040581360150377E-3</v>
      </c>
      <c r="P18" s="52"/>
      <c r="Q18" s="52"/>
      <c r="R18" s="55"/>
      <c r="S18" s="56"/>
    </row>
    <row r="19" spans="1:19" x14ac:dyDescent="0.2">
      <c r="B19" s="47">
        <v>2024</v>
      </c>
      <c r="C19" s="48">
        <f ca="1">'Normalized Annual Summary'!AE15</f>
        <v>774684290.43537688</v>
      </c>
      <c r="D19" s="57">
        <f t="shared" ref="D19:D21" ca="1" si="19">C19*E19</f>
        <v>2079176.8474899475</v>
      </c>
      <c r="E19" s="76">
        <f>E18</f>
        <v>2.6839021691293604E-3</v>
      </c>
      <c r="F19" s="316">
        <f t="shared" ref="F19:F21" si="20">TREND($E$5:$E$14,$B$5:$B$14,B19)</f>
        <v>2.714218017795202E-3</v>
      </c>
      <c r="G19" s="313"/>
      <c r="H19" s="312">
        <f ca="1">D19+G19</f>
        <v>2079176.8474899475</v>
      </c>
      <c r="J19" s="47">
        <v>2024</v>
      </c>
      <c r="K19" s="48">
        <f>'Normalized Annual Summary'!AM15</f>
        <v>5595608.9199999999</v>
      </c>
      <c r="L19" s="57">
        <f>K19*M19</f>
        <v>15637.245064766221</v>
      </c>
      <c r="M19" s="76">
        <f>M18</f>
        <v>2.7945564617418298E-3</v>
      </c>
      <c r="N19" s="58">
        <f t="shared" ref="N19:N21" si="21">TREND($N$7:$N$14,$J$7:$J$14,J19)</f>
        <v>2.8056329776334605E-3</v>
      </c>
      <c r="P19" s="47"/>
      <c r="Q19" s="48"/>
      <c r="R19" s="57"/>
      <c r="S19" s="58"/>
    </row>
    <row r="20" spans="1:19" x14ac:dyDescent="0.2">
      <c r="B20" s="47">
        <v>2025</v>
      </c>
      <c r="C20" s="48">
        <f ca="1">'Normalized Annual Summary'!AE16</f>
        <v>765794872.85679734</v>
      </c>
      <c r="D20" s="57">
        <f ca="1">C20*E20</f>
        <v>2055318.5203685011</v>
      </c>
      <c r="E20" s="76">
        <f>E19</f>
        <v>2.6839021691293604E-3</v>
      </c>
      <c r="F20" s="316">
        <f t="shared" si="20"/>
        <v>2.7209548730542793E-3</v>
      </c>
      <c r="G20" s="313">
        <f>'Total Additional-Lost Loads'!J18+'Total Additional-Lost Loads'!J26</f>
        <v>-8456.3593028613268</v>
      </c>
      <c r="H20" s="312">
        <f ca="1">D20+G20</f>
        <v>2046862.1610656397</v>
      </c>
      <c r="J20" s="47">
        <v>2025</v>
      </c>
      <c r="K20" s="48">
        <f>'Normalized Annual Summary'!AM16</f>
        <v>5601815.3767096987</v>
      </c>
      <c r="L20" s="57">
        <f t="shared" ref="L20:L21" si="22">K20*M20</f>
        <v>15654.589358468831</v>
      </c>
      <c r="M20" s="76">
        <f>M19</f>
        <v>2.7945564617418298E-3</v>
      </c>
      <c r="N20" s="58">
        <f t="shared" si="21"/>
        <v>2.8072078192518833E-3</v>
      </c>
      <c r="P20" s="47"/>
      <c r="Q20" s="48"/>
      <c r="R20" s="57"/>
      <c r="S20" s="58"/>
    </row>
    <row r="21" spans="1:19" x14ac:dyDescent="0.2">
      <c r="B21" s="47">
        <v>2026</v>
      </c>
      <c r="C21" s="48">
        <f ca="1">'Normalized Annual Summary'!AE17</f>
        <v>755062872.72682619</v>
      </c>
      <c r="D21" s="57">
        <f t="shared" ca="1" si="19"/>
        <v>2026514.8819405751</v>
      </c>
      <c r="E21" s="76">
        <f>E20</f>
        <v>2.6839021691293604E-3</v>
      </c>
      <c r="F21" s="316">
        <f t="shared" si="20"/>
        <v>2.7276917283133549E-3</v>
      </c>
      <c r="G21" s="313">
        <f>'Total Additional-Lost Loads'!K18+'Total Additional-Lost Loads'!K26</f>
        <v>-9085.2416486407965</v>
      </c>
      <c r="H21" s="312">
        <f ca="1">D21+G21</f>
        <v>2017429.6402919344</v>
      </c>
      <c r="J21" s="47">
        <v>2026</v>
      </c>
      <c r="K21" s="48">
        <f>'Normalized Annual Summary'!AM17</f>
        <v>5608030.8259170279</v>
      </c>
      <c r="L21" s="57">
        <f t="shared" si="22"/>
        <v>15671.9587822138</v>
      </c>
      <c r="M21" s="76">
        <f>M20</f>
        <v>2.7945564617418298E-3</v>
      </c>
      <c r="N21" s="58">
        <f t="shared" si="21"/>
        <v>2.8087826608703061E-3</v>
      </c>
      <c r="P21" s="47"/>
      <c r="Q21" s="48"/>
      <c r="R21" s="57"/>
      <c r="S21" s="58"/>
    </row>
    <row r="23" spans="1:19" x14ac:dyDescent="0.2">
      <c r="A23" s="10"/>
      <c r="B23" s="10"/>
      <c r="C23" s="66" t="s">
        <v>124</v>
      </c>
      <c r="D23" s="67" t="s">
        <v>125</v>
      </c>
      <c r="E23" s="53" t="s">
        <v>160</v>
      </c>
      <c r="F23" s="10"/>
      <c r="G23" s="10"/>
      <c r="H23" s="10"/>
      <c r="I23" s="10"/>
      <c r="J23" s="10"/>
      <c r="K23" s="66" t="s">
        <v>124</v>
      </c>
      <c r="L23" s="67" t="s">
        <v>125</v>
      </c>
      <c r="M23" s="53" t="s">
        <v>160</v>
      </c>
    </row>
    <row r="24" spans="1:19" x14ac:dyDescent="0.2">
      <c r="A24" s="10" t="s">
        <v>161</v>
      </c>
      <c r="B24" s="10"/>
      <c r="C24" s="68">
        <f>C14/C10-1</f>
        <v>1.1754810628167078E-2</v>
      </c>
      <c r="D24" s="68">
        <f>D14/D10-1</f>
        <v>-3.475519038630559E-2</v>
      </c>
      <c r="E24" s="69">
        <f>D24-C24</f>
        <v>-4.6510001014472668E-2</v>
      </c>
      <c r="F24" s="10"/>
      <c r="G24" s="10"/>
      <c r="H24" s="10"/>
      <c r="I24" s="10"/>
      <c r="J24" s="10"/>
      <c r="K24" s="68">
        <f>K14/K10-1</f>
        <v>3.4339843204119314E-2</v>
      </c>
      <c r="L24" s="68">
        <f>L14/L10-1</f>
        <v>6.1359373989522403E-3</v>
      </c>
      <c r="M24" s="69">
        <f>L24-K24</f>
        <v>-2.8203905805167073E-2</v>
      </c>
    </row>
    <row r="25" spans="1:19" x14ac:dyDescent="0.2">
      <c r="A25" s="10" t="s">
        <v>162</v>
      </c>
      <c r="B25" s="10"/>
      <c r="C25" s="68">
        <f>C14/C5-1</f>
        <v>-0.12144867143077187</v>
      </c>
      <c r="D25" s="68">
        <f>D14/D5-1</f>
        <v>-0.11236223916431487</v>
      </c>
      <c r="E25" s="69">
        <f>D25-C25</f>
        <v>9.0864322664570008E-3</v>
      </c>
      <c r="F25" s="10"/>
      <c r="G25" s="10"/>
      <c r="H25" s="10"/>
      <c r="I25" s="10"/>
      <c r="J25" s="10"/>
      <c r="K25" s="68">
        <f>K14/K5-1</f>
        <v>-0.43585150888510282</v>
      </c>
      <c r="L25" s="68">
        <f>L14/L5-1</f>
        <v>-0.43755178771555625</v>
      </c>
      <c r="M25" s="69">
        <f>L25-K25</f>
        <v>-1.7002788304534278E-3</v>
      </c>
    </row>
    <row r="26" spans="1:19" x14ac:dyDescent="0.2">
      <c r="A26" s="10"/>
      <c r="B26" s="10"/>
      <c r="C26" s="10"/>
      <c r="D26" s="10"/>
      <c r="E26" s="10"/>
      <c r="F26" s="10"/>
      <c r="G26" s="10"/>
      <c r="H26" s="10"/>
      <c r="I26" s="10"/>
      <c r="J26" s="10"/>
      <c r="K26" s="10"/>
      <c r="L26" s="10"/>
      <c r="M26" s="10"/>
    </row>
    <row r="27" spans="1:19" x14ac:dyDescent="0.2">
      <c r="A27" s="10"/>
      <c r="B27" s="10"/>
      <c r="C27" s="10"/>
      <c r="D27" s="10" t="s">
        <v>516</v>
      </c>
      <c r="E27" s="10"/>
      <c r="F27" s="10"/>
      <c r="G27" s="10"/>
      <c r="H27" s="10"/>
      <c r="I27" s="10"/>
      <c r="J27" s="10"/>
      <c r="K27" s="10"/>
      <c r="L27" s="10" t="s">
        <v>416</v>
      </c>
      <c r="M27" s="10"/>
    </row>
    <row r="47" spans="12:12" x14ac:dyDescent="0.2">
      <c r="L47" t="s">
        <v>178</v>
      </c>
    </row>
    <row r="50" spans="5:5" x14ac:dyDescent="0.2">
      <c r="E50" s="30"/>
    </row>
  </sheetData>
  <mergeCells count="3">
    <mergeCell ref="C2:E2"/>
    <mergeCell ref="K2:M2"/>
    <mergeCell ref="Q2:S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6"/>
  <dimension ref="A2:T56"/>
  <sheetViews>
    <sheetView workbookViewId="0">
      <selection activeCell="E18" sqref="E18"/>
    </sheetView>
  </sheetViews>
  <sheetFormatPr defaultColWidth="9.33203125" defaultRowHeight="12.75" x14ac:dyDescent="0.2"/>
  <cols>
    <col min="3" max="3" width="17.5" bestFit="1" customWidth="1"/>
    <col min="4" max="4" width="15.33203125" customWidth="1"/>
    <col min="5" max="5" width="12.83203125" customWidth="1"/>
    <col min="6" max="6" width="11.33203125" bestFit="1" customWidth="1"/>
    <col min="7" max="8" width="11.33203125" customWidth="1"/>
    <col min="11" max="11" width="14.6640625" customWidth="1"/>
    <col min="12" max="12" width="16.1640625" customWidth="1"/>
    <col min="13" max="13" width="15.83203125" customWidth="1"/>
    <col min="14" max="14" width="11" customWidth="1"/>
    <col min="16" max="16" width="9.33203125" customWidth="1"/>
  </cols>
  <sheetData>
    <row r="2" spans="1:20" x14ac:dyDescent="0.2">
      <c r="C2" s="551" t="s">
        <v>120</v>
      </c>
      <c r="D2" s="551"/>
      <c r="E2" s="551"/>
      <c r="K2" s="551" t="s">
        <v>123</v>
      </c>
      <c r="L2" s="551"/>
      <c r="M2" s="551"/>
      <c r="Q2" s="523"/>
      <c r="R2" s="523"/>
      <c r="S2" s="523"/>
    </row>
    <row r="3" spans="1:20" x14ac:dyDescent="0.2">
      <c r="A3" s="52"/>
      <c r="B3" s="52"/>
      <c r="C3" s="50" t="s">
        <v>124</v>
      </c>
      <c r="D3" s="50" t="s">
        <v>125</v>
      </c>
      <c r="E3" s="50" t="s">
        <v>149</v>
      </c>
      <c r="F3" s="50" t="s">
        <v>150</v>
      </c>
      <c r="G3" s="50"/>
      <c r="H3" s="50"/>
      <c r="J3" s="52"/>
      <c r="K3" s="50" t="s">
        <v>124</v>
      </c>
      <c r="L3" s="50" t="s">
        <v>125</v>
      </c>
      <c r="M3" s="50" t="s">
        <v>149</v>
      </c>
      <c r="N3" s="50" t="s">
        <v>150</v>
      </c>
      <c r="P3" s="52"/>
      <c r="Q3" s="50"/>
      <c r="R3" s="50"/>
      <c r="S3" s="52"/>
    </row>
    <row r="4" spans="1:20" x14ac:dyDescent="0.2">
      <c r="A4" s="52"/>
      <c r="B4" s="52"/>
      <c r="C4" s="52" t="s">
        <v>110</v>
      </c>
      <c r="D4" s="52" t="s">
        <v>111</v>
      </c>
      <c r="E4" s="52" t="s">
        <v>148</v>
      </c>
      <c r="F4" s="50"/>
      <c r="G4" s="50"/>
      <c r="H4" s="50"/>
      <c r="J4" s="52"/>
      <c r="K4" s="52"/>
      <c r="L4" s="50"/>
      <c r="M4" s="50"/>
      <c r="N4" s="50"/>
      <c r="P4" s="52"/>
      <c r="Q4" s="50"/>
      <c r="R4" s="50"/>
      <c r="S4" s="52"/>
    </row>
    <row r="5" spans="1:20" x14ac:dyDescent="0.2">
      <c r="A5" s="10"/>
      <c r="B5" s="10">
        <v>2015</v>
      </c>
      <c r="C5" s="45">
        <f ca="1">'Normalized Annual Summary'!AE6</f>
        <v>911370820.0788244</v>
      </c>
      <c r="D5" s="45">
        <f t="shared" ref="D5:D9" ca="1" si="0">C5*E5</f>
        <v>2385404.935906766</v>
      </c>
      <c r="E5" s="53">
        <f>'kW Forecast'!E5</f>
        <v>2.6173812934897922E-3</v>
      </c>
      <c r="F5" s="19"/>
      <c r="G5" s="19"/>
      <c r="H5" s="19"/>
      <c r="J5" s="10">
        <v>2015</v>
      </c>
      <c r="K5" s="45">
        <f>'Normalized Annual Summary'!AJ6</f>
        <v>9918681</v>
      </c>
      <c r="L5" s="45">
        <f>SUMIF('Monthly Data'!$B:$B,J5,'Monthly Data'!R:R)</f>
        <v>27661</v>
      </c>
      <c r="M5" s="53">
        <f t="shared" ref="M5:M9" si="1">L5/K5</f>
        <v>2.788778064341418E-3</v>
      </c>
      <c r="N5" s="19"/>
      <c r="O5" s="19"/>
      <c r="P5" s="10"/>
      <c r="Q5" s="45"/>
      <c r="R5" s="45"/>
      <c r="S5" s="53"/>
      <c r="T5" s="19"/>
    </row>
    <row r="6" spans="1:20" x14ac:dyDescent="0.2">
      <c r="A6" s="10"/>
      <c r="B6" s="10">
        <f t="shared" ref="B6:B14" si="2">B5+1</f>
        <v>2016</v>
      </c>
      <c r="C6" s="45">
        <f ca="1">'Normalized Annual Summary'!AE7</f>
        <v>893692687.49256063</v>
      </c>
      <c r="D6" s="45">
        <f t="shared" ca="1" si="0"/>
        <v>2339489.0739632919</v>
      </c>
      <c r="E6" s="53">
        <f>'kW Forecast'!E6</f>
        <v>2.6177780200117911E-3</v>
      </c>
      <c r="F6" s="19">
        <f>AVERAGE(E5:E6)</f>
        <v>2.6175796567507919E-3</v>
      </c>
      <c r="G6" s="19"/>
      <c r="H6" s="19"/>
      <c r="J6" s="10">
        <f t="shared" ref="J6:J14" si="3">J5+1</f>
        <v>2016</v>
      </c>
      <c r="K6" s="45">
        <f>'Normalized Annual Summary'!AJ7</f>
        <v>9945876</v>
      </c>
      <c r="L6" s="45">
        <f>SUMIF('Monthly Data'!$B:$B,J6,'Monthly Data'!R:R)</f>
        <v>27648</v>
      </c>
      <c r="M6" s="53">
        <f t="shared" si="1"/>
        <v>2.7798456365231176E-3</v>
      </c>
      <c r="N6" s="19">
        <f>AVERAGE(M5:M6)</f>
        <v>2.7843118504322678E-3</v>
      </c>
      <c r="O6" s="19"/>
      <c r="P6" s="10"/>
      <c r="Q6" s="45"/>
      <c r="R6" s="45"/>
      <c r="S6" s="53"/>
      <c r="T6" s="19"/>
    </row>
    <row r="7" spans="1:20" x14ac:dyDescent="0.2">
      <c r="A7" s="10"/>
      <c r="B7" s="10">
        <f t="shared" si="2"/>
        <v>2017</v>
      </c>
      <c r="C7" s="45">
        <f ca="1">'Normalized Annual Summary'!AE8</f>
        <v>875954451.12115943</v>
      </c>
      <c r="D7" s="45">
        <f t="shared" ca="1" si="0"/>
        <v>2338242.581557299</v>
      </c>
      <c r="E7" s="53">
        <f>'kW Forecast'!E7</f>
        <v>2.6693654887700092E-3</v>
      </c>
      <c r="F7" s="19">
        <f t="shared" ref="F7:F9" si="4">AVERAGE(E5:E7)</f>
        <v>2.6348416007571976E-3</v>
      </c>
      <c r="G7" s="19"/>
      <c r="H7" s="19"/>
      <c r="J7" s="10">
        <f t="shared" si="3"/>
        <v>2017</v>
      </c>
      <c r="K7" s="45">
        <f>'Normalized Annual Summary'!AJ8</f>
        <v>11286654.700000001</v>
      </c>
      <c r="L7" s="45">
        <f>SUMIF('Monthly Data'!$B:$B,J7,'Monthly Data'!R:R)</f>
        <v>30451.800000000003</v>
      </c>
      <c r="M7" s="70">
        <f t="shared" si="1"/>
        <v>2.6980359379648604E-3</v>
      </c>
      <c r="N7" s="19">
        <f>AVERAGE(M5:M6)</f>
        <v>2.7843118504322678E-3</v>
      </c>
      <c r="O7" s="19"/>
      <c r="P7" s="10" t="s">
        <v>164</v>
      </c>
      <c r="Q7" s="45"/>
      <c r="R7" s="45"/>
      <c r="S7" s="53"/>
      <c r="T7" s="19"/>
    </row>
    <row r="8" spans="1:20" x14ac:dyDescent="0.2">
      <c r="A8" s="10"/>
      <c r="B8" s="10">
        <f t="shared" si="2"/>
        <v>2018</v>
      </c>
      <c r="C8" s="45">
        <f ca="1">'Normalized Annual Summary'!AE9</f>
        <v>859901021.17287886</v>
      </c>
      <c r="D8" s="45">
        <f t="shared" ca="1" si="0"/>
        <v>2314806.2722019036</v>
      </c>
      <c r="E8" s="53">
        <f>'kW Forecast'!E8</f>
        <v>2.6919450206543283E-3</v>
      </c>
      <c r="F8" s="19">
        <f t="shared" si="4"/>
        <v>2.6596961764787097E-3</v>
      </c>
      <c r="G8" s="19"/>
      <c r="H8" s="19"/>
      <c r="J8" s="10">
        <f t="shared" si="3"/>
        <v>2018</v>
      </c>
      <c r="K8" s="45">
        <f>'Normalized Annual Summary'!AJ9</f>
        <v>6528022.6000000006</v>
      </c>
      <c r="L8" s="45">
        <f>SUMIF('Monthly Data'!$B:$B,J8,'Monthly Data'!R:R)</f>
        <v>18200.899999999998</v>
      </c>
      <c r="M8" s="53">
        <f t="shared" si="1"/>
        <v>2.7881184112322154E-3</v>
      </c>
      <c r="N8" s="19">
        <f>AVERAGE(M6,M8)</f>
        <v>2.7839820238776663E-3</v>
      </c>
      <c r="O8" s="19"/>
      <c r="P8" s="10"/>
      <c r="Q8" s="45"/>
      <c r="R8" s="45"/>
      <c r="S8" s="53"/>
      <c r="T8" s="19"/>
    </row>
    <row r="9" spans="1:20" x14ac:dyDescent="0.2">
      <c r="A9" s="10"/>
      <c r="B9" s="10">
        <f t="shared" si="2"/>
        <v>2019</v>
      </c>
      <c r="C9" s="45">
        <f ca="1">'Normalized Annual Summary'!AE10</f>
        <v>846467428.86513305</v>
      </c>
      <c r="D9" s="45">
        <f t="shared" ca="1" si="0"/>
        <v>2299747.9780614818</v>
      </c>
      <c r="E9" s="53">
        <f>'kW Forecast'!E9</f>
        <v>2.7168771055311319E-3</v>
      </c>
      <c r="F9" s="19">
        <f t="shared" si="4"/>
        <v>2.6927292049851565E-3</v>
      </c>
      <c r="G9" s="19"/>
      <c r="H9" s="19"/>
      <c r="J9" s="10">
        <f t="shared" si="3"/>
        <v>2019</v>
      </c>
      <c r="K9" s="45">
        <f>'Normalized Annual Summary'!AJ10</f>
        <v>5537652.8999999994</v>
      </c>
      <c r="L9" s="45">
        <f>SUMIF('Monthly Data'!$B:$B,J9,'Monthly Data'!R:R)</f>
        <v>15445.800000000001</v>
      </c>
      <c r="M9" s="53">
        <f t="shared" si="1"/>
        <v>2.7892322395287727E-3</v>
      </c>
      <c r="N9" s="19">
        <f>AVERAGE(M8:M9)</f>
        <v>2.7886753253804943E-3</v>
      </c>
      <c r="O9" s="19"/>
      <c r="P9" s="10"/>
      <c r="Q9" s="45"/>
      <c r="R9" s="45"/>
      <c r="S9" s="53"/>
      <c r="T9" s="19"/>
    </row>
    <row r="10" spans="1:20" x14ac:dyDescent="0.2">
      <c r="A10" s="10"/>
      <c r="B10" s="10">
        <f t="shared" si="2"/>
        <v>2020</v>
      </c>
      <c r="C10" s="45">
        <f ca="1">'Normalized Annual Summary'!AE11</f>
        <v>813743037.67424536</v>
      </c>
      <c r="D10" s="45">
        <f t="shared" ref="D10:D13" ca="1" si="5">C10*E10</f>
        <v>2255592.8662249609</v>
      </c>
      <c r="E10" s="53">
        <f>'kW Forecast'!E10</f>
        <v>2.7718736281562035E-3</v>
      </c>
      <c r="F10" s="19">
        <f t="shared" ref="F10:F13" si="6">AVERAGE(E8:E10)</f>
        <v>2.7268985847805544E-3</v>
      </c>
      <c r="G10" s="19"/>
      <c r="H10" s="19"/>
      <c r="J10" s="10">
        <f t="shared" si="3"/>
        <v>2020</v>
      </c>
      <c r="K10" s="45">
        <f>'Normalized Annual Summary'!AJ11</f>
        <v>5409836</v>
      </c>
      <c r="L10" s="45">
        <f>SUMIF('Monthly Data'!$B:$B,J10,'Monthly Data'!R:R)</f>
        <v>15463</v>
      </c>
      <c r="M10" s="53">
        <f t="shared" ref="M10:M13" si="7">L10/K10</f>
        <v>2.8583121558583293E-3</v>
      </c>
      <c r="N10" s="19">
        <f t="shared" ref="N10" si="8">AVERAGE(M8,M10)</f>
        <v>2.8232152835452723E-3</v>
      </c>
      <c r="O10" s="19"/>
      <c r="P10" s="10"/>
      <c r="Q10" s="45"/>
      <c r="R10" s="45"/>
      <c r="S10" s="53"/>
      <c r="T10" s="19"/>
    </row>
    <row r="11" spans="1:20" x14ac:dyDescent="0.2">
      <c r="A11" s="10"/>
      <c r="B11" s="10">
        <f t="shared" si="2"/>
        <v>2021</v>
      </c>
      <c r="C11" s="45">
        <f ca="1">'Normalized Annual Summary'!AE12</f>
        <v>825739256.00750065</v>
      </c>
      <c r="D11" s="45">
        <f t="shared" ca="1" si="5"/>
        <v>2237175.7703786981</v>
      </c>
      <c r="E11" s="53">
        <f>'kW Forecast'!E11</f>
        <v>2.709300489352509E-3</v>
      </c>
      <c r="F11" s="19">
        <f t="shared" si="6"/>
        <v>2.7326837410132816E-3</v>
      </c>
      <c r="G11" s="19"/>
      <c r="H11" s="19"/>
      <c r="J11" s="10">
        <f t="shared" si="3"/>
        <v>2021</v>
      </c>
      <c r="K11" s="45">
        <f>'Normalized Annual Summary'!AJ12</f>
        <v>5543828</v>
      </c>
      <c r="L11" s="45">
        <f>SUMIF('Monthly Data'!$B:$B,J11,'Monthly Data'!R:R)</f>
        <v>15461</v>
      </c>
      <c r="M11" s="53">
        <f t="shared" si="7"/>
        <v>2.7888671870772326E-3</v>
      </c>
      <c r="N11" s="19">
        <f t="shared" ref="N11" si="9">AVERAGE(M10:M11)</f>
        <v>2.8235896714677812E-3</v>
      </c>
      <c r="O11" s="19"/>
      <c r="P11" s="10"/>
      <c r="Q11" s="45"/>
      <c r="R11" s="45"/>
      <c r="S11" s="53"/>
      <c r="T11" s="19"/>
    </row>
    <row r="12" spans="1:20" x14ac:dyDescent="0.2">
      <c r="A12" s="10"/>
      <c r="B12" s="10">
        <f t="shared" si="2"/>
        <v>2022</v>
      </c>
      <c r="C12" s="45">
        <f ca="1">'Normalized Annual Summary'!AE13</f>
        <v>814970683.49339795</v>
      </c>
      <c r="D12" s="45">
        <f t="shared" ca="1" si="5"/>
        <v>2187456.4190306729</v>
      </c>
      <c r="E12" s="53">
        <f>'kW Forecast'!E12</f>
        <v>2.6840921561178998E-3</v>
      </c>
      <c r="F12" s="19">
        <f t="shared" si="6"/>
        <v>2.7217554245422041E-3</v>
      </c>
      <c r="G12" s="19"/>
      <c r="H12" s="19"/>
      <c r="J12" s="10">
        <f t="shared" si="3"/>
        <v>2022</v>
      </c>
      <c r="K12" s="45">
        <f>'Normalized Annual Summary'!AJ13</f>
        <v>5550156</v>
      </c>
      <c r="L12" s="45">
        <f>SUMIF('Monthly Data'!$B:$B,J12,'Monthly Data'!R:R)</f>
        <v>15480</v>
      </c>
      <c r="M12" s="53">
        <f t="shared" si="7"/>
        <v>2.7891107925615065E-3</v>
      </c>
      <c r="N12" s="19">
        <f t="shared" ref="N12" si="10">AVERAGE(M10,M12)</f>
        <v>2.8237114742099179E-3</v>
      </c>
      <c r="O12" s="19"/>
      <c r="P12" s="10"/>
      <c r="Q12" s="45"/>
      <c r="R12" s="45"/>
      <c r="S12" s="53"/>
      <c r="T12" s="19"/>
    </row>
    <row r="13" spans="1:20" x14ac:dyDescent="0.2">
      <c r="A13" s="10"/>
      <c r="B13" s="10">
        <f t="shared" si="2"/>
        <v>2023</v>
      </c>
      <c r="C13" s="45">
        <f ca="1">'Normalized Annual Summary'!AE14</f>
        <v>792143831.97217953</v>
      </c>
      <c r="D13" s="45">
        <f t="shared" ca="1" si="5"/>
        <v>2151428.494002745</v>
      </c>
      <c r="E13" s="53">
        <f>'kW Forecast'!E13</f>
        <v>2.7159568845551577E-3</v>
      </c>
      <c r="F13" s="19">
        <f t="shared" si="6"/>
        <v>2.7031165100085222E-3</v>
      </c>
      <c r="G13" s="19"/>
      <c r="H13" s="19"/>
      <c r="J13" s="10">
        <f t="shared" si="3"/>
        <v>2023</v>
      </c>
      <c r="K13" s="45">
        <f>'Normalized Annual Summary'!AJ14</f>
        <v>5553781</v>
      </c>
      <c r="L13" s="45">
        <f>SUMIF('Monthly Data'!$B:$B,J13,'Monthly Data'!R:R)</f>
        <v>15486</v>
      </c>
      <c r="M13" s="53">
        <f t="shared" si="7"/>
        <v>2.7883706613566505E-3</v>
      </c>
      <c r="N13" s="19">
        <f t="shared" ref="N13:N14" si="11">AVERAGE(M12:M13)</f>
        <v>2.7887407269590785E-3</v>
      </c>
      <c r="O13" s="19"/>
      <c r="P13" s="10"/>
      <c r="Q13" s="45"/>
      <c r="R13" s="45"/>
      <c r="S13" s="53"/>
      <c r="T13" s="19"/>
    </row>
    <row r="14" spans="1:20" x14ac:dyDescent="0.2">
      <c r="A14" s="10"/>
      <c r="B14" s="10">
        <f t="shared" si="2"/>
        <v>2024</v>
      </c>
      <c r="C14" s="45">
        <f ca="1">'Normalized Annual Summary'!AE15</f>
        <v>774684290.43537688</v>
      </c>
      <c r="D14" s="45">
        <f t="shared" ref="D14" ca="1" si="12">C14*E14</f>
        <v>2048615.1149426859</v>
      </c>
      <c r="E14" s="53">
        <f>'kW Forecast'!E14</f>
        <v>2.6444516046547849E-3</v>
      </c>
      <c r="F14" s="19">
        <f t="shared" ref="F14" si="13">AVERAGE(E12:E14)</f>
        <v>2.6815002151092809E-3</v>
      </c>
      <c r="G14" s="19"/>
      <c r="H14" s="19"/>
      <c r="J14" s="10">
        <f t="shared" si="3"/>
        <v>2024</v>
      </c>
      <c r="K14" s="45">
        <f>'Normalized Annual Summary'!AJ15</f>
        <v>5595608.9199999999</v>
      </c>
      <c r="L14" s="45">
        <f>SUMIF('Monthly Data'!$B:$B,J14,'Monthly Data'!R:R)</f>
        <v>15557.879999999997</v>
      </c>
      <c r="M14" s="53">
        <f t="shared" ref="M14" si="14">L14/K14</f>
        <v>2.7803730071972216E-3</v>
      </c>
      <c r="N14" s="19">
        <f t="shared" si="11"/>
        <v>2.7843718342769361E-3</v>
      </c>
      <c r="O14" s="19"/>
      <c r="P14" s="10"/>
      <c r="Q14" s="45"/>
      <c r="R14" s="45"/>
      <c r="S14" s="53"/>
      <c r="T14" s="19"/>
    </row>
    <row r="16" spans="1:20" x14ac:dyDescent="0.2">
      <c r="B16" s="10"/>
      <c r="C16" s="10" t="s">
        <v>126</v>
      </c>
      <c r="D16" s="54" t="s">
        <v>127</v>
      </c>
      <c r="E16" t="s">
        <v>511</v>
      </c>
      <c r="F16" t="s">
        <v>192</v>
      </c>
      <c r="G16" t="s">
        <v>424</v>
      </c>
      <c r="H16" t="s">
        <v>472</v>
      </c>
      <c r="J16" s="10"/>
      <c r="K16" s="10" t="s">
        <v>126</v>
      </c>
      <c r="L16" s="54" t="s">
        <v>127</v>
      </c>
      <c r="M16" t="s">
        <v>511</v>
      </c>
      <c r="N16" t="s">
        <v>180</v>
      </c>
      <c r="P16" s="10"/>
      <c r="Q16" s="10"/>
      <c r="R16" s="53"/>
      <c r="S16" s="54"/>
    </row>
    <row r="17" spans="1:19" x14ac:dyDescent="0.2">
      <c r="B17" s="52"/>
      <c r="C17" s="52" t="s">
        <v>113</v>
      </c>
      <c r="D17" s="55" t="s">
        <v>179</v>
      </c>
      <c r="E17" s="56" t="s">
        <v>144</v>
      </c>
      <c r="F17" s="56" t="s">
        <v>158</v>
      </c>
      <c r="G17" s="56"/>
      <c r="H17" s="56"/>
      <c r="J17" s="52"/>
      <c r="K17" s="52" t="s">
        <v>113</v>
      </c>
      <c r="L17" s="55" t="s">
        <v>159</v>
      </c>
      <c r="M17" s="56" t="s">
        <v>144</v>
      </c>
      <c r="N17" t="s">
        <v>158</v>
      </c>
      <c r="P17" s="52"/>
      <c r="Q17" s="52"/>
      <c r="R17" s="55"/>
      <c r="S17" s="56"/>
    </row>
    <row r="18" spans="1:19" x14ac:dyDescent="0.2">
      <c r="B18" s="47">
        <v>2015</v>
      </c>
      <c r="C18" s="48">
        <f ca="1">'Normalized Annual Summary'!AE6</f>
        <v>911370820.0788244</v>
      </c>
      <c r="D18" s="57">
        <f t="shared" ref="D18:D29" ca="1" si="15">C18*E18</f>
        <v>2446030.1208907608</v>
      </c>
      <c r="E18" s="76">
        <f>AVERAGE(E5:E14)</f>
        <v>2.6839021691293604E-3</v>
      </c>
      <c r="F18" s="316">
        <f t="shared" ref="F18:F29" si="16">TREND($E$5:$E$14,$B$5:$B$14,B18)</f>
        <v>2.6535863204635163E-3</v>
      </c>
      <c r="G18" s="93"/>
      <c r="H18" s="312">
        <f t="shared" ref="H18:H26" ca="1" si="17">D18+G18</f>
        <v>2446030.1208907608</v>
      </c>
      <c r="J18" s="47">
        <v>2015</v>
      </c>
      <c r="K18" s="48">
        <f>'Normalized Annual Summary'!AM6</f>
        <v>9918681</v>
      </c>
      <c r="L18" s="57">
        <f t="shared" ref="L18:L20" si="18">K18*M18</f>
        <v>27622.578451976246</v>
      </c>
      <c r="M18" s="76">
        <f>AVERAGE(M5:M14)</f>
        <v>2.7849044093641328E-3</v>
      </c>
      <c r="N18" s="58">
        <f t="shared" ref="N18:N29" si="19">TREND($N$7:$N$14,$J$7:$J$14,J18)</f>
        <v>2.7915827582684644E-3</v>
      </c>
      <c r="P18" s="52"/>
      <c r="Q18" s="52"/>
      <c r="R18" s="55"/>
      <c r="S18" s="56"/>
    </row>
    <row r="19" spans="1:19" x14ac:dyDescent="0.2">
      <c r="B19" s="47">
        <v>2016</v>
      </c>
      <c r="C19" s="48">
        <f ca="1">'Normalized Annual Summary'!AE7</f>
        <v>893692687.49256063</v>
      </c>
      <c r="D19" s="57">
        <f t="shared" ca="1" si="15"/>
        <v>2398583.7424963312</v>
      </c>
      <c r="E19" s="76">
        <f t="shared" ref="E19:E26" si="20">E18</f>
        <v>2.6839021691293604E-3</v>
      </c>
      <c r="F19" s="316">
        <f t="shared" si="16"/>
        <v>2.6603231757225936E-3</v>
      </c>
      <c r="G19" s="93"/>
      <c r="H19" s="312">
        <f t="shared" ca="1" si="17"/>
        <v>2398583.7424963312</v>
      </c>
      <c r="J19" s="47">
        <v>2016</v>
      </c>
      <c r="K19" s="48">
        <f>'Normalized Annual Summary'!AM7</f>
        <v>9945876</v>
      </c>
      <c r="L19" s="57">
        <f t="shared" si="18"/>
        <v>27698.313927388903</v>
      </c>
      <c r="M19" s="76">
        <f t="shared" ref="M19:M29" si="21">M18</f>
        <v>2.7849044093641328E-3</v>
      </c>
      <c r="N19" s="58">
        <f t="shared" si="19"/>
        <v>2.7931267610866849E-3</v>
      </c>
      <c r="P19" s="52"/>
      <c r="Q19" s="52"/>
      <c r="R19" s="55"/>
      <c r="S19" s="56"/>
    </row>
    <row r="20" spans="1:19" x14ac:dyDescent="0.2">
      <c r="B20" s="47">
        <v>2017</v>
      </c>
      <c r="C20" s="48">
        <f ca="1">'Normalized Annual Summary'!AE8</f>
        <v>875954451.12115943</v>
      </c>
      <c r="D20" s="57">
        <f t="shared" ca="1" si="15"/>
        <v>2350976.0514225983</v>
      </c>
      <c r="E20" s="76">
        <f t="shared" si="20"/>
        <v>2.6839021691293604E-3</v>
      </c>
      <c r="F20" s="316">
        <f t="shared" si="16"/>
        <v>2.6670600309816692E-3</v>
      </c>
      <c r="G20" s="93"/>
      <c r="H20" s="312">
        <f t="shared" ca="1" si="17"/>
        <v>2350976.0514225983</v>
      </c>
      <c r="J20" s="47">
        <v>2017</v>
      </c>
      <c r="K20" s="48">
        <f>'Normalized Annual Summary'!AM8</f>
        <v>11286654.700000001</v>
      </c>
      <c r="L20" s="57">
        <f t="shared" si="18"/>
        <v>31432.254441000416</v>
      </c>
      <c r="M20" s="76">
        <f t="shared" si="21"/>
        <v>2.7849044093641328E-3</v>
      </c>
      <c r="N20" s="58">
        <f t="shared" si="19"/>
        <v>2.7946707639049054E-3</v>
      </c>
      <c r="P20" s="52"/>
      <c r="Q20" s="52"/>
      <c r="R20" s="55"/>
      <c r="S20" s="56"/>
    </row>
    <row r="21" spans="1:19" x14ac:dyDescent="0.2">
      <c r="B21" s="47">
        <v>2018</v>
      </c>
      <c r="C21" s="48">
        <f ca="1">'Normalized Annual Summary'!AE9</f>
        <v>859901021.17287886</v>
      </c>
      <c r="D21" s="57">
        <f ca="1">C21*E21</f>
        <v>2307890.2159624416</v>
      </c>
      <c r="E21" s="76">
        <f t="shared" si="20"/>
        <v>2.6839021691293604E-3</v>
      </c>
      <c r="F21" s="316">
        <f t="shared" si="16"/>
        <v>2.6737968862407448E-3</v>
      </c>
      <c r="G21" s="93"/>
      <c r="H21" s="312">
        <f t="shared" ca="1" si="17"/>
        <v>2307890.2159624416</v>
      </c>
      <c r="J21" s="47">
        <v>2018</v>
      </c>
      <c r="K21" s="48">
        <f>'Normalized Annual Summary'!AM9</f>
        <v>6528022.6000000006</v>
      </c>
      <c r="L21" s="57">
        <f>K21*M21</f>
        <v>18179.918923168712</v>
      </c>
      <c r="M21" s="76">
        <f t="shared" si="21"/>
        <v>2.7849044093641328E-3</v>
      </c>
      <c r="N21" s="58">
        <f t="shared" si="19"/>
        <v>2.796214766723126E-3</v>
      </c>
      <c r="P21" s="52"/>
      <c r="Q21" s="52"/>
      <c r="R21" s="55"/>
      <c r="S21" s="56"/>
    </row>
    <row r="22" spans="1:19" x14ac:dyDescent="0.2">
      <c r="B22" s="47">
        <v>2019</v>
      </c>
      <c r="C22" s="48">
        <f ca="1">'Normalized Annual Summary'!AE10</f>
        <v>846467428.86513305</v>
      </c>
      <c r="D22" s="57">
        <f t="shared" ca="1" si="15"/>
        <v>2271835.768428483</v>
      </c>
      <c r="E22" s="76">
        <f t="shared" si="20"/>
        <v>2.6839021691293604E-3</v>
      </c>
      <c r="F22" s="316">
        <f t="shared" si="16"/>
        <v>2.6805337414998222E-3</v>
      </c>
      <c r="G22" s="93"/>
      <c r="H22" s="312">
        <f t="shared" ca="1" si="17"/>
        <v>2271835.768428483</v>
      </c>
      <c r="J22" s="47">
        <v>2019</v>
      </c>
      <c r="K22" s="48">
        <f>'Normalized Annual Summary'!AM10</f>
        <v>5537652.8999999994</v>
      </c>
      <c r="L22" s="57">
        <f t="shared" ref="L22:L24" si="22">K22*M22</f>
        <v>15421.833978738076</v>
      </c>
      <c r="M22" s="76">
        <f t="shared" si="21"/>
        <v>2.7849044093641328E-3</v>
      </c>
      <c r="N22" s="58">
        <f t="shared" si="19"/>
        <v>2.797758769541346E-3</v>
      </c>
      <c r="P22" s="47"/>
      <c r="Q22" s="48"/>
      <c r="R22" s="57"/>
      <c r="S22" s="58"/>
    </row>
    <row r="23" spans="1:19" x14ac:dyDescent="0.2">
      <c r="B23" s="47">
        <v>2020</v>
      </c>
      <c r="C23" s="48">
        <f ca="1">'Normalized Annual Summary'!AE11</f>
        <v>813743037.67424536</v>
      </c>
      <c r="D23" s="57">
        <f t="shared" ca="1" si="15"/>
        <v>2184006.7039278219</v>
      </c>
      <c r="E23" s="76">
        <f t="shared" si="20"/>
        <v>2.6839021691293604E-3</v>
      </c>
      <c r="F23" s="316">
        <f t="shared" si="16"/>
        <v>2.6872705967588978E-3</v>
      </c>
      <c r="G23" s="93"/>
      <c r="H23" s="312">
        <f t="shared" ca="1" si="17"/>
        <v>2184006.7039278219</v>
      </c>
      <c r="J23" s="47">
        <v>2020</v>
      </c>
      <c r="K23" s="48">
        <f>'Normalized Annual Summary'!AM11</f>
        <v>5409836</v>
      </c>
      <c r="L23" s="57">
        <f t="shared" si="22"/>
        <v>15065.876130336823</v>
      </c>
      <c r="M23" s="76">
        <f t="shared" si="21"/>
        <v>2.7849044093641328E-3</v>
      </c>
      <c r="N23" s="58">
        <f t="shared" si="19"/>
        <v>2.7993027723595665E-3</v>
      </c>
      <c r="P23" s="47"/>
      <c r="Q23" s="48"/>
      <c r="R23" s="57"/>
      <c r="S23" s="58"/>
    </row>
    <row r="24" spans="1:19" x14ac:dyDescent="0.2">
      <c r="B24" s="47">
        <v>2021</v>
      </c>
      <c r="C24" s="48">
        <f ca="1">'Normalized Annual Summary'!AE12</f>
        <v>825739256.00750065</v>
      </c>
      <c r="D24" s="57">
        <f t="shared" ca="1" si="15"/>
        <v>2216203.3803337952</v>
      </c>
      <c r="E24" s="76">
        <f t="shared" si="20"/>
        <v>2.6839021691293604E-3</v>
      </c>
      <c r="F24" s="316">
        <f t="shared" si="16"/>
        <v>2.6940074520179734E-3</v>
      </c>
      <c r="G24" s="93"/>
      <c r="H24" s="312">
        <f t="shared" ca="1" si="17"/>
        <v>2216203.3803337952</v>
      </c>
      <c r="J24" s="47">
        <v>2021</v>
      </c>
      <c r="K24" s="48">
        <f>'Normalized Annual Summary'!AM12</f>
        <v>5543828</v>
      </c>
      <c r="L24" s="57">
        <f t="shared" si="22"/>
        <v>15439.031041956341</v>
      </c>
      <c r="M24" s="76">
        <f t="shared" si="21"/>
        <v>2.7849044093641328E-3</v>
      </c>
      <c r="N24" s="58">
        <f t="shared" si="19"/>
        <v>2.800846775177787E-3</v>
      </c>
      <c r="P24" s="47"/>
      <c r="Q24" s="48"/>
      <c r="R24" s="57"/>
      <c r="S24" s="58"/>
    </row>
    <row r="25" spans="1:19" x14ac:dyDescent="0.2">
      <c r="B25" s="47">
        <v>2022</v>
      </c>
      <c r="C25" s="48">
        <f ca="1">'Normalized Annual Summary'!AE13</f>
        <v>814970683.49339795</v>
      </c>
      <c r="D25" s="57">
        <f t="shared" ca="1" si="15"/>
        <v>2187301.585204768</v>
      </c>
      <c r="E25" s="76">
        <f t="shared" si="20"/>
        <v>2.6839021691293604E-3</v>
      </c>
      <c r="F25" s="316">
        <f t="shared" si="16"/>
        <v>2.7007443072770507E-3</v>
      </c>
      <c r="G25" s="93"/>
      <c r="H25" s="312">
        <f t="shared" ca="1" si="17"/>
        <v>2187301.585204768</v>
      </c>
      <c r="J25" s="47">
        <v>2022</v>
      </c>
      <c r="K25" s="48">
        <f>'Normalized Annual Summary'!AM13</f>
        <v>5550156</v>
      </c>
      <c r="L25" s="57">
        <f t="shared" ref="L25:L29" si="23">K25*M25</f>
        <v>15456.653917058798</v>
      </c>
      <c r="M25" s="76">
        <f t="shared" si="21"/>
        <v>2.7849044093641328E-3</v>
      </c>
      <c r="N25" s="58">
        <f t="shared" si="19"/>
        <v>2.8023907779960076E-3</v>
      </c>
      <c r="P25" s="47"/>
      <c r="Q25" s="48"/>
      <c r="R25" s="57"/>
      <c r="S25" s="58"/>
    </row>
    <row r="26" spans="1:19" x14ac:dyDescent="0.2">
      <c r="B26" s="47">
        <v>2023</v>
      </c>
      <c r="C26" s="48">
        <f ca="1">'Normalized Annual Summary'!AE14</f>
        <v>792143831.97217953</v>
      </c>
      <c r="D26" s="57">
        <f t="shared" ca="1" si="15"/>
        <v>2126036.5488925762</v>
      </c>
      <c r="E26" s="76">
        <f t="shared" si="20"/>
        <v>2.6839021691293604E-3</v>
      </c>
      <c r="F26" s="316">
        <f t="shared" si="16"/>
        <v>2.7074811625361263E-3</v>
      </c>
      <c r="G26" s="93"/>
      <c r="H26" s="312">
        <f t="shared" ca="1" si="17"/>
        <v>2126036.5488925762</v>
      </c>
      <c r="J26" s="47">
        <v>2023</v>
      </c>
      <c r="K26" s="48">
        <f>'Normalized Annual Summary'!AM14</f>
        <v>5553781</v>
      </c>
      <c r="L26" s="57">
        <f t="shared" si="23"/>
        <v>15466.749195542743</v>
      </c>
      <c r="M26" s="76">
        <f t="shared" si="21"/>
        <v>2.7849044093641328E-3</v>
      </c>
      <c r="N26" s="58">
        <f t="shared" si="19"/>
        <v>2.8039347808142281E-3</v>
      </c>
      <c r="P26" s="47"/>
      <c r="Q26" s="48"/>
      <c r="R26" s="57"/>
      <c r="S26" s="58"/>
    </row>
    <row r="27" spans="1:19" x14ac:dyDescent="0.2">
      <c r="B27" s="47">
        <v>2024</v>
      </c>
      <c r="C27" s="48">
        <f ca="1">'Normalized Annual Summary'!AE15</f>
        <v>774684290.43537688</v>
      </c>
      <c r="D27" s="57">
        <f t="shared" ca="1" si="15"/>
        <v>2079176.8474899475</v>
      </c>
      <c r="E27" s="76">
        <f t="shared" ref="E27:E29" si="24">E26</f>
        <v>2.6839021691293604E-3</v>
      </c>
      <c r="F27" s="316">
        <f t="shared" si="16"/>
        <v>2.714218017795202E-3</v>
      </c>
      <c r="G27" s="313"/>
      <c r="H27" s="312">
        <f ca="1">D27+G27</f>
        <v>2079176.8474899475</v>
      </c>
      <c r="J27" s="47">
        <v>2024</v>
      </c>
      <c r="K27" s="48">
        <f>'Normalized Annual Summary'!AM15</f>
        <v>5595608.9199999999</v>
      </c>
      <c r="L27" s="57">
        <f t="shared" si="23"/>
        <v>15583.235954385273</v>
      </c>
      <c r="M27" s="76">
        <f t="shared" si="21"/>
        <v>2.7849044093641328E-3</v>
      </c>
      <c r="N27" s="58">
        <f t="shared" si="19"/>
        <v>2.8054787836324486E-3</v>
      </c>
      <c r="P27" s="47"/>
      <c r="Q27" s="48"/>
      <c r="R27" s="57"/>
      <c r="S27" s="58"/>
    </row>
    <row r="28" spans="1:19" x14ac:dyDescent="0.2">
      <c r="B28" s="47">
        <v>2025</v>
      </c>
      <c r="C28" s="48">
        <f ca="1">'Normalized Annual Summary'!AE16</f>
        <v>765794872.85679734</v>
      </c>
      <c r="D28" s="57">
        <f t="shared" ca="1" si="15"/>
        <v>2055318.5203685011</v>
      </c>
      <c r="E28" s="76">
        <f t="shared" si="24"/>
        <v>2.6839021691293604E-3</v>
      </c>
      <c r="F28" s="316">
        <f t="shared" si="16"/>
        <v>2.7209548730542793E-3</v>
      </c>
      <c r="G28" s="313">
        <f>'Total Additional-Lost Loads'!J18+'Total Additional-Lost Loads'!J26</f>
        <v>-8456.3593028613268</v>
      </c>
      <c r="H28" s="312">
        <f t="shared" ref="H28:H29" ca="1" si="25">D28+G28</f>
        <v>2046862.1610656397</v>
      </c>
      <c r="J28" s="47">
        <v>2025</v>
      </c>
      <c r="K28" s="48">
        <f>'Normalized Annual Summary'!AM16</f>
        <v>5601815.3767096987</v>
      </c>
      <c r="L28" s="57">
        <f t="shared" si="23"/>
        <v>15600.520343042641</v>
      </c>
      <c r="M28" s="76">
        <f t="shared" si="21"/>
        <v>2.7849044093641328E-3</v>
      </c>
      <c r="N28" s="58">
        <f t="shared" si="19"/>
        <v>2.8070227864506691E-3</v>
      </c>
      <c r="P28" s="47"/>
      <c r="Q28" s="48"/>
      <c r="R28" s="57"/>
      <c r="S28" s="58"/>
    </row>
    <row r="29" spans="1:19" x14ac:dyDescent="0.2">
      <c r="B29" s="47">
        <v>2026</v>
      </c>
      <c r="C29" s="48">
        <f ca="1">'Normalized Annual Summary'!AE17</f>
        <v>755062872.72682619</v>
      </c>
      <c r="D29" s="57">
        <f t="shared" ca="1" si="15"/>
        <v>2026514.8819405751</v>
      </c>
      <c r="E29" s="76">
        <f t="shared" si="24"/>
        <v>2.6839021691293604E-3</v>
      </c>
      <c r="F29" s="316">
        <f t="shared" si="16"/>
        <v>2.7276917283133549E-3</v>
      </c>
      <c r="G29" s="313">
        <f>'Total Additional-Lost Loads'!K18+'Total Additional-Lost Loads'!K26</f>
        <v>-9085.2416486407965</v>
      </c>
      <c r="H29" s="312">
        <f t="shared" ca="1" si="25"/>
        <v>2017429.6402919344</v>
      </c>
      <c r="J29" s="47">
        <v>2026</v>
      </c>
      <c r="K29" s="48">
        <f>'Normalized Annual Summary'!AM17</f>
        <v>5608030.8259170279</v>
      </c>
      <c r="L29" s="57">
        <f t="shared" si="23"/>
        <v>15617.829774946311</v>
      </c>
      <c r="M29" s="76">
        <f t="shared" si="21"/>
        <v>2.7849044093641328E-3</v>
      </c>
      <c r="N29" s="58">
        <f t="shared" si="19"/>
        <v>2.8085667892688896E-3</v>
      </c>
      <c r="P29" s="47"/>
      <c r="Q29" s="48"/>
      <c r="R29" s="57"/>
      <c r="S29" s="58"/>
    </row>
    <row r="30" spans="1:19" x14ac:dyDescent="0.2">
      <c r="B30" s="47"/>
      <c r="C30" s="48"/>
      <c r="D30" s="57"/>
      <c r="E30" s="58"/>
      <c r="F30" s="93"/>
      <c r="G30" s="93"/>
      <c r="H30" s="93"/>
      <c r="J30" s="47"/>
      <c r="K30" s="48"/>
      <c r="L30" s="57"/>
      <c r="M30" s="76"/>
      <c r="N30" s="58"/>
      <c r="P30" s="47"/>
      <c r="Q30" s="48"/>
      <c r="R30" s="57"/>
      <c r="S30" s="58"/>
    </row>
    <row r="32" spans="1:19" x14ac:dyDescent="0.2">
      <c r="A32" s="10"/>
      <c r="B32" s="10"/>
      <c r="C32" s="66" t="s">
        <v>124</v>
      </c>
      <c r="D32" s="67" t="s">
        <v>125</v>
      </c>
      <c r="E32" s="53" t="s">
        <v>160</v>
      </c>
      <c r="F32" s="10"/>
      <c r="G32" s="10"/>
      <c r="H32" s="10"/>
      <c r="I32" s="10"/>
      <c r="J32" s="10"/>
      <c r="K32" s="66" t="s">
        <v>124</v>
      </c>
      <c r="L32" s="67" t="s">
        <v>125</v>
      </c>
      <c r="M32" s="53" t="s">
        <v>160</v>
      </c>
    </row>
    <row r="33" spans="1:13" x14ac:dyDescent="0.2">
      <c r="A33" s="10" t="s">
        <v>161</v>
      </c>
      <c r="B33" s="10"/>
      <c r="C33" s="68">
        <f ca="1">C14/C10-1</f>
        <v>-4.7998871179902314E-2</v>
      </c>
      <c r="D33" s="68">
        <f ca="1">D14/D10-1</f>
        <v>-9.1762017153689701E-2</v>
      </c>
      <c r="E33" s="69">
        <f ca="1">D33-C33</f>
        <v>-4.3763145973787387E-2</v>
      </c>
      <c r="F33" s="10"/>
      <c r="G33" s="10"/>
      <c r="H33" s="10"/>
      <c r="I33" s="10"/>
      <c r="J33" s="10"/>
      <c r="K33" s="68">
        <f>K14/K10-1</f>
        <v>3.4339843204119314E-2</v>
      </c>
      <c r="L33" s="68">
        <f>L14/L10-1</f>
        <v>6.1359373989522403E-3</v>
      </c>
      <c r="M33" s="69">
        <f>L33-K33</f>
        <v>-2.8203905805167073E-2</v>
      </c>
    </row>
    <row r="34" spans="1:13" x14ac:dyDescent="0.2">
      <c r="A34" s="10" t="s">
        <v>162</v>
      </c>
      <c r="B34" s="10"/>
      <c r="C34" s="68">
        <f ca="1">C14/C5-1</f>
        <v>-0.14997904983574684</v>
      </c>
      <c r="D34" s="68">
        <f ca="1">D14/D5-1</f>
        <v>-0.14118769349995319</v>
      </c>
      <c r="E34" s="69">
        <f ca="1">D34-C34</f>
        <v>8.7913563357936431E-3</v>
      </c>
      <c r="F34" s="10"/>
      <c r="G34" s="10"/>
      <c r="H34" s="10"/>
      <c r="I34" s="10"/>
      <c r="J34" s="10"/>
      <c r="K34" s="68">
        <f>K14/K5-1</f>
        <v>-0.43585150888510282</v>
      </c>
      <c r="L34" s="68">
        <f>L14/L5-1</f>
        <v>-0.43755178771555625</v>
      </c>
      <c r="M34" s="69">
        <f>L34-K34</f>
        <v>-1.7002788304534278E-3</v>
      </c>
    </row>
    <row r="35" spans="1:13" x14ac:dyDescent="0.2">
      <c r="A35" s="10"/>
      <c r="B35" s="10"/>
      <c r="C35" s="10"/>
      <c r="D35" s="10"/>
      <c r="E35" s="10"/>
      <c r="F35" s="10"/>
      <c r="G35" s="10"/>
      <c r="H35" s="10"/>
      <c r="I35" s="10"/>
      <c r="J35" s="10"/>
      <c r="K35" s="10"/>
      <c r="L35" s="10"/>
      <c r="M35" s="10"/>
    </row>
    <row r="36" spans="1:13" x14ac:dyDescent="0.2">
      <c r="A36" s="10"/>
      <c r="B36" s="10"/>
      <c r="C36" s="10"/>
      <c r="D36" s="10" t="s">
        <v>416</v>
      </c>
      <c r="E36" s="10"/>
      <c r="F36" s="10"/>
      <c r="G36" s="10"/>
      <c r="H36" s="10"/>
      <c r="I36" s="10"/>
      <c r="J36" s="10"/>
      <c r="K36" s="10"/>
      <c r="L36" s="10" t="s">
        <v>416</v>
      </c>
      <c r="M36" s="10"/>
    </row>
    <row r="56" spans="12:12" x14ac:dyDescent="0.2">
      <c r="L56" t="s">
        <v>178</v>
      </c>
    </row>
  </sheetData>
  <mergeCells count="3">
    <mergeCell ref="C2:E2"/>
    <mergeCell ref="K2:M2"/>
    <mergeCell ref="Q2:S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C8F7E-C8BA-4B0B-9382-9E9E0A0E9050}">
  <sheetPr codeName="Sheet33"/>
  <dimension ref="B1:V127"/>
  <sheetViews>
    <sheetView topLeftCell="O38" workbookViewId="0">
      <selection activeCell="B32" sqref="B32"/>
    </sheetView>
  </sheetViews>
  <sheetFormatPr defaultColWidth="8.83203125" defaultRowHeight="14.25" x14ac:dyDescent="0.2"/>
  <cols>
    <col min="1" max="1" width="8.83203125" style="216"/>
    <col min="2" max="2" width="28.6640625" style="216" bestFit="1" customWidth="1"/>
    <col min="3" max="3" width="17.6640625" style="216" customWidth="1"/>
    <col min="4" max="4" width="21" style="216" bestFit="1" customWidth="1"/>
    <col min="5" max="5" width="18.6640625" style="216" bestFit="1" customWidth="1"/>
    <col min="6" max="7" width="17.6640625" style="216" bestFit="1" customWidth="1"/>
    <col min="8" max="8" width="17.83203125" style="216" bestFit="1" customWidth="1"/>
    <col min="9" max="9" width="16.5" style="216" customWidth="1"/>
    <col min="10" max="10" width="15.1640625" style="216" customWidth="1"/>
    <col min="11" max="12" width="10" style="216" customWidth="1"/>
    <col min="13" max="13" width="19.5" style="216" bestFit="1" customWidth="1"/>
    <col min="14" max="14" width="16.6640625" style="216" bestFit="1" customWidth="1"/>
    <col min="15" max="15" width="28.6640625" style="216" bestFit="1" customWidth="1"/>
    <col min="16" max="16" width="14.1640625" style="216" customWidth="1"/>
    <col min="17" max="17" width="17.83203125" style="216" customWidth="1"/>
    <col min="18" max="18" width="14.33203125" style="216" bestFit="1" customWidth="1"/>
    <col min="19" max="19" width="14.33203125" style="216" customWidth="1"/>
    <col min="20" max="20" width="13.6640625" style="216" bestFit="1" customWidth="1"/>
    <col min="21" max="21" width="13.1640625" style="216" customWidth="1"/>
    <col min="22" max="16384" width="8.83203125" style="216"/>
  </cols>
  <sheetData>
    <row r="1" spans="2:21" ht="15.75" x14ac:dyDescent="0.25">
      <c r="R1" s="217"/>
    </row>
    <row r="2" spans="2:21" ht="15.75" x14ac:dyDescent="0.25">
      <c r="B2" s="219"/>
      <c r="C2" s="220" t="s">
        <v>381</v>
      </c>
      <c r="D2" s="220"/>
      <c r="E2" s="220"/>
      <c r="F2" s="220"/>
      <c r="G2" s="219"/>
      <c r="H2" s="219"/>
      <c r="P2" s="217" t="s">
        <v>382</v>
      </c>
      <c r="Q2" s="217"/>
      <c r="R2" s="217"/>
      <c r="S2" s="217"/>
    </row>
    <row r="3" spans="2:21" ht="15.75" x14ac:dyDescent="0.25">
      <c r="B3" s="219"/>
      <c r="C3" s="221">
        <v>2021</v>
      </c>
      <c r="D3" s="221">
        <v>2022</v>
      </c>
      <c r="E3" s="221">
        <v>2023</v>
      </c>
      <c r="F3" s="221">
        <v>2024</v>
      </c>
      <c r="G3" s="222">
        <v>2025</v>
      </c>
      <c r="H3" s="221">
        <v>2026</v>
      </c>
      <c r="I3" s="221">
        <v>2027</v>
      </c>
      <c r="J3" s="221">
        <v>2028</v>
      </c>
      <c r="K3" s="219" t="s">
        <v>482</v>
      </c>
      <c r="L3" s="219"/>
      <c r="P3" s="217">
        <v>2021</v>
      </c>
      <c r="Q3" s="217">
        <v>2022</v>
      </c>
      <c r="R3" s="217">
        <v>2023</v>
      </c>
      <c r="S3" s="217">
        <v>2024</v>
      </c>
      <c r="T3" s="217">
        <v>2025</v>
      </c>
      <c r="U3" s="217">
        <v>2026</v>
      </c>
    </row>
    <row r="4" spans="2:21" x14ac:dyDescent="0.2">
      <c r="B4" s="219" t="s">
        <v>383</v>
      </c>
      <c r="C4" s="223">
        <v>322</v>
      </c>
      <c r="D4" s="223">
        <v>570</v>
      </c>
      <c r="E4" s="223">
        <v>359</v>
      </c>
      <c r="F4" s="223">
        <v>560</v>
      </c>
      <c r="G4" s="224">
        <f>F4</f>
        <v>560</v>
      </c>
      <c r="H4" s="225">
        <f>G4</f>
        <v>560</v>
      </c>
      <c r="I4" s="225">
        <f t="shared" ref="I4:J4" si="0">H4</f>
        <v>560</v>
      </c>
      <c r="J4" s="225">
        <f t="shared" si="0"/>
        <v>560</v>
      </c>
      <c r="K4" s="226">
        <f>$I$23</f>
        <v>1.1735621779447017E-2</v>
      </c>
      <c r="L4" s="227" t="s">
        <v>384</v>
      </c>
      <c r="N4" s="228"/>
      <c r="O4" s="219" t="s">
        <v>383</v>
      </c>
      <c r="P4" s="229">
        <f>C4*$K4*1000000</f>
        <v>3778870.2129819398</v>
      </c>
      <c r="Q4" s="229">
        <f t="shared" ref="P4:U13" si="1">D4*$K4*1000000</f>
        <v>6689304.4142848002</v>
      </c>
      <c r="R4" s="229">
        <f t="shared" si="1"/>
        <v>4213088.218821479</v>
      </c>
      <c r="S4" s="229">
        <f t="shared" si="1"/>
        <v>6571948.1964903297</v>
      </c>
      <c r="T4" s="229">
        <f t="shared" si="1"/>
        <v>6571948.1964903297</v>
      </c>
      <c r="U4" s="229">
        <f t="shared" si="1"/>
        <v>6571948.1964903297</v>
      </c>
    </row>
    <row r="5" spans="2:21" x14ac:dyDescent="0.2">
      <c r="B5" s="230" t="s">
        <v>341</v>
      </c>
      <c r="C5" s="231">
        <v>10</v>
      </c>
      <c r="D5" s="231">
        <v>4</v>
      </c>
      <c r="E5" s="231">
        <v>20</v>
      </c>
      <c r="F5" s="231">
        <v>65</v>
      </c>
      <c r="G5" s="224">
        <f>F5</f>
        <v>65</v>
      </c>
      <c r="H5" s="225">
        <f t="shared" ref="H5:J13" si="2">G5</f>
        <v>65</v>
      </c>
      <c r="I5" s="225">
        <f t="shared" si="2"/>
        <v>65</v>
      </c>
      <c r="J5" s="225">
        <f t="shared" si="2"/>
        <v>65</v>
      </c>
      <c r="K5" s="226">
        <f t="shared" ref="K5" si="3">$I$23</f>
        <v>1.1735621779447017E-2</v>
      </c>
      <c r="L5" s="227" t="str">
        <f>L4</f>
        <v>% of provincial kWh</v>
      </c>
      <c r="N5" s="227"/>
      <c r="O5" s="230" t="s">
        <v>341</v>
      </c>
      <c r="P5" s="229">
        <f t="shared" si="1"/>
        <v>117356.21779447017</v>
      </c>
      <c r="Q5" s="229">
        <f t="shared" si="1"/>
        <v>46942.48711778807</v>
      </c>
      <c r="R5" s="229">
        <f t="shared" si="1"/>
        <v>234712.43558894034</v>
      </c>
      <c r="S5" s="229">
        <f t="shared" si="1"/>
        <v>762815.41566405608</v>
      </c>
      <c r="T5" s="229">
        <f t="shared" si="1"/>
        <v>762815.41566405608</v>
      </c>
      <c r="U5" s="229">
        <f t="shared" si="1"/>
        <v>762815.41566405608</v>
      </c>
    </row>
    <row r="6" spans="2:21" x14ac:dyDescent="0.2">
      <c r="B6" s="219" t="s">
        <v>385</v>
      </c>
      <c r="C6" s="223">
        <v>16</v>
      </c>
      <c r="D6" s="223">
        <v>20</v>
      </c>
      <c r="E6" s="223">
        <v>50</v>
      </c>
      <c r="F6" s="223">
        <v>54</v>
      </c>
      <c r="G6" s="224">
        <f t="shared" ref="G6:G13" si="4">F6</f>
        <v>54</v>
      </c>
      <c r="H6" s="225">
        <f t="shared" si="2"/>
        <v>54</v>
      </c>
      <c r="I6" s="225">
        <f t="shared" si="2"/>
        <v>54</v>
      </c>
      <c r="J6" s="225">
        <f t="shared" si="2"/>
        <v>54</v>
      </c>
      <c r="K6" s="226">
        <f>$I$23</f>
        <v>1.1735621779447017E-2</v>
      </c>
      <c r="L6" s="227" t="str">
        <f>L5</f>
        <v>% of provincial kWh</v>
      </c>
      <c r="N6" s="227"/>
      <c r="O6" s="219" t="s">
        <v>385</v>
      </c>
      <c r="P6" s="229">
        <f t="shared" si="1"/>
        <v>187769.94847115228</v>
      </c>
      <c r="Q6" s="229">
        <f t="shared" si="1"/>
        <v>234712.43558894034</v>
      </c>
      <c r="R6" s="229">
        <f t="shared" si="1"/>
        <v>586781.08897235082</v>
      </c>
      <c r="S6" s="229">
        <f t="shared" si="1"/>
        <v>633723.57609013899</v>
      </c>
      <c r="T6" s="229">
        <f t="shared" si="1"/>
        <v>633723.57609013899</v>
      </c>
      <c r="U6" s="229">
        <f t="shared" si="1"/>
        <v>633723.57609013899</v>
      </c>
    </row>
    <row r="7" spans="2:21" x14ac:dyDescent="0.2">
      <c r="B7" s="230" t="s">
        <v>386</v>
      </c>
      <c r="C7" s="231">
        <v>1</v>
      </c>
      <c r="D7" s="231">
        <v>15</v>
      </c>
      <c r="E7" s="231">
        <v>29</v>
      </c>
      <c r="F7" s="231">
        <v>96</v>
      </c>
      <c r="G7" s="224">
        <f t="shared" si="4"/>
        <v>96</v>
      </c>
      <c r="H7" s="225">
        <f t="shared" si="2"/>
        <v>96</v>
      </c>
      <c r="I7" s="225">
        <f t="shared" si="2"/>
        <v>96</v>
      </c>
      <c r="J7" s="225">
        <f t="shared" si="2"/>
        <v>96</v>
      </c>
      <c r="K7" s="226">
        <f>$I$23</f>
        <v>1.1735621779447017E-2</v>
      </c>
      <c r="L7" s="227" t="str">
        <f>L6</f>
        <v>% of provincial kWh</v>
      </c>
      <c r="N7" s="216" t="s">
        <v>387</v>
      </c>
      <c r="O7" s="230" t="s">
        <v>386</v>
      </c>
      <c r="P7" s="229">
        <f t="shared" si="1"/>
        <v>11735.621779447018</v>
      </c>
      <c r="Q7" s="229">
        <f t="shared" si="1"/>
        <v>176034.32669170527</v>
      </c>
      <c r="R7" s="229">
        <f t="shared" si="1"/>
        <v>340333.03160396352</v>
      </c>
      <c r="S7" s="229">
        <f t="shared" si="1"/>
        <v>1126619.6908269138</v>
      </c>
      <c r="T7" s="229">
        <f t="shared" si="1"/>
        <v>1126619.6908269138</v>
      </c>
      <c r="U7" s="229">
        <f t="shared" si="1"/>
        <v>1126619.6908269138</v>
      </c>
    </row>
    <row r="8" spans="2:21" x14ac:dyDescent="0.2">
      <c r="B8" s="219" t="s">
        <v>388</v>
      </c>
      <c r="C8" s="223">
        <v>0</v>
      </c>
      <c r="D8" s="223">
        <v>0</v>
      </c>
      <c r="E8" s="223">
        <v>165</v>
      </c>
      <c r="F8" s="223">
        <v>165</v>
      </c>
      <c r="G8" s="224">
        <f t="shared" si="4"/>
        <v>165</v>
      </c>
      <c r="H8" s="225">
        <f t="shared" si="2"/>
        <v>165</v>
      </c>
      <c r="I8" s="225">
        <f t="shared" si="2"/>
        <v>165</v>
      </c>
      <c r="J8" s="225">
        <f t="shared" si="2"/>
        <v>165</v>
      </c>
      <c r="K8" s="226">
        <f>$I$23</f>
        <v>1.1735621779447017E-2</v>
      </c>
      <c r="L8" s="227" t="str">
        <f>L7</f>
        <v>% of provincial kWh</v>
      </c>
      <c r="N8" s="227"/>
      <c r="O8" s="219" t="s">
        <v>388</v>
      </c>
      <c r="P8" s="229">
        <f t="shared" si="1"/>
        <v>0</v>
      </c>
      <c r="Q8" s="229">
        <f t="shared" si="1"/>
        <v>0</v>
      </c>
      <c r="R8" s="229">
        <f t="shared" si="1"/>
        <v>1936377.5936087579</v>
      </c>
      <c r="S8" s="229">
        <f t="shared" si="1"/>
        <v>1936377.5936087579</v>
      </c>
      <c r="T8" s="229">
        <f t="shared" si="1"/>
        <v>1936377.5936087579</v>
      </c>
      <c r="U8" s="229">
        <f t="shared" si="1"/>
        <v>1936377.5936087579</v>
      </c>
    </row>
    <row r="9" spans="2:21" x14ac:dyDescent="0.2">
      <c r="B9" s="230" t="s">
        <v>389</v>
      </c>
      <c r="C9" s="231">
        <v>0</v>
      </c>
      <c r="D9" s="231">
        <v>0</v>
      </c>
      <c r="E9" s="231">
        <v>333</v>
      </c>
      <c r="F9" s="231">
        <v>333</v>
      </c>
      <c r="G9" s="224">
        <f t="shared" si="4"/>
        <v>333</v>
      </c>
      <c r="H9" s="225">
        <f t="shared" si="2"/>
        <v>333</v>
      </c>
      <c r="I9" s="225">
        <f t="shared" si="2"/>
        <v>333</v>
      </c>
      <c r="J9" s="225">
        <f t="shared" si="2"/>
        <v>333</v>
      </c>
      <c r="K9" s="226">
        <v>0</v>
      </c>
      <c r="L9" s="227"/>
      <c r="N9" s="227"/>
      <c r="O9" s="230" t="s">
        <v>389</v>
      </c>
      <c r="P9" s="229">
        <f t="shared" si="1"/>
        <v>0</v>
      </c>
      <c r="Q9" s="229">
        <f t="shared" si="1"/>
        <v>0</v>
      </c>
      <c r="R9" s="229">
        <f t="shared" si="1"/>
        <v>0</v>
      </c>
      <c r="S9" s="229">
        <f t="shared" si="1"/>
        <v>0</v>
      </c>
      <c r="T9" s="229">
        <f t="shared" si="1"/>
        <v>0</v>
      </c>
      <c r="U9" s="229">
        <f t="shared" si="1"/>
        <v>0</v>
      </c>
    </row>
    <row r="10" spans="2:21" x14ac:dyDescent="0.2">
      <c r="B10" s="219" t="s">
        <v>390</v>
      </c>
      <c r="C10" s="223">
        <v>0</v>
      </c>
      <c r="D10" s="223">
        <v>61</v>
      </c>
      <c r="E10" s="223">
        <v>161</v>
      </c>
      <c r="F10" s="223">
        <v>181</v>
      </c>
      <c r="G10" s="224">
        <f t="shared" si="4"/>
        <v>181</v>
      </c>
      <c r="H10" s="225">
        <f t="shared" si="2"/>
        <v>181</v>
      </c>
      <c r="I10" s="225">
        <f t="shared" si="2"/>
        <v>181</v>
      </c>
      <c r="J10" s="225">
        <f t="shared" si="2"/>
        <v>181</v>
      </c>
      <c r="K10" s="226">
        <v>0</v>
      </c>
      <c r="N10" s="228"/>
      <c r="O10" s="219" t="s">
        <v>390</v>
      </c>
      <c r="P10" s="229">
        <f t="shared" si="1"/>
        <v>0</v>
      </c>
      <c r="Q10" s="229">
        <f t="shared" si="1"/>
        <v>0</v>
      </c>
      <c r="R10" s="229">
        <f t="shared" si="1"/>
        <v>0</v>
      </c>
      <c r="S10" s="229">
        <f t="shared" si="1"/>
        <v>0</v>
      </c>
      <c r="T10" s="229">
        <f t="shared" si="1"/>
        <v>0</v>
      </c>
      <c r="U10" s="229">
        <f t="shared" si="1"/>
        <v>0</v>
      </c>
    </row>
    <row r="11" spans="2:21" x14ac:dyDescent="0.2">
      <c r="B11" s="230" t="s">
        <v>391</v>
      </c>
      <c r="C11" s="231">
        <v>0</v>
      </c>
      <c r="D11" s="231">
        <v>0</v>
      </c>
      <c r="E11" s="231">
        <v>3</v>
      </c>
      <c r="F11" s="231">
        <v>7</v>
      </c>
      <c r="G11" s="224">
        <f t="shared" si="4"/>
        <v>7</v>
      </c>
      <c r="H11" s="225">
        <f t="shared" si="2"/>
        <v>7</v>
      </c>
      <c r="I11" s="225">
        <f t="shared" si="2"/>
        <v>7</v>
      </c>
      <c r="J11" s="225">
        <f t="shared" si="2"/>
        <v>7</v>
      </c>
      <c r="K11" s="226">
        <v>0</v>
      </c>
      <c r="L11" s="227"/>
      <c r="N11" s="227"/>
      <c r="O11" s="230" t="s">
        <v>391</v>
      </c>
      <c r="P11" s="229">
        <f t="shared" si="1"/>
        <v>0</v>
      </c>
      <c r="Q11" s="229">
        <f t="shared" si="1"/>
        <v>0</v>
      </c>
      <c r="R11" s="229">
        <f t="shared" si="1"/>
        <v>0</v>
      </c>
      <c r="S11" s="229">
        <f t="shared" si="1"/>
        <v>0</v>
      </c>
      <c r="T11" s="229">
        <f t="shared" si="1"/>
        <v>0</v>
      </c>
      <c r="U11" s="229">
        <f t="shared" si="1"/>
        <v>0</v>
      </c>
    </row>
    <row r="12" spans="2:21" x14ac:dyDescent="0.2">
      <c r="B12" s="219" t="s">
        <v>392</v>
      </c>
      <c r="C12" s="223">
        <v>7</v>
      </c>
      <c r="D12" s="223">
        <v>14</v>
      </c>
      <c r="E12" s="223">
        <v>49</v>
      </c>
      <c r="F12" s="223">
        <v>97</v>
      </c>
      <c r="G12" s="224">
        <f t="shared" si="4"/>
        <v>97</v>
      </c>
      <c r="H12" s="225">
        <f t="shared" si="2"/>
        <v>97</v>
      </c>
      <c r="I12" s="225">
        <f t="shared" si="2"/>
        <v>97</v>
      </c>
      <c r="J12" s="225">
        <f t="shared" si="2"/>
        <v>97</v>
      </c>
      <c r="K12" s="226">
        <f>I34</f>
        <v>1.314319195058585E-2</v>
      </c>
      <c r="L12" s="228" t="s">
        <v>393</v>
      </c>
      <c r="N12" s="227"/>
      <c r="O12" s="219" t="s">
        <v>392</v>
      </c>
      <c r="P12" s="229">
        <f t="shared" si="1"/>
        <v>92002.343654100958</v>
      </c>
      <c r="Q12" s="229">
        <f t="shared" si="1"/>
        <v>184004.68730820192</v>
      </c>
      <c r="R12" s="229">
        <f t="shared" si="1"/>
        <v>644016.40557870665</v>
      </c>
      <c r="S12" s="229">
        <f t="shared" si="1"/>
        <v>1274889.6192068276</v>
      </c>
      <c r="T12" s="229">
        <f t="shared" si="1"/>
        <v>1274889.6192068276</v>
      </c>
      <c r="U12" s="229">
        <f t="shared" si="1"/>
        <v>1274889.6192068276</v>
      </c>
    </row>
    <row r="13" spans="2:21" x14ac:dyDescent="0.2">
      <c r="B13" s="230" t="s">
        <v>394</v>
      </c>
      <c r="C13" s="231">
        <v>1</v>
      </c>
      <c r="D13" s="231">
        <v>0</v>
      </c>
      <c r="E13" s="231">
        <v>15</v>
      </c>
      <c r="F13" s="231">
        <v>16</v>
      </c>
      <c r="G13" s="224">
        <f t="shared" si="4"/>
        <v>16</v>
      </c>
      <c r="H13" s="225">
        <f t="shared" si="2"/>
        <v>16</v>
      </c>
      <c r="I13" s="225">
        <f t="shared" si="2"/>
        <v>16</v>
      </c>
      <c r="J13" s="225">
        <f t="shared" si="2"/>
        <v>16</v>
      </c>
      <c r="K13" s="227">
        <v>0</v>
      </c>
      <c r="N13" s="227"/>
      <c r="O13" s="230" t="s">
        <v>394</v>
      </c>
      <c r="P13" s="229">
        <f t="shared" si="1"/>
        <v>0</v>
      </c>
      <c r="Q13" s="229">
        <f t="shared" si="1"/>
        <v>0</v>
      </c>
      <c r="R13" s="229">
        <f t="shared" si="1"/>
        <v>0</v>
      </c>
      <c r="S13" s="229">
        <f t="shared" si="1"/>
        <v>0</v>
      </c>
      <c r="T13" s="229">
        <f t="shared" si="1"/>
        <v>0</v>
      </c>
      <c r="U13" s="229">
        <f t="shared" si="1"/>
        <v>0</v>
      </c>
    </row>
    <row r="14" spans="2:21" x14ac:dyDescent="0.2">
      <c r="B14" s="219"/>
      <c r="C14" s="232">
        <f>SUM(C4:C13)</f>
        <v>357</v>
      </c>
      <c r="D14" s="232">
        <f>SUM(D4:D13)</f>
        <v>684</v>
      </c>
      <c r="E14" s="232">
        <f>SUM(E4:E13)</f>
        <v>1184</v>
      </c>
      <c r="F14" s="232">
        <f>SUM(F4:F13)</f>
        <v>1574</v>
      </c>
      <c r="G14" s="233">
        <f>SUM(G4:G13)</f>
        <v>1574</v>
      </c>
      <c r="H14" s="233">
        <f t="shared" ref="H14:J14" si="5">SUM(H4:H13)</f>
        <v>1574</v>
      </c>
      <c r="I14" s="233">
        <f t="shared" si="5"/>
        <v>1574</v>
      </c>
      <c r="J14" s="233">
        <f t="shared" si="5"/>
        <v>1574</v>
      </c>
      <c r="K14" s="227"/>
      <c r="L14" s="227"/>
      <c r="O14" s="232"/>
      <c r="P14" s="234">
        <f>SUM(P4:P13)</f>
        <v>4187734.3446811098</v>
      </c>
      <c r="Q14" s="234">
        <f t="shared" ref="Q14:U14" si="6">SUM(Q4:Q13)</f>
        <v>7330998.3509914353</v>
      </c>
      <c r="R14" s="234">
        <f t="shared" si="6"/>
        <v>7955308.7741741966</v>
      </c>
      <c r="S14" s="234">
        <f t="shared" si="6"/>
        <v>12306374.091887023</v>
      </c>
      <c r="T14" s="234">
        <f t="shared" si="6"/>
        <v>12306374.091887023</v>
      </c>
      <c r="U14" s="234">
        <f t="shared" si="6"/>
        <v>12306374.091887023</v>
      </c>
    </row>
    <row r="15" spans="2:21" x14ac:dyDescent="0.2">
      <c r="B15" s="219"/>
      <c r="C15" s="232"/>
      <c r="D15" s="235">
        <f>D14/C14</f>
        <v>1.9159663865546219</v>
      </c>
      <c r="E15" s="235">
        <f>E14/D14</f>
        <v>1.7309941520467835</v>
      </c>
      <c r="F15" s="235">
        <f>F14/E14</f>
        <v>1.3293918918918919</v>
      </c>
      <c r="G15" s="219"/>
      <c r="H15" s="227"/>
      <c r="O15" s="232"/>
      <c r="P15" s="234"/>
      <c r="Q15" s="234"/>
      <c r="R15" s="234"/>
      <c r="S15" s="234"/>
      <c r="T15" s="234"/>
    </row>
    <row r="16" spans="2:21" x14ac:dyDescent="0.2">
      <c r="B16" s="219" t="s">
        <v>395</v>
      </c>
      <c r="C16" s="219" t="s">
        <v>396</v>
      </c>
      <c r="D16" s="219"/>
      <c r="E16" s="219"/>
      <c r="F16" s="219"/>
      <c r="G16" s="219" t="s">
        <v>397</v>
      </c>
      <c r="H16" s="227"/>
    </row>
    <row r="17" spans="2:21" x14ac:dyDescent="0.2">
      <c r="B17" s="219"/>
      <c r="C17" s="219"/>
      <c r="D17" s="219"/>
      <c r="E17" s="219"/>
      <c r="F17" s="219"/>
      <c r="G17" s="219" t="s">
        <v>398</v>
      </c>
      <c r="H17" s="219"/>
      <c r="I17" s="219"/>
    </row>
    <row r="18" spans="2:21" x14ac:dyDescent="0.2">
      <c r="B18" s="236"/>
      <c r="C18" s="237"/>
      <c r="D18" s="237"/>
      <c r="E18" s="237"/>
      <c r="F18" s="237"/>
      <c r="G18" s="237"/>
      <c r="H18" s="237"/>
      <c r="I18" s="238"/>
      <c r="N18" s="239"/>
      <c r="O18" s="240" t="str">
        <f t="shared" ref="O18:O27" si="7">O4</f>
        <v>Retrofit</v>
      </c>
      <c r="P18" s="241">
        <f t="shared" ref="P18:P27" si="8">P4/2</f>
        <v>1889435.1064909699</v>
      </c>
      <c r="Q18" s="241">
        <f t="shared" ref="Q18:Q27" si="9">Q4/2+P4/2</f>
        <v>5234087.3136333702</v>
      </c>
      <c r="R18" s="241">
        <f t="shared" ref="R18:R27" si="10">R4/2+Q4+$P4/2</f>
        <v>10685283.630186509</v>
      </c>
      <c r="S18" s="241">
        <f>S4/2+SUM($Q4:R4)+$P4/2</f>
        <v>16077801.837842414</v>
      </c>
      <c r="T18" s="241">
        <f>T4/2+SUM($Q4:S4)+$P4/2</f>
        <v>22649750.034332745</v>
      </c>
      <c r="U18" s="242">
        <f>U4/2+SUM($Q4:T4)+$P4/2</f>
        <v>29221698.230823074</v>
      </c>
    </row>
    <row r="19" spans="2:21" x14ac:dyDescent="0.2">
      <c r="B19" s="236"/>
      <c r="C19" s="237"/>
      <c r="D19" s="237"/>
      <c r="E19" s="237"/>
      <c r="F19" s="237"/>
      <c r="G19" s="237"/>
      <c r="H19" s="237"/>
      <c r="I19" s="238"/>
      <c r="N19" s="243"/>
      <c r="O19" s="216" t="str">
        <f t="shared" si="7"/>
        <v>Small Business</v>
      </c>
      <c r="P19" s="244">
        <f t="shared" si="8"/>
        <v>58678.108897235084</v>
      </c>
      <c r="Q19" s="244">
        <f t="shared" si="9"/>
        <v>82149.352456129127</v>
      </c>
      <c r="R19" s="244">
        <f t="shared" si="10"/>
        <v>222976.81380949332</v>
      </c>
      <c r="S19" s="244">
        <f>S5/2+SUM($Q5:R5)+$P5/2</f>
        <v>721740.73943599162</v>
      </c>
      <c r="T19" s="244">
        <f>T5/2+SUM($Q5:S5)+$P5/2</f>
        <v>1484556.1551000474</v>
      </c>
      <c r="U19" s="245">
        <f>U5/2+SUM($Q5:T5)+$P5/2</f>
        <v>2247371.5707641039</v>
      </c>
    </row>
    <row r="20" spans="2:21" x14ac:dyDescent="0.2">
      <c r="B20" s="246" t="s">
        <v>368</v>
      </c>
      <c r="C20" s="247">
        <v>2019</v>
      </c>
      <c r="D20" s="247">
        <v>2020</v>
      </c>
      <c r="E20" s="247">
        <v>2021</v>
      </c>
      <c r="F20" s="247">
        <v>2022</v>
      </c>
      <c r="G20" s="247">
        <v>2023</v>
      </c>
      <c r="H20" s="247"/>
      <c r="I20" s="248" t="s">
        <v>399</v>
      </c>
      <c r="J20" s="249"/>
      <c r="K20" s="249"/>
      <c r="L20" s="249"/>
      <c r="M20" s="249"/>
      <c r="N20" s="243"/>
      <c r="O20" s="216" t="str">
        <f t="shared" si="7"/>
        <v xml:space="preserve">Energy Performance </v>
      </c>
      <c r="P20" s="244">
        <f t="shared" si="8"/>
        <v>93884.974235576141</v>
      </c>
      <c r="Q20" s="244">
        <f t="shared" si="9"/>
        <v>211241.19203004631</v>
      </c>
      <c r="R20" s="244">
        <f t="shared" si="10"/>
        <v>621987.95431069192</v>
      </c>
      <c r="S20" s="244">
        <f>S6/2+SUM($Q6:R6)+$P6/2</f>
        <v>1232240.2868419366</v>
      </c>
      <c r="T20" s="244">
        <f>T6/2+SUM($Q6:S6)+$P6/2</f>
        <v>1865963.8629320755</v>
      </c>
      <c r="U20" s="245">
        <f>U6/2+SUM($Q6:T6)+$P6/2</f>
        <v>2499687.4390222146</v>
      </c>
    </row>
    <row r="21" spans="2:21" x14ac:dyDescent="0.2">
      <c r="B21" s="250" t="s">
        <v>400</v>
      </c>
      <c r="C21" s="251">
        <v>128998218668.82481</v>
      </c>
      <c r="D21" s="251">
        <v>127404529765.21008</v>
      </c>
      <c r="E21" s="251">
        <v>128402542286.7</v>
      </c>
      <c r="F21" s="251">
        <v>130335939993.45003</v>
      </c>
      <c r="G21" s="251">
        <v>129496424296.9221</v>
      </c>
      <c r="H21" s="251"/>
      <c r="I21" s="252">
        <f>AVERAGE(C21:G21)</f>
        <v>128927531002.22141</v>
      </c>
      <c r="J21" s="234"/>
      <c r="K21" s="234"/>
      <c r="L21" s="234"/>
      <c r="M21" s="234"/>
      <c r="N21" s="253" t="s">
        <v>401</v>
      </c>
      <c r="O21" s="216" t="str">
        <f t="shared" si="7"/>
        <v>Energy Management</v>
      </c>
      <c r="P21" s="244">
        <f t="shared" si="8"/>
        <v>5867.8108897235088</v>
      </c>
      <c r="Q21" s="244">
        <f t="shared" si="9"/>
        <v>93884.974235576141</v>
      </c>
      <c r="R21" s="244">
        <f t="shared" si="10"/>
        <v>352068.65338341059</v>
      </c>
      <c r="S21" s="244">
        <f>S7/2+SUM($Q7:R7)+$P7/2</f>
        <v>1085545.0145988492</v>
      </c>
      <c r="T21" s="244">
        <f>T7/2+SUM($Q7:S7)+$P7/2</f>
        <v>2212164.7054257635</v>
      </c>
      <c r="U21" s="245">
        <f>U7/2+SUM($Q7:T7)+$P7/2</f>
        <v>3338784.3962526768</v>
      </c>
    </row>
    <row r="22" spans="2:21" x14ac:dyDescent="0.2">
      <c r="B22" s="250" t="s">
        <v>377</v>
      </c>
      <c r="C22" s="254">
        <v>1530473908</v>
      </c>
      <c r="D22" s="254">
        <v>1504792713</v>
      </c>
      <c r="E22" s="254">
        <v>1513843505</v>
      </c>
      <c r="F22" s="254">
        <v>1531698250</v>
      </c>
      <c r="G22" s="254">
        <v>1484415328</v>
      </c>
      <c r="H22" s="254"/>
      <c r="I22" s="252">
        <f>AVERAGE(C22:G22)</f>
        <v>1513044740.8</v>
      </c>
      <c r="J22" s="234"/>
      <c r="K22" s="234"/>
      <c r="L22" s="234"/>
      <c r="M22" s="234"/>
      <c r="N22" s="255" t="s">
        <v>402</v>
      </c>
      <c r="O22" s="216" t="str">
        <f t="shared" si="7"/>
        <v>Industrial Energy Efficiency</v>
      </c>
      <c r="P22" s="244">
        <f t="shared" si="8"/>
        <v>0</v>
      </c>
      <c r="Q22" s="244">
        <f t="shared" si="9"/>
        <v>0</v>
      </c>
      <c r="R22" s="244">
        <f t="shared" si="10"/>
        <v>968188.79680437897</v>
      </c>
      <c r="S22" s="244">
        <f>S8/2+SUM($Q8:R8)+$P8/2</f>
        <v>2904566.3904131372</v>
      </c>
      <c r="T22" s="244">
        <f>T8/2+SUM($Q8:S8)+$P8/2</f>
        <v>4840943.9840218946</v>
      </c>
      <c r="U22" s="245">
        <f>U8/2+SUM($Q8:T8)+$P8/2</f>
        <v>6777321.577630653</v>
      </c>
    </row>
    <row r="23" spans="2:21" x14ac:dyDescent="0.2">
      <c r="B23" s="250" t="s">
        <v>411</v>
      </c>
      <c r="C23" s="256">
        <f t="shared" ref="C23:G23" si="11">C22/C21</f>
        <v>1.1864302653117735E-2</v>
      </c>
      <c r="D23" s="256">
        <f t="shared" si="11"/>
        <v>1.1811139806199486E-2</v>
      </c>
      <c r="E23" s="256">
        <f t="shared" si="11"/>
        <v>1.1789825014678115E-2</v>
      </c>
      <c r="F23" s="256">
        <f t="shared" si="11"/>
        <v>1.1751925448015142E-2</v>
      </c>
      <c r="G23" s="256">
        <f t="shared" si="11"/>
        <v>1.1462983136865517E-2</v>
      </c>
      <c r="H23" s="256"/>
      <c r="I23" s="257">
        <f>I22/I21</f>
        <v>1.1735621779447017E-2</v>
      </c>
      <c r="J23" s="258"/>
      <c r="K23" s="258"/>
      <c r="L23" s="258"/>
      <c r="M23" s="258"/>
      <c r="N23" s="243"/>
      <c r="O23" s="216" t="str">
        <f t="shared" si="7"/>
        <v>Targeted Greenhouse</v>
      </c>
      <c r="P23" s="244">
        <f t="shared" si="8"/>
        <v>0</v>
      </c>
      <c r="Q23" s="244">
        <f t="shared" si="9"/>
        <v>0</v>
      </c>
      <c r="R23" s="244">
        <f t="shared" si="10"/>
        <v>0</v>
      </c>
      <c r="S23" s="244">
        <f>S9/2+SUM($Q9:R9)+$P9/2</f>
        <v>0</v>
      </c>
      <c r="T23" s="244">
        <f>T9/2+SUM($Q9:S9)+$P9/2</f>
        <v>0</v>
      </c>
      <c r="U23" s="245">
        <f>U9/2+SUM($Q9:T9)+$P9/2</f>
        <v>0</v>
      </c>
    </row>
    <row r="24" spans="2:21" x14ac:dyDescent="0.2">
      <c r="B24" s="250"/>
      <c r="C24" s="219"/>
      <c r="D24" s="219"/>
      <c r="E24" s="219"/>
      <c r="F24" s="219"/>
      <c r="G24" s="219"/>
      <c r="H24" s="219"/>
      <c r="I24" s="259"/>
      <c r="J24" s="232"/>
      <c r="K24" s="232"/>
      <c r="L24" s="232"/>
      <c r="M24" s="232"/>
      <c r="N24" s="243"/>
      <c r="O24" s="216" t="str">
        <f t="shared" si="7"/>
        <v>Local Initiatives</v>
      </c>
      <c r="P24" s="244">
        <f t="shared" si="8"/>
        <v>0</v>
      </c>
      <c r="Q24" s="244">
        <f t="shared" si="9"/>
        <v>0</v>
      </c>
      <c r="R24" s="244">
        <f t="shared" si="10"/>
        <v>0</v>
      </c>
      <c r="S24" s="244">
        <f>S10/2+SUM($Q10:R10)+$P10/2</f>
        <v>0</v>
      </c>
      <c r="T24" s="244">
        <f>T10/2+SUM($Q10:S10)+$P10/2</f>
        <v>0</v>
      </c>
      <c r="U24" s="245">
        <f>U10/2+SUM($Q10:T10)+$P10/2</f>
        <v>0</v>
      </c>
    </row>
    <row r="25" spans="2:21" x14ac:dyDescent="0.2">
      <c r="B25" s="250" t="s">
        <v>395</v>
      </c>
      <c r="C25" s="219" t="s">
        <v>403</v>
      </c>
      <c r="D25" s="219"/>
      <c r="E25" s="219"/>
      <c r="F25" s="219"/>
      <c r="G25" s="219"/>
      <c r="H25" s="219"/>
      <c r="I25" s="260"/>
      <c r="N25" s="261"/>
      <c r="O25" s="216" t="str">
        <f t="shared" si="7"/>
        <v>Residential Demand Response</v>
      </c>
      <c r="P25" s="244">
        <f t="shared" si="8"/>
        <v>0</v>
      </c>
      <c r="Q25" s="244">
        <f t="shared" si="9"/>
        <v>0</v>
      </c>
      <c r="R25" s="244">
        <f t="shared" si="10"/>
        <v>0</v>
      </c>
      <c r="S25" s="244">
        <f>S11/2+SUM($Q11:R11)+$P11/2</f>
        <v>0</v>
      </c>
      <c r="T25" s="244">
        <f>T11/2+SUM($Q11:S11)+$P11/2</f>
        <v>0</v>
      </c>
      <c r="U25" s="245">
        <f>U11/2+SUM($Q11:T11)+$P11/2</f>
        <v>0</v>
      </c>
    </row>
    <row r="26" spans="2:21" x14ac:dyDescent="0.2">
      <c r="B26" s="243"/>
      <c r="I26" s="262"/>
      <c r="N26" s="243"/>
      <c r="O26" s="216" t="str">
        <f t="shared" si="7"/>
        <v>Energy Affordability Program</v>
      </c>
      <c r="P26" s="244">
        <f t="shared" si="8"/>
        <v>46001.171827050479</v>
      </c>
      <c r="Q26" s="244">
        <f t="shared" si="9"/>
        <v>138003.51548115144</v>
      </c>
      <c r="R26" s="244">
        <f t="shared" si="10"/>
        <v>552014.06192460575</v>
      </c>
      <c r="S26" s="244">
        <f>S12/2+SUM($Q12:R12)+$P12/2</f>
        <v>1511467.0743173729</v>
      </c>
      <c r="T26" s="244">
        <f>T12/2+SUM($Q12:S12)+$P12/2</f>
        <v>2786356.6935242</v>
      </c>
      <c r="U26" s="245">
        <f>U12/2+SUM($Q12:T12)+$P12/2</f>
        <v>4061246.3127310281</v>
      </c>
    </row>
    <row r="27" spans="2:21" x14ac:dyDescent="0.2">
      <c r="B27" s="250"/>
      <c r="C27" s="263"/>
      <c r="D27" s="263"/>
      <c r="E27" s="263"/>
      <c r="F27" s="263"/>
      <c r="G27" s="263"/>
      <c r="H27" s="263"/>
      <c r="I27" s="264"/>
      <c r="J27" s="265"/>
      <c r="K27" s="266"/>
      <c r="N27" s="243"/>
      <c r="O27" s="216" t="str">
        <f t="shared" si="7"/>
        <v>First Nations Program</v>
      </c>
      <c r="P27" s="244">
        <f t="shared" si="8"/>
        <v>0</v>
      </c>
      <c r="Q27" s="244">
        <f t="shared" si="9"/>
        <v>0</v>
      </c>
      <c r="R27" s="244">
        <f t="shared" si="10"/>
        <v>0</v>
      </c>
      <c r="S27" s="244">
        <f>S13/2+SUM($Q13:R13)+$P13/2</f>
        <v>0</v>
      </c>
      <c r="T27" s="244">
        <f>T13/2+SUM($Q13:S13)+$P13/2</f>
        <v>0</v>
      </c>
      <c r="U27" s="245">
        <f>U13/2+SUM($Q13:T13)+$P13/2</f>
        <v>0</v>
      </c>
    </row>
    <row r="28" spans="2:21" x14ac:dyDescent="0.2">
      <c r="B28" s="250"/>
      <c r="C28" s="263"/>
      <c r="D28" s="263"/>
      <c r="E28" s="263"/>
      <c r="F28" s="263"/>
      <c r="G28" s="263"/>
      <c r="I28" s="264"/>
      <c r="J28" s="265"/>
      <c r="K28" s="267"/>
      <c r="L28" s="232"/>
      <c r="M28" s="232"/>
      <c r="N28" s="268"/>
      <c r="O28" s="232" t="s">
        <v>138</v>
      </c>
      <c r="P28" s="234">
        <f t="shared" ref="P28:U28" si="12">SUM(P18:P25)</f>
        <v>2047866.0005135045</v>
      </c>
      <c r="Q28" s="234">
        <f t="shared" si="12"/>
        <v>5621362.8323551221</v>
      </c>
      <c r="R28" s="234">
        <f t="shared" si="12"/>
        <v>12850505.848494485</v>
      </c>
      <c r="S28" s="234">
        <f t="shared" si="12"/>
        <v>22021894.269132331</v>
      </c>
      <c r="T28" s="234">
        <f t="shared" si="12"/>
        <v>33053378.741812527</v>
      </c>
      <c r="U28" s="252">
        <f t="shared" si="12"/>
        <v>44084863.214492723</v>
      </c>
    </row>
    <row r="29" spans="2:21" x14ac:dyDescent="0.2">
      <c r="B29" s="250"/>
      <c r="C29" s="219"/>
      <c r="D29" s="219"/>
      <c r="E29" s="219"/>
      <c r="F29" s="219"/>
      <c r="G29" s="219"/>
      <c r="H29" s="219"/>
      <c r="I29" s="260"/>
      <c r="K29" s="232"/>
      <c r="L29" s="232"/>
      <c r="M29" s="232"/>
      <c r="N29" s="268"/>
      <c r="U29" s="262"/>
    </row>
    <row r="30" spans="2:21" x14ac:dyDescent="0.2">
      <c r="B30" s="236"/>
      <c r="C30" s="237"/>
      <c r="D30" s="237"/>
      <c r="E30" s="237"/>
      <c r="F30" s="237"/>
      <c r="G30" s="237"/>
      <c r="H30" s="237"/>
      <c r="I30" s="238"/>
      <c r="K30" s="232"/>
      <c r="L30" s="232"/>
      <c r="M30" s="232"/>
      <c r="N30" s="269"/>
      <c r="O30" s="216" t="s">
        <v>29</v>
      </c>
      <c r="P30" s="270">
        <f>$O$47*P$18+$O$48*P$19+$O$49*P$20+$O$50*P$21+$O$51*P$22+$O$52*P$23+$O$53*P$24+$O$54*P$25+$O$55*P$26+$O$56*P$27</f>
        <v>46001.171827050479</v>
      </c>
      <c r="Q30" s="270">
        <f t="shared" ref="Q30:U30" si="13">$O$47*Q$18+$O$48*Q$19+$O$49*Q$20+$O$50*Q$21+$O$51*Q$22+$O$52*Q$23+$O$53*Q$24+$O$54*Q$25+$O$55*Q$26+$O$56*Q$27</f>
        <v>138003.51548115144</v>
      </c>
      <c r="R30" s="270">
        <f t="shared" si="13"/>
        <v>552014.06192460575</v>
      </c>
      <c r="S30" s="270">
        <f t="shared" si="13"/>
        <v>1511467.0743173729</v>
      </c>
      <c r="T30" s="270">
        <f t="shared" si="13"/>
        <v>2786356.6935242</v>
      </c>
      <c r="U30" s="271">
        <f t="shared" si="13"/>
        <v>4061246.3127310281</v>
      </c>
    </row>
    <row r="31" spans="2:21" x14ac:dyDescent="0.2">
      <c r="B31" s="246" t="str">
        <f>B12</f>
        <v>Energy Affordability Program</v>
      </c>
      <c r="C31" s="232">
        <v>2016</v>
      </c>
      <c r="D31" s="232"/>
      <c r="E31" s="232">
        <f>E20</f>
        <v>2021</v>
      </c>
      <c r="F31" s="232"/>
      <c r="G31" s="219"/>
      <c r="H31" s="219"/>
      <c r="I31" s="259" t="s">
        <v>404</v>
      </c>
      <c r="J31" s="232"/>
      <c r="K31" s="232"/>
      <c r="L31" s="232"/>
      <c r="M31" s="232"/>
      <c r="N31" s="253" t="s">
        <v>401</v>
      </c>
      <c r="O31" s="216" t="s">
        <v>119</v>
      </c>
      <c r="P31" s="270">
        <f t="shared" ref="P31:U31" si="14">$P$47*P$18+$P$48*P$19+$P$49*P$20+$P$50*P$21+$P$51*P$22+$P$52*P$23+$P$53*P$24+$P$54*P$25+$P$55*P$26+$P$56*P$27</f>
        <v>435133.38433833659</v>
      </c>
      <c r="Q31" s="270">
        <f t="shared" si="14"/>
        <v>1134729.0054765118</v>
      </c>
      <c r="R31" s="270">
        <f t="shared" si="14"/>
        <v>2365109.1962664062</v>
      </c>
      <c r="S31" s="270">
        <f t="shared" si="14"/>
        <v>3898203.8830462471</v>
      </c>
      <c r="T31" s="270">
        <f t="shared" si="14"/>
        <v>5902824.1173024895</v>
      </c>
      <c r="U31" s="271">
        <f t="shared" si="14"/>
        <v>7907444.3515587319</v>
      </c>
    </row>
    <row r="32" spans="2:21" x14ac:dyDescent="0.2">
      <c r="B32" s="250" t="s">
        <v>400</v>
      </c>
      <c r="C32" s="272">
        <v>13448494</v>
      </c>
      <c r="D32" s="272"/>
      <c r="E32" s="272">
        <v>14223942</v>
      </c>
      <c r="F32" s="272"/>
      <c r="G32" s="219"/>
      <c r="H32" s="219"/>
      <c r="I32" s="259"/>
      <c r="J32" s="232"/>
      <c r="K32" s="232"/>
      <c r="L32" s="232"/>
      <c r="M32" s="232"/>
      <c r="N32" s="255" t="s">
        <v>402</v>
      </c>
      <c r="O32" s="216" t="s">
        <v>120</v>
      </c>
      <c r="P32" s="270">
        <f t="shared" ref="P32:U32" si="15">$Q$47*P$18+$Q$48*P$19+$Q$49*P$20+$Q$50*P$21+$Q$51*P$22+$Q$52*P$23+$Q$53*P$24+$Q$54*P$25+$Q$55*P$26+$Q$56*P$27</f>
        <v>1612732.6161751682</v>
      </c>
      <c r="Q32" s="270">
        <f t="shared" si="15"/>
        <v>4486633.826878611</v>
      </c>
      <c r="R32" s="270">
        <f t="shared" si="15"/>
        <v>10485396.65222808</v>
      </c>
      <c r="S32" s="270">
        <f t="shared" si="15"/>
        <v>18123690.386086084</v>
      </c>
      <c r="T32" s="270">
        <f t="shared" si="15"/>
        <v>27150554.624510035</v>
      </c>
      <c r="U32" s="271">
        <f t="shared" si="15"/>
        <v>36177418.862933986</v>
      </c>
    </row>
    <row r="33" spans="2:21" x14ac:dyDescent="0.2">
      <c r="B33" s="250" t="s">
        <v>377</v>
      </c>
      <c r="C33" s="272">
        <v>183314</v>
      </c>
      <c r="D33" s="273"/>
      <c r="E33" s="272">
        <v>186948</v>
      </c>
      <c r="F33" s="272"/>
      <c r="G33" s="219"/>
      <c r="H33" s="219"/>
      <c r="I33" s="307"/>
      <c r="J33" s="232"/>
      <c r="K33" s="232"/>
      <c r="L33" s="232"/>
      <c r="M33" s="232"/>
      <c r="N33" s="243"/>
      <c r="P33" s="270"/>
      <c r="Q33" s="270"/>
      <c r="R33" s="270"/>
      <c r="S33" s="270"/>
      <c r="T33" s="270"/>
      <c r="U33" s="271"/>
    </row>
    <row r="34" spans="2:21" x14ac:dyDescent="0.2">
      <c r="B34" s="250" t="s">
        <v>413</v>
      </c>
      <c r="C34" s="275">
        <f>C33/C32</f>
        <v>1.363081992675165E-2</v>
      </c>
      <c r="D34" s="276"/>
      <c r="E34" s="275">
        <f>E33/E32</f>
        <v>1.314319195058585E-2</v>
      </c>
      <c r="F34" s="275"/>
      <c r="G34" s="219"/>
      <c r="H34" s="219"/>
      <c r="I34" s="257">
        <f>E34</f>
        <v>1.314319195058585E-2</v>
      </c>
      <c r="J34" s="232"/>
      <c r="N34" s="243"/>
      <c r="O34" s="232" t="s">
        <v>138</v>
      </c>
      <c r="P34" s="234">
        <f t="shared" ref="P34:U34" si="16">SUM(P30:P33)</f>
        <v>2093867.1723405551</v>
      </c>
      <c r="Q34" s="234">
        <f t="shared" si="16"/>
        <v>5759366.3478362747</v>
      </c>
      <c r="R34" s="234">
        <f t="shared" si="16"/>
        <v>13402519.910419092</v>
      </c>
      <c r="S34" s="234">
        <f t="shared" si="16"/>
        <v>23533361.343449704</v>
      </c>
      <c r="T34" s="234">
        <f t="shared" si="16"/>
        <v>35839735.435336724</v>
      </c>
      <c r="U34" s="252">
        <f t="shared" si="16"/>
        <v>48146109.527223743</v>
      </c>
    </row>
    <row r="35" spans="2:21" ht="15" x14ac:dyDescent="0.25">
      <c r="B35" s="246"/>
      <c r="C35" s="274"/>
      <c r="D35" s="275"/>
      <c r="E35" s="218"/>
      <c r="F35" s="274"/>
      <c r="G35" s="219"/>
      <c r="H35" s="219"/>
      <c r="I35" s="259"/>
      <c r="N35" s="243"/>
      <c r="U35" s="262"/>
    </row>
    <row r="36" spans="2:21" x14ac:dyDescent="0.2">
      <c r="B36" s="250"/>
      <c r="I36" s="260"/>
      <c r="N36" s="243"/>
      <c r="O36" s="216" t="str">
        <f>O30</f>
        <v>Residential</v>
      </c>
      <c r="P36" s="270">
        <f>$O$47*P$4+$O$48*P$5+$O$49*P$6+$O$50*P$7+$O$51*P$8+$O$52*P$9+$O$53*P$10+$O$54*P$11+$O$55*P$12+$O$56*P$13</f>
        <v>92002.343654100958</v>
      </c>
      <c r="Q36" s="270">
        <f t="shared" ref="Q36:U36" si="17">$O$47*Q$4+$O$48*Q$5+$O$49*Q$6+$O$50*Q$7+$O$51*Q$8+$O$52*Q$9+$O$53*Q$10+$O$54*Q$11+$O$55*Q$12+$O$56*Q$13</f>
        <v>184004.68730820192</v>
      </c>
      <c r="R36" s="270">
        <f t="shared" si="17"/>
        <v>644016.40557870665</v>
      </c>
      <c r="S36" s="270">
        <f t="shared" si="17"/>
        <v>1274889.6192068276</v>
      </c>
      <c r="T36" s="270">
        <f t="shared" si="17"/>
        <v>1274889.6192068276</v>
      </c>
      <c r="U36" s="271">
        <f t="shared" si="17"/>
        <v>1274889.6192068276</v>
      </c>
    </row>
    <row r="37" spans="2:21" x14ac:dyDescent="0.2">
      <c r="B37" s="250"/>
      <c r="C37" s="219"/>
      <c r="D37" s="219"/>
      <c r="E37" s="219"/>
      <c r="F37" s="219"/>
      <c r="G37" s="219"/>
      <c r="H37" s="219"/>
      <c r="I37" s="260"/>
      <c r="N37" s="243"/>
      <c r="O37" s="216" t="str">
        <f>O31</f>
        <v>GS &lt; 50</v>
      </c>
      <c r="P37" s="270">
        <f t="shared" ref="P37" si="18">$P$47*P$4+$P$48*P$5+$P$49*P$6+$P$50*P$7+$P$51*P$8+$P$52*P$9+$P$53*P$10+$P$54*P$11+$P$55*P$12+$P$56*P$13</f>
        <v>870266.76867667318</v>
      </c>
      <c r="Q37" s="270">
        <f>$P$47*Q$4+$P$48*Q$5+$P$49*Q$6+$P$50*Q$7+$P$51*Q$8+$P$52*Q$9+$P$53*Q$10+$P$54*Q$11+$P$55*Q$12+$P$56*Q$13</f>
        <v>1399191.2422763503</v>
      </c>
      <c r="R37" s="270">
        <f>$P$47*R$4+$P$48*R$5+$P$49*R$6+$P$50*R$7+$P$51*R$8+$P$52*R$9+$P$53*R$10+$P$54*R$11+$P$55*R$12+$P$56*R$13</f>
        <v>1061569.1393034388</v>
      </c>
      <c r="S37" s="270">
        <f>$P$47*S$4+$P$48*S$5+$P$49*S$6+$P$50*S$7+$P$51*S$8+$P$52*S$9+$P$53*S$10+$P$54*S$11+$P$55*S$12+$P$56*S$13</f>
        <v>2004620.2342562422</v>
      </c>
      <c r="T37" s="270">
        <f>$P$47*T$4+$P$48*T$5+$P$49*T$6+$P$50*T$7+$P$51*T$8+$P$52*T$9+$P$53*T$10+$P$54*T$11+$P$55*T$12+$P$56*T$13</f>
        <v>2004620.2342562422</v>
      </c>
      <c r="U37" s="271">
        <f>$P$47*U$4+$P$48*U$5+$P$49*U$6+$P$50*U$7+$P$51*U$8+$P$52*U$9+$P$53*U$10+$P$54*U$11+$P$55*U$12+$P$56*U$13</f>
        <v>2004620.2342562422</v>
      </c>
    </row>
    <row r="38" spans="2:21" x14ac:dyDescent="0.2">
      <c r="B38" s="250" t="s">
        <v>395</v>
      </c>
      <c r="C38" s="219" t="s">
        <v>405</v>
      </c>
      <c r="D38" s="219"/>
      <c r="E38" s="219"/>
      <c r="F38" s="219"/>
      <c r="G38" s="219"/>
      <c r="H38" s="219"/>
      <c r="I38" s="260"/>
      <c r="N38" s="243" t="s">
        <v>387</v>
      </c>
      <c r="O38" s="216" t="str">
        <f>O32</f>
        <v>GS &gt; 50</v>
      </c>
      <c r="P38" s="270">
        <f t="shared" ref="P38:U38" si="19">$Q$47*P$4+$Q$48*P$5+$Q$49*P$6+$Q$50*P$7+$Q$51*P$8+$Q$52*P$9+$Q$53*P$10+$Q$54*P$11+$Q$55*P$12+$Q$56*P$13</f>
        <v>3225465.2323503364</v>
      </c>
      <c r="Q38" s="270">
        <f t="shared" si="19"/>
        <v>5747802.4214068837</v>
      </c>
      <c r="R38" s="270">
        <f t="shared" si="19"/>
        <v>6249723.2292920519</v>
      </c>
      <c r="S38" s="270">
        <f t="shared" si="19"/>
        <v>9026864.2384239547</v>
      </c>
      <c r="T38" s="270">
        <f t="shared" si="19"/>
        <v>9026864.2384239547</v>
      </c>
      <c r="U38" s="271">
        <f t="shared" si="19"/>
        <v>9026864.2384239547</v>
      </c>
    </row>
    <row r="39" spans="2:21" x14ac:dyDescent="0.2">
      <c r="B39" s="250"/>
      <c r="C39" s="219" t="s">
        <v>412</v>
      </c>
      <c r="D39" s="219"/>
      <c r="E39" s="219"/>
      <c r="F39" s="219"/>
      <c r="G39" s="219"/>
      <c r="H39" s="219"/>
      <c r="I39" s="260"/>
      <c r="N39" s="243"/>
      <c r="P39" s="270"/>
      <c r="Q39" s="270"/>
      <c r="R39" s="270"/>
      <c r="S39" s="270"/>
      <c r="T39" s="270"/>
      <c r="U39" s="271"/>
    </row>
    <row r="40" spans="2:21" x14ac:dyDescent="0.2">
      <c r="B40" s="281"/>
      <c r="C40" s="282"/>
      <c r="D40" s="282"/>
      <c r="E40" s="282"/>
      <c r="F40" s="282"/>
      <c r="G40" s="282"/>
      <c r="H40" s="282"/>
      <c r="I40" s="283"/>
      <c r="N40" s="277"/>
      <c r="O40" s="278" t="s">
        <v>138</v>
      </c>
      <c r="P40" s="279">
        <f t="shared" ref="P40:U40" si="20">SUM(P36:P39)</f>
        <v>4187734.3446811102</v>
      </c>
      <c r="Q40" s="279">
        <f t="shared" si="20"/>
        <v>7330998.3509914353</v>
      </c>
      <c r="R40" s="279">
        <f t="shared" si="20"/>
        <v>7955308.7741741976</v>
      </c>
      <c r="S40" s="279">
        <f t="shared" si="20"/>
        <v>12306374.091887023</v>
      </c>
      <c r="T40" s="279">
        <f t="shared" si="20"/>
        <v>12306374.091887023</v>
      </c>
      <c r="U40" s="280">
        <f t="shared" si="20"/>
        <v>12306374.091887023</v>
      </c>
    </row>
    <row r="44" spans="2:21" x14ac:dyDescent="0.2">
      <c r="N44" s="239"/>
      <c r="O44" s="237" t="s">
        <v>29</v>
      </c>
      <c r="P44" s="237" t="s">
        <v>406</v>
      </c>
      <c r="Q44" s="237" t="s">
        <v>120</v>
      </c>
      <c r="R44" s="237"/>
      <c r="S44" s="237"/>
      <c r="T44" s="240"/>
      <c r="U44" s="284"/>
    </row>
    <row r="45" spans="2:21" x14ac:dyDescent="0.2">
      <c r="N45" s="243"/>
      <c r="U45" s="262"/>
    </row>
    <row r="46" spans="2:21" x14ac:dyDescent="0.2">
      <c r="B46" s="236"/>
      <c r="C46" s="285" t="s">
        <v>381</v>
      </c>
      <c r="D46" s="285"/>
      <c r="E46" s="285"/>
      <c r="F46" s="285"/>
      <c r="G46" s="240"/>
      <c r="H46" s="240"/>
      <c r="I46" s="240"/>
      <c r="J46" s="284"/>
      <c r="N46" s="243"/>
      <c r="U46" s="262"/>
    </row>
    <row r="47" spans="2:21" x14ac:dyDescent="0.2">
      <c r="B47" s="250"/>
      <c r="C47" s="221">
        <v>2021</v>
      </c>
      <c r="D47" s="221">
        <v>2023</v>
      </c>
      <c r="E47" s="221">
        <v>2024</v>
      </c>
      <c r="F47" s="221">
        <v>2025</v>
      </c>
      <c r="G47" s="221">
        <v>2026</v>
      </c>
      <c r="H47" s="221"/>
      <c r="I47" s="221"/>
      <c r="J47" s="260" t="s">
        <v>407</v>
      </c>
      <c r="L47" s="216" t="str">
        <f>L61</f>
        <v>Retrofit</v>
      </c>
      <c r="N47" s="243"/>
      <c r="P47" s="286">
        <v>0.20300000000000001</v>
      </c>
      <c r="Q47" s="286">
        <v>0.79700000000000004</v>
      </c>
      <c r="R47" s="286"/>
      <c r="S47" s="286"/>
      <c r="U47" s="287">
        <f>SUM(O47:S47)</f>
        <v>1</v>
      </c>
    </row>
    <row r="48" spans="2:21" x14ac:dyDescent="0.2">
      <c r="B48" s="250" t="s">
        <v>14</v>
      </c>
      <c r="C48" s="288">
        <v>0</v>
      </c>
      <c r="D48" s="288">
        <v>0</v>
      </c>
      <c r="E48" s="288">
        <v>0.5</v>
      </c>
      <c r="F48" s="288">
        <v>1</v>
      </c>
      <c r="G48" s="288">
        <v>0.5</v>
      </c>
      <c r="H48" s="288"/>
      <c r="I48" s="288"/>
      <c r="J48" s="262"/>
      <c r="L48" s="216" t="str">
        <f t="shared" ref="L48:L56" si="21">L62</f>
        <v>Small Business</v>
      </c>
      <c r="N48" s="243"/>
      <c r="P48" s="286">
        <v>0.879</v>
      </c>
      <c r="Q48" s="286">
        <v>0.121</v>
      </c>
      <c r="R48" s="286"/>
      <c r="S48" s="286"/>
      <c r="U48" s="287">
        <f t="shared" ref="U48:U55" si="22">SUM(O48:S48)</f>
        <v>1</v>
      </c>
    </row>
    <row r="49" spans="2:22" x14ac:dyDescent="0.2">
      <c r="B49" s="250"/>
      <c r="C49" s="220"/>
      <c r="D49" s="220"/>
      <c r="E49" s="220"/>
      <c r="F49" s="220"/>
      <c r="G49" s="220"/>
      <c r="H49" s="220"/>
      <c r="I49" s="220"/>
      <c r="J49" s="262"/>
      <c r="L49" s="216" t="str">
        <f t="shared" si="21"/>
        <v xml:space="preserve">Energy Performance </v>
      </c>
      <c r="N49" s="243"/>
      <c r="P49" s="286">
        <v>0</v>
      </c>
      <c r="Q49" s="286">
        <v>1</v>
      </c>
      <c r="R49" s="286"/>
      <c r="S49" s="286"/>
      <c r="U49" s="287">
        <f t="shared" si="22"/>
        <v>1</v>
      </c>
    </row>
    <row r="50" spans="2:22" x14ac:dyDescent="0.2">
      <c r="B50" s="250" t="s">
        <v>383</v>
      </c>
      <c r="C50" s="289">
        <f t="shared" ref="C50:C57" si="23">C$48*P4</f>
        <v>0</v>
      </c>
      <c r="D50" s="289">
        <f t="shared" ref="D50:G59" si="24">D$48*R4</f>
        <v>0</v>
      </c>
      <c r="E50" s="289">
        <f>E$48*S4</f>
        <v>3285974.0982451648</v>
      </c>
      <c r="F50" s="289">
        <f>F$48*T4</f>
        <v>6571948.1964903297</v>
      </c>
      <c r="G50" s="289">
        <f t="shared" si="24"/>
        <v>3285974.0982451648</v>
      </c>
      <c r="H50" s="289"/>
      <c r="I50" s="289"/>
      <c r="J50" s="271">
        <f>SUM(C50:I50)</f>
        <v>13143896.392980659</v>
      </c>
      <c r="L50" s="216" t="str">
        <f t="shared" si="21"/>
        <v>Energy Management</v>
      </c>
      <c r="N50" s="243"/>
      <c r="P50" s="286">
        <v>0</v>
      </c>
      <c r="Q50" s="286">
        <v>1</v>
      </c>
      <c r="R50" s="286"/>
      <c r="S50" s="286"/>
      <c r="U50" s="287">
        <f t="shared" si="22"/>
        <v>1</v>
      </c>
      <c r="V50" s="216" t="s">
        <v>423</v>
      </c>
    </row>
    <row r="51" spans="2:22" x14ac:dyDescent="0.2">
      <c r="B51" s="290" t="s">
        <v>341</v>
      </c>
      <c r="C51" s="291">
        <f t="shared" si="23"/>
        <v>0</v>
      </c>
      <c r="D51" s="291">
        <f t="shared" si="24"/>
        <v>0</v>
      </c>
      <c r="E51" s="291">
        <f t="shared" si="24"/>
        <v>381407.70783202804</v>
      </c>
      <c r="F51" s="291">
        <f t="shared" si="24"/>
        <v>762815.41566405608</v>
      </c>
      <c r="G51" s="291">
        <f t="shared" si="24"/>
        <v>381407.70783202804</v>
      </c>
      <c r="H51" s="291"/>
      <c r="I51" s="291"/>
      <c r="J51" s="271">
        <f t="shared" ref="J51:J59" si="25">SUM(C51:I51)</f>
        <v>1525630.8313281122</v>
      </c>
      <c r="L51" s="216" t="str">
        <f t="shared" si="21"/>
        <v>Industrial Energy Efficiency</v>
      </c>
      <c r="N51" s="243"/>
      <c r="P51" s="286">
        <v>0</v>
      </c>
      <c r="Q51" s="286">
        <v>1</v>
      </c>
      <c r="R51" s="286"/>
      <c r="S51" s="286"/>
      <c r="U51" s="287">
        <f t="shared" si="22"/>
        <v>1</v>
      </c>
    </row>
    <row r="52" spans="2:22" x14ac:dyDescent="0.2">
      <c r="B52" s="250" t="s">
        <v>385</v>
      </c>
      <c r="C52" s="289">
        <f t="shared" si="23"/>
        <v>0</v>
      </c>
      <c r="D52" s="289">
        <f t="shared" si="24"/>
        <v>0</v>
      </c>
      <c r="E52" s="289">
        <f t="shared" si="24"/>
        <v>316861.78804506949</v>
      </c>
      <c r="F52" s="289">
        <f t="shared" si="24"/>
        <v>633723.57609013899</v>
      </c>
      <c r="G52" s="289">
        <f t="shared" si="24"/>
        <v>316861.78804506949</v>
      </c>
      <c r="H52" s="289"/>
      <c r="I52" s="289"/>
      <c r="J52" s="271">
        <f t="shared" si="25"/>
        <v>1267447.152180278</v>
      </c>
      <c r="L52" s="216" t="str">
        <f t="shared" si="21"/>
        <v>Targeted Greenhouse</v>
      </c>
      <c r="N52" s="243"/>
      <c r="P52" s="286"/>
      <c r="Q52" s="286"/>
      <c r="U52" s="287">
        <f t="shared" si="22"/>
        <v>0</v>
      </c>
    </row>
    <row r="53" spans="2:22" x14ac:dyDescent="0.2">
      <c r="B53" s="290" t="s">
        <v>386</v>
      </c>
      <c r="C53" s="291">
        <f t="shared" si="23"/>
        <v>0</v>
      </c>
      <c r="D53" s="291">
        <f t="shared" si="24"/>
        <v>0</v>
      </c>
      <c r="E53" s="291">
        <f t="shared" si="24"/>
        <v>563309.8454134569</v>
      </c>
      <c r="F53" s="291">
        <f t="shared" si="24"/>
        <v>1126619.6908269138</v>
      </c>
      <c r="G53" s="291">
        <f t="shared" si="24"/>
        <v>563309.8454134569</v>
      </c>
      <c r="H53" s="291"/>
      <c r="I53" s="291"/>
      <c r="J53" s="271">
        <f t="shared" si="25"/>
        <v>2253239.3816538276</v>
      </c>
      <c r="L53" s="216" t="str">
        <f t="shared" si="21"/>
        <v>Local Initiatives</v>
      </c>
      <c r="N53" s="243"/>
      <c r="U53" s="287"/>
    </row>
    <row r="54" spans="2:22" x14ac:dyDescent="0.2">
      <c r="B54" s="250" t="s">
        <v>388</v>
      </c>
      <c r="C54" s="289">
        <f t="shared" si="23"/>
        <v>0</v>
      </c>
      <c r="D54" s="289">
        <f t="shared" si="24"/>
        <v>0</v>
      </c>
      <c r="E54" s="289">
        <f t="shared" si="24"/>
        <v>968188.79680437897</v>
      </c>
      <c r="F54" s="289">
        <f t="shared" si="24"/>
        <v>1936377.5936087579</v>
      </c>
      <c r="G54" s="289">
        <f t="shared" si="24"/>
        <v>968188.79680437897</v>
      </c>
      <c r="H54" s="289"/>
      <c r="I54" s="289"/>
      <c r="J54" s="271">
        <f t="shared" si="25"/>
        <v>3872755.1872175159</v>
      </c>
      <c r="L54" s="216" t="str">
        <f t="shared" si="21"/>
        <v>Residential Demand Response</v>
      </c>
      <c r="N54" s="243"/>
      <c r="U54" s="287"/>
    </row>
    <row r="55" spans="2:22" x14ac:dyDescent="0.2">
      <c r="B55" s="290" t="s">
        <v>389</v>
      </c>
      <c r="C55" s="291">
        <f t="shared" si="23"/>
        <v>0</v>
      </c>
      <c r="D55" s="291">
        <f t="shared" si="24"/>
        <v>0</v>
      </c>
      <c r="E55" s="291">
        <f t="shared" si="24"/>
        <v>0</v>
      </c>
      <c r="F55" s="291">
        <f t="shared" si="24"/>
        <v>0</v>
      </c>
      <c r="G55" s="291">
        <f t="shared" si="24"/>
        <v>0</v>
      </c>
      <c r="H55" s="291"/>
      <c r="I55" s="291"/>
      <c r="J55" s="271">
        <f t="shared" si="25"/>
        <v>0</v>
      </c>
      <c r="L55" s="216" t="str">
        <f t="shared" si="21"/>
        <v>Energy Affordability Program</v>
      </c>
      <c r="N55" s="243"/>
      <c r="O55" s="292">
        <v>1</v>
      </c>
      <c r="U55" s="287">
        <f t="shared" si="22"/>
        <v>1</v>
      </c>
    </row>
    <row r="56" spans="2:22" x14ac:dyDescent="0.2">
      <c r="B56" s="250" t="s">
        <v>390</v>
      </c>
      <c r="C56" s="289">
        <f t="shared" si="23"/>
        <v>0</v>
      </c>
      <c r="D56" s="289">
        <f t="shared" si="24"/>
        <v>0</v>
      </c>
      <c r="E56" s="289">
        <f t="shared" si="24"/>
        <v>0</v>
      </c>
      <c r="F56" s="289">
        <f t="shared" si="24"/>
        <v>0</v>
      </c>
      <c r="G56" s="289">
        <f t="shared" si="24"/>
        <v>0</v>
      </c>
      <c r="H56" s="289"/>
      <c r="I56" s="289"/>
      <c r="J56" s="271">
        <f t="shared" si="25"/>
        <v>0</v>
      </c>
      <c r="L56" s="216" t="str">
        <f t="shared" si="21"/>
        <v>First Nations Program</v>
      </c>
      <c r="N56" s="243"/>
      <c r="U56" s="262"/>
    </row>
    <row r="57" spans="2:22" x14ac:dyDescent="0.2">
      <c r="B57" s="290" t="s">
        <v>391</v>
      </c>
      <c r="C57" s="291">
        <f t="shared" si="23"/>
        <v>0</v>
      </c>
      <c r="D57" s="291">
        <f t="shared" si="24"/>
        <v>0</v>
      </c>
      <c r="E57" s="291">
        <f t="shared" si="24"/>
        <v>0</v>
      </c>
      <c r="F57" s="291">
        <f t="shared" si="24"/>
        <v>0</v>
      </c>
      <c r="G57" s="291">
        <f t="shared" si="24"/>
        <v>0</v>
      </c>
      <c r="H57" s="291"/>
      <c r="I57" s="291"/>
      <c r="J57" s="271">
        <f t="shared" si="25"/>
        <v>0</v>
      </c>
      <c r="N57" s="277"/>
      <c r="O57" s="293"/>
      <c r="P57" s="293"/>
      <c r="Q57" s="293"/>
      <c r="R57" s="293"/>
      <c r="S57" s="293"/>
      <c r="T57" s="293"/>
      <c r="U57" s="294"/>
    </row>
    <row r="58" spans="2:22" x14ac:dyDescent="0.2">
      <c r="B58" s="250" t="s">
        <v>392</v>
      </c>
      <c r="C58" s="289"/>
      <c r="D58" s="289">
        <f t="shared" si="24"/>
        <v>0</v>
      </c>
      <c r="E58" s="289">
        <f t="shared" si="24"/>
        <v>637444.8096034138</v>
      </c>
      <c r="F58" s="289">
        <f t="shared" si="24"/>
        <v>1274889.6192068276</v>
      </c>
      <c r="G58" s="289">
        <f t="shared" si="24"/>
        <v>637444.8096034138</v>
      </c>
      <c r="H58" s="289"/>
      <c r="I58" s="289"/>
      <c r="J58" s="271">
        <f t="shared" si="25"/>
        <v>2549779.2384136552</v>
      </c>
      <c r="N58" s="239"/>
      <c r="O58" s="240"/>
      <c r="P58" s="240"/>
      <c r="Q58" s="240"/>
      <c r="R58" s="240"/>
      <c r="S58" s="240"/>
      <c r="T58" s="240"/>
      <c r="U58" s="284"/>
    </row>
    <row r="59" spans="2:22" x14ac:dyDescent="0.2">
      <c r="B59" s="290" t="s">
        <v>394</v>
      </c>
      <c r="C59" s="291"/>
      <c r="D59" s="291">
        <f t="shared" si="24"/>
        <v>0</v>
      </c>
      <c r="E59" s="291">
        <f t="shared" si="24"/>
        <v>0</v>
      </c>
      <c r="F59" s="291">
        <f t="shared" si="24"/>
        <v>0</v>
      </c>
      <c r="G59" s="291">
        <f t="shared" si="24"/>
        <v>0</v>
      </c>
      <c r="H59" s="291"/>
      <c r="I59" s="291"/>
      <c r="J59" s="271">
        <f t="shared" si="25"/>
        <v>0</v>
      </c>
      <c r="N59" s="243"/>
      <c r="U59" s="262"/>
    </row>
    <row r="60" spans="2:22" x14ac:dyDescent="0.2">
      <c r="B60" s="243"/>
      <c r="J60" s="262"/>
      <c r="N60" s="243"/>
      <c r="O60" s="216" t="str">
        <f>O44</f>
        <v>Residential</v>
      </c>
      <c r="P60" s="216" t="str">
        <f>P44</f>
        <v>GS&lt; 50</v>
      </c>
      <c r="Q60" s="216" t="str">
        <f>Q44</f>
        <v>GS &gt; 50</v>
      </c>
      <c r="U60" s="262"/>
    </row>
    <row r="61" spans="2:22" x14ac:dyDescent="0.2">
      <c r="B61" s="243"/>
      <c r="C61" s="270">
        <f>SUM(C50:C57)</f>
        <v>0</v>
      </c>
      <c r="D61" s="270">
        <f t="shared" ref="D61" si="26">SUM(D50:D59)</f>
        <v>0</v>
      </c>
      <c r="E61" s="270">
        <f>SUM(E50:E59)</f>
        <v>6153187.0459435116</v>
      </c>
      <c r="F61" s="270">
        <f>SUM(F50:F59)</f>
        <v>12306374.091887023</v>
      </c>
      <c r="G61" s="270">
        <f t="shared" ref="G61" si="27">SUM(G50:G59)</f>
        <v>6153187.0459435116</v>
      </c>
      <c r="H61" s="270"/>
      <c r="I61" s="270"/>
      <c r="J61" s="271">
        <f>SUM(J50:J60)</f>
        <v>24612748.183774047</v>
      </c>
      <c r="L61" s="216" t="str">
        <f t="shared" ref="L61:L70" si="28">B50</f>
        <v>Retrofit</v>
      </c>
      <c r="N61" s="243"/>
      <c r="O61" s="270">
        <f t="shared" ref="O61:Q66" si="29">O47*$J50</f>
        <v>0</v>
      </c>
      <c r="P61" s="270">
        <f t="shared" si="29"/>
        <v>2668210.9677750738</v>
      </c>
      <c r="Q61" s="270">
        <f t="shared" si="29"/>
        <v>10475685.425205586</v>
      </c>
      <c r="R61" s="270"/>
      <c r="S61" s="270"/>
      <c r="U61" s="271">
        <f>SUM(O61:S61)</f>
        <v>13143896.392980661</v>
      </c>
    </row>
    <row r="62" spans="2:22" x14ac:dyDescent="0.2">
      <c r="B62" s="277"/>
      <c r="C62" s="293"/>
      <c r="D62" s="293"/>
      <c r="E62" s="293"/>
      <c r="F62" s="293"/>
      <c r="G62" s="293"/>
      <c r="H62" s="293"/>
      <c r="I62" s="293"/>
      <c r="J62" s="294"/>
      <c r="L62" s="216" t="str">
        <f t="shared" si="28"/>
        <v>Small Business</v>
      </c>
      <c r="N62" s="243"/>
      <c r="O62" s="270">
        <f t="shared" si="29"/>
        <v>0</v>
      </c>
      <c r="P62" s="270">
        <f t="shared" si="29"/>
        <v>1341029.5007374105</v>
      </c>
      <c r="Q62" s="270">
        <f t="shared" si="29"/>
        <v>184601.33059070157</v>
      </c>
      <c r="R62" s="270"/>
      <c r="S62" s="270"/>
      <c r="U62" s="271">
        <f t="shared" ref="U62:U70" si="30">SUM(O62:S62)</f>
        <v>1525630.8313281122</v>
      </c>
    </row>
    <row r="63" spans="2:22" x14ac:dyDescent="0.2">
      <c r="L63" s="216" t="str">
        <f t="shared" si="28"/>
        <v xml:space="preserve">Energy Performance </v>
      </c>
      <c r="N63" s="243"/>
      <c r="O63" s="270">
        <f t="shared" si="29"/>
        <v>0</v>
      </c>
      <c r="P63" s="270">
        <f t="shared" si="29"/>
        <v>0</v>
      </c>
      <c r="Q63" s="270">
        <f t="shared" si="29"/>
        <v>1267447.152180278</v>
      </c>
      <c r="R63" s="270"/>
      <c r="S63" s="270"/>
      <c r="U63" s="271">
        <f t="shared" si="30"/>
        <v>1267447.152180278</v>
      </c>
    </row>
    <row r="64" spans="2:22" x14ac:dyDescent="0.2">
      <c r="L64" s="216" t="str">
        <f t="shared" si="28"/>
        <v>Energy Management</v>
      </c>
      <c r="N64" s="243"/>
      <c r="O64" s="270">
        <f t="shared" si="29"/>
        <v>0</v>
      </c>
      <c r="P64" s="270">
        <f t="shared" si="29"/>
        <v>0</v>
      </c>
      <c r="Q64" s="270">
        <f t="shared" si="29"/>
        <v>2253239.3816538276</v>
      </c>
      <c r="R64" s="270"/>
      <c r="S64" s="270"/>
      <c r="U64" s="271">
        <f t="shared" si="30"/>
        <v>2253239.3816538276</v>
      </c>
    </row>
    <row r="65" spans="3:21" x14ac:dyDescent="0.2">
      <c r="L65" s="216" t="str">
        <f t="shared" si="28"/>
        <v>Industrial Energy Efficiency</v>
      </c>
      <c r="N65" s="243"/>
      <c r="O65" s="270">
        <f t="shared" si="29"/>
        <v>0</v>
      </c>
      <c r="P65" s="270">
        <f t="shared" si="29"/>
        <v>0</v>
      </c>
      <c r="Q65" s="270">
        <f t="shared" si="29"/>
        <v>3872755.1872175159</v>
      </c>
      <c r="R65" s="270"/>
      <c r="S65" s="270"/>
      <c r="U65" s="271">
        <f t="shared" si="30"/>
        <v>3872755.1872175159</v>
      </c>
    </row>
    <row r="66" spans="3:21" x14ac:dyDescent="0.2">
      <c r="L66" s="216" t="str">
        <f t="shared" si="28"/>
        <v>Targeted Greenhouse</v>
      </c>
      <c r="N66" s="243"/>
      <c r="O66" s="270">
        <f t="shared" si="29"/>
        <v>0</v>
      </c>
      <c r="P66" s="270">
        <f t="shared" si="29"/>
        <v>0</v>
      </c>
      <c r="Q66" s="270">
        <f t="shared" si="29"/>
        <v>0</v>
      </c>
      <c r="R66" s="270"/>
      <c r="S66" s="270"/>
      <c r="U66" s="271">
        <f t="shared" si="30"/>
        <v>0</v>
      </c>
    </row>
    <row r="67" spans="3:21" x14ac:dyDescent="0.2">
      <c r="L67" s="216" t="str">
        <f t="shared" si="28"/>
        <v>Local Initiatives</v>
      </c>
      <c r="N67" s="243"/>
      <c r="O67" s="270">
        <f t="shared" ref="O67:Q68" si="31">O55*$J56</f>
        <v>0</v>
      </c>
      <c r="P67" s="270">
        <f t="shared" si="31"/>
        <v>0</v>
      </c>
      <c r="Q67" s="270">
        <f t="shared" si="31"/>
        <v>0</v>
      </c>
      <c r="R67" s="270"/>
      <c r="S67" s="270"/>
      <c r="U67" s="271">
        <f t="shared" si="30"/>
        <v>0</v>
      </c>
    </row>
    <row r="68" spans="3:21" x14ac:dyDescent="0.2">
      <c r="C68" s="298"/>
      <c r="D68" s="298"/>
      <c r="E68" s="266"/>
      <c r="F68" s="266"/>
      <c r="L68" s="216" t="str">
        <f t="shared" si="28"/>
        <v>Residential Demand Response</v>
      </c>
      <c r="N68" s="243"/>
      <c r="O68" s="270">
        <f t="shared" si="31"/>
        <v>0</v>
      </c>
      <c r="P68" s="270">
        <f t="shared" si="31"/>
        <v>0</v>
      </c>
      <c r="Q68" s="270">
        <f t="shared" si="31"/>
        <v>0</v>
      </c>
      <c r="R68" s="270"/>
      <c r="S68" s="270"/>
      <c r="U68" s="271">
        <f t="shared" si="30"/>
        <v>0</v>
      </c>
    </row>
    <row r="69" spans="3:21" x14ac:dyDescent="0.2">
      <c r="C69" s="298"/>
      <c r="D69" s="298"/>
      <c r="E69" s="266"/>
      <c r="L69" s="216" t="str">
        <f t="shared" si="28"/>
        <v>Energy Affordability Program</v>
      </c>
      <c r="N69" s="243"/>
      <c r="O69" s="270">
        <f t="shared" ref="O69:Q70" si="32">O55*$J58</f>
        <v>2549779.2384136552</v>
      </c>
      <c r="P69" s="270">
        <f t="shared" si="32"/>
        <v>0</v>
      </c>
      <c r="Q69" s="270">
        <f t="shared" si="32"/>
        <v>0</v>
      </c>
      <c r="R69" s="270"/>
      <c r="S69" s="270"/>
      <c r="U69" s="271">
        <f t="shared" si="30"/>
        <v>2549779.2384136552</v>
      </c>
    </row>
    <row r="70" spans="3:21" x14ac:dyDescent="0.2">
      <c r="C70" s="298"/>
      <c r="D70" s="298"/>
      <c r="E70" s="266"/>
      <c r="L70" s="216" t="str">
        <f t="shared" si="28"/>
        <v>First Nations Program</v>
      </c>
      <c r="N70" s="243"/>
      <c r="O70" s="270">
        <f t="shared" si="32"/>
        <v>0</v>
      </c>
      <c r="P70" s="270">
        <f t="shared" si="32"/>
        <v>0</v>
      </c>
      <c r="Q70" s="270">
        <f t="shared" si="32"/>
        <v>0</v>
      </c>
      <c r="R70" s="270"/>
      <c r="S70" s="270"/>
      <c r="U70" s="271">
        <f t="shared" si="30"/>
        <v>0</v>
      </c>
    </row>
    <row r="71" spans="3:21" x14ac:dyDescent="0.2">
      <c r="C71" s="298"/>
      <c r="D71" s="298"/>
      <c r="E71" s="266"/>
      <c r="N71" s="243"/>
      <c r="O71" s="270"/>
      <c r="P71" s="270"/>
      <c r="Q71" s="270"/>
      <c r="U71" s="262"/>
    </row>
    <row r="72" spans="3:21" x14ac:dyDescent="0.2">
      <c r="C72" s="298"/>
      <c r="D72" s="298"/>
      <c r="E72" s="266"/>
      <c r="N72" s="243"/>
      <c r="O72" s="270">
        <f>SUM(O61:O70)</f>
        <v>2549779.2384136552</v>
      </c>
      <c r="P72" s="270">
        <f t="shared" ref="P72:Q72" si="33">SUM(P61:P70)</f>
        <v>4009240.4685124843</v>
      </c>
      <c r="Q72" s="270">
        <f t="shared" si="33"/>
        <v>18053728.476847909</v>
      </c>
      <c r="R72" s="270"/>
      <c r="S72" s="270"/>
      <c r="U72" s="271">
        <f>SUM(O72:S72)</f>
        <v>24612748.183774047</v>
      </c>
    </row>
    <row r="73" spans="3:21" x14ac:dyDescent="0.2">
      <c r="C73" s="298"/>
      <c r="D73" s="298"/>
      <c r="E73" s="266"/>
      <c r="F73" s="266"/>
      <c r="N73" s="277"/>
      <c r="O73" s="295"/>
      <c r="P73" s="295"/>
      <c r="Q73" s="295"/>
      <c r="R73" s="293"/>
      <c r="S73" s="293"/>
      <c r="T73" s="293"/>
      <c r="U73" s="294"/>
    </row>
    <row r="74" spans="3:21" ht="15" x14ac:dyDescent="0.25">
      <c r="C74" s="298"/>
      <c r="D74" s="298"/>
      <c r="E74" s="299"/>
      <c r="O74" s="270"/>
      <c r="P74" s="270"/>
      <c r="Q74" s="270"/>
    </row>
    <row r="75" spans="3:21" ht="15" x14ac:dyDescent="0.25">
      <c r="C75" s="306"/>
      <c r="D75" s="297"/>
      <c r="E75" s="266"/>
      <c r="O75" s="270"/>
      <c r="P75" s="270"/>
      <c r="Q75" s="270"/>
    </row>
    <row r="76" spans="3:21" x14ac:dyDescent="0.2">
      <c r="C76" s="297"/>
      <c r="D76" s="297"/>
      <c r="E76" s="266"/>
      <c r="O76" s="270"/>
      <c r="P76" s="270"/>
      <c r="Q76" s="270"/>
    </row>
    <row r="77" spans="3:21" x14ac:dyDescent="0.2">
      <c r="C77" s="297"/>
      <c r="D77" s="297"/>
      <c r="E77" s="266"/>
      <c r="O77" s="296"/>
      <c r="P77" s="296"/>
      <c r="Q77" s="296"/>
      <c r="R77" s="296"/>
    </row>
    <row r="78" spans="3:21" x14ac:dyDescent="0.2">
      <c r="P78" s="297"/>
      <c r="Q78" s="297"/>
      <c r="R78" s="297"/>
    </row>
    <row r="101" spans="4:6" x14ac:dyDescent="0.2">
      <c r="D101" s="297"/>
      <c r="E101" s="297"/>
      <c r="F101" s="266"/>
    </row>
    <row r="102" spans="4:6" x14ac:dyDescent="0.2">
      <c r="D102" s="297"/>
      <c r="E102" s="297"/>
      <c r="F102" s="266"/>
    </row>
    <row r="103" spans="4:6" x14ac:dyDescent="0.2">
      <c r="D103" s="297"/>
      <c r="E103" s="297"/>
      <c r="F103" s="266"/>
    </row>
    <row r="117" spans="15:18" x14ac:dyDescent="0.2">
      <c r="O117" s="270"/>
      <c r="P117" s="270"/>
      <c r="Q117" s="270"/>
      <c r="R117" s="270"/>
    </row>
    <row r="118" spans="15:18" x14ac:dyDescent="0.2">
      <c r="O118" s="270"/>
      <c r="P118" s="270"/>
      <c r="Q118" s="270"/>
      <c r="R118" s="270"/>
    </row>
    <row r="119" spans="15:18" x14ac:dyDescent="0.2">
      <c r="O119" s="270"/>
      <c r="P119" s="270"/>
      <c r="Q119" s="270"/>
      <c r="R119" s="270"/>
    </row>
    <row r="120" spans="15:18" x14ac:dyDescent="0.2">
      <c r="O120" s="270"/>
      <c r="P120" s="270"/>
      <c r="Q120" s="270"/>
      <c r="R120" s="270"/>
    </row>
    <row r="121" spans="15:18" x14ac:dyDescent="0.2">
      <c r="O121" s="270"/>
      <c r="P121" s="270"/>
      <c r="Q121" s="270"/>
      <c r="R121" s="270"/>
    </row>
    <row r="122" spans="15:18" x14ac:dyDescent="0.2">
      <c r="O122" s="270"/>
      <c r="P122" s="270"/>
      <c r="Q122" s="270"/>
      <c r="R122" s="270"/>
    </row>
    <row r="123" spans="15:18" x14ac:dyDescent="0.2">
      <c r="O123" s="270"/>
      <c r="P123" s="270"/>
      <c r="Q123" s="270"/>
      <c r="R123" s="270"/>
    </row>
    <row r="124" spans="15:18" x14ac:dyDescent="0.2">
      <c r="O124" s="270"/>
      <c r="P124" s="270"/>
      <c r="Q124" s="270"/>
    </row>
    <row r="125" spans="15:18" x14ac:dyDescent="0.2">
      <c r="O125" s="270"/>
      <c r="P125" s="270"/>
      <c r="Q125" s="270"/>
      <c r="R125" s="270"/>
    </row>
    <row r="126" spans="15:18" x14ac:dyDescent="0.2">
      <c r="O126" s="270"/>
      <c r="P126" s="270"/>
      <c r="Q126" s="270"/>
    </row>
    <row r="127" spans="15:18" x14ac:dyDescent="0.2">
      <c r="O127" s="270"/>
      <c r="P127" s="270"/>
      <c r="Q127" s="270"/>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081D-20E6-4B7D-A7A8-E69B5D625659}">
  <sheetPr codeName="Sheet34"/>
  <dimension ref="B1:AA22"/>
  <sheetViews>
    <sheetView workbookViewId="0">
      <selection activeCell="Q7" sqref="Q7"/>
    </sheetView>
  </sheetViews>
  <sheetFormatPr defaultColWidth="8.83203125" defaultRowHeight="14.25" x14ac:dyDescent="0.2"/>
  <cols>
    <col min="1" max="1" width="8.83203125" style="216"/>
    <col min="2" max="2" width="14.83203125" style="216" bestFit="1" customWidth="1"/>
    <col min="3" max="5" width="14.83203125" style="216" customWidth="1"/>
    <col min="6" max="6" width="16.33203125" style="216" bestFit="1" customWidth="1"/>
    <col min="7" max="8" width="16.1640625" style="216" customWidth="1"/>
    <col min="9" max="9" width="16.33203125" style="216" bestFit="1" customWidth="1"/>
    <col min="10" max="10" width="13.33203125" style="216" customWidth="1"/>
    <col min="11" max="11" width="16.33203125" style="216" bestFit="1" customWidth="1"/>
    <col min="12" max="13" width="16.1640625" style="216" customWidth="1"/>
    <col min="14" max="14" width="15.33203125" style="216" customWidth="1"/>
    <col min="15" max="15" width="12" style="216" customWidth="1"/>
    <col min="16" max="18" width="12.33203125" style="216" bestFit="1" customWidth="1"/>
    <col min="19" max="21" width="9.1640625" style="216" bestFit="1" customWidth="1"/>
    <col min="22" max="22" width="13.83203125" style="216" customWidth="1"/>
    <col min="23" max="25" width="14" style="216" bestFit="1" customWidth="1"/>
    <col min="26" max="27" width="15.1640625" style="216" bestFit="1" customWidth="1"/>
    <col min="28" max="16384" width="8.83203125" style="216"/>
  </cols>
  <sheetData>
    <row r="1" spans="2:27" ht="15" thickBot="1" x14ac:dyDescent="0.25"/>
    <row r="2" spans="2:27" x14ac:dyDescent="0.2">
      <c r="B2" s="558"/>
      <c r="C2" s="559"/>
      <c r="D2" s="559"/>
      <c r="E2" s="559"/>
      <c r="F2" s="559"/>
      <c r="G2" s="559"/>
      <c r="H2" s="559"/>
      <c r="I2" s="559"/>
      <c r="J2" s="559"/>
      <c r="K2" s="559"/>
      <c r="L2" s="559"/>
      <c r="M2" s="559"/>
      <c r="N2" s="560"/>
    </row>
    <row r="3" spans="2:27" ht="15" x14ac:dyDescent="0.25">
      <c r="B3" s="555" t="s">
        <v>517</v>
      </c>
      <c r="C3" s="556"/>
      <c r="D3" s="556"/>
      <c r="E3" s="556"/>
      <c r="F3" s="556"/>
      <c r="G3" s="556"/>
      <c r="H3" s="556"/>
      <c r="I3" s="556"/>
      <c r="J3" s="556"/>
      <c r="K3" s="556"/>
      <c r="L3" s="556"/>
      <c r="M3" s="556"/>
      <c r="N3" s="557"/>
    </row>
    <row r="4" spans="2:27" ht="15" x14ac:dyDescent="0.2">
      <c r="B4" s="561" t="s">
        <v>141</v>
      </c>
      <c r="C4" s="510"/>
      <c r="D4" s="510"/>
      <c r="E4" s="510"/>
      <c r="F4" s="562">
        <v>2024</v>
      </c>
      <c r="G4" s="563"/>
      <c r="H4" s="564"/>
      <c r="I4" s="565">
        <v>2025</v>
      </c>
      <c r="J4" s="566"/>
      <c r="K4" s="567"/>
      <c r="L4" s="565">
        <v>2026</v>
      </c>
      <c r="M4" s="566"/>
      <c r="N4" s="568"/>
      <c r="P4" s="216">
        <v>2024</v>
      </c>
      <c r="Q4" s="216">
        <v>2025</v>
      </c>
      <c r="R4" s="216">
        <v>2026</v>
      </c>
    </row>
    <row r="5" spans="2:27" ht="30" x14ac:dyDescent="0.2">
      <c r="B5" s="561"/>
      <c r="C5" s="511"/>
      <c r="D5" s="511"/>
      <c r="E5" s="511"/>
      <c r="F5" s="338" t="s">
        <v>124</v>
      </c>
      <c r="G5" s="339" t="s">
        <v>142</v>
      </c>
      <c r="H5" s="338" t="s">
        <v>143</v>
      </c>
      <c r="I5" s="338" t="s">
        <v>124</v>
      </c>
      <c r="J5" s="339" t="s">
        <v>142</v>
      </c>
      <c r="K5" s="338" t="s">
        <v>143</v>
      </c>
      <c r="L5" s="338" t="s">
        <v>124</v>
      </c>
      <c r="M5" s="339" t="s">
        <v>142</v>
      </c>
      <c r="N5" s="340" t="s">
        <v>143</v>
      </c>
    </row>
    <row r="6" spans="2:27" ht="15" x14ac:dyDescent="0.25">
      <c r="B6" s="337"/>
      <c r="C6" s="511"/>
      <c r="D6" s="511"/>
      <c r="E6" s="511"/>
      <c r="F6" s="341" t="s">
        <v>113</v>
      </c>
      <c r="G6" s="341" t="s">
        <v>128</v>
      </c>
      <c r="H6" s="341" t="s">
        <v>417</v>
      </c>
      <c r="I6" s="341" t="s">
        <v>158</v>
      </c>
      <c r="J6" s="341" t="s">
        <v>418</v>
      </c>
      <c r="K6" s="341" t="s">
        <v>419</v>
      </c>
      <c r="L6" s="341" t="s">
        <v>335</v>
      </c>
      <c r="M6" s="341" t="s">
        <v>420</v>
      </c>
      <c r="N6" s="342" t="s">
        <v>421</v>
      </c>
    </row>
    <row r="7" spans="2:27" x14ac:dyDescent="0.2">
      <c r="B7" s="300" t="s">
        <v>29</v>
      </c>
      <c r="C7" s="512"/>
      <c r="D7" s="512"/>
      <c r="E7" s="512"/>
      <c r="F7" s="301">
        <f>'CDM Framework'!S36</f>
        <v>1274889.6192068276</v>
      </c>
      <c r="G7" s="469">
        <v>0.5</v>
      </c>
      <c r="H7" s="302">
        <f>F7*G7</f>
        <v>637444.8096034138</v>
      </c>
      <c r="I7" s="301">
        <f>'CDM Framework'!T36</f>
        <v>1274889.6192068276</v>
      </c>
      <c r="J7" s="303">
        <v>0.5</v>
      </c>
      <c r="K7" s="304">
        <f>I7*J7</f>
        <v>637444.8096034138</v>
      </c>
      <c r="L7" s="301">
        <f>'CDM Framework'!U36</f>
        <v>1274889.6192068276</v>
      </c>
      <c r="M7" s="303">
        <v>0.5</v>
      </c>
      <c r="N7" s="308">
        <f>L7*M7</f>
        <v>637444.8096034138</v>
      </c>
      <c r="P7" s="470">
        <f>H7</f>
        <v>637444.8096034138</v>
      </c>
      <c r="Q7" s="470">
        <f>H7+K7</f>
        <v>1274889.6192068276</v>
      </c>
      <c r="R7" s="470">
        <f>H7+I7+N7</f>
        <v>2549779.2384136552</v>
      </c>
      <c r="Z7" s="470"/>
      <c r="AA7" s="470"/>
    </row>
    <row r="8" spans="2:27" x14ac:dyDescent="0.2">
      <c r="B8" s="305" t="s">
        <v>119</v>
      </c>
      <c r="C8" s="513"/>
      <c r="D8" s="513"/>
      <c r="E8" s="513"/>
      <c r="F8" s="301">
        <f>'CDM Framework'!S37</f>
        <v>2004620.2342562422</v>
      </c>
      <c r="G8" s="469">
        <f>G7</f>
        <v>0.5</v>
      </c>
      <c r="H8" s="302">
        <f t="shared" ref="H8:H11" si="0">F8*G8</f>
        <v>1002310.1171281211</v>
      </c>
      <c r="I8" s="301">
        <f>'CDM Framework'!T37</f>
        <v>2004620.2342562422</v>
      </c>
      <c r="J8" s="303">
        <v>0.5</v>
      </c>
      <c r="K8" s="304">
        <f t="shared" ref="K8:K11" si="1">I8*J8</f>
        <v>1002310.1171281211</v>
      </c>
      <c r="L8" s="301">
        <f>'CDM Framework'!U37</f>
        <v>2004620.2342562422</v>
      </c>
      <c r="M8" s="303">
        <v>0.5</v>
      </c>
      <c r="N8" s="308">
        <f t="shared" ref="N8:N11" si="2">L8*M8</f>
        <v>1002310.1171281211</v>
      </c>
      <c r="P8" s="470">
        <f t="shared" ref="P8:P9" si="3">H8</f>
        <v>1002310.1171281211</v>
      </c>
      <c r="Q8" s="470">
        <f t="shared" ref="Q8:Q9" si="4">H8+K8</f>
        <v>2004620.2342562422</v>
      </c>
      <c r="R8" s="470">
        <f t="shared" ref="R8:R9" si="5">H8+I8+N8</f>
        <v>4009240.4685124843</v>
      </c>
      <c r="Z8" s="470"/>
      <c r="AA8" s="470"/>
    </row>
    <row r="9" spans="2:27" x14ac:dyDescent="0.2">
      <c r="B9" s="300" t="s">
        <v>120</v>
      </c>
      <c r="C9" s="512"/>
      <c r="D9" s="512"/>
      <c r="E9" s="512"/>
      <c r="F9" s="301">
        <f>'CDM Framework'!S38</f>
        <v>9026864.2384239547</v>
      </c>
      <c r="G9" s="469">
        <f t="shared" ref="G9:G11" si="6">G8</f>
        <v>0.5</v>
      </c>
      <c r="H9" s="302">
        <f t="shared" si="0"/>
        <v>4513432.1192119773</v>
      </c>
      <c r="I9" s="301">
        <f>'CDM Framework'!T38</f>
        <v>9026864.2384239547</v>
      </c>
      <c r="J9" s="303">
        <v>0.5</v>
      </c>
      <c r="K9" s="304">
        <f t="shared" si="1"/>
        <v>4513432.1192119773</v>
      </c>
      <c r="L9" s="301">
        <f>'CDM Framework'!U38</f>
        <v>9026864.2384239547</v>
      </c>
      <c r="M9" s="303">
        <v>0.5</v>
      </c>
      <c r="N9" s="308">
        <f t="shared" si="2"/>
        <v>4513432.1192119773</v>
      </c>
      <c r="P9" s="470">
        <f t="shared" si="3"/>
        <v>4513432.1192119773</v>
      </c>
      <c r="Q9" s="470">
        <f t="shared" si="4"/>
        <v>9026864.2384239547</v>
      </c>
      <c r="R9" s="470">
        <f t="shared" si="5"/>
        <v>18053728.476847909</v>
      </c>
      <c r="Z9" s="470"/>
      <c r="AA9" s="470"/>
    </row>
    <row r="10" spans="2:27" x14ac:dyDescent="0.2">
      <c r="B10" s="305" t="s">
        <v>130</v>
      </c>
      <c r="C10" s="513"/>
      <c r="D10" s="513"/>
      <c r="E10" s="513"/>
      <c r="F10" s="301"/>
      <c r="G10" s="469">
        <f t="shared" si="6"/>
        <v>0.5</v>
      </c>
      <c r="H10" s="302">
        <f t="shared" si="0"/>
        <v>0</v>
      </c>
      <c r="I10" s="301"/>
      <c r="J10" s="303">
        <v>0.5</v>
      </c>
      <c r="K10" s="304">
        <f t="shared" si="1"/>
        <v>0</v>
      </c>
      <c r="L10" s="301"/>
      <c r="M10" s="303">
        <v>0.5</v>
      </c>
      <c r="N10" s="308">
        <f t="shared" si="2"/>
        <v>0</v>
      </c>
    </row>
    <row r="11" spans="2:27" x14ac:dyDescent="0.2">
      <c r="B11" s="305" t="s">
        <v>41</v>
      </c>
      <c r="C11" s="513"/>
      <c r="D11" s="513"/>
      <c r="E11" s="513"/>
      <c r="F11" s="301"/>
      <c r="G11" s="469">
        <f t="shared" si="6"/>
        <v>0.5</v>
      </c>
      <c r="H11" s="302">
        <f t="shared" si="0"/>
        <v>0</v>
      </c>
      <c r="I11" s="301"/>
      <c r="J11" s="303">
        <v>0.5</v>
      </c>
      <c r="K11" s="304">
        <f t="shared" si="1"/>
        <v>0</v>
      </c>
      <c r="L11" s="301"/>
      <c r="M11" s="303">
        <v>0.5</v>
      </c>
      <c r="N11" s="308">
        <f t="shared" si="2"/>
        <v>0</v>
      </c>
    </row>
    <row r="12" spans="2:27" ht="15" thickBot="1" x14ac:dyDescent="0.25">
      <c r="B12" s="343" t="s">
        <v>145</v>
      </c>
      <c r="C12" s="514"/>
      <c r="D12" s="514"/>
      <c r="E12" s="514"/>
      <c r="F12" s="344">
        <f>SUM(F7:F11)</f>
        <v>12306374.091887023</v>
      </c>
      <c r="G12" s="344"/>
      <c r="H12" s="344">
        <f t="shared" ref="H12" si="7">SUM(H7:H11)</f>
        <v>6153187.0459435116</v>
      </c>
      <c r="I12" s="344">
        <f>SUM(I7:I11)</f>
        <v>12306374.091887023</v>
      </c>
      <c r="J12" s="345">
        <v>0.5</v>
      </c>
      <c r="K12" s="346">
        <f>I12*J12</f>
        <v>6153187.0459435116</v>
      </c>
      <c r="L12" s="344">
        <f>SUM(L7:L11)</f>
        <v>12306374.091887023</v>
      </c>
      <c r="M12" s="345">
        <v>0.5</v>
      </c>
      <c r="N12" s="347">
        <f>L12*M12</f>
        <v>6153187.0459435116</v>
      </c>
    </row>
    <row r="13" spans="2:27" x14ac:dyDescent="0.2">
      <c r="B13" s="10"/>
      <c r="C13" s="10"/>
      <c r="D13" s="10"/>
      <c r="E13" s="10"/>
      <c r="F13" s="10"/>
      <c r="G13" s="10"/>
      <c r="H13" s="10"/>
      <c r="I13" s="10"/>
      <c r="J13" s="10"/>
      <c r="K13" s="10"/>
      <c r="L13" s="10"/>
      <c r="M13" s="10"/>
      <c r="N13" s="10"/>
      <c r="O13" s="10"/>
    </row>
    <row r="16" spans="2:27" ht="15.75" thickBot="1" x14ac:dyDescent="0.3">
      <c r="B16" s="552" t="s">
        <v>520</v>
      </c>
      <c r="C16" s="553"/>
      <c r="D16" s="553"/>
      <c r="E16" s="553"/>
      <c r="F16" s="553"/>
      <c r="G16" s="553"/>
      <c r="H16" s="553"/>
      <c r="I16" s="553"/>
      <c r="J16" s="553"/>
      <c r="K16" s="553"/>
      <c r="L16" s="553"/>
      <c r="M16" s="553"/>
      <c r="N16" s="553"/>
      <c r="O16" s="554"/>
    </row>
    <row r="17" spans="2:21" ht="14.65" customHeight="1" x14ac:dyDescent="0.25">
      <c r="B17" s="491" t="s">
        <v>141</v>
      </c>
      <c r="C17" s="515"/>
      <c r="D17" s="515"/>
      <c r="E17" s="515"/>
      <c r="F17" s="515"/>
      <c r="G17" s="515"/>
      <c r="H17" s="488" t="s">
        <v>409</v>
      </c>
      <c r="I17" s="489"/>
      <c r="J17" s="489"/>
      <c r="K17" s="489"/>
      <c r="L17" s="490"/>
      <c r="M17" s="489" t="s">
        <v>410</v>
      </c>
      <c r="N17" s="489"/>
      <c r="O17" s="489"/>
      <c r="P17" s="489"/>
      <c r="Q17" s="492"/>
    </row>
    <row r="18" spans="2:21" ht="45" x14ac:dyDescent="0.2">
      <c r="B18" s="493"/>
      <c r="C18" s="516"/>
      <c r="D18" s="516"/>
      <c r="E18" s="516"/>
      <c r="F18" s="516"/>
      <c r="G18" s="516"/>
      <c r="H18" s="471" t="s">
        <v>146</v>
      </c>
      <c r="I18" s="339" t="s">
        <v>14</v>
      </c>
      <c r="J18" s="339" t="s">
        <v>147</v>
      </c>
      <c r="K18" s="339" t="s">
        <v>125</v>
      </c>
      <c r="L18" s="472" t="s">
        <v>14</v>
      </c>
      <c r="M18" s="473" t="s">
        <v>146</v>
      </c>
      <c r="N18" s="339" t="s">
        <v>14</v>
      </c>
      <c r="O18" s="339" t="s">
        <v>147</v>
      </c>
      <c r="P18" s="339" t="s">
        <v>125</v>
      </c>
      <c r="Q18" s="339" t="s">
        <v>14</v>
      </c>
      <c r="S18" s="216">
        <f>Q4</f>
        <v>2025</v>
      </c>
      <c r="T18" s="216">
        <f>R4</f>
        <v>2026</v>
      </c>
    </row>
    <row r="19" spans="2:21" ht="15" x14ac:dyDescent="0.2">
      <c r="B19" s="493"/>
      <c r="C19" s="516"/>
      <c r="D19" s="516"/>
      <c r="E19" s="516"/>
      <c r="F19" s="516"/>
      <c r="G19" s="516"/>
      <c r="H19" s="471" t="s">
        <v>144</v>
      </c>
      <c r="I19" s="339" t="s">
        <v>158</v>
      </c>
      <c r="J19" s="339" t="s">
        <v>505</v>
      </c>
      <c r="K19" s="339" t="s">
        <v>334</v>
      </c>
      <c r="L19" s="472" t="s">
        <v>506</v>
      </c>
      <c r="M19" s="473" t="s">
        <v>420</v>
      </c>
      <c r="N19" s="339" t="s">
        <v>507</v>
      </c>
      <c r="O19" s="339" t="s">
        <v>508</v>
      </c>
      <c r="P19" s="339" t="s">
        <v>509</v>
      </c>
      <c r="Q19" s="339" t="s">
        <v>510</v>
      </c>
    </row>
    <row r="20" spans="2:21" x14ac:dyDescent="0.2">
      <c r="B20" s="494" t="s">
        <v>120</v>
      </c>
      <c r="C20" s="517"/>
      <c r="D20" s="517"/>
      <c r="E20" s="517"/>
      <c r="F20" s="517"/>
      <c r="G20" s="517"/>
      <c r="H20" s="474">
        <f ca="1">'Normalized Annual Summary'!$AG$16</f>
        <v>762298638.97352743</v>
      </c>
      <c r="I20" s="475">
        <f>Q9</f>
        <v>9026864.2384239547</v>
      </c>
      <c r="J20" s="476">
        <f ca="1">I20/H20</f>
        <v>1.1841637616694515E-2</v>
      </c>
      <c r="K20" s="477">
        <f ca="1">'kW Forecast'!H20</f>
        <v>2046862.1610656397</v>
      </c>
      <c r="L20" s="478">
        <f ca="1">J20*K20</f>
        <v>24238.199962663508</v>
      </c>
      <c r="M20" s="479">
        <f ca="1">'Normalized Annual Summary'!$AG$17</f>
        <v>750558930.32238185</v>
      </c>
      <c r="N20" s="475">
        <f>R9</f>
        <v>18053728.476847909</v>
      </c>
      <c r="O20" s="476">
        <f ca="1">N20/M20</f>
        <v>2.4053712170333419E-2</v>
      </c>
      <c r="P20" s="477">
        <f ca="1">'kW Forecast'!H21</f>
        <v>2017429.6402919344</v>
      </c>
      <c r="Q20" s="477">
        <f ca="1">O20*P20</f>
        <v>48526.67189148147</v>
      </c>
      <c r="S20" s="270">
        <f ca="1">L20</f>
        <v>24238.199962663508</v>
      </c>
      <c r="T20" s="270">
        <f ca="1">Q20</f>
        <v>48526.67189148147</v>
      </c>
      <c r="U20" s="270"/>
    </row>
    <row r="21" spans="2:21" x14ac:dyDescent="0.2">
      <c r="B21" s="495" t="s">
        <v>130</v>
      </c>
      <c r="C21" s="518"/>
      <c r="D21" s="518"/>
      <c r="E21" s="518"/>
      <c r="F21" s="518"/>
      <c r="G21" s="518"/>
      <c r="H21" s="480">
        <f>'Normalized Annual Summary'!$AM$16</f>
        <v>5601815.3767096987</v>
      </c>
      <c r="I21" s="475">
        <f>AB10</f>
        <v>0</v>
      </c>
      <c r="J21" s="476">
        <f>I21/H21</f>
        <v>0</v>
      </c>
      <c r="K21" s="481"/>
      <c r="L21" s="482"/>
      <c r="M21" s="480">
        <f>'Normalized Annual Summary'!$AM$17</f>
        <v>5608030.8259170279</v>
      </c>
      <c r="N21" s="475">
        <f>AG10</f>
        <v>0</v>
      </c>
      <c r="O21" s="476">
        <f>N21/M21</f>
        <v>0</v>
      </c>
      <c r="P21" s="481"/>
      <c r="Q21" s="481"/>
    </row>
    <row r="22" spans="2:21" ht="15" x14ac:dyDescent="0.25">
      <c r="B22" s="496" t="s">
        <v>145</v>
      </c>
      <c r="C22" s="519"/>
      <c r="D22" s="519"/>
      <c r="E22" s="519"/>
      <c r="F22" s="519"/>
      <c r="G22" s="519"/>
      <c r="H22" s="497">
        <f t="shared" ref="H22:Q22" ca="1" si="8">SUM(H20:H21)</f>
        <v>767900454.35023713</v>
      </c>
      <c r="I22" s="498">
        <f t="shared" si="8"/>
        <v>9026864.2384239547</v>
      </c>
      <c r="J22" s="499">
        <f t="shared" ca="1" si="8"/>
        <v>1.1841637616694515E-2</v>
      </c>
      <c r="K22" s="500">
        <f t="shared" ca="1" si="8"/>
        <v>2046862.1610656397</v>
      </c>
      <c r="L22" s="500">
        <f t="shared" ca="1" si="8"/>
        <v>24238.199962663508</v>
      </c>
      <c r="M22" s="501">
        <f t="shared" ca="1" si="8"/>
        <v>756166961.14829886</v>
      </c>
      <c r="N22" s="498">
        <f t="shared" si="8"/>
        <v>18053728.476847909</v>
      </c>
      <c r="O22" s="499">
        <f t="shared" ca="1" si="8"/>
        <v>2.4053712170333419E-2</v>
      </c>
      <c r="P22" s="500">
        <f t="shared" ca="1" si="8"/>
        <v>2017429.6402919344</v>
      </c>
      <c r="Q22" s="500">
        <f t="shared" ca="1" si="8"/>
        <v>48526.67189148147</v>
      </c>
    </row>
  </sheetData>
  <mergeCells count="7">
    <mergeCell ref="B16:O16"/>
    <mergeCell ref="B3:N3"/>
    <mergeCell ref="B2:N2"/>
    <mergeCell ref="B4:B5"/>
    <mergeCell ref="F4:H4"/>
    <mergeCell ref="I4:K4"/>
    <mergeCell ref="L4:N4"/>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8">
    <tabColor rgb="FFFF0000"/>
  </sheetPr>
  <dimension ref="B1:Y47"/>
  <sheetViews>
    <sheetView topLeftCell="B11" workbookViewId="0">
      <selection activeCell="F22" sqref="D20:P23"/>
    </sheetView>
  </sheetViews>
  <sheetFormatPr defaultColWidth="9.1640625" defaultRowHeight="12.75" x14ac:dyDescent="0.2"/>
  <cols>
    <col min="1" max="1" width="3" style="41" customWidth="1"/>
    <col min="2" max="2" width="28.33203125" style="41" bestFit="1" customWidth="1"/>
    <col min="3" max="3" width="18.83203125" style="41" bestFit="1" customWidth="1"/>
    <col min="4" max="7" width="15" style="41" bestFit="1" customWidth="1"/>
    <col min="8" max="8" width="15.6640625" style="41" bestFit="1" customWidth="1"/>
    <col min="9" max="12" width="15" style="41" bestFit="1" customWidth="1"/>
    <col min="13" max="13" width="16" style="41" bestFit="1" customWidth="1"/>
    <col min="14" max="14" width="15.6640625" style="41" bestFit="1" customWidth="1"/>
    <col min="15" max="15" width="15.6640625" style="41" customWidth="1"/>
    <col min="16" max="16" width="15.6640625" style="41" bestFit="1" customWidth="1"/>
    <col min="17" max="17" width="15.83203125" style="41" customWidth="1"/>
    <col min="18" max="18" width="12.33203125" style="41" bestFit="1" customWidth="1"/>
    <col min="19" max="22" width="15" style="41" bestFit="1" customWidth="1"/>
    <col min="23" max="24" width="15.6640625" style="41" bestFit="1" customWidth="1"/>
    <col min="25" max="25" width="17.6640625" style="41" customWidth="1"/>
    <col min="26" max="26" width="11.5" style="41" bestFit="1" customWidth="1"/>
    <col min="27" max="16384" width="9.1640625" style="41"/>
  </cols>
  <sheetData>
    <row r="1" spans="2:25" ht="16.5" thickBot="1" x14ac:dyDescent="0.3">
      <c r="B1" s="60" t="s">
        <v>133</v>
      </c>
      <c r="C1" s="60"/>
      <c r="D1" s="60"/>
    </row>
    <row r="2" spans="2:25" ht="13.5" thickBot="1" x14ac:dyDescent="0.25">
      <c r="B2" s="328" t="s">
        <v>124</v>
      </c>
      <c r="C2" s="520"/>
      <c r="D2" s="329" t="s">
        <v>134</v>
      </c>
      <c r="E2" s="329" t="s">
        <v>135</v>
      </c>
      <c r="F2" s="329" t="s">
        <v>136</v>
      </c>
      <c r="G2" s="329" t="s">
        <v>137</v>
      </c>
      <c r="H2" s="329" t="s">
        <v>163</v>
      </c>
      <c r="I2" s="329" t="s">
        <v>427</v>
      </c>
      <c r="J2" s="329" t="s">
        <v>428</v>
      </c>
      <c r="K2" s="329" t="s">
        <v>429</v>
      </c>
      <c r="L2" s="329" t="s">
        <v>430</v>
      </c>
      <c r="M2" s="329" t="s">
        <v>518</v>
      </c>
      <c r="N2" s="330" t="s">
        <v>519</v>
      </c>
      <c r="O2" s="329" t="s">
        <v>409</v>
      </c>
      <c r="P2" s="332" t="s">
        <v>410</v>
      </c>
      <c r="R2" s="413"/>
      <c r="S2" s="414" t="str">
        <f>J2</f>
        <v>2021 Actual</v>
      </c>
      <c r="T2" s="414" t="str">
        <f>K2</f>
        <v>2022 Actual</v>
      </c>
      <c r="U2" s="414" t="str">
        <f>L2</f>
        <v>2023 Actual</v>
      </c>
      <c r="V2" s="414" t="str">
        <f>N2</f>
        <v>2024 Normal</v>
      </c>
      <c r="W2" s="414" t="str">
        <f>O2</f>
        <v>2025 Forecast</v>
      </c>
      <c r="X2" s="415" t="str">
        <f>P2</f>
        <v>2026 Forecast</v>
      </c>
    </row>
    <row r="3" spans="2:25" x14ac:dyDescent="0.2">
      <c r="B3" s="61" t="s">
        <v>29</v>
      </c>
      <c r="C3" s="521"/>
      <c r="D3" s="42">
        <f ca="1">OFFSET('Normalized Annual Summary'!$C$6,COLUMN(D3)-COLUMN($D3),0)</f>
        <v>530999846</v>
      </c>
      <c r="E3" s="42">
        <f ca="1">OFFSET('Normalized Annual Summary'!$C$6,COLUMN(E3)-COLUMN($D3),0)</f>
        <v>545123880</v>
      </c>
      <c r="F3" s="42">
        <f ca="1">OFFSET('Normalized Annual Summary'!$C$6,COLUMN(F3)-COLUMN($D3),0)</f>
        <v>501428451</v>
      </c>
      <c r="G3" s="42">
        <f ca="1">OFFSET('Normalized Annual Summary'!$C$6,COLUMN(G3)-COLUMN($D3),0)</f>
        <v>536801589</v>
      </c>
      <c r="H3" s="42">
        <f ca="1">OFFSET('Normalized Annual Summary'!$C$6,COLUMN(H3)-COLUMN($D3),0)</f>
        <v>512580883</v>
      </c>
      <c r="I3" s="42">
        <f ca="1">OFFSET('Normalized Annual Summary'!$C$6,COLUMN(I3)-COLUMN($D3),0)</f>
        <v>555286631</v>
      </c>
      <c r="J3" s="42">
        <f ca="1">OFFSET('Normalized Annual Summary'!$C$6,COLUMN(J3)-COLUMN($D3),0)</f>
        <v>550878084</v>
      </c>
      <c r="K3" s="42">
        <f ca="1">OFFSET('Normalized Annual Summary'!$C$6,COLUMN(K3)-COLUMN($D3),0)</f>
        <v>543063322</v>
      </c>
      <c r="L3" s="42">
        <f ca="1">OFFSET('Normalized Annual Summary'!$C$6,COLUMN(L3)-COLUMN($D3),0)</f>
        <v>520495248</v>
      </c>
      <c r="M3" s="42">
        <f ca="1">OFFSET('Normalized Annual Summary'!$C$6,COLUMN(M3)-COLUMN($D3),0)</f>
        <v>540051923.88</v>
      </c>
      <c r="N3" s="309">
        <f ca="1">OFFSET('Normalized Annual Summary'!$K$58,COLUMN(N3)-COLUMN($N3),0)</f>
        <v>542906523.00915146</v>
      </c>
      <c r="O3" s="42">
        <f ca="1">OFFSET('Normalized Annual Summary'!$K$58,COLUMN(O3)-COLUMN($N3),0)</f>
        <v>551459827.7427696</v>
      </c>
      <c r="P3" s="62">
        <f ca="1">OFFSET('Normalized Annual Summary'!$K$58,COLUMN(P3)-COLUMN($N3),0)</f>
        <v>556998472.61889982</v>
      </c>
      <c r="R3" s="569" t="s">
        <v>124</v>
      </c>
      <c r="S3" s="570"/>
      <c r="T3" s="570"/>
      <c r="U3" s="570"/>
      <c r="V3" s="571"/>
      <c r="W3" s="571"/>
      <c r="X3" s="572"/>
    </row>
    <row r="4" spans="2:25" x14ac:dyDescent="0.2">
      <c r="B4" s="63" t="s">
        <v>119</v>
      </c>
      <c r="C4" s="521"/>
      <c r="D4" s="42">
        <f ca="1">OFFSET('Normalized Annual Summary'!$N$6,COLUMN(D4)-COLUMN($D4),0)</f>
        <v>170245509</v>
      </c>
      <c r="E4" s="42">
        <f ca="1">OFFSET('Normalized Annual Summary'!$N$6,COLUMN(E4)-COLUMN($D4),0)</f>
        <v>169905557</v>
      </c>
      <c r="F4" s="42">
        <f ca="1">OFFSET('Normalized Annual Summary'!$N$6,COLUMN(F4)-COLUMN($D4),0)</f>
        <v>166894185</v>
      </c>
      <c r="G4" s="42">
        <f ca="1">OFFSET('Normalized Annual Summary'!$N$6,COLUMN(G4)-COLUMN($D4),0)</f>
        <v>174257110</v>
      </c>
      <c r="H4" s="42">
        <f ca="1">OFFSET('Normalized Annual Summary'!$N$6,COLUMN(H4)-COLUMN($D4),0)</f>
        <v>170703484</v>
      </c>
      <c r="I4" s="42">
        <f ca="1">OFFSET('Normalized Annual Summary'!$N$6,COLUMN(I4)-COLUMN($D4),0)</f>
        <v>153322573</v>
      </c>
      <c r="J4" s="42">
        <f ca="1">OFFSET('Normalized Annual Summary'!$N$6,COLUMN(J4)-COLUMN($D4),0)</f>
        <v>156917865</v>
      </c>
      <c r="K4" s="42">
        <f ca="1">OFFSET('Normalized Annual Summary'!$N$6,COLUMN(K4)-COLUMN($D4),0)</f>
        <v>167739015</v>
      </c>
      <c r="L4" s="42">
        <f ca="1">OFFSET('Normalized Annual Summary'!$N$6,COLUMN(L4)-COLUMN($D4),0)</f>
        <v>169521838</v>
      </c>
      <c r="M4" s="42">
        <f ca="1">OFFSET('Normalized Annual Summary'!$N$6,COLUMN(M4)-COLUMN($D4),0)</f>
        <v>168919666.52000001</v>
      </c>
      <c r="N4" s="309">
        <f ca="1">OFFSET('Normalized Annual Summary'!$V$58,COLUMN(N4)-COLUMN($N4),0)</f>
        <v>170285702.0697881</v>
      </c>
      <c r="O4" s="42">
        <f ca="1">OFFSET('Normalized Annual Summary'!$V$58,COLUMN(O4)-COLUMN($N4),0)</f>
        <v>169765570.42542037</v>
      </c>
      <c r="P4" s="62">
        <f ca="1">OFFSET('Normalized Annual Summary'!$V$58,COLUMN(P4)-COLUMN($N4),0)</f>
        <v>172548368.89067316</v>
      </c>
      <c r="R4" s="411" t="str">
        <f>B3</f>
        <v>Residential</v>
      </c>
      <c r="S4" s="409">
        <f t="shared" ref="S4:V8" ca="1" si="0">J3</f>
        <v>550878084</v>
      </c>
      <c r="T4" s="409">
        <f t="shared" ca="1" si="0"/>
        <v>543063322</v>
      </c>
      <c r="U4" s="409">
        <f t="shared" ca="1" si="0"/>
        <v>520495248</v>
      </c>
      <c r="V4" s="409">
        <f t="shared" ca="1" si="0"/>
        <v>540051923.88</v>
      </c>
      <c r="W4" s="409">
        <f ca="1">O3-'CDM Adjustment'!Q7</f>
        <v>550184938.12356281</v>
      </c>
      <c r="X4" s="412">
        <f ca="1">P3-'CDM Adjustment'!R7</f>
        <v>554448693.38048613</v>
      </c>
    </row>
    <row r="5" spans="2:25" x14ac:dyDescent="0.2">
      <c r="B5" s="63" t="s">
        <v>120</v>
      </c>
      <c r="C5" s="521"/>
      <c r="D5" s="42">
        <f ca="1">OFFSET('Normalized Annual Summary'!$Y$6,COLUMN(D5)-COLUMN($D5),0)</f>
        <v>907051642</v>
      </c>
      <c r="E5" s="42">
        <f ca="1">OFFSET('Normalized Annual Summary'!$Y$6,COLUMN(E5)-COLUMN($D5),0)</f>
        <v>920835908</v>
      </c>
      <c r="F5" s="42">
        <f ca="1">OFFSET('Normalized Annual Summary'!$Y$6,COLUMN(F5)-COLUMN($D5),0)</f>
        <v>885596225</v>
      </c>
      <c r="G5" s="42">
        <f ca="1">OFFSET('Normalized Annual Summary'!$Y$6,COLUMN(G5)-COLUMN($D5),0)</f>
        <v>874283086</v>
      </c>
      <c r="H5" s="42">
        <f ca="1">OFFSET('Normalized Annual Summary'!$Y$6,COLUMN(H5)-COLUMN($D5),0)</f>
        <v>837536595</v>
      </c>
      <c r="I5" s="42">
        <f ca="1">OFFSET('Normalized Annual Summary'!$Y$6,COLUMN(I5)-COLUMN($D5),0)</f>
        <v>787632949</v>
      </c>
      <c r="J5" s="42">
        <f ca="1">OFFSET('Normalized Annual Summary'!$Y$6,COLUMN(J5)-COLUMN($D5),0)</f>
        <v>797368549</v>
      </c>
      <c r="K5" s="42">
        <f ca="1">OFFSET('Normalized Annual Summary'!$Y$6,COLUMN(K5)-COLUMN($D5),0)</f>
        <v>812199013</v>
      </c>
      <c r="L5" s="42">
        <f ca="1">OFFSET('Normalized Annual Summary'!$Y$6,COLUMN(L5)-COLUMN($D5),0)</f>
        <v>785675948</v>
      </c>
      <c r="M5" s="42">
        <f ca="1">OFFSET('Normalized Annual Summary'!$Y$6,COLUMN(M5)-COLUMN($D5),0)</f>
        <v>796891425.15999985</v>
      </c>
      <c r="N5" s="309">
        <f ca="1">OFFSET('Normalized Annual Summary'!$AG$58,COLUMN(N5)-COLUMN($N5),0)</f>
        <v>801209849.58646214</v>
      </c>
      <c r="O5" s="42">
        <f ca="1">OFFSET('Normalized Annual Summary'!$AG$58,COLUMN(O5)-COLUMN($N5),0)</f>
        <v>762298638.97352743</v>
      </c>
      <c r="P5" s="62">
        <f ca="1">OFFSET('Normalized Annual Summary'!$AG$58,COLUMN(P5)-COLUMN($N5),0)</f>
        <v>750558930.32238185</v>
      </c>
      <c r="R5" s="411" t="str">
        <f>B4</f>
        <v>GS &lt; 50</v>
      </c>
      <c r="S5" s="409">
        <f t="shared" ca="1" si="0"/>
        <v>156917865</v>
      </c>
      <c r="T5" s="409">
        <f t="shared" ca="1" si="0"/>
        <v>167739015</v>
      </c>
      <c r="U5" s="409">
        <f t="shared" ca="1" si="0"/>
        <v>169521838</v>
      </c>
      <c r="V5" s="409">
        <f t="shared" ca="1" si="0"/>
        <v>168919666.52000001</v>
      </c>
      <c r="W5" s="409">
        <f ca="1">O4-'CDM Adjustment'!Q8</f>
        <v>167760950.19116414</v>
      </c>
      <c r="X5" s="412">
        <f ca="1">P4-'CDM Adjustment'!R8</f>
        <v>168539128.42216069</v>
      </c>
    </row>
    <row r="6" spans="2:25" x14ac:dyDescent="0.2">
      <c r="B6" s="63" t="s">
        <v>130</v>
      </c>
      <c r="C6" s="521"/>
      <c r="D6" s="42">
        <f ca="1">OFFSET('Normalized Annual Summary'!$AJ$6,COLUMN(D6)-COLUMN($D6),0)</f>
        <v>9918681</v>
      </c>
      <c r="E6" s="42">
        <f ca="1">OFFSET('Normalized Annual Summary'!$AJ$6,COLUMN(E6)-COLUMN($D6),0)</f>
        <v>9945876</v>
      </c>
      <c r="F6" s="42">
        <f ca="1">OFFSET('Normalized Annual Summary'!$AJ$6,COLUMN(F6)-COLUMN($D6),0)</f>
        <v>11286654.700000001</v>
      </c>
      <c r="G6" s="42">
        <f ca="1">OFFSET('Normalized Annual Summary'!$AJ$6,COLUMN(G6)-COLUMN($D6),0)</f>
        <v>6528022.6000000006</v>
      </c>
      <c r="H6" s="42">
        <f ca="1">OFFSET('Normalized Annual Summary'!$AJ$6,COLUMN(H6)-COLUMN($D6),0)</f>
        <v>5537652.8999999994</v>
      </c>
      <c r="I6" s="42">
        <f ca="1">OFFSET('Normalized Annual Summary'!$AJ$6,COLUMN(I6)-COLUMN($D6),0)</f>
        <v>5409836</v>
      </c>
      <c r="J6" s="42">
        <f ca="1">OFFSET('Normalized Annual Summary'!$AJ$6,COLUMN(J6)-COLUMN($D6),0)</f>
        <v>5543828</v>
      </c>
      <c r="K6" s="42">
        <f ca="1">OFFSET('Normalized Annual Summary'!$AJ$6,COLUMN(K6)-COLUMN($D6),0)</f>
        <v>5550156</v>
      </c>
      <c r="L6" s="42">
        <f ca="1">OFFSET('Normalized Annual Summary'!$AJ$6,COLUMN(L6)-COLUMN($D6),0)</f>
        <v>5553781</v>
      </c>
      <c r="M6" s="42">
        <f ca="1">OFFSET('Normalized Annual Summary'!$AJ$6,COLUMN(M6)-COLUMN($D6),0)</f>
        <v>5595608.9199999999</v>
      </c>
      <c r="N6" s="309">
        <f ca="1">OFFSET('Normalized Annual Summary'!$AM$15,COLUMN(N6)-COLUMN($N6),0)</f>
        <v>5595608.9199999999</v>
      </c>
      <c r="O6" s="309">
        <f ca="1">OFFSET('Normalized Annual Summary'!$AM$15,COLUMN(O6)-COLUMN($N6),0)</f>
        <v>5601815.3767096987</v>
      </c>
      <c r="P6" s="352">
        <f ca="1">OFFSET('Normalized Annual Summary'!$AM$15,COLUMN(P6)-COLUMN($N6),0)</f>
        <v>5608030.8259170279</v>
      </c>
      <c r="R6" s="411" t="str">
        <f>B5</f>
        <v>GS &gt; 50</v>
      </c>
      <c r="S6" s="409">
        <f t="shared" ca="1" si="0"/>
        <v>797368549</v>
      </c>
      <c r="T6" s="409">
        <f t="shared" ca="1" si="0"/>
        <v>812199013</v>
      </c>
      <c r="U6" s="409">
        <f t="shared" ca="1" si="0"/>
        <v>785675948</v>
      </c>
      <c r="V6" s="409">
        <f t="shared" ca="1" si="0"/>
        <v>796891425.15999985</v>
      </c>
      <c r="W6" s="409">
        <f ca="1">O5-'CDM Adjustment'!Q9</f>
        <v>753271774.73510349</v>
      </c>
      <c r="X6" s="412">
        <f ca="1">P5-'CDM Adjustment'!R9</f>
        <v>732505201.84553397</v>
      </c>
      <c r="Y6" s="42"/>
    </row>
    <row r="7" spans="2:25" x14ac:dyDescent="0.2">
      <c r="B7" s="63" t="s">
        <v>41</v>
      </c>
      <c r="C7" s="521"/>
      <c r="D7" s="42">
        <f ca="1">OFFSET('Normalized Annual Summary'!$AP$6,COLUMN(D7)-COLUMN($D7),0)</f>
        <v>3110148</v>
      </c>
      <c r="E7" s="42">
        <f ca="1">OFFSET('Normalized Annual Summary'!$AP$6,COLUMN(E7)-COLUMN($D7),0)</f>
        <v>3115033</v>
      </c>
      <c r="F7" s="42">
        <f ca="1">OFFSET('Normalized Annual Summary'!$AP$6,COLUMN(F7)-COLUMN($D7),0)</f>
        <v>3130244</v>
      </c>
      <c r="G7" s="42">
        <f ca="1">OFFSET('Normalized Annual Summary'!$AP$6,COLUMN(G7)-COLUMN($D7),0)</f>
        <v>3138478</v>
      </c>
      <c r="H7" s="42">
        <f ca="1">OFFSET('Normalized Annual Summary'!$AP$6,COLUMN(H7)-COLUMN($D7),0)</f>
        <v>3144191</v>
      </c>
      <c r="I7" s="42">
        <f ca="1">OFFSET('Normalized Annual Summary'!$AP$6,COLUMN(I7)-COLUMN($D7),0)</f>
        <v>3140725</v>
      </c>
      <c r="J7" s="42">
        <f ca="1">OFFSET('Normalized Annual Summary'!$AP$6,COLUMN(J7)-COLUMN($D7),0)</f>
        <v>3135184</v>
      </c>
      <c r="K7" s="42">
        <f ca="1">OFFSET('Normalized Annual Summary'!$AP$6,COLUMN(K7)-COLUMN($D7),0)</f>
        <v>3146746</v>
      </c>
      <c r="L7" s="42">
        <f ca="1">OFFSET('Normalized Annual Summary'!$AP$6,COLUMN(L7)-COLUMN($D7),0)</f>
        <v>3168511</v>
      </c>
      <c r="M7" s="42">
        <f ca="1">OFFSET('Normalized Annual Summary'!$AP$6,COLUMN(M7)-COLUMN($D7),0)</f>
        <v>3283469.76</v>
      </c>
      <c r="N7" s="309">
        <f ca="1">OFFSET('Normalized Annual Summary'!$AS$15,COLUMN(N7)-COLUMN($N7),0)</f>
        <v>3283469.76</v>
      </c>
      <c r="O7" s="42">
        <f ca="1">OFFSET('Normalized Annual Summary'!$AS$15,COLUMN(O7)-COLUMN($N7),0)</f>
        <v>3297741.5382048921</v>
      </c>
      <c r="P7" s="62">
        <f ca="1">OFFSET('Normalized Annual Summary'!$AS$15,COLUMN(P7)-COLUMN($N7),0)</f>
        <v>3312078.3011629507</v>
      </c>
      <c r="R7" s="411" t="str">
        <f>B6</f>
        <v>Street Light</v>
      </c>
      <c r="S7" s="409">
        <f t="shared" ca="1" si="0"/>
        <v>5543828</v>
      </c>
      <c r="T7" s="409">
        <f t="shared" ca="1" si="0"/>
        <v>5550156</v>
      </c>
      <c r="U7" s="409">
        <f t="shared" ca="1" si="0"/>
        <v>5553781</v>
      </c>
      <c r="V7" s="409">
        <f t="shared" ca="1" si="0"/>
        <v>5595608.9199999999</v>
      </c>
      <c r="W7" s="409">
        <f ca="1">O6-'CDM Adjustment'!Q10</f>
        <v>5601815.3767096987</v>
      </c>
      <c r="X7" s="412">
        <f ca="1">P6-'CDM Adjustment'!R10</f>
        <v>5608030.8259170279</v>
      </c>
    </row>
    <row r="8" spans="2:25" ht="13.5" thickBot="1" x14ac:dyDescent="0.25">
      <c r="B8" s="325" t="s">
        <v>138</v>
      </c>
      <c r="C8" s="522"/>
      <c r="D8" s="326">
        <f t="shared" ref="D8:P8" ca="1" si="1">SUM(D3:D7)</f>
        <v>1621325826</v>
      </c>
      <c r="E8" s="326">
        <f t="shared" ca="1" si="1"/>
        <v>1648926254</v>
      </c>
      <c r="F8" s="326">
        <f t="shared" ca="1" si="1"/>
        <v>1568335759.7</v>
      </c>
      <c r="G8" s="326">
        <f t="shared" ca="1" si="1"/>
        <v>1595008285.5999999</v>
      </c>
      <c r="H8" s="326">
        <f t="shared" ca="1" si="1"/>
        <v>1529502805.9000001</v>
      </c>
      <c r="I8" s="326">
        <f t="shared" ca="1" si="1"/>
        <v>1504792714</v>
      </c>
      <c r="J8" s="326">
        <f t="shared" ca="1" si="1"/>
        <v>1513843510</v>
      </c>
      <c r="K8" s="326">
        <f t="shared" ca="1" si="1"/>
        <v>1531698252</v>
      </c>
      <c r="L8" s="326">
        <f t="shared" ca="1" si="1"/>
        <v>1484415326</v>
      </c>
      <c r="M8" s="326">
        <f t="shared" ref="M8" ca="1" si="2">SUM(M3:M7)</f>
        <v>1514742094.24</v>
      </c>
      <c r="N8" s="331">
        <f t="shared" ca="1" si="1"/>
        <v>1523281153.3454018</v>
      </c>
      <c r="O8" s="326">
        <f t="shared" ca="1" si="1"/>
        <v>1492423594.056632</v>
      </c>
      <c r="P8" s="327">
        <f t="shared" ca="1" si="1"/>
        <v>1489025880.9590349</v>
      </c>
      <c r="R8" s="411" t="str">
        <f>B7</f>
        <v>USL</v>
      </c>
      <c r="S8" s="409">
        <f t="shared" ca="1" si="0"/>
        <v>3135184</v>
      </c>
      <c r="T8" s="409">
        <f t="shared" ca="1" si="0"/>
        <v>3146746</v>
      </c>
      <c r="U8" s="409">
        <f t="shared" ca="1" si="0"/>
        <v>3168511</v>
      </c>
      <c r="V8" s="409">
        <f t="shared" ca="1" si="0"/>
        <v>3283469.76</v>
      </c>
      <c r="W8" s="409">
        <f ca="1">O7-'CDM Adjustment'!Q11</f>
        <v>3297741.5382048921</v>
      </c>
      <c r="X8" s="412">
        <f ca="1">P7-'CDM Adjustment'!R11</f>
        <v>3312078.3011629507</v>
      </c>
    </row>
    <row r="9" spans="2:25" ht="13.5" thickBot="1" x14ac:dyDescent="0.25">
      <c r="R9" s="416" t="s">
        <v>138</v>
      </c>
      <c r="S9" s="417">
        <f t="shared" ref="S9:T9" ca="1" si="3">SUM(S4:S8)</f>
        <v>1513843510</v>
      </c>
      <c r="T9" s="417">
        <f t="shared" ca="1" si="3"/>
        <v>1531698252</v>
      </c>
      <c r="U9" s="417">
        <f ca="1">SUM(U4:U8)</f>
        <v>1484415326</v>
      </c>
      <c r="V9" s="417">
        <f ca="1">SUM(V4:V8)</f>
        <v>1514742094.24</v>
      </c>
      <c r="W9" s="417">
        <f t="shared" ref="W9:X9" ca="1" si="4">SUM(W4:W8)</f>
        <v>1480117219.964745</v>
      </c>
      <c r="X9" s="418">
        <f t="shared" ca="1" si="4"/>
        <v>1464413132.7752609</v>
      </c>
    </row>
    <row r="10" spans="2:25" ht="16.5" thickBot="1" x14ac:dyDescent="0.3">
      <c r="B10" s="60" t="s">
        <v>139</v>
      </c>
      <c r="C10" s="60"/>
      <c r="D10" s="60"/>
      <c r="H10" s="42"/>
      <c r="I10" s="42"/>
      <c r="J10" s="42"/>
      <c r="K10" s="42"/>
      <c r="L10" s="42"/>
      <c r="M10" s="42"/>
      <c r="N10" s="42"/>
      <c r="R10" s="573" t="s">
        <v>125</v>
      </c>
      <c r="S10" s="574"/>
      <c r="T10" s="574"/>
      <c r="U10" s="574"/>
      <c r="V10" s="575"/>
      <c r="W10" s="575"/>
      <c r="X10" s="576"/>
    </row>
    <row r="11" spans="2:25" ht="55.15" customHeight="1" x14ac:dyDescent="0.2">
      <c r="B11" s="322" t="s">
        <v>124</v>
      </c>
      <c r="C11" s="323" t="s">
        <v>432</v>
      </c>
      <c r="D11" s="323" t="s">
        <v>140</v>
      </c>
      <c r="E11" s="324" t="s">
        <v>433</v>
      </c>
      <c r="G11" s="333" t="s">
        <v>470</v>
      </c>
      <c r="H11" s="324" t="s">
        <v>471</v>
      </c>
      <c r="J11" s="333" t="s">
        <v>521</v>
      </c>
      <c r="K11" s="324" t="s">
        <v>522</v>
      </c>
      <c r="R11" s="410" t="str">
        <f>R6</f>
        <v>GS &gt; 50</v>
      </c>
      <c r="S11" s="419">
        <f t="shared" ref="S11:V12" ca="1" si="5">J21</f>
        <v>2160311</v>
      </c>
      <c r="T11" s="419">
        <f t="shared" ca="1" si="5"/>
        <v>2180017</v>
      </c>
      <c r="U11" s="419">
        <f t="shared" ca="1" si="5"/>
        <v>2133862</v>
      </c>
      <c r="V11" s="419">
        <f t="shared" ca="1" si="5"/>
        <v>2107340.8080000002</v>
      </c>
      <c r="W11" s="419">
        <f ca="1">O21-'CDM Adjustment'!S20</f>
        <v>2022623.9611029762</v>
      </c>
      <c r="X11" s="420">
        <f ca="1">P21-'CDM Adjustment'!T20</f>
        <v>1968902.968400453</v>
      </c>
      <c r="Y11" s="42"/>
    </row>
    <row r="12" spans="2:25" x14ac:dyDescent="0.2">
      <c r="B12" s="61" t="str">
        <f>B3</f>
        <v>Residential</v>
      </c>
      <c r="C12" s="42">
        <f ca="1">P3</f>
        <v>556998472.61889982</v>
      </c>
      <c r="D12" s="42">
        <f>'CDM Adjustment'!R7</f>
        <v>2549779.2384136552</v>
      </c>
      <c r="E12" s="62">
        <f ca="1">C12-D12</f>
        <v>554448693.38048613</v>
      </c>
      <c r="F12" s="310"/>
      <c r="G12" s="311">
        <f ca="1">'Total Additional-Lost Loads'!F16</f>
        <v>5782995.2372359484</v>
      </c>
      <c r="H12" s="62">
        <f ca="1">E12-G12</f>
        <v>548665698.14325023</v>
      </c>
      <c r="J12" s="318">
        <f t="shared" ref="J12:J17" ca="1" si="6">E12/M3-1</f>
        <v>2.6658120939654584E-2</v>
      </c>
      <c r="K12" s="319">
        <f t="shared" ref="K12:K17" ca="1" si="7">E12/N3-1</f>
        <v>2.1259958910348375E-2</v>
      </c>
      <c r="R12" s="411" t="str">
        <f>R7</f>
        <v>Street Light</v>
      </c>
      <c r="S12" s="409">
        <f t="shared" ca="1" si="5"/>
        <v>15461</v>
      </c>
      <c r="T12" s="409">
        <f t="shared" ca="1" si="5"/>
        <v>15480</v>
      </c>
      <c r="U12" s="409">
        <f t="shared" ca="1" si="5"/>
        <v>15486</v>
      </c>
      <c r="V12" s="409">
        <f t="shared" ca="1" si="5"/>
        <v>15557.879999999997</v>
      </c>
      <c r="W12" s="409" t="e">
        <f ca="1">O22-'CDM Adjustment'!#REF!</f>
        <v>#REF!</v>
      </c>
      <c r="X12" s="412" t="e">
        <f ca="1">P22-'CDM Adjustment'!#REF!</f>
        <v>#REF!</v>
      </c>
    </row>
    <row r="13" spans="2:25" ht="13.5" thickBot="1" x14ac:dyDescent="0.25">
      <c r="B13" s="63" t="str">
        <f>B4</f>
        <v>GS &lt; 50</v>
      </c>
      <c r="C13" s="42">
        <f ca="1">P4</f>
        <v>172548368.89067316</v>
      </c>
      <c r="D13" s="42">
        <f>'CDM Adjustment'!R8</f>
        <v>4009240.4685124843</v>
      </c>
      <c r="E13" s="62">
        <f ca="1">C13-D13</f>
        <v>168539128.42216069</v>
      </c>
      <c r="G13" s="311">
        <f ca="1">'Total Additional-Lost Loads'!F17</f>
        <v>1504346.6141727823</v>
      </c>
      <c r="H13" s="62">
        <f t="shared" ref="H13:H16" ca="1" si="8">E13-G13</f>
        <v>167034781.8079879</v>
      </c>
      <c r="J13" s="318">
        <f t="shared" ca="1" si="6"/>
        <v>-2.2527755688782625E-3</v>
      </c>
      <c r="K13" s="319">
        <f t="shared" ca="1" si="7"/>
        <v>-1.0256725176560177E-2</v>
      </c>
      <c r="R13" s="416" t="s">
        <v>138</v>
      </c>
      <c r="S13" s="417">
        <f t="shared" ref="S13:T13" ca="1" si="9">SUM(S11:S12)</f>
        <v>2175772</v>
      </c>
      <c r="T13" s="417">
        <f t="shared" ca="1" si="9"/>
        <v>2195497</v>
      </c>
      <c r="U13" s="417">
        <f ca="1">SUM(U11:U12)</f>
        <v>2149348</v>
      </c>
      <c r="V13" s="417">
        <f ca="1">SUM(V11:V12)</f>
        <v>2122898.6880000001</v>
      </c>
      <c r="W13" s="417" t="e">
        <f t="shared" ref="W13:X13" ca="1" si="10">SUM(W11:W12)</f>
        <v>#REF!</v>
      </c>
      <c r="X13" s="418" t="e">
        <f t="shared" ca="1" si="10"/>
        <v>#REF!</v>
      </c>
    </row>
    <row r="14" spans="2:25" ht="13.5" thickBot="1" x14ac:dyDescent="0.25">
      <c r="B14" s="63" t="str">
        <f>B5</f>
        <v>GS &gt; 50</v>
      </c>
      <c r="C14" s="42">
        <f ca="1">P5</f>
        <v>750558930.32238185</v>
      </c>
      <c r="D14" s="42">
        <f>'CDM Adjustment'!R9</f>
        <v>18053728.476847909</v>
      </c>
      <c r="E14" s="62">
        <f ca="1">C14-D14</f>
        <v>732505201.84553397</v>
      </c>
      <c r="G14" s="311">
        <f>'Total Additional-Lost Loads'!F18</f>
        <v>720912.71929844364</v>
      </c>
      <c r="H14" s="62">
        <f t="shared" ca="1" si="8"/>
        <v>731784289.12623549</v>
      </c>
      <c r="J14" s="318">
        <f t="shared" ca="1" si="6"/>
        <v>-8.0796732505357793E-2</v>
      </c>
      <c r="K14" s="319">
        <f t="shared" ca="1" si="7"/>
        <v>-8.5751127218904655E-2</v>
      </c>
      <c r="R14" s="577" t="s">
        <v>496</v>
      </c>
      <c r="S14" s="578"/>
      <c r="T14" s="578"/>
      <c r="U14" s="578"/>
      <c r="V14" s="579"/>
      <c r="W14" s="579"/>
      <c r="X14" s="580"/>
    </row>
    <row r="15" spans="2:25" x14ac:dyDescent="0.2">
      <c r="B15" s="63" t="str">
        <f>B6</f>
        <v>Street Light</v>
      </c>
      <c r="C15" s="42">
        <f ca="1">P6</f>
        <v>5608030.8259170279</v>
      </c>
      <c r="D15" s="42"/>
      <c r="E15" s="62">
        <f ca="1">C15</f>
        <v>5608030.8259170279</v>
      </c>
      <c r="G15" s="311"/>
      <c r="H15" s="62">
        <f ca="1">E15-G15</f>
        <v>5608030.8259170279</v>
      </c>
      <c r="J15" s="318">
        <f t="shared" ca="1" si="6"/>
        <v>2.2199381862855194E-3</v>
      </c>
      <c r="K15" s="319">
        <f t="shared" ca="1" si="7"/>
        <v>2.2199381862855194E-3</v>
      </c>
      <c r="R15" s="421" t="str">
        <f>R4</f>
        <v>Residential</v>
      </c>
      <c r="S15" s="422">
        <f t="shared" ref="S15:X20" ca="1" si="11">J33</f>
        <v>61867.75</v>
      </c>
      <c r="T15" s="422">
        <f t="shared" ca="1" si="11"/>
        <v>62004.083333333336</v>
      </c>
      <c r="U15" s="422">
        <f t="shared" ca="1" si="11"/>
        <v>62206.666666666664</v>
      </c>
      <c r="V15" s="422">
        <f t="shared" ca="1" si="11"/>
        <v>62563.5</v>
      </c>
      <c r="W15" s="422">
        <f t="shared" ca="1" si="11"/>
        <v>62840.624421126122</v>
      </c>
      <c r="X15" s="423">
        <f t="shared" ca="1" si="11"/>
        <v>63119.032730838313</v>
      </c>
    </row>
    <row r="16" spans="2:25" x14ac:dyDescent="0.2">
      <c r="B16" s="63" t="str">
        <f>B7</f>
        <v>USL</v>
      </c>
      <c r="C16" s="42">
        <f ca="1">P7</f>
        <v>3312078.3011629507</v>
      </c>
      <c r="D16" s="42"/>
      <c r="E16" s="62">
        <f ca="1">C16-D16</f>
        <v>3312078.3011629507</v>
      </c>
      <c r="G16" s="311"/>
      <c r="H16" s="62">
        <f t="shared" ca="1" si="8"/>
        <v>3312078.3011629507</v>
      </c>
      <c r="J16" s="318">
        <f t="shared" ca="1" si="6"/>
        <v>8.7128992358835866E-3</v>
      </c>
      <c r="K16" s="319">
        <f t="shared" ca="1" si="7"/>
        <v>8.7128992358835866E-3</v>
      </c>
      <c r="R16" s="411" t="str">
        <f t="shared" ref="R16:R20" si="12">R5</f>
        <v>GS &lt; 50</v>
      </c>
      <c r="S16" s="409">
        <f t="shared" ca="1" si="11"/>
        <v>5605.083333333333</v>
      </c>
      <c r="T16" s="409">
        <f t="shared" ca="1" si="11"/>
        <v>5664.333333333333</v>
      </c>
      <c r="U16" s="409">
        <f t="shared" ca="1" si="11"/>
        <v>5698.833333333333</v>
      </c>
      <c r="V16" s="409">
        <f t="shared" ca="1" si="11"/>
        <v>5712.416666666667</v>
      </c>
      <c r="W16" s="409">
        <f t="shared" ca="1" si="11"/>
        <v>5767.6533095588848</v>
      </c>
      <c r="X16" s="412">
        <f t="shared" ca="1" si="11"/>
        <v>5823.4233253664679</v>
      </c>
    </row>
    <row r="17" spans="2:24" ht="13.5" thickBot="1" x14ac:dyDescent="0.25">
      <c r="B17" s="325" t="s">
        <v>138</v>
      </c>
      <c r="C17" s="326">
        <f ca="1">SUM(C12:C16)</f>
        <v>1489025880.9590349</v>
      </c>
      <c r="D17" s="326">
        <f>SUM(D12:D16)</f>
        <v>24612748.183774047</v>
      </c>
      <c r="E17" s="327">
        <f ca="1">SUM(E12:E16)</f>
        <v>1464413132.7752609</v>
      </c>
      <c r="F17" s="320"/>
      <c r="G17" s="334">
        <f ca="1">SUM(G12:G16)</f>
        <v>8008254.5707071749</v>
      </c>
      <c r="H17" s="327">
        <f ca="1">SUM(H12:H16)</f>
        <v>1456404878.2045536</v>
      </c>
      <c r="I17" s="320"/>
      <c r="J17" s="335">
        <f t="shared" ca="1" si="6"/>
        <v>-3.3226092848493094E-2</v>
      </c>
      <c r="K17" s="336">
        <f t="shared" ca="1" si="7"/>
        <v>-3.8645538573661153E-2</v>
      </c>
      <c r="R17" s="411" t="str">
        <f t="shared" si="12"/>
        <v>GS &gt; 50</v>
      </c>
      <c r="S17" s="409">
        <f t="shared" ca="1" si="11"/>
        <v>985.58333333333337</v>
      </c>
      <c r="T17" s="409">
        <f t="shared" ca="1" si="11"/>
        <v>967.08333333333337</v>
      </c>
      <c r="U17" s="409">
        <f t="shared" ca="1" si="11"/>
        <v>943.58333333333337</v>
      </c>
      <c r="V17" s="409">
        <f t="shared" ca="1" si="11"/>
        <v>965.33333333333337</v>
      </c>
      <c r="W17" s="409">
        <f t="shared" ca="1" si="11"/>
        <v>958.64959452003393</v>
      </c>
      <c r="X17" s="412">
        <f t="shared" ca="1" si="11"/>
        <v>952.00768041242202</v>
      </c>
    </row>
    <row r="18" spans="2:24" x14ac:dyDescent="0.2">
      <c r="H18" s="317"/>
      <c r="R18" s="411" t="str">
        <f t="shared" si="12"/>
        <v>Street Light</v>
      </c>
      <c r="S18" s="409">
        <f t="shared" ca="1" si="11"/>
        <v>17189</v>
      </c>
      <c r="T18" s="409">
        <f t="shared" ca="1" si="11"/>
        <v>17201</v>
      </c>
      <c r="U18" s="409">
        <f t="shared" ca="1" si="11"/>
        <v>17210</v>
      </c>
      <c r="V18" s="409">
        <f t="shared" ca="1" si="11"/>
        <v>17309.75</v>
      </c>
      <c r="W18" s="409">
        <f t="shared" ca="1" si="11"/>
        <v>17328.949378578214</v>
      </c>
      <c r="X18" s="412">
        <f t="shared" ca="1" si="11"/>
        <v>17348.176575020057</v>
      </c>
    </row>
    <row r="19" spans="2:24" ht="16.5" thickBot="1" x14ac:dyDescent="0.3">
      <c r="B19" s="60" t="s">
        <v>133</v>
      </c>
      <c r="C19" s="60"/>
      <c r="D19" s="60"/>
      <c r="R19" s="411" t="str">
        <f t="shared" si="12"/>
        <v>USL</v>
      </c>
      <c r="S19" s="409">
        <f t="shared" ca="1" si="11"/>
        <v>573.58333333333337</v>
      </c>
      <c r="T19" s="409">
        <f t="shared" ca="1" si="11"/>
        <v>573.5</v>
      </c>
      <c r="U19" s="409">
        <f t="shared" ca="1" si="11"/>
        <v>575.08333333333337</v>
      </c>
      <c r="V19" s="409">
        <f t="shared" ca="1" si="11"/>
        <v>578.91666666666663</v>
      </c>
      <c r="W19" s="409">
        <f t="shared" ca="1" si="11"/>
        <v>581.43295914678447</v>
      </c>
      <c r="X19" s="412">
        <f t="shared" ca="1" si="11"/>
        <v>583.96070924930689</v>
      </c>
    </row>
    <row r="20" spans="2:24" ht="13.5" thickBot="1" x14ac:dyDescent="0.25">
      <c r="B20" s="328" t="s">
        <v>125</v>
      </c>
      <c r="C20" s="520"/>
      <c r="D20" s="329" t="s">
        <v>134</v>
      </c>
      <c r="E20" s="329" t="s">
        <v>135</v>
      </c>
      <c r="F20" s="329" t="s">
        <v>136</v>
      </c>
      <c r="G20" s="329" t="s">
        <v>137</v>
      </c>
      <c r="H20" s="329" t="s">
        <v>163</v>
      </c>
      <c r="I20" s="329" t="s">
        <v>427</v>
      </c>
      <c r="J20" s="329" t="s">
        <v>428</v>
      </c>
      <c r="K20" s="329" t="s">
        <v>429</v>
      </c>
      <c r="L20" s="329" t="s">
        <v>430</v>
      </c>
      <c r="M20" s="329" t="s">
        <v>518</v>
      </c>
      <c r="N20" s="330" t="s">
        <v>519</v>
      </c>
      <c r="O20" s="329" t="s">
        <v>409</v>
      </c>
      <c r="P20" s="332" t="s">
        <v>410</v>
      </c>
      <c r="R20" s="416" t="str">
        <f t="shared" si="12"/>
        <v>Total</v>
      </c>
      <c r="S20" s="417">
        <f t="shared" ca="1" si="11"/>
        <v>86220.999999999985</v>
      </c>
      <c r="T20" s="417">
        <f t="shared" ca="1" si="11"/>
        <v>86410</v>
      </c>
      <c r="U20" s="417">
        <f t="shared" ca="1" si="11"/>
        <v>86634.166666666657</v>
      </c>
      <c r="V20" s="417">
        <f t="shared" ca="1" si="11"/>
        <v>87129.916666666672</v>
      </c>
      <c r="W20" s="417">
        <f t="shared" ca="1" si="11"/>
        <v>87477.309662930027</v>
      </c>
      <c r="X20" s="418">
        <f t="shared" ca="1" si="11"/>
        <v>87826.601020886577</v>
      </c>
    </row>
    <row r="21" spans="2:24" x14ac:dyDescent="0.2">
      <c r="B21" s="63" t="s">
        <v>120</v>
      </c>
      <c r="C21" s="521"/>
      <c r="D21" s="42">
        <f ca="1">OFFSET('kW Forecast'!$D$5,COLUMN()-COLUMN($D21),0)</f>
        <v>2374100</v>
      </c>
      <c r="E21" s="42">
        <f ca="1">OFFSET('kW Forecast'!$D$5,COLUMN()-COLUMN($D21),0)</f>
        <v>2410544</v>
      </c>
      <c r="F21" s="42">
        <f ca="1">OFFSET('kW Forecast'!$D$5,COLUMN()-COLUMN($D21),0)</f>
        <v>2363980</v>
      </c>
      <c r="G21" s="42">
        <f ca="1">OFFSET('kW Forecast'!$D$5,COLUMN()-COLUMN($D21),0)</f>
        <v>2353522</v>
      </c>
      <c r="H21" s="42">
        <f ca="1">OFFSET('kW Forecast'!$D$5,COLUMN()-COLUMN($D21),0)</f>
        <v>2275484</v>
      </c>
      <c r="I21" s="42">
        <f ca="1">OFFSET('kW Forecast'!$D$5,COLUMN()-COLUMN($D21),0)</f>
        <v>2183219</v>
      </c>
      <c r="J21" s="42">
        <f ca="1">OFFSET('kW Forecast'!$D$5,COLUMN()-COLUMN($D21),0)</f>
        <v>2160311</v>
      </c>
      <c r="K21" s="42">
        <f ca="1">OFFSET('kW Forecast'!$D$5,COLUMN()-COLUMN($D21),0)</f>
        <v>2180017</v>
      </c>
      <c r="L21" s="42">
        <f ca="1">OFFSET('kW Forecast'!$D$5,COLUMN()-COLUMN($D21),0)</f>
        <v>2133862</v>
      </c>
      <c r="M21" s="42">
        <f ca="1">OFFSET('kW Forecast'!$D$5,COLUMN()-COLUMN($D21),0)</f>
        <v>2107340.8080000002</v>
      </c>
      <c r="N21" s="42">
        <f ca="1">OFFSET('kW Forecast'!$H$19,COLUMN()-COLUMN($N21),0)</f>
        <v>2079176.8474899475</v>
      </c>
      <c r="O21" s="42">
        <f ca="1">OFFSET('kW Forecast'!$H$19,COLUMN()-COLUMN($N21),0)</f>
        <v>2046862.1610656397</v>
      </c>
      <c r="P21" s="62">
        <f ca="1">OFFSET('kW Forecast'!$H$19,COLUMN()-COLUMN($N21),0)</f>
        <v>2017429.6402919344</v>
      </c>
    </row>
    <row r="22" spans="2:24" x14ac:dyDescent="0.2">
      <c r="B22" s="63" t="s">
        <v>130</v>
      </c>
      <c r="C22" s="521"/>
      <c r="D22" s="42">
        <f ca="1">OFFSET('kW Forecast'!$L$5,COLUMN()-COLUMN($D22),0)</f>
        <v>27661</v>
      </c>
      <c r="E22" s="42">
        <f ca="1">OFFSET('kW Forecast'!$L$5,COLUMN()-COLUMN($D22),0)</f>
        <v>27648</v>
      </c>
      <c r="F22" s="42">
        <f ca="1">OFFSET('kW Forecast'!$L$5,COLUMN()-COLUMN($D22),0)</f>
        <v>30451.800000000003</v>
      </c>
      <c r="G22" s="42">
        <f ca="1">OFFSET('kW Forecast'!$L$5,COLUMN()-COLUMN($D22),0)</f>
        <v>18200.899999999998</v>
      </c>
      <c r="H22" s="42">
        <f ca="1">OFFSET('kW Forecast'!$L$5,COLUMN()-COLUMN($D22),0)</f>
        <v>15445.800000000001</v>
      </c>
      <c r="I22" s="42">
        <f ca="1">OFFSET('kW Forecast'!$L$5,COLUMN()-COLUMN($D22),0)</f>
        <v>15463</v>
      </c>
      <c r="J22" s="42">
        <f ca="1">OFFSET('kW Forecast'!$L$5,COLUMN()-COLUMN($D22),0)</f>
        <v>15461</v>
      </c>
      <c r="K22" s="42">
        <f ca="1">OFFSET('kW Forecast'!$L$5,COLUMN()-COLUMN($D22),0)</f>
        <v>15480</v>
      </c>
      <c r="L22" s="42">
        <f ca="1">OFFSET('kW Forecast'!$L$5,COLUMN()-COLUMN($D22),0)</f>
        <v>15486</v>
      </c>
      <c r="M22" s="42">
        <f ca="1">OFFSET('kW Forecast'!$L$5,COLUMN()-COLUMN($D22),0)</f>
        <v>15557.879999999997</v>
      </c>
      <c r="N22" s="42">
        <f ca="1">OFFSET('kW Forecast'!$L$19,COLUMN()-COLUMN($N22),0)</f>
        <v>15637.245064766221</v>
      </c>
      <c r="O22" s="42">
        <f ca="1">OFFSET('kW Forecast'!$L$19,COLUMN()-COLUMN($N22),0)</f>
        <v>15654.589358468831</v>
      </c>
      <c r="P22" s="62">
        <f ca="1">OFFSET('kW Forecast'!$L$19,COLUMN()-COLUMN($N22),0)</f>
        <v>15671.9587822138</v>
      </c>
    </row>
    <row r="23" spans="2:24" ht="13.5" thickBot="1" x14ac:dyDescent="0.25">
      <c r="B23" s="325" t="s">
        <v>138</v>
      </c>
      <c r="C23" s="522"/>
      <c r="D23" s="326">
        <f ca="1">SUM(D21:D22)</f>
        <v>2401761</v>
      </c>
      <c r="E23" s="326">
        <f t="shared" ref="E23:P23" ca="1" si="13">SUM(E21:E22)</f>
        <v>2438192</v>
      </c>
      <c r="F23" s="326">
        <f t="shared" ca="1" si="13"/>
        <v>2394431.7999999998</v>
      </c>
      <c r="G23" s="326">
        <f t="shared" ca="1" si="13"/>
        <v>2371722.9</v>
      </c>
      <c r="H23" s="326">
        <f t="shared" ca="1" si="13"/>
        <v>2290929.7999999998</v>
      </c>
      <c r="I23" s="326">
        <f t="shared" ca="1" si="13"/>
        <v>2198682</v>
      </c>
      <c r="J23" s="326">
        <f t="shared" ca="1" si="13"/>
        <v>2175772</v>
      </c>
      <c r="K23" s="326">
        <f t="shared" ca="1" si="13"/>
        <v>2195497</v>
      </c>
      <c r="L23" s="326">
        <f t="shared" ca="1" si="13"/>
        <v>2149348</v>
      </c>
      <c r="M23" s="326">
        <f t="shared" ca="1" si="13"/>
        <v>2122898.6880000001</v>
      </c>
      <c r="N23" s="326">
        <f t="shared" ca="1" si="13"/>
        <v>2094814.0925547136</v>
      </c>
      <c r="O23" s="326">
        <f t="shared" ca="1" si="13"/>
        <v>2062516.7504241085</v>
      </c>
      <c r="P23" s="326">
        <f t="shared" ca="1" si="13"/>
        <v>2033101.5990741481</v>
      </c>
    </row>
    <row r="25" spans="2:24" ht="16.5" thickBot="1" x14ac:dyDescent="0.3">
      <c r="B25" s="60" t="s">
        <v>139</v>
      </c>
      <c r="C25" s="60"/>
      <c r="D25" s="60"/>
    </row>
    <row r="26" spans="2:24" ht="38.25" x14ac:dyDescent="0.2">
      <c r="B26" s="322" t="s">
        <v>125</v>
      </c>
      <c r="C26" s="323" t="s">
        <v>432</v>
      </c>
      <c r="D26" s="323" t="s">
        <v>140</v>
      </c>
      <c r="E26" s="324" t="s">
        <v>433</v>
      </c>
    </row>
    <row r="27" spans="2:24" x14ac:dyDescent="0.2">
      <c r="B27" s="63" t="str">
        <f>B21</f>
        <v>GS &gt; 50</v>
      </c>
      <c r="C27" s="42">
        <f ca="1">P21</f>
        <v>2017429.6402919344</v>
      </c>
      <c r="D27" s="42">
        <f ca="1">'CDM Adjustment'!T20</f>
        <v>48526.67189148147</v>
      </c>
      <c r="E27" s="62">
        <f ca="1">C27-D27</f>
        <v>1968902.968400453</v>
      </c>
    </row>
    <row r="28" spans="2:24" x14ac:dyDescent="0.2">
      <c r="B28" s="63" t="str">
        <f>B22</f>
        <v>Street Light</v>
      </c>
      <c r="C28" s="42">
        <f ca="1">P22</f>
        <v>15671.9587822138</v>
      </c>
      <c r="D28" s="42"/>
      <c r="E28" s="62">
        <f t="shared" ref="E28" ca="1" si="14">C28-D28</f>
        <v>15671.9587822138</v>
      </c>
    </row>
    <row r="29" spans="2:24" ht="13.5" thickBot="1" x14ac:dyDescent="0.25">
      <c r="B29" s="325" t="s">
        <v>138</v>
      </c>
      <c r="C29" s="326">
        <f ca="1">SUM(C27:C28)</f>
        <v>2033101.5990741481</v>
      </c>
      <c r="D29" s="326">
        <f ca="1">SUM(D27:D28)</f>
        <v>48526.67189148147</v>
      </c>
      <c r="E29" s="327">
        <f ca="1">SUM(E27:E28)</f>
        <v>1984574.9271826667</v>
      </c>
    </row>
    <row r="31" spans="2:24" ht="16.5" thickBot="1" x14ac:dyDescent="0.3">
      <c r="B31" s="60" t="s">
        <v>193</v>
      </c>
      <c r="C31" s="60"/>
      <c r="D31" s="60"/>
    </row>
    <row r="32" spans="2:24" x14ac:dyDescent="0.2">
      <c r="B32" s="328" t="s">
        <v>122</v>
      </c>
      <c r="C32" s="520"/>
      <c r="D32" s="329" t="s">
        <v>134</v>
      </c>
      <c r="E32" s="329" t="s">
        <v>135</v>
      </c>
      <c r="F32" s="329" t="s">
        <v>136</v>
      </c>
      <c r="G32" s="329" t="s">
        <v>137</v>
      </c>
      <c r="H32" s="329" t="s">
        <v>163</v>
      </c>
      <c r="I32" s="329" t="s">
        <v>427</v>
      </c>
      <c r="J32" s="329" t="s">
        <v>428</v>
      </c>
      <c r="K32" s="329" t="s">
        <v>429</v>
      </c>
      <c r="L32" s="329" t="s">
        <v>430</v>
      </c>
      <c r="M32" s="330" t="s">
        <v>408</v>
      </c>
      <c r="N32" s="329" t="s">
        <v>409</v>
      </c>
      <c r="O32" s="332" t="s">
        <v>410</v>
      </c>
    </row>
    <row r="33" spans="2:15" x14ac:dyDescent="0.2">
      <c r="B33" s="61" t="str">
        <f>B3</f>
        <v>Residential</v>
      </c>
      <c r="C33" s="521"/>
      <c r="D33" s="42">
        <f ca="1">OFFSET('Customer Count'!$C$5,COLUMN()-COLUMN($D33),0)</f>
        <v>60123.25</v>
      </c>
      <c r="E33" s="42">
        <f ca="1">OFFSET('Customer Count'!$C$5,COLUMN()-COLUMN($D33),0)</f>
        <v>60318.833333333336</v>
      </c>
      <c r="F33" s="42">
        <f ca="1">OFFSET('Customer Count'!$C$5,COLUMN()-COLUMN($D33),0)</f>
        <v>60502</v>
      </c>
      <c r="G33" s="42">
        <f ca="1">OFFSET('Customer Count'!$C$5,COLUMN()-COLUMN($D33),0)</f>
        <v>60920.083333333336</v>
      </c>
      <c r="H33" s="42">
        <f ca="1">OFFSET('Customer Count'!$C$5,COLUMN()-COLUMN($D33),0)</f>
        <v>61427.666666666664</v>
      </c>
      <c r="I33" s="42">
        <f ca="1">OFFSET('Customer Count'!$C$5,COLUMN()-COLUMN($D33),0)</f>
        <v>61640</v>
      </c>
      <c r="J33" s="42">
        <f ca="1">OFFSET('Customer Count'!$C$5,COLUMN()-COLUMN($D33),0)</f>
        <v>61867.75</v>
      </c>
      <c r="K33" s="42">
        <f ca="1">OFFSET('Customer Count'!$C$5,COLUMN()-COLUMN($D33),0)</f>
        <v>62004.083333333336</v>
      </c>
      <c r="L33" s="42">
        <f ca="1">OFFSET('Customer Count'!$C$5,COLUMN()-COLUMN($D33),0)</f>
        <v>62206.666666666664</v>
      </c>
      <c r="M33" s="42">
        <f ca="1">OFFSET('Customer Count'!$C$18,COLUMN()-COLUMN($M33),0)</f>
        <v>62563.5</v>
      </c>
      <c r="N33" s="42">
        <f ca="1">OFFSET('Customer Count'!$C$18,COLUMN()-COLUMN($M33),0)</f>
        <v>62840.624421126122</v>
      </c>
      <c r="O33" s="62">
        <f ca="1">OFFSET('Customer Count'!$C$18,COLUMN()-COLUMN($M33),0)</f>
        <v>63119.032730838313</v>
      </c>
    </row>
    <row r="34" spans="2:15" x14ac:dyDescent="0.2">
      <c r="B34" s="63" t="str">
        <f>B4</f>
        <v>GS &lt; 50</v>
      </c>
      <c r="C34" s="521"/>
      <c r="D34" s="42">
        <f ca="1">OFFSET('Customer Count'!$G$5,COLUMN()-COLUMN($D34),0)</f>
        <v>5238.5</v>
      </c>
      <c r="E34" s="42">
        <f ca="1">OFFSET('Customer Count'!$G$5,COLUMN()-COLUMN($D34),0)</f>
        <v>5272.833333333333</v>
      </c>
      <c r="F34" s="42">
        <f ca="1">OFFSET('Customer Count'!$G$5,COLUMN()-COLUMN($D34),0)</f>
        <v>5341.666666666667</v>
      </c>
      <c r="G34" s="42">
        <f ca="1">OFFSET('Customer Count'!$G$5,COLUMN()-COLUMN($D34),0)</f>
        <v>5427.75</v>
      </c>
      <c r="H34" s="42">
        <f ca="1">OFFSET('Customer Count'!$G$5,COLUMN()-COLUMN($D34),0)</f>
        <v>5489.5</v>
      </c>
      <c r="I34" s="42">
        <f ca="1">OFFSET('Customer Count'!$G$5,COLUMN()-COLUMN($D34),0)</f>
        <v>5513.833333333333</v>
      </c>
      <c r="J34" s="42">
        <f ca="1">OFFSET('Customer Count'!$G$5,COLUMN()-COLUMN($D34),0)</f>
        <v>5605.083333333333</v>
      </c>
      <c r="K34" s="42">
        <f ca="1">OFFSET('Customer Count'!$G$5,COLUMN()-COLUMN($D34),0)</f>
        <v>5664.333333333333</v>
      </c>
      <c r="L34" s="42">
        <f ca="1">OFFSET('Customer Count'!$G$5,COLUMN()-COLUMN($D34),0)</f>
        <v>5698.833333333333</v>
      </c>
      <c r="M34" s="42">
        <f ca="1">OFFSET('Customer Count'!$G$18,COLUMN()-COLUMN($M34),0)</f>
        <v>5712.416666666667</v>
      </c>
      <c r="N34" s="42">
        <f ca="1">OFFSET('Customer Count'!$G$18,COLUMN()-COLUMN($M34),0)</f>
        <v>5767.6533095588848</v>
      </c>
      <c r="O34" s="62">
        <f ca="1">OFFSET('Customer Count'!$G$18,COLUMN()-COLUMN($M34),0)</f>
        <v>5823.4233253664679</v>
      </c>
    </row>
    <row r="35" spans="2:15" ht="13.5" customHeight="1" x14ac:dyDescent="0.2">
      <c r="B35" s="63" t="str">
        <f>B5</f>
        <v>GS &gt; 50</v>
      </c>
      <c r="C35" s="521"/>
      <c r="D35" s="42">
        <f ca="1">OFFSET('Customer Count'!$K$5,COLUMN()-COLUMN($D35),0)</f>
        <v>1027.6666666666667</v>
      </c>
      <c r="E35" s="42">
        <f ca="1">OFFSET('Customer Count'!$K$5,COLUMN()-COLUMN($D35),0)</f>
        <v>1034.1666666666667</v>
      </c>
      <c r="F35" s="42">
        <f ca="1">OFFSET('Customer Count'!$K$5,COLUMN()-COLUMN($D35),0)</f>
        <v>1003.6666666666666</v>
      </c>
      <c r="G35" s="42">
        <f ca="1">OFFSET('Customer Count'!$K$5,COLUMN()-COLUMN($D35),0)</f>
        <v>985.83333333333337</v>
      </c>
      <c r="H35" s="42">
        <f ca="1">OFFSET('Customer Count'!$K$5,COLUMN()-COLUMN($D35),0)</f>
        <v>984.83333333333337</v>
      </c>
      <c r="I35" s="42">
        <f ca="1">OFFSET('Customer Count'!$K$5,COLUMN()-COLUMN($D35),0)</f>
        <v>1001.5</v>
      </c>
      <c r="J35" s="42">
        <f ca="1">OFFSET('Customer Count'!$K$5,COLUMN()-COLUMN($D35),0)</f>
        <v>985.58333333333337</v>
      </c>
      <c r="K35" s="42">
        <f ca="1">OFFSET('Customer Count'!$K$5,COLUMN()-COLUMN($D35),0)</f>
        <v>967.08333333333337</v>
      </c>
      <c r="L35" s="42">
        <f ca="1">OFFSET('Customer Count'!$K$5,COLUMN()-COLUMN($D35),0)</f>
        <v>943.58333333333337</v>
      </c>
      <c r="M35" s="42">
        <f ca="1">OFFSET('Customer Count'!$K$18,COLUMN()-COLUMN($M35),0)</f>
        <v>965.33333333333337</v>
      </c>
      <c r="N35" s="42">
        <f ca="1">OFFSET('Customer Count'!$K$18,COLUMN()-COLUMN($M35),0)</f>
        <v>958.64959452003393</v>
      </c>
      <c r="O35" s="62">
        <f ca="1">OFFSET('Customer Count'!$K$18,COLUMN()-COLUMN($M35),0)</f>
        <v>952.00768041242202</v>
      </c>
    </row>
    <row r="36" spans="2:15" x14ac:dyDescent="0.2">
      <c r="B36" s="63" t="str">
        <f>B6</f>
        <v>Street Light</v>
      </c>
      <c r="C36" s="521"/>
      <c r="D36" s="42">
        <f ca="1">OFFSET('Customer Count'!$O$5,COLUMN()-COLUMN($D36),0)</f>
        <v>15228.583333333334</v>
      </c>
      <c r="E36" s="42">
        <f ca="1">OFFSET('Customer Count'!$O$5,COLUMN()-COLUMN($D36),0)</f>
        <v>15252.666666666666</v>
      </c>
      <c r="F36" s="42">
        <f ca="1">OFFSET('Customer Count'!$O$5,COLUMN()-COLUMN($D36),0)</f>
        <v>17184</v>
      </c>
      <c r="G36" s="42">
        <f ca="1">OFFSET('Customer Count'!$O$5,COLUMN()-COLUMN($D36),0)</f>
        <v>17184</v>
      </c>
      <c r="H36" s="42">
        <f ca="1">OFFSET('Customer Count'!$O$5,COLUMN()-COLUMN($D36),0)</f>
        <v>17184</v>
      </c>
      <c r="I36" s="42">
        <f ca="1">OFFSET('Customer Count'!$O$5,COLUMN()-COLUMN($D36),0)</f>
        <v>17185.333333333332</v>
      </c>
      <c r="J36" s="42">
        <f ca="1">OFFSET('Customer Count'!$O$5,COLUMN()-COLUMN($D36),0)</f>
        <v>17189</v>
      </c>
      <c r="K36" s="42">
        <f ca="1">OFFSET('Customer Count'!$O$5,COLUMN()-COLUMN($D36),0)</f>
        <v>17201</v>
      </c>
      <c r="L36" s="42">
        <f ca="1">OFFSET('Customer Count'!$O$5,COLUMN()-COLUMN($D36),0)</f>
        <v>17210</v>
      </c>
      <c r="M36" s="42">
        <f ca="1">OFFSET('Customer Count'!$O$18,COLUMN()-COLUMN($M36),0)</f>
        <v>17309.75</v>
      </c>
      <c r="N36" s="42">
        <f ca="1">OFFSET('Customer Count'!$O$18,COLUMN()-COLUMN($M36),0)</f>
        <v>17328.949378578214</v>
      </c>
      <c r="O36" s="62">
        <f ca="1">OFFSET('Customer Count'!$O$18,COLUMN()-COLUMN($M36),0)</f>
        <v>17348.176575020057</v>
      </c>
    </row>
    <row r="37" spans="2:15" x14ac:dyDescent="0.2">
      <c r="B37" s="63" t="str">
        <f>B7</f>
        <v>USL</v>
      </c>
      <c r="C37" s="521"/>
      <c r="D37" s="42">
        <f ca="1">OFFSET('Customer Count'!$S$5,COLUMN()-COLUMN($D37),0)</f>
        <v>556.75</v>
      </c>
      <c r="E37" s="42">
        <f ca="1">OFFSET('Customer Count'!$S$5,COLUMN()-COLUMN($D37),0)</f>
        <v>559.08333333333337</v>
      </c>
      <c r="F37" s="42">
        <f ca="1">OFFSET('Customer Count'!$S$5,COLUMN()-COLUMN($D37),0)</f>
        <v>561.91666666666663</v>
      </c>
      <c r="G37" s="42">
        <f ca="1">OFFSET('Customer Count'!$S$5,COLUMN()-COLUMN($D37),0)</f>
        <v>563.33333333333337</v>
      </c>
      <c r="H37" s="42">
        <f ca="1">OFFSET('Customer Count'!$S$5,COLUMN()-COLUMN($D37),0)</f>
        <v>561.5</v>
      </c>
      <c r="I37" s="42">
        <f ca="1">OFFSET('Customer Count'!$S$5,COLUMN()-COLUMN($D37),0)</f>
        <v>576</v>
      </c>
      <c r="J37" s="42">
        <f ca="1">OFFSET('Customer Count'!$S$5,COLUMN()-COLUMN($D37),0)</f>
        <v>573.58333333333337</v>
      </c>
      <c r="K37" s="42">
        <f ca="1">OFFSET('Customer Count'!$S$5,COLUMN()-COLUMN($D37),0)</f>
        <v>573.5</v>
      </c>
      <c r="L37" s="42">
        <f ca="1">OFFSET('Customer Count'!$S$5,COLUMN()-COLUMN($D37),0)</f>
        <v>575.08333333333337</v>
      </c>
      <c r="M37" s="42">
        <f ca="1">OFFSET('Customer Count'!$S$18,COLUMN()-COLUMN($M37),0)</f>
        <v>578.91666666666663</v>
      </c>
      <c r="N37" s="42">
        <f ca="1">OFFSET('Customer Count'!$S$18,COLUMN()-COLUMN($M37),0)</f>
        <v>581.43295914678447</v>
      </c>
      <c r="O37" s="62">
        <f ca="1">OFFSET('Customer Count'!$S$18,COLUMN()-COLUMN($M37),0)</f>
        <v>583.96070924930689</v>
      </c>
    </row>
    <row r="38" spans="2:15" ht="13.5" thickBot="1" x14ac:dyDescent="0.25">
      <c r="B38" s="325" t="s">
        <v>138</v>
      </c>
      <c r="C38" s="522"/>
      <c r="D38" s="326">
        <f t="shared" ref="D38:O38" ca="1" si="15">SUM(D33:D37)</f>
        <v>82174.75</v>
      </c>
      <c r="E38" s="326">
        <f t="shared" ca="1" si="15"/>
        <v>82437.583333333343</v>
      </c>
      <c r="F38" s="326">
        <f t="shared" ca="1" si="15"/>
        <v>84593.250000000015</v>
      </c>
      <c r="G38" s="326">
        <f t="shared" ca="1" si="15"/>
        <v>85081</v>
      </c>
      <c r="H38" s="326">
        <f t="shared" ca="1" si="15"/>
        <v>85647.499999999985</v>
      </c>
      <c r="I38" s="326">
        <f t="shared" ref="I38:M38" ca="1" si="16">SUM(I33:I37)</f>
        <v>85916.666666666657</v>
      </c>
      <c r="J38" s="326">
        <f t="shared" ca="1" si="16"/>
        <v>86220.999999999985</v>
      </c>
      <c r="K38" s="326">
        <f t="shared" ca="1" si="16"/>
        <v>86410</v>
      </c>
      <c r="L38" s="326">
        <f t="shared" ca="1" si="16"/>
        <v>86634.166666666657</v>
      </c>
      <c r="M38" s="331">
        <f t="shared" ca="1" si="16"/>
        <v>87129.916666666672</v>
      </c>
      <c r="N38" s="326">
        <f t="shared" ca="1" si="15"/>
        <v>87477.309662930027</v>
      </c>
      <c r="O38" s="327">
        <f t="shared" ca="1" si="15"/>
        <v>87826.601020886577</v>
      </c>
    </row>
    <row r="40" spans="2:15" ht="16.5" thickBot="1" x14ac:dyDescent="0.3">
      <c r="B40" s="60" t="s">
        <v>474</v>
      </c>
      <c r="C40" s="60"/>
      <c r="D40" s="321"/>
    </row>
    <row r="41" spans="2:15" ht="25.5" x14ac:dyDescent="0.2">
      <c r="B41" s="322">
        <v>2026</v>
      </c>
      <c r="C41" s="323" t="s">
        <v>124</v>
      </c>
      <c r="D41" s="323" t="s">
        <v>125</v>
      </c>
      <c r="E41" s="324" t="s">
        <v>193</v>
      </c>
    </row>
    <row r="42" spans="2:15" x14ac:dyDescent="0.2">
      <c r="B42" s="63" t="str">
        <f>B33</f>
        <v>Residential</v>
      </c>
      <c r="C42" s="42">
        <f ca="1">E12</f>
        <v>554448693.38048613</v>
      </c>
      <c r="D42" s="42"/>
      <c r="E42" s="62">
        <f ca="1">O33</f>
        <v>63119.032730838313</v>
      </c>
    </row>
    <row r="43" spans="2:15" x14ac:dyDescent="0.2">
      <c r="B43" s="63" t="str">
        <f t="shared" ref="B43:B46" si="17">B34</f>
        <v>GS &lt; 50</v>
      </c>
      <c r="C43" s="42">
        <f ca="1">E13</f>
        <v>168539128.42216069</v>
      </c>
      <c r="D43" s="42"/>
      <c r="E43" s="62">
        <f ca="1">O34</f>
        <v>5823.4233253664679</v>
      </c>
      <c r="H43" s="310"/>
      <c r="I43" s="310"/>
    </row>
    <row r="44" spans="2:15" x14ac:dyDescent="0.2">
      <c r="B44" s="63" t="str">
        <f t="shared" si="17"/>
        <v>GS &gt; 50</v>
      </c>
      <c r="C44" s="42">
        <f ca="1">E14</f>
        <v>732505201.84553397</v>
      </c>
      <c r="D44" s="42">
        <f ca="1">E27</f>
        <v>1968902.968400453</v>
      </c>
      <c r="E44" s="62">
        <f ca="1">O35</f>
        <v>952.00768041242202</v>
      </c>
    </row>
    <row r="45" spans="2:15" x14ac:dyDescent="0.2">
      <c r="B45" s="63" t="str">
        <f t="shared" si="17"/>
        <v>Street Light</v>
      </c>
      <c r="C45" s="42">
        <f ca="1">E15</f>
        <v>5608030.8259170279</v>
      </c>
      <c r="D45" s="42">
        <f ca="1">E28</f>
        <v>15671.9587822138</v>
      </c>
      <c r="E45" s="62">
        <f ca="1">O36</f>
        <v>17348.176575020057</v>
      </c>
    </row>
    <row r="46" spans="2:15" x14ac:dyDescent="0.2">
      <c r="B46" s="63" t="str">
        <f t="shared" si="17"/>
        <v>USL</v>
      </c>
      <c r="C46" s="42">
        <f ca="1">E16</f>
        <v>3312078.3011629507</v>
      </c>
      <c r="D46" s="42"/>
      <c r="E46" s="62">
        <f ca="1">O37</f>
        <v>583.96070924930689</v>
      </c>
    </row>
    <row r="47" spans="2:15" ht="13.5" thickBot="1" x14ac:dyDescent="0.25">
      <c r="B47" s="325" t="s">
        <v>138</v>
      </c>
      <c r="C47" s="326">
        <f ca="1">SUM(C42:C46)</f>
        <v>1464413132.7752609</v>
      </c>
      <c r="D47" s="326">
        <f ca="1">SUM(D42:D46)</f>
        <v>1984574.9271826667</v>
      </c>
      <c r="E47" s="327">
        <f ca="1">SUM(E42:E46)</f>
        <v>87826.601020886577</v>
      </c>
    </row>
  </sheetData>
  <mergeCells count="3">
    <mergeCell ref="R3:X3"/>
    <mergeCell ref="R10:X10"/>
    <mergeCell ref="R14:X14"/>
  </mergeCells>
  <phoneticPr fontId="40" type="noConversion"/>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7E3CC-7BE1-436D-AF90-03BE23B7EE54}">
  <sheetPr codeName="Sheet39">
    <tabColor rgb="FFFF0000"/>
  </sheetPr>
  <dimension ref="B1:Q47"/>
  <sheetViews>
    <sheetView tabSelected="1" topLeftCell="A9" workbookViewId="0">
      <selection activeCell="J26" sqref="J26"/>
    </sheetView>
  </sheetViews>
  <sheetFormatPr defaultColWidth="9.1640625" defaultRowHeight="12.75" x14ac:dyDescent="0.2"/>
  <cols>
    <col min="1" max="1" width="3" style="41" customWidth="1"/>
    <col min="2" max="2" width="28.33203125" style="41" bestFit="1" customWidth="1"/>
    <col min="3" max="3" width="18.83203125" style="41" bestFit="1" customWidth="1"/>
    <col min="4" max="7" width="15" style="41" bestFit="1" customWidth="1"/>
    <col min="8" max="8" width="15.6640625" style="41" bestFit="1" customWidth="1"/>
    <col min="9" max="13" width="15" style="41" bestFit="1" customWidth="1"/>
    <col min="14" max="14" width="15.6640625" style="41" customWidth="1"/>
    <col min="15" max="15" width="15.6640625" style="41" bestFit="1" customWidth="1"/>
    <col min="16" max="16" width="15.83203125" style="41" customWidth="1"/>
    <col min="17" max="17" width="10.83203125" style="41" bestFit="1" customWidth="1"/>
    <col min="18" max="18" width="9.1640625" style="41"/>
    <col min="19" max="19" width="17.33203125" style="41" customWidth="1"/>
    <col min="20" max="20" width="17" style="41" customWidth="1"/>
    <col min="21" max="21" width="21" style="41" bestFit="1" customWidth="1"/>
    <col min="22" max="22" width="17.6640625" style="41" customWidth="1"/>
    <col min="23" max="16384" width="9.1640625" style="41"/>
  </cols>
  <sheetData>
    <row r="1" spans="2:17" ht="16.5" thickBot="1" x14ac:dyDescent="0.3">
      <c r="B1" s="60" t="s">
        <v>133</v>
      </c>
      <c r="C1" s="60"/>
    </row>
    <row r="2" spans="2:17" x14ac:dyDescent="0.2">
      <c r="B2" s="328" t="s">
        <v>124</v>
      </c>
      <c r="C2" s="520"/>
      <c r="D2" s="329" t="s">
        <v>186</v>
      </c>
      <c r="E2" s="329" t="s">
        <v>187</v>
      </c>
      <c r="F2" s="329" t="s">
        <v>188</v>
      </c>
      <c r="G2" s="329" t="s">
        <v>189</v>
      </c>
      <c r="H2" s="329" t="s">
        <v>190</v>
      </c>
      <c r="I2" s="329" t="s">
        <v>477</v>
      </c>
      <c r="J2" s="329" t="s">
        <v>478</v>
      </c>
      <c r="K2" s="329" t="s">
        <v>479</v>
      </c>
      <c r="L2" s="329" t="s">
        <v>431</v>
      </c>
      <c r="M2" s="329" t="s">
        <v>519</v>
      </c>
      <c r="N2" s="329" t="s">
        <v>409</v>
      </c>
      <c r="O2" s="332" t="s">
        <v>410</v>
      </c>
    </row>
    <row r="3" spans="2:17" x14ac:dyDescent="0.2">
      <c r="B3" s="61" t="s">
        <v>29</v>
      </c>
      <c r="C3" s="521"/>
      <c r="D3" s="42">
        <f ca="1">OFFSET('Normalized Annual Summary'!$I$49,COLUMN(D3)-COLUMN($D3),0)</f>
        <v>535053734.68560642</v>
      </c>
      <c r="E3" s="42">
        <f ca="1">OFFSET('Normalized Annual Summary'!$I$49,COLUMN(E3)-COLUMN($D3),0)</f>
        <v>534393401.84445578</v>
      </c>
      <c r="F3" s="42">
        <f ca="1">OFFSET('Normalized Annual Summary'!$I$49,COLUMN(F3)-COLUMN($D3),0)</f>
        <v>506941175.89194608</v>
      </c>
      <c r="G3" s="42">
        <f ca="1">OFFSET('Normalized Annual Summary'!$I$49,COLUMN(G3)-COLUMN($D3),0)</f>
        <v>526568406.93741477</v>
      </c>
      <c r="H3" s="42">
        <f ca="1">OFFSET('Normalized Annual Summary'!$I$49,COLUMN(H3)-COLUMN($D3),0)</f>
        <v>519842643.46209347</v>
      </c>
      <c r="I3" s="42">
        <f ca="1">OFFSET('Normalized Annual Summary'!$I$49,COLUMN(I3)-COLUMN($D3),0)</f>
        <v>556105487.18462098</v>
      </c>
      <c r="J3" s="42">
        <f ca="1">OFFSET('Normalized Annual Summary'!$I$49,COLUMN(J3)-COLUMN($D3),0)</f>
        <v>545832309.81928027</v>
      </c>
      <c r="K3" s="42">
        <f ca="1">OFFSET('Normalized Annual Summary'!$I$49,COLUMN(K3)-COLUMN($D3),0)</f>
        <v>542185398.06858361</v>
      </c>
      <c r="L3" s="42">
        <f ca="1">OFFSET('Normalized Annual Summary'!$I$49,COLUMN(L3)-COLUMN($D3),0)</f>
        <v>526880776.97684699</v>
      </c>
      <c r="M3" s="42">
        <f ca="1">OFFSET('Normalized Annual Summary'!$I$49,COLUMN(M3)-COLUMN($D3),0)</f>
        <v>542906523.00915146</v>
      </c>
      <c r="N3" s="42">
        <f ca="1">OFFSET('Normalized Annual Summary'!$K$15,COLUMN(N3)-COLUMN($M3),0)</f>
        <v>551459827.7427696</v>
      </c>
      <c r="O3" s="62">
        <f ca="1">OFFSET('Normalized Annual Summary'!$K$15,COLUMN(O3)-COLUMN($M3),0)</f>
        <v>556998472.61889982</v>
      </c>
      <c r="Q3" s="42"/>
    </row>
    <row r="4" spans="2:17" x14ac:dyDescent="0.2">
      <c r="B4" s="63" t="s">
        <v>119</v>
      </c>
      <c r="C4" s="521"/>
      <c r="D4" s="42">
        <f ca="1">OFFSET('Normalized Annual Summary'!$T$49,COLUMN(D4)-COLUMN($D4),0)</f>
        <v>170151192.67315742</v>
      </c>
      <c r="E4" s="42">
        <f ca="1">OFFSET('Normalized Annual Summary'!$T$49,COLUMN(E4)-COLUMN($D4),0)</f>
        <v>168501403.18103138</v>
      </c>
      <c r="F4" s="42">
        <f ca="1">OFFSET('Normalized Annual Summary'!$T$49,COLUMN(F4)-COLUMN($D4),0)</f>
        <v>167756392.35832259</v>
      </c>
      <c r="G4" s="42">
        <f ca="1">OFFSET('Normalized Annual Summary'!$T$49,COLUMN(G4)-COLUMN($D4),0)</f>
        <v>172152553.01705974</v>
      </c>
      <c r="H4" s="42">
        <f ca="1">OFFSET('Normalized Annual Summary'!$T$49,COLUMN(H4)-COLUMN($D4),0)</f>
        <v>170984838.47925031</v>
      </c>
      <c r="I4" s="42">
        <f ca="1">OFFSET('Normalized Annual Summary'!$T$49,COLUMN(I4)-COLUMN($D4),0)</f>
        <v>153697995.49918362</v>
      </c>
      <c r="J4" s="42">
        <f ca="1">OFFSET('Normalized Annual Summary'!$T$49,COLUMN(J4)-COLUMN($D4),0)</f>
        <v>156557523.79446709</v>
      </c>
      <c r="K4" s="42">
        <f ca="1">OFFSET('Normalized Annual Summary'!$T$49,COLUMN(K4)-COLUMN($D4),0)</f>
        <v>167145818.63905755</v>
      </c>
      <c r="L4" s="42">
        <f ca="1">OFFSET('Normalized Annual Summary'!$T$49,COLUMN(L4)-COLUMN($D4),0)</f>
        <v>171193382.80868217</v>
      </c>
      <c r="M4" s="42">
        <f ca="1">OFFSET('Normalized Annual Summary'!$T$49,COLUMN(M4)-COLUMN($D4),0)</f>
        <v>170285702.0697881</v>
      </c>
      <c r="N4" s="42">
        <f ca="1">OFFSET('Normalized Annual Summary'!$V$15,COLUMN(N4)-COLUMN($M4),0)</f>
        <v>169765570.42542037</v>
      </c>
      <c r="O4" s="62">
        <f ca="1">OFFSET('Normalized Annual Summary'!$V$15,COLUMN(O4)-COLUMN($M4),0)</f>
        <v>172548368.89067316</v>
      </c>
    </row>
    <row r="5" spans="2:17" x14ac:dyDescent="0.2">
      <c r="B5" s="63" t="s">
        <v>120</v>
      </c>
      <c r="C5" s="521"/>
      <c r="D5" s="42">
        <f ca="1">OFFSET('Normalized Annual Summary'!$AE$49,COLUMN(D5)-COLUMN($D5),0)</f>
        <v>906402893.61335492</v>
      </c>
      <c r="E5" s="42">
        <f ca="1">OFFSET('Normalized Annual Summary'!$AE$49,COLUMN(E5)-COLUMN($D5),0)</f>
        <v>914794324.34795725</v>
      </c>
      <c r="F5" s="42">
        <f ca="1">OFFSET('Normalized Annual Summary'!$AE$49,COLUMN(F5)-COLUMN($D5),0)</f>
        <v>888784232.98822498</v>
      </c>
      <c r="G5" s="42">
        <f ca="1">OFFSET('Normalized Annual Summary'!$AE$49,COLUMN(G5)-COLUMN($D5),0)</f>
        <v>866497945.7064991</v>
      </c>
      <c r="H5" s="42">
        <f ca="1">OFFSET('Normalized Annual Summary'!$AE$49,COLUMN(H5)-COLUMN($D5),0)</f>
        <v>839690542.88839018</v>
      </c>
      <c r="I5" s="42">
        <f ca="1">OFFSET('Normalized Annual Summary'!$AE$49,COLUMN(I5)-COLUMN($D5),0)</f>
        <v>789732704.31505609</v>
      </c>
      <c r="J5" s="42">
        <f ca="1">OFFSET('Normalized Annual Summary'!$AE$49,COLUMN(J5)-COLUMN($D5),0)</f>
        <v>795502521.06469369</v>
      </c>
      <c r="K5" s="42">
        <f ca="1">OFFSET('Normalized Annual Summary'!$AE$49,COLUMN(K5)-COLUMN($D5),0)</f>
        <v>810433008.53961468</v>
      </c>
      <c r="L5" s="42">
        <f ca="1">OFFSET('Normalized Annual Summary'!$AE$49,COLUMN(L5)-COLUMN($D5),0)</f>
        <v>792023317.10974693</v>
      </c>
      <c r="M5" s="42">
        <f ca="1">OFFSET('Normalized Annual Summary'!$AE$49,COLUMN(M5)-COLUMN($D5),0)</f>
        <v>801209849.58646214</v>
      </c>
      <c r="N5" s="42">
        <f ca="1">OFFSET('Normalized Annual Summary'!$AG$15,COLUMN(N5)-COLUMN($M5),0)</f>
        <v>762298638.97352743</v>
      </c>
      <c r="O5" s="62">
        <f ca="1">OFFSET('Normalized Annual Summary'!$AG$15,COLUMN(O5)-COLUMN($M5),0)</f>
        <v>750558930.32238185</v>
      </c>
    </row>
    <row r="6" spans="2:17" x14ac:dyDescent="0.2">
      <c r="B6" s="63" t="s">
        <v>130</v>
      </c>
      <c r="C6" s="521"/>
      <c r="D6" s="42">
        <f ca="1">OFFSET('Normalized Annual Summary'!$AJ$6,COLUMN(D6)-COLUMN($D6),0)</f>
        <v>9918681</v>
      </c>
      <c r="E6" s="42">
        <f ca="1">OFFSET('Normalized Annual Summary'!$AJ$6,COLUMN(E6)-COLUMN($D6),0)</f>
        <v>9945876</v>
      </c>
      <c r="F6" s="42">
        <f ca="1">OFFSET('Normalized Annual Summary'!$AJ$6,COLUMN(F6)-COLUMN($D6),0)</f>
        <v>11286654.700000001</v>
      </c>
      <c r="G6" s="42">
        <f ca="1">OFFSET('Normalized Annual Summary'!$AJ$6,COLUMN(G6)-COLUMN($D6),0)</f>
        <v>6528022.6000000006</v>
      </c>
      <c r="H6" s="42">
        <f ca="1">OFFSET('Normalized Annual Summary'!$AJ$6,COLUMN(H6)-COLUMN($D6),0)</f>
        <v>5537652.8999999994</v>
      </c>
      <c r="I6" s="42">
        <f ca="1">OFFSET('Normalized Annual Summary'!$AJ$6,COLUMN(I6)-COLUMN($D6),0)</f>
        <v>5409836</v>
      </c>
      <c r="J6" s="42">
        <f ca="1">OFFSET('Normalized Annual Summary'!$AJ$6,COLUMN(J6)-COLUMN($D6),0)</f>
        <v>5543828</v>
      </c>
      <c r="K6" s="42">
        <f ca="1">OFFSET('Normalized Annual Summary'!$AJ$6,COLUMN(K6)-COLUMN($D6),0)</f>
        <v>5550156</v>
      </c>
      <c r="L6" s="42">
        <f ca="1">OFFSET('Normalized Annual Summary'!$AJ$6,COLUMN(L6)-COLUMN($D6),0)</f>
        <v>5553781</v>
      </c>
      <c r="M6" s="42">
        <f ca="1">OFFSET('Normalized Annual Summary'!$AJ$6,COLUMN(M6)-COLUMN($D6),0)</f>
        <v>5595608.9199999999</v>
      </c>
      <c r="N6" s="309">
        <f ca="1">OFFSET('Normalized Annual Summary'!$AM$15,COLUMN(N6)-COLUMN($M6),0)</f>
        <v>5601815.3767096987</v>
      </c>
      <c r="O6" s="352">
        <f ca="1">OFFSET('Normalized Annual Summary'!$AM$15,COLUMN(O6)-COLUMN($M6),0)</f>
        <v>5608030.8259170279</v>
      </c>
    </row>
    <row r="7" spans="2:17" x14ac:dyDescent="0.2">
      <c r="B7" s="63" t="s">
        <v>41</v>
      </c>
      <c r="C7" s="521"/>
      <c r="D7" s="42">
        <f ca="1">OFFSET('Normalized Annual Summary'!$AP$6,COLUMN(D7)-COLUMN($D7),0)</f>
        <v>3110148</v>
      </c>
      <c r="E7" s="42">
        <f ca="1">OFFSET('Normalized Annual Summary'!$AP$6,COLUMN(E7)-COLUMN($D7),0)</f>
        <v>3115033</v>
      </c>
      <c r="F7" s="42">
        <f ca="1">OFFSET('Normalized Annual Summary'!$AP$6,COLUMN(F7)-COLUMN($D7),0)</f>
        <v>3130244</v>
      </c>
      <c r="G7" s="42">
        <f ca="1">OFFSET('Normalized Annual Summary'!$AP$6,COLUMN(G7)-COLUMN($D7),0)</f>
        <v>3138478</v>
      </c>
      <c r="H7" s="42">
        <f ca="1">OFFSET('Normalized Annual Summary'!$AP$6,COLUMN(H7)-COLUMN($D7),0)</f>
        <v>3144191</v>
      </c>
      <c r="I7" s="42">
        <f ca="1">OFFSET('Normalized Annual Summary'!$AP$6,COLUMN(I7)-COLUMN($D7),0)</f>
        <v>3140725</v>
      </c>
      <c r="J7" s="42">
        <f ca="1">OFFSET('Normalized Annual Summary'!$AP$6,COLUMN(J7)-COLUMN($D7),0)</f>
        <v>3135184</v>
      </c>
      <c r="K7" s="42">
        <f ca="1">OFFSET('Normalized Annual Summary'!$AP$6,COLUMN(K7)-COLUMN($D7),0)</f>
        <v>3146746</v>
      </c>
      <c r="L7" s="42">
        <f ca="1">OFFSET('Normalized Annual Summary'!$AP$6,COLUMN(L7)-COLUMN($D7),0)</f>
        <v>3168511</v>
      </c>
      <c r="M7" s="42">
        <f ca="1">OFFSET('Normalized Annual Summary'!$AP$6,COLUMN(M7)-COLUMN($D7),0)</f>
        <v>3283469.76</v>
      </c>
      <c r="N7" s="42">
        <f ca="1">OFFSET('Normalized Annual Summary'!$AS$15,COLUMN(N7)-COLUMN($M7),0)</f>
        <v>3297741.5382048921</v>
      </c>
      <c r="O7" s="62">
        <f ca="1">OFFSET('Normalized Annual Summary'!$AS$15,COLUMN(O7)-COLUMN($M7),0)</f>
        <v>3312078.3011629507</v>
      </c>
    </row>
    <row r="8" spans="2:17" ht="13.5" thickBot="1" x14ac:dyDescent="0.25">
      <c r="B8" s="325" t="s">
        <v>138</v>
      </c>
      <c r="C8" s="522"/>
      <c r="D8" s="326">
        <f t="shared" ref="D8:L8" ca="1" si="0">SUM(D3:D7)</f>
        <v>1624636649.9721189</v>
      </c>
      <c r="E8" s="326">
        <f t="shared" ca="1" si="0"/>
        <v>1630750038.3734446</v>
      </c>
      <c r="F8" s="326">
        <f t="shared" ca="1" si="0"/>
        <v>1577898699.9384937</v>
      </c>
      <c r="G8" s="326">
        <f t="shared" ca="1" si="0"/>
        <v>1574885406.2609735</v>
      </c>
      <c r="H8" s="326">
        <f t="shared" ca="1" si="0"/>
        <v>1539199868.7297339</v>
      </c>
      <c r="I8" s="326">
        <f t="shared" ca="1" si="0"/>
        <v>1508086747.9988608</v>
      </c>
      <c r="J8" s="326">
        <f t="shared" ca="1" si="0"/>
        <v>1506571366.678441</v>
      </c>
      <c r="K8" s="326">
        <f t="shared" ca="1" si="0"/>
        <v>1528461127.2472558</v>
      </c>
      <c r="L8" s="326">
        <f t="shared" ca="1" si="0"/>
        <v>1498819768.8952761</v>
      </c>
      <c r="M8" s="326">
        <f t="shared" ref="M8" ca="1" si="1">SUM(M3:M7)</f>
        <v>1523281153.3454018</v>
      </c>
      <c r="N8" s="326">
        <f ca="1">SUM(N3:N7)</f>
        <v>1492423594.056632</v>
      </c>
      <c r="O8" s="327">
        <f ca="1">SUM(O3:O7)</f>
        <v>1489025880.9590349</v>
      </c>
    </row>
    <row r="10" spans="2:17" ht="16.5" thickBot="1" x14ac:dyDescent="0.3">
      <c r="B10" s="60" t="s">
        <v>139</v>
      </c>
      <c r="C10" s="60"/>
      <c r="D10" s="60"/>
      <c r="H10" s="42"/>
      <c r="I10" s="42"/>
      <c r="J10" s="42"/>
      <c r="K10" s="42"/>
      <c r="L10" s="42"/>
      <c r="M10" s="42"/>
    </row>
    <row r="11" spans="2:17" ht="55.15" customHeight="1" x14ac:dyDescent="0.2">
      <c r="B11" s="322" t="s">
        <v>124</v>
      </c>
      <c r="C11" s="323" t="s">
        <v>432</v>
      </c>
      <c r="D11" s="323" t="s">
        <v>140</v>
      </c>
      <c r="E11" s="324" t="s">
        <v>433</v>
      </c>
      <c r="G11" s="333" t="s">
        <v>470</v>
      </c>
      <c r="H11" s="324" t="s">
        <v>471</v>
      </c>
      <c r="K11" s="42"/>
      <c r="L11" s="42"/>
    </row>
    <row r="12" spans="2:17" x14ac:dyDescent="0.2">
      <c r="B12" s="61" t="str">
        <f>B3</f>
        <v>Residential</v>
      </c>
      <c r="C12" s="42">
        <f ca="1">O3</f>
        <v>556998472.61889982</v>
      </c>
      <c r="D12" s="42">
        <f>'CDM Adjustment'!R7</f>
        <v>2549779.2384136552</v>
      </c>
      <c r="E12" s="62">
        <f ca="1">C12-D12</f>
        <v>554448693.38048613</v>
      </c>
      <c r="F12" s="310"/>
      <c r="G12" s="311">
        <f ca="1">'Total Additional-Lost Loads'!F16</f>
        <v>5782995.2372359484</v>
      </c>
      <c r="H12" s="62">
        <f ca="1">E12-G12</f>
        <v>548665698.14325023</v>
      </c>
      <c r="K12" s="42"/>
      <c r="L12" s="42"/>
    </row>
    <row r="13" spans="2:17" x14ac:dyDescent="0.2">
      <c r="B13" s="63" t="str">
        <f>B4</f>
        <v>GS &lt; 50</v>
      </c>
      <c r="C13" s="42">
        <f ca="1">O4</f>
        <v>172548368.89067316</v>
      </c>
      <c r="D13" s="42">
        <f>'CDM Adjustment'!R8</f>
        <v>4009240.4685124843</v>
      </c>
      <c r="E13" s="62">
        <f ca="1">C13-D13</f>
        <v>168539128.42216069</v>
      </c>
      <c r="G13" s="311">
        <f ca="1">'Total Additional-Lost Loads'!F17</f>
        <v>1504346.6141727823</v>
      </c>
      <c r="H13" s="62">
        <f t="shared" ref="H13:H16" ca="1" si="2">E13-G13</f>
        <v>167034781.8079879</v>
      </c>
      <c r="K13" s="42"/>
      <c r="L13" s="42"/>
    </row>
    <row r="14" spans="2:17" x14ac:dyDescent="0.2">
      <c r="B14" s="63" t="str">
        <f>B5</f>
        <v>GS &gt; 50</v>
      </c>
      <c r="C14" s="42">
        <f ca="1">O5</f>
        <v>750558930.32238185</v>
      </c>
      <c r="D14" s="42">
        <f>'CDM Adjustment'!R9</f>
        <v>18053728.476847909</v>
      </c>
      <c r="E14" s="62">
        <f ca="1">C14-D14</f>
        <v>732505201.84553397</v>
      </c>
      <c r="G14" s="311">
        <f>'Total Additional-Lost Loads'!F18</f>
        <v>720912.71929844364</v>
      </c>
      <c r="H14" s="62">
        <f t="shared" ca="1" si="2"/>
        <v>731784289.12623549</v>
      </c>
      <c r="K14" s="42"/>
      <c r="L14" s="42"/>
    </row>
    <row r="15" spans="2:17" x14ac:dyDescent="0.2">
      <c r="B15" s="63" t="str">
        <f>B6</f>
        <v>Street Light</v>
      </c>
      <c r="C15" s="42">
        <f ca="1">O6</f>
        <v>5608030.8259170279</v>
      </c>
      <c r="D15" s="42"/>
      <c r="E15" s="62">
        <f t="shared" ref="E15:E16" ca="1" si="3">C15-D15</f>
        <v>5608030.8259170279</v>
      </c>
      <c r="G15" s="311"/>
      <c r="H15" s="62">
        <f ca="1">E15-G15</f>
        <v>5608030.8259170279</v>
      </c>
      <c r="K15" s="42"/>
      <c r="L15" s="42"/>
    </row>
    <row r="16" spans="2:17" x14ac:dyDescent="0.2">
      <c r="B16" s="63" t="str">
        <f>B7</f>
        <v>USL</v>
      </c>
      <c r="C16" s="42">
        <f ca="1">O7</f>
        <v>3312078.3011629507</v>
      </c>
      <c r="D16" s="42"/>
      <c r="E16" s="62">
        <f t="shared" ca="1" si="3"/>
        <v>3312078.3011629507</v>
      </c>
      <c r="G16" s="311"/>
      <c r="H16" s="62">
        <f t="shared" ca="1" si="2"/>
        <v>3312078.3011629507</v>
      </c>
      <c r="K16" s="42"/>
      <c r="L16" s="42"/>
    </row>
    <row r="17" spans="2:15" ht="13.5" thickBot="1" x14ac:dyDescent="0.25">
      <c r="B17" s="325" t="s">
        <v>138</v>
      </c>
      <c r="C17" s="326">
        <f ca="1">SUM(C12:C16)</f>
        <v>1489025880.9590349</v>
      </c>
      <c r="D17" s="326">
        <f>SUM(D12:D16)</f>
        <v>24612748.183774047</v>
      </c>
      <c r="E17" s="327">
        <f ca="1">SUM(E12:E16)</f>
        <v>1464413132.7752609</v>
      </c>
      <c r="F17" s="320"/>
      <c r="G17" s="334">
        <f ca="1">SUM(G12:G16)</f>
        <v>8008254.5707071749</v>
      </c>
      <c r="H17" s="327">
        <f ca="1">SUM(H12:H16)</f>
        <v>1456404878.2045536</v>
      </c>
      <c r="I17" s="320"/>
      <c r="K17" s="42"/>
      <c r="L17" s="42"/>
    </row>
    <row r="18" spans="2:15" x14ac:dyDescent="0.2">
      <c r="H18" s="317"/>
    </row>
    <row r="19" spans="2:15" ht="16.5" thickBot="1" x14ac:dyDescent="0.3">
      <c r="B19" s="60" t="s">
        <v>133</v>
      </c>
      <c r="C19" s="60"/>
    </row>
    <row r="20" spans="2:15" x14ac:dyDescent="0.2">
      <c r="B20" s="328" t="s">
        <v>125</v>
      </c>
      <c r="C20" s="520"/>
      <c r="D20" s="329" t="s">
        <v>186</v>
      </c>
      <c r="E20" s="329" t="s">
        <v>187</v>
      </c>
      <c r="F20" s="329" t="s">
        <v>188</v>
      </c>
      <c r="G20" s="329" t="s">
        <v>189</v>
      </c>
      <c r="H20" s="329" t="s">
        <v>190</v>
      </c>
      <c r="I20" s="329" t="s">
        <v>477</v>
      </c>
      <c r="J20" s="329" t="s">
        <v>478</v>
      </c>
      <c r="K20" s="329" t="s">
        <v>479</v>
      </c>
      <c r="L20" s="329" t="s">
        <v>431</v>
      </c>
      <c r="M20" s="329" t="s">
        <v>519</v>
      </c>
      <c r="N20" s="329" t="s">
        <v>409</v>
      </c>
      <c r="O20" s="332" t="s">
        <v>410</v>
      </c>
    </row>
    <row r="21" spans="2:15" x14ac:dyDescent="0.2">
      <c r="B21" s="63" t="s">
        <v>120</v>
      </c>
      <c r="C21" s="521"/>
      <c r="D21" s="42">
        <f ca="1">OFFSET('kW Forecast (Weather Normal)'!$D$18,COLUMN()-COLUMN($D$21),0)</f>
        <v>2446030.1208907608</v>
      </c>
      <c r="E21" s="42">
        <f ca="1">OFFSET('kW Forecast (Weather Normal)'!$D$18,COLUMN()-COLUMN($D$21),0)</f>
        <v>2398583.7424963312</v>
      </c>
      <c r="F21" s="42">
        <f ca="1">OFFSET('kW Forecast (Weather Normal)'!$D$18,COLUMN()-COLUMN($D$21),0)</f>
        <v>2350976.0514225983</v>
      </c>
      <c r="G21" s="42">
        <f ca="1">OFFSET('kW Forecast (Weather Normal)'!$D$18,COLUMN()-COLUMN($D$21),0)</f>
        <v>2307890.2159624416</v>
      </c>
      <c r="H21" s="42">
        <f ca="1">OFFSET('kW Forecast (Weather Normal)'!$D$18,COLUMN()-COLUMN($D$21),0)</f>
        <v>2271835.768428483</v>
      </c>
      <c r="I21" s="42">
        <f ca="1">OFFSET('kW Forecast (Weather Normal)'!$D$18,COLUMN()-COLUMN($D$21),0)</f>
        <v>2184006.7039278219</v>
      </c>
      <c r="J21" s="42">
        <f ca="1">OFFSET('kW Forecast (Weather Normal)'!$D$18,COLUMN()-COLUMN($D$21),0)</f>
        <v>2216203.3803337952</v>
      </c>
      <c r="K21" s="42">
        <f ca="1">OFFSET('kW Forecast (Weather Normal)'!$D$18,COLUMN()-COLUMN($D$21),0)</f>
        <v>2187301.585204768</v>
      </c>
      <c r="L21" s="42">
        <f ca="1">OFFSET('kW Forecast (Weather Normal)'!$D$18,COLUMN()-COLUMN($D$21),0)</f>
        <v>2126036.5488925762</v>
      </c>
      <c r="M21" s="42">
        <f ca="1">OFFSET('kW Forecast (Weather Normal)'!$D$18,COLUMN()-COLUMN($D$21),0)</f>
        <v>2079176.8474899475</v>
      </c>
      <c r="N21" s="42">
        <f ca="1">OFFSET('kW Forecast (Weather Normal)'!$H$18,COLUMN()-COLUMN($D$21),0)</f>
        <v>2046862.1610656397</v>
      </c>
      <c r="O21" s="62">
        <f ca="1">OFFSET('kW Forecast (Weather Normal)'!$H$18,COLUMN()-COLUMN($D$21),0)</f>
        <v>2017429.6402919344</v>
      </c>
    </row>
    <row r="22" spans="2:15" x14ac:dyDescent="0.2">
      <c r="B22" s="63" t="s">
        <v>130</v>
      </c>
      <c r="C22" s="521"/>
      <c r="D22" s="42">
        <f ca="1">OFFSET('kW Forecast'!$L$5,COLUMN()-COLUMN($D22),0)</f>
        <v>27661</v>
      </c>
      <c r="E22" s="42">
        <f ca="1">OFFSET('kW Forecast'!$L$5,COLUMN()-COLUMN($D22),0)</f>
        <v>27648</v>
      </c>
      <c r="F22" s="42">
        <f ca="1">OFFSET('kW Forecast'!$L$5,COLUMN()-COLUMN($D22),0)</f>
        <v>30451.800000000003</v>
      </c>
      <c r="G22" s="42">
        <f ca="1">OFFSET('kW Forecast'!$L$5,COLUMN()-COLUMN($D22),0)</f>
        <v>18200.899999999998</v>
      </c>
      <c r="H22" s="42">
        <f ca="1">OFFSET('kW Forecast'!$L$5,COLUMN()-COLUMN($D22),0)</f>
        <v>15445.800000000001</v>
      </c>
      <c r="I22" s="42">
        <f ca="1">OFFSET('kW Forecast'!$L$5,COLUMN()-COLUMN($D22),0)</f>
        <v>15463</v>
      </c>
      <c r="J22" s="42">
        <f ca="1">OFFSET('kW Forecast'!$L$5,COLUMN()-COLUMN($D22),0)</f>
        <v>15461</v>
      </c>
      <c r="K22" s="42">
        <f ca="1">OFFSET('kW Forecast'!$L$5,COLUMN()-COLUMN($D22),0)</f>
        <v>15480</v>
      </c>
      <c r="L22" s="42">
        <f ca="1">OFFSET('kW Forecast'!$L$19,COLUMN()-COLUMN($M22),0)</f>
        <v>15520.354580649002</v>
      </c>
      <c r="M22" s="42">
        <f ca="1">OFFSET('kW Forecast'!$L$19,COLUMN()-COLUMN($M22),0)</f>
        <v>15637.245064766221</v>
      </c>
      <c r="N22" s="42">
        <f ca="1">OFFSET('kW Forecast'!$L$19,COLUMN()-COLUMN($M22),0)</f>
        <v>15654.589358468831</v>
      </c>
      <c r="O22" s="62">
        <f ca="1">OFFSET('kW Forecast'!$L$19,COLUMN()-COLUMN($M22),0)</f>
        <v>15671.9587822138</v>
      </c>
    </row>
    <row r="23" spans="2:15" ht="13.5" thickBot="1" x14ac:dyDescent="0.25">
      <c r="B23" s="325" t="s">
        <v>138</v>
      </c>
      <c r="C23" s="522"/>
      <c r="D23" s="326">
        <f ca="1">SUM(D21:D22)</f>
        <v>2473691.1208907608</v>
      </c>
      <c r="E23" s="326">
        <f t="shared" ref="E23:O23" ca="1" si="4">SUM(E21:E22)</f>
        <v>2426231.7424963312</v>
      </c>
      <c r="F23" s="326">
        <f t="shared" ca="1" si="4"/>
        <v>2381427.8514225981</v>
      </c>
      <c r="G23" s="326">
        <f t="shared" ca="1" si="4"/>
        <v>2326091.1159624415</v>
      </c>
      <c r="H23" s="326">
        <f t="shared" ca="1" si="4"/>
        <v>2287281.5684284829</v>
      </c>
      <c r="I23" s="326">
        <f t="shared" ca="1" si="4"/>
        <v>2199469.7039278219</v>
      </c>
      <c r="J23" s="326">
        <f t="shared" ca="1" si="4"/>
        <v>2231664.3803337952</v>
      </c>
      <c r="K23" s="326">
        <f t="shared" ca="1" si="4"/>
        <v>2202781.585204768</v>
      </c>
      <c r="L23" s="326">
        <f ca="1">SUM(L21:L22)</f>
        <v>2141556.9034732254</v>
      </c>
      <c r="M23" s="326">
        <f t="shared" ca="1" si="4"/>
        <v>2094814.0925547136</v>
      </c>
      <c r="N23" s="326">
        <f t="shared" ca="1" si="4"/>
        <v>2062516.7504241085</v>
      </c>
      <c r="O23" s="326">
        <f t="shared" ca="1" si="4"/>
        <v>2033101.5990741481</v>
      </c>
    </row>
    <row r="25" spans="2:15" ht="16.5" thickBot="1" x14ac:dyDescent="0.3">
      <c r="B25" s="60" t="s">
        <v>139</v>
      </c>
      <c r="C25" s="60"/>
      <c r="D25" s="60"/>
    </row>
    <row r="26" spans="2:15" ht="38.25" x14ac:dyDescent="0.2">
      <c r="B26" s="322" t="s">
        <v>125</v>
      </c>
      <c r="C26" s="323" t="s">
        <v>432</v>
      </c>
      <c r="D26" s="323" t="s">
        <v>140</v>
      </c>
      <c r="E26" s="324" t="s">
        <v>433</v>
      </c>
    </row>
    <row r="27" spans="2:15" x14ac:dyDescent="0.2">
      <c r="B27" s="63" t="str">
        <f>B21</f>
        <v>GS &gt; 50</v>
      </c>
      <c r="C27" s="42">
        <f ca="1">O21</f>
        <v>2017429.6402919344</v>
      </c>
      <c r="D27" s="42">
        <f ca="1">'CDM Adjustment'!T20</f>
        <v>48526.67189148147</v>
      </c>
      <c r="E27" s="62">
        <f ca="1">C27-D27</f>
        <v>1968902.968400453</v>
      </c>
    </row>
    <row r="28" spans="2:15" x14ac:dyDescent="0.2">
      <c r="B28" s="63" t="str">
        <f>B22</f>
        <v>Street Light</v>
      </c>
      <c r="C28" s="42">
        <f ca="1">O22</f>
        <v>15671.9587822138</v>
      </c>
      <c r="D28" s="42"/>
      <c r="E28" s="62">
        <f t="shared" ref="E28" ca="1" si="5">C28-D28</f>
        <v>15671.9587822138</v>
      </c>
    </row>
    <row r="29" spans="2:15" ht="13.5" thickBot="1" x14ac:dyDescent="0.25">
      <c r="B29" s="325" t="s">
        <v>138</v>
      </c>
      <c r="C29" s="326">
        <f ca="1">SUM(C27:C28)</f>
        <v>2033101.5990741481</v>
      </c>
      <c r="D29" s="326">
        <f ca="1">SUM(D27:D28)</f>
        <v>48526.67189148147</v>
      </c>
      <c r="E29" s="327">
        <f ca="1">SUM(E27:E28)</f>
        <v>1984574.9271826667</v>
      </c>
    </row>
    <row r="31" spans="2:15" ht="16.5" thickBot="1" x14ac:dyDescent="0.3">
      <c r="B31" s="60" t="s">
        <v>193</v>
      </c>
      <c r="C31" s="60"/>
    </row>
    <row r="32" spans="2:15" x14ac:dyDescent="0.2">
      <c r="B32" s="328" t="s">
        <v>122</v>
      </c>
      <c r="C32" s="520"/>
      <c r="D32" s="329" t="s">
        <v>134</v>
      </c>
      <c r="E32" s="329" t="s">
        <v>135</v>
      </c>
      <c r="F32" s="329" t="s">
        <v>136</v>
      </c>
      <c r="G32" s="329" t="s">
        <v>137</v>
      </c>
      <c r="H32" s="329" t="s">
        <v>163</v>
      </c>
      <c r="I32" s="329" t="s">
        <v>427</v>
      </c>
      <c r="J32" s="329" t="s">
        <v>428</v>
      </c>
      <c r="K32" s="329" t="s">
        <v>429</v>
      </c>
      <c r="L32" s="329" t="s">
        <v>430</v>
      </c>
      <c r="M32" s="329" t="s">
        <v>518</v>
      </c>
      <c r="N32" s="329" t="s">
        <v>409</v>
      </c>
      <c r="O32" s="332" t="s">
        <v>410</v>
      </c>
    </row>
    <row r="33" spans="2:15" x14ac:dyDescent="0.2">
      <c r="B33" s="61" t="str">
        <f>B3</f>
        <v>Residential</v>
      </c>
      <c r="C33" s="521"/>
      <c r="D33" s="42">
        <f ca="1">OFFSET('Customer Count'!$C$5,COLUMN()-COLUMN($D33),0)</f>
        <v>60123.25</v>
      </c>
      <c r="E33" s="42">
        <f ca="1">OFFSET('Customer Count'!$C$5,COLUMN()-COLUMN($D33),0)</f>
        <v>60318.833333333336</v>
      </c>
      <c r="F33" s="42">
        <f ca="1">OFFSET('Customer Count'!$C$5,COLUMN()-COLUMN($D33),0)</f>
        <v>60502</v>
      </c>
      <c r="G33" s="42">
        <f ca="1">OFFSET('Customer Count'!$C$5,COLUMN()-COLUMN($D33),0)</f>
        <v>60920.083333333336</v>
      </c>
      <c r="H33" s="42">
        <f ca="1">OFFSET('Customer Count'!$C$5,COLUMN()-COLUMN($D33),0)</f>
        <v>61427.666666666664</v>
      </c>
      <c r="I33" s="42">
        <f ca="1">OFFSET('Customer Count'!$C$5,COLUMN()-COLUMN($D33),0)</f>
        <v>61640</v>
      </c>
      <c r="J33" s="42">
        <f ca="1">OFFSET('Customer Count'!$C$5,COLUMN()-COLUMN($D33),0)</f>
        <v>61867.75</v>
      </c>
      <c r="K33" s="42">
        <f ca="1">OFFSET('Customer Count'!$C$5,COLUMN()-COLUMN($D33),0)</f>
        <v>62004.083333333336</v>
      </c>
      <c r="L33" s="42">
        <f ca="1">OFFSET('Customer Count'!$C$5,COLUMN()-COLUMN($D33),0)</f>
        <v>62206.666666666664</v>
      </c>
      <c r="M33" s="42">
        <f ca="1">OFFSET('Customer Count'!$C$18,COLUMN()-COLUMN($M33),0)</f>
        <v>62563.5</v>
      </c>
      <c r="N33" s="42">
        <f ca="1">OFFSET('Customer Count'!$C$18,COLUMN()-COLUMN($M33),0)</f>
        <v>62840.624421126122</v>
      </c>
      <c r="O33" s="62">
        <f ca="1">OFFSET('Customer Count'!$C$18,COLUMN()-COLUMN($M33),0)</f>
        <v>63119.032730838313</v>
      </c>
    </row>
    <row r="34" spans="2:15" x14ac:dyDescent="0.2">
      <c r="B34" s="63" t="str">
        <f>B4</f>
        <v>GS &lt; 50</v>
      </c>
      <c r="C34" s="521"/>
      <c r="D34" s="42">
        <f ca="1">OFFSET('Customer Count'!$G$5,COLUMN()-COLUMN($D34),0)</f>
        <v>5238.5</v>
      </c>
      <c r="E34" s="42">
        <f ca="1">OFFSET('Customer Count'!$G$5,COLUMN()-COLUMN($D34),0)</f>
        <v>5272.833333333333</v>
      </c>
      <c r="F34" s="42">
        <f ca="1">OFFSET('Customer Count'!$G$5,COLUMN()-COLUMN($D34),0)</f>
        <v>5341.666666666667</v>
      </c>
      <c r="G34" s="42">
        <f ca="1">OFFSET('Customer Count'!$G$5,COLUMN()-COLUMN($D34),0)</f>
        <v>5427.75</v>
      </c>
      <c r="H34" s="42">
        <f ca="1">OFFSET('Customer Count'!$G$5,COLUMN()-COLUMN($D34),0)</f>
        <v>5489.5</v>
      </c>
      <c r="I34" s="42">
        <f ca="1">OFFSET('Customer Count'!$G$5,COLUMN()-COLUMN($D34),0)</f>
        <v>5513.833333333333</v>
      </c>
      <c r="J34" s="42">
        <f ca="1">OFFSET('Customer Count'!$G$5,COLUMN()-COLUMN($D34),0)</f>
        <v>5605.083333333333</v>
      </c>
      <c r="K34" s="42">
        <f ca="1">OFFSET('Customer Count'!$G$5,COLUMN()-COLUMN($D34),0)</f>
        <v>5664.333333333333</v>
      </c>
      <c r="L34" s="42">
        <f ca="1">OFFSET('Customer Count'!$G$5,COLUMN()-COLUMN($D34),0)</f>
        <v>5698.833333333333</v>
      </c>
      <c r="M34" s="42">
        <f ca="1">OFFSET('Customer Count'!$G$18,COLUMN()-COLUMN($M34),0)</f>
        <v>5712.416666666667</v>
      </c>
      <c r="N34" s="42">
        <f ca="1">OFFSET('Customer Count'!$G$18,COLUMN()-COLUMN($M34),0)</f>
        <v>5767.6533095588848</v>
      </c>
      <c r="O34" s="62">
        <f ca="1">OFFSET('Customer Count'!$G$18,COLUMN()-COLUMN($M34),0)</f>
        <v>5823.4233253664679</v>
      </c>
    </row>
    <row r="35" spans="2:15" ht="13.5" customHeight="1" x14ac:dyDescent="0.2">
      <c r="B35" s="63" t="str">
        <f>B5</f>
        <v>GS &gt; 50</v>
      </c>
      <c r="C35" s="521"/>
      <c r="D35" s="42">
        <f ca="1">OFFSET('Customer Count'!$K$5,COLUMN()-COLUMN($D35),0)</f>
        <v>1027.6666666666667</v>
      </c>
      <c r="E35" s="42">
        <f ca="1">OFFSET('Customer Count'!$K$5,COLUMN()-COLUMN($D35),0)</f>
        <v>1034.1666666666667</v>
      </c>
      <c r="F35" s="42">
        <f ca="1">OFFSET('Customer Count'!$K$5,COLUMN()-COLUMN($D35),0)</f>
        <v>1003.6666666666666</v>
      </c>
      <c r="G35" s="42">
        <f ca="1">OFFSET('Customer Count'!$K$5,COLUMN()-COLUMN($D35),0)</f>
        <v>985.83333333333337</v>
      </c>
      <c r="H35" s="42">
        <f ca="1">OFFSET('Customer Count'!$K$5,COLUMN()-COLUMN($D35),0)</f>
        <v>984.83333333333337</v>
      </c>
      <c r="I35" s="42">
        <f ca="1">OFFSET('Customer Count'!$K$5,COLUMN()-COLUMN($D35),0)</f>
        <v>1001.5</v>
      </c>
      <c r="J35" s="42">
        <f ca="1">OFFSET('Customer Count'!$K$5,COLUMN()-COLUMN($D35),0)</f>
        <v>985.58333333333337</v>
      </c>
      <c r="K35" s="42">
        <f ca="1">OFFSET('Customer Count'!$K$5,COLUMN()-COLUMN($D35),0)</f>
        <v>967.08333333333337</v>
      </c>
      <c r="L35" s="42">
        <f ca="1">OFFSET('Customer Count'!$K$5,COLUMN()-COLUMN($D35),0)</f>
        <v>943.58333333333337</v>
      </c>
      <c r="M35" s="42">
        <f ca="1">OFFSET('Customer Count'!$K$18,COLUMN()-COLUMN($M35),0)</f>
        <v>965.33333333333337</v>
      </c>
      <c r="N35" s="42">
        <f ca="1">OFFSET('Customer Count'!$K$18,COLUMN()-COLUMN($M35),0)</f>
        <v>958.64959452003393</v>
      </c>
      <c r="O35" s="62">
        <f ca="1">OFFSET('Customer Count'!$K$18,COLUMN()-COLUMN($M35),0)</f>
        <v>952.00768041242202</v>
      </c>
    </row>
    <row r="36" spans="2:15" x14ac:dyDescent="0.2">
      <c r="B36" s="63" t="str">
        <f>B6</f>
        <v>Street Light</v>
      </c>
      <c r="C36" s="521"/>
      <c r="D36" s="42">
        <f ca="1">OFFSET('Customer Count'!$O$5,COLUMN()-COLUMN($D36),0)</f>
        <v>15228.583333333334</v>
      </c>
      <c r="E36" s="42">
        <f ca="1">OFFSET('Customer Count'!$O$5,COLUMN()-COLUMN($D36),0)</f>
        <v>15252.666666666666</v>
      </c>
      <c r="F36" s="42">
        <f ca="1">OFFSET('Customer Count'!$O$5,COLUMN()-COLUMN($D36),0)</f>
        <v>17184</v>
      </c>
      <c r="G36" s="42">
        <f ca="1">OFFSET('Customer Count'!$O$5,COLUMN()-COLUMN($D36),0)</f>
        <v>17184</v>
      </c>
      <c r="H36" s="42">
        <f ca="1">OFFSET('Customer Count'!$O$5,COLUMN()-COLUMN($D36),0)</f>
        <v>17184</v>
      </c>
      <c r="I36" s="42">
        <f ca="1">OFFSET('Customer Count'!$O$5,COLUMN()-COLUMN($D36),0)</f>
        <v>17185.333333333332</v>
      </c>
      <c r="J36" s="42">
        <f ca="1">OFFSET('Customer Count'!$O$5,COLUMN()-COLUMN($D36),0)</f>
        <v>17189</v>
      </c>
      <c r="K36" s="42">
        <f ca="1">OFFSET('Customer Count'!$O$5,COLUMN()-COLUMN($D36),0)</f>
        <v>17201</v>
      </c>
      <c r="L36" s="42">
        <f ca="1">OFFSET('Customer Count'!$O$5,COLUMN()-COLUMN($D36),0)</f>
        <v>17210</v>
      </c>
      <c r="M36" s="42">
        <f ca="1">OFFSET('Customer Count'!$O$18,COLUMN()-COLUMN($M36),0)</f>
        <v>17309.75</v>
      </c>
      <c r="N36" s="42">
        <f ca="1">OFFSET('Customer Count'!$O$18,COLUMN()-COLUMN($M36),0)</f>
        <v>17328.949378578214</v>
      </c>
      <c r="O36" s="62">
        <f ca="1">OFFSET('Customer Count'!$O$18,COLUMN()-COLUMN($M36),0)</f>
        <v>17348.176575020057</v>
      </c>
    </row>
    <row r="37" spans="2:15" x14ac:dyDescent="0.2">
      <c r="B37" s="63" t="str">
        <f>B7</f>
        <v>USL</v>
      </c>
      <c r="C37" s="521"/>
      <c r="D37" s="42">
        <f ca="1">OFFSET('Customer Count'!$S$5,COLUMN()-COLUMN($D37),0)</f>
        <v>556.75</v>
      </c>
      <c r="E37" s="42">
        <f ca="1">OFFSET('Customer Count'!$S$5,COLUMN()-COLUMN($D37),0)</f>
        <v>559.08333333333337</v>
      </c>
      <c r="F37" s="42">
        <f ca="1">OFFSET('Customer Count'!$S$5,COLUMN()-COLUMN($D37),0)</f>
        <v>561.91666666666663</v>
      </c>
      <c r="G37" s="42">
        <f ca="1">OFFSET('Customer Count'!$S$5,COLUMN()-COLUMN($D37),0)</f>
        <v>563.33333333333337</v>
      </c>
      <c r="H37" s="42">
        <f ca="1">OFFSET('Customer Count'!$S$5,COLUMN()-COLUMN($D37),0)</f>
        <v>561.5</v>
      </c>
      <c r="I37" s="42">
        <f ca="1">OFFSET('Customer Count'!$S$5,COLUMN()-COLUMN($D37),0)</f>
        <v>576</v>
      </c>
      <c r="J37" s="42">
        <f ca="1">OFFSET('Customer Count'!$S$5,COLUMN()-COLUMN($D37),0)</f>
        <v>573.58333333333337</v>
      </c>
      <c r="K37" s="42">
        <f ca="1">OFFSET('Customer Count'!$S$5,COLUMN()-COLUMN($D37),0)</f>
        <v>573.5</v>
      </c>
      <c r="L37" s="42">
        <f ca="1">OFFSET('Customer Count'!$S$5,COLUMN()-COLUMN($D37),0)</f>
        <v>575.08333333333337</v>
      </c>
      <c r="M37" s="42">
        <f ca="1">OFFSET('Customer Count'!$S$18,COLUMN()-COLUMN($M37),0)</f>
        <v>578.91666666666663</v>
      </c>
      <c r="N37" s="42">
        <f ca="1">OFFSET('Customer Count'!$S$18,COLUMN()-COLUMN($M37),0)</f>
        <v>581.43295914678447</v>
      </c>
      <c r="O37" s="62">
        <f ca="1">OFFSET('Customer Count'!$S$18,COLUMN()-COLUMN($M37),0)</f>
        <v>583.96070924930689</v>
      </c>
    </row>
    <row r="38" spans="2:15" ht="13.5" thickBot="1" x14ac:dyDescent="0.25">
      <c r="B38" s="325" t="s">
        <v>138</v>
      </c>
      <c r="C38" s="522"/>
      <c r="D38" s="326">
        <f t="shared" ref="D38:K38" ca="1" si="6">SUM(D33:D37)</f>
        <v>82174.75</v>
      </c>
      <c r="E38" s="326">
        <f t="shared" ca="1" si="6"/>
        <v>82437.583333333343</v>
      </c>
      <c r="F38" s="326">
        <f t="shared" ca="1" si="6"/>
        <v>84593.250000000015</v>
      </c>
      <c r="G38" s="326">
        <f t="shared" ca="1" si="6"/>
        <v>85081</v>
      </c>
      <c r="H38" s="326">
        <f t="shared" ca="1" si="6"/>
        <v>85647.499999999985</v>
      </c>
      <c r="I38" s="326">
        <f t="shared" ca="1" si="6"/>
        <v>85916.666666666657</v>
      </c>
      <c r="J38" s="326">
        <f t="shared" ca="1" si="6"/>
        <v>86220.999999999985</v>
      </c>
      <c r="K38" s="326">
        <f t="shared" ca="1" si="6"/>
        <v>86410</v>
      </c>
      <c r="L38" s="326">
        <f ca="1">SUM(L33:L37)</f>
        <v>86634.166666666657</v>
      </c>
      <c r="M38" s="331">
        <f ca="1">SUM(M33:M37)</f>
        <v>87129.916666666672</v>
      </c>
      <c r="N38" s="326">
        <f ca="1">SUM(N33:N37)</f>
        <v>87477.309662930027</v>
      </c>
      <c r="O38" s="327">
        <f ca="1">SUM(O33:O37)</f>
        <v>87826.601020886577</v>
      </c>
    </row>
    <row r="40" spans="2:15" ht="16.5" thickBot="1" x14ac:dyDescent="0.3">
      <c r="B40" s="60" t="s">
        <v>474</v>
      </c>
      <c r="C40" s="60"/>
      <c r="D40" s="321"/>
    </row>
    <row r="41" spans="2:15" ht="25.5" x14ac:dyDescent="0.2">
      <c r="B41" s="322">
        <v>2026</v>
      </c>
      <c r="C41" s="323" t="s">
        <v>124</v>
      </c>
      <c r="D41" s="323" t="s">
        <v>125</v>
      </c>
      <c r="E41" s="324" t="s">
        <v>475</v>
      </c>
    </row>
    <row r="42" spans="2:15" x14ac:dyDescent="0.2">
      <c r="B42" s="63" t="str">
        <f>B33</f>
        <v>Residential</v>
      </c>
      <c r="C42" s="42">
        <f ca="1">E12</f>
        <v>554448693.38048613</v>
      </c>
      <c r="D42" s="42"/>
      <c r="E42" s="62">
        <f ca="1">O33</f>
        <v>63119.032730838313</v>
      </c>
    </row>
    <row r="43" spans="2:15" x14ac:dyDescent="0.2">
      <c r="B43" s="63" t="str">
        <f t="shared" ref="B43:B46" si="7">B34</f>
        <v>GS &lt; 50</v>
      </c>
      <c r="C43" s="42">
        <f ca="1">E13</f>
        <v>168539128.42216069</v>
      </c>
      <c r="D43" s="42"/>
      <c r="E43" s="62">
        <f ca="1">O34</f>
        <v>5823.4233253664679</v>
      </c>
    </row>
    <row r="44" spans="2:15" x14ac:dyDescent="0.2">
      <c r="B44" s="63" t="str">
        <f t="shared" si="7"/>
        <v>GS &gt; 50</v>
      </c>
      <c r="C44" s="42">
        <f ca="1">E14</f>
        <v>732505201.84553397</v>
      </c>
      <c r="D44" s="42">
        <f ca="1">E27</f>
        <v>1968902.968400453</v>
      </c>
      <c r="E44" s="62">
        <f ca="1">O35</f>
        <v>952.00768041242202</v>
      </c>
    </row>
    <row r="45" spans="2:15" x14ac:dyDescent="0.2">
      <c r="B45" s="63" t="str">
        <f t="shared" si="7"/>
        <v>Street Light</v>
      </c>
      <c r="C45" s="42">
        <f ca="1">E15</f>
        <v>5608030.8259170279</v>
      </c>
      <c r="D45" s="42">
        <f ca="1">E28</f>
        <v>15671.9587822138</v>
      </c>
      <c r="E45" s="62">
        <f ca="1">O36</f>
        <v>17348.176575020057</v>
      </c>
    </row>
    <row r="46" spans="2:15" x14ac:dyDescent="0.2">
      <c r="B46" s="63" t="str">
        <f t="shared" si="7"/>
        <v>USL</v>
      </c>
      <c r="C46" s="42">
        <f ca="1">E16</f>
        <v>3312078.3011629507</v>
      </c>
      <c r="D46" s="42"/>
      <c r="E46" s="62">
        <f ca="1">O37</f>
        <v>583.96070924930689</v>
      </c>
    </row>
    <row r="47" spans="2:15" ht="13.5" thickBot="1" x14ac:dyDescent="0.25">
      <c r="B47" s="325" t="s">
        <v>138</v>
      </c>
      <c r="C47" s="326">
        <f ca="1">SUM(C42:C46)</f>
        <v>1464413132.7752609</v>
      </c>
      <c r="D47" s="326">
        <f ca="1">SUM(D42:D46)</f>
        <v>1984574.9271826667</v>
      </c>
      <c r="E47" s="327">
        <f ca="1">SUM(E42:E46)</f>
        <v>87826.601020886577</v>
      </c>
    </row>
  </sheetData>
  <phoneticPr fontId="4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7" tint="0.79998168889431442"/>
  </sheetPr>
  <dimension ref="A1:EI3286"/>
  <sheetViews>
    <sheetView workbookViewId="0">
      <pane xSplit="3" ySplit="1" topLeftCell="CR182" activePane="bottomRight" state="frozen"/>
      <selection activeCell="R25" sqref="R25"/>
      <selection pane="topRight" activeCell="R25" sqref="R25"/>
      <selection pane="bottomLeft" activeCell="R25" sqref="R25"/>
      <selection pane="bottomRight" activeCell="DC25" sqref="DC25"/>
    </sheetView>
  </sheetViews>
  <sheetFormatPr defaultRowHeight="12.75" x14ac:dyDescent="0.2"/>
  <cols>
    <col min="1" max="1" width="11.1640625" customWidth="1"/>
    <col min="4" max="4" width="11.6640625" bestFit="1" customWidth="1"/>
    <col min="5" max="6" width="11.33203125" customWidth="1"/>
    <col min="19" max="19" width="14.6640625" style="31" bestFit="1" customWidth="1"/>
    <col min="20" max="20" width="16" style="31" customWidth="1"/>
    <col min="21" max="21" width="8.6640625" style="31" customWidth="1"/>
    <col min="22" max="32" width="8.6640625" customWidth="1"/>
    <col min="33" max="33" width="8.83203125" customWidth="1"/>
    <col min="34" max="34" width="16" style="31" customWidth="1"/>
    <col min="49" max="49" width="9.33203125" bestFit="1" customWidth="1"/>
    <col min="120" max="125" width="13.83203125" bestFit="1" customWidth="1"/>
  </cols>
  <sheetData>
    <row r="1" spans="1:139" x14ac:dyDescent="0.2">
      <c r="A1" s="9"/>
      <c r="D1" t="s">
        <v>30</v>
      </c>
      <c r="E1" t="s">
        <v>151</v>
      </c>
      <c r="F1" t="s">
        <v>152</v>
      </c>
      <c r="G1" t="s">
        <v>31</v>
      </c>
      <c r="H1" t="s">
        <v>32</v>
      </c>
      <c r="I1" t="s">
        <v>33</v>
      </c>
      <c r="J1" t="s">
        <v>34</v>
      </c>
      <c r="K1" t="s">
        <v>35</v>
      </c>
      <c r="L1" t="s">
        <v>36</v>
      </c>
      <c r="M1" t="s">
        <v>37</v>
      </c>
      <c r="N1" t="s">
        <v>38</v>
      </c>
      <c r="O1" t="s">
        <v>153</v>
      </c>
      <c r="P1" t="s">
        <v>154</v>
      </c>
      <c r="Q1" t="s">
        <v>155</v>
      </c>
      <c r="R1" t="s">
        <v>156</v>
      </c>
      <c r="DP1" t="str">
        <f>'Monthly Data'!F1</f>
        <v>Res_NoCDM</v>
      </c>
      <c r="DQ1" t="str">
        <f>'Monthly Data'!J1</f>
        <v>GS_lt_50_NoCDM</v>
      </c>
      <c r="DR1" s="8" t="str">
        <f>'Monthly Data'!N1</f>
        <v>GS_gt_50_NoCDM</v>
      </c>
      <c r="DS1" t="str">
        <f>DP1</f>
        <v>Res_NoCDM</v>
      </c>
      <c r="DT1" t="str">
        <f t="shared" ref="DT1:DU1" si="0">DQ1</f>
        <v>GS_lt_50_NoCDM</v>
      </c>
      <c r="DU1" t="str">
        <f t="shared" si="0"/>
        <v>GS_gt_50_NoCDM</v>
      </c>
    </row>
    <row r="2" spans="1:139" x14ac:dyDescent="0.2">
      <c r="A2" s="9">
        <v>36161</v>
      </c>
      <c r="B2">
        <v>1999</v>
      </c>
      <c r="C2">
        <v>1</v>
      </c>
      <c r="D2" s="14">
        <v>-4.6483870967741945</v>
      </c>
      <c r="E2" s="14">
        <v>764.1</v>
      </c>
      <c r="F2" s="14">
        <v>0</v>
      </c>
      <c r="G2" s="14">
        <v>702.10000000000014</v>
      </c>
      <c r="H2" s="14">
        <v>0</v>
      </c>
      <c r="I2" s="14">
        <v>640.10000000000014</v>
      </c>
      <c r="J2" s="14">
        <v>0</v>
      </c>
      <c r="K2" s="14">
        <v>578.10000000000014</v>
      </c>
      <c r="L2" s="14">
        <v>0</v>
      </c>
      <c r="M2" s="14">
        <v>516.1</v>
      </c>
      <c r="N2" s="14">
        <v>0</v>
      </c>
      <c r="O2" s="14">
        <v>454.1</v>
      </c>
      <c r="P2" s="14">
        <v>0</v>
      </c>
      <c r="Q2" s="14">
        <v>392.1</v>
      </c>
      <c r="R2" s="14">
        <v>0</v>
      </c>
      <c r="V2">
        <v>1</v>
      </c>
      <c r="W2">
        <f>V2+1</f>
        <v>2</v>
      </c>
      <c r="X2">
        <f t="shared" ref="X2:AG2" si="1">W2+1</f>
        <v>3</v>
      </c>
      <c r="Y2">
        <f t="shared" si="1"/>
        <v>4</v>
      </c>
      <c r="Z2">
        <f t="shared" si="1"/>
        <v>5</v>
      </c>
      <c r="AA2">
        <f t="shared" si="1"/>
        <v>6</v>
      </c>
      <c r="AB2">
        <f t="shared" si="1"/>
        <v>7</v>
      </c>
      <c r="AC2">
        <f t="shared" si="1"/>
        <v>8</v>
      </c>
      <c r="AD2">
        <f t="shared" si="1"/>
        <v>9</v>
      </c>
      <c r="AE2">
        <f t="shared" si="1"/>
        <v>10</v>
      </c>
      <c r="AF2">
        <f t="shared" si="1"/>
        <v>11</v>
      </c>
      <c r="AG2">
        <f t="shared" si="1"/>
        <v>12</v>
      </c>
      <c r="AK2">
        <v>1</v>
      </c>
      <c r="AL2">
        <f>AK2+1</f>
        <v>2</v>
      </c>
      <c r="AM2">
        <f t="shared" ref="AM2:AV2" si="2">AL2+1</f>
        <v>3</v>
      </c>
      <c r="AN2">
        <f t="shared" si="2"/>
        <v>4</v>
      </c>
      <c r="AO2">
        <f t="shared" si="2"/>
        <v>5</v>
      </c>
      <c r="AP2">
        <f t="shared" si="2"/>
        <v>6</v>
      </c>
      <c r="AQ2">
        <f t="shared" si="2"/>
        <v>7</v>
      </c>
      <c r="AR2">
        <f t="shared" si="2"/>
        <v>8</v>
      </c>
      <c r="AS2">
        <f t="shared" si="2"/>
        <v>9</v>
      </c>
      <c r="AT2">
        <f t="shared" si="2"/>
        <v>10</v>
      </c>
      <c r="AU2">
        <f t="shared" si="2"/>
        <v>11</v>
      </c>
      <c r="AV2">
        <f t="shared" si="2"/>
        <v>12</v>
      </c>
      <c r="AY2">
        <v>1</v>
      </c>
      <c r="AZ2">
        <f>AY2+1</f>
        <v>2</v>
      </c>
      <c r="BA2">
        <f t="shared" ref="BA2:BJ2" si="3">AZ2+1</f>
        <v>3</v>
      </c>
      <c r="BB2">
        <f t="shared" si="3"/>
        <v>4</v>
      </c>
      <c r="BC2">
        <f t="shared" si="3"/>
        <v>5</v>
      </c>
      <c r="BD2">
        <f t="shared" si="3"/>
        <v>6</v>
      </c>
      <c r="BE2">
        <f t="shared" si="3"/>
        <v>7</v>
      </c>
      <c r="BF2">
        <f t="shared" si="3"/>
        <v>8</v>
      </c>
      <c r="BG2">
        <f t="shared" si="3"/>
        <v>9</v>
      </c>
      <c r="BH2">
        <f t="shared" si="3"/>
        <v>10</v>
      </c>
      <c r="BI2">
        <f t="shared" si="3"/>
        <v>11</v>
      </c>
      <c r="BJ2">
        <f t="shared" si="3"/>
        <v>12</v>
      </c>
      <c r="BM2">
        <v>1</v>
      </c>
      <c r="BN2">
        <f>BM2+1</f>
        <v>2</v>
      </c>
      <c r="BO2">
        <f t="shared" ref="BO2:BX2" si="4">BN2+1</f>
        <v>3</v>
      </c>
      <c r="BP2">
        <f t="shared" si="4"/>
        <v>4</v>
      </c>
      <c r="BQ2">
        <f t="shared" si="4"/>
        <v>5</v>
      </c>
      <c r="BR2">
        <f t="shared" si="4"/>
        <v>6</v>
      </c>
      <c r="BS2">
        <f t="shared" si="4"/>
        <v>7</v>
      </c>
      <c r="BT2">
        <f t="shared" si="4"/>
        <v>8</v>
      </c>
      <c r="BU2">
        <f t="shared" si="4"/>
        <v>9</v>
      </c>
      <c r="BV2">
        <f t="shared" si="4"/>
        <v>10</v>
      </c>
      <c r="BW2">
        <f t="shared" si="4"/>
        <v>11</v>
      </c>
      <c r="BX2">
        <f t="shared" si="4"/>
        <v>12</v>
      </c>
      <c r="CA2">
        <v>1</v>
      </c>
      <c r="CB2">
        <f>CA2+1</f>
        <v>2</v>
      </c>
      <c r="CC2">
        <f t="shared" ref="CC2:CL2" si="5">CB2+1</f>
        <v>3</v>
      </c>
      <c r="CD2">
        <f t="shared" si="5"/>
        <v>4</v>
      </c>
      <c r="CE2">
        <f t="shared" si="5"/>
        <v>5</v>
      </c>
      <c r="CF2">
        <f t="shared" si="5"/>
        <v>6</v>
      </c>
      <c r="CG2">
        <f t="shared" si="5"/>
        <v>7</v>
      </c>
      <c r="CH2">
        <f t="shared" si="5"/>
        <v>8</v>
      </c>
      <c r="CI2">
        <f t="shared" si="5"/>
        <v>9</v>
      </c>
      <c r="CJ2">
        <f t="shared" si="5"/>
        <v>10</v>
      </c>
      <c r="CK2">
        <f t="shared" si="5"/>
        <v>11</v>
      </c>
      <c r="CL2">
        <f t="shared" si="5"/>
        <v>12</v>
      </c>
      <c r="CO2">
        <v>1</v>
      </c>
      <c r="CP2">
        <f>CO2+1</f>
        <v>2</v>
      </c>
      <c r="CQ2">
        <f t="shared" ref="CQ2:CZ2" si="6">CP2+1</f>
        <v>3</v>
      </c>
      <c r="CR2">
        <f t="shared" si="6"/>
        <v>4</v>
      </c>
      <c r="CS2">
        <f t="shared" si="6"/>
        <v>5</v>
      </c>
      <c r="CT2">
        <f t="shared" si="6"/>
        <v>6</v>
      </c>
      <c r="CU2">
        <f t="shared" si="6"/>
        <v>7</v>
      </c>
      <c r="CV2">
        <f t="shared" si="6"/>
        <v>8</v>
      </c>
      <c r="CW2">
        <f t="shared" si="6"/>
        <v>9</v>
      </c>
      <c r="CX2">
        <f t="shared" si="6"/>
        <v>10</v>
      </c>
      <c r="CY2">
        <f t="shared" si="6"/>
        <v>11</v>
      </c>
      <c r="CZ2">
        <f t="shared" si="6"/>
        <v>12</v>
      </c>
      <c r="DC2">
        <v>1</v>
      </c>
      <c r="DD2">
        <f>DC2+1</f>
        <v>2</v>
      </c>
      <c r="DE2">
        <f t="shared" ref="DE2:DN2" si="7">DD2+1</f>
        <v>3</v>
      </c>
      <c r="DF2">
        <f t="shared" si="7"/>
        <v>4</v>
      </c>
      <c r="DG2">
        <f t="shared" si="7"/>
        <v>5</v>
      </c>
      <c r="DH2">
        <f t="shared" si="7"/>
        <v>6</v>
      </c>
      <c r="DI2">
        <f t="shared" si="7"/>
        <v>7</v>
      </c>
      <c r="DJ2">
        <f t="shared" si="7"/>
        <v>8</v>
      </c>
      <c r="DK2">
        <f t="shared" si="7"/>
        <v>9</v>
      </c>
      <c r="DL2">
        <f t="shared" si="7"/>
        <v>10</v>
      </c>
      <c r="DM2">
        <f t="shared" si="7"/>
        <v>11</v>
      </c>
      <c r="DN2">
        <f t="shared" si="7"/>
        <v>12</v>
      </c>
      <c r="DO2" s="31"/>
    </row>
    <row r="3" spans="1:139" x14ac:dyDescent="0.2">
      <c r="A3" s="9">
        <v>36192</v>
      </c>
      <c r="B3">
        <v>1999</v>
      </c>
      <c r="C3">
        <v>2</v>
      </c>
      <c r="D3" s="14">
        <v>-0.3392857142857143</v>
      </c>
      <c r="E3" s="14">
        <v>569.49999999999989</v>
      </c>
      <c r="F3" s="14">
        <v>0</v>
      </c>
      <c r="G3" s="14">
        <v>513.5</v>
      </c>
      <c r="H3" s="14">
        <v>0</v>
      </c>
      <c r="I3" s="14">
        <v>457.49999999999994</v>
      </c>
      <c r="J3" s="14">
        <v>0</v>
      </c>
      <c r="K3" s="14">
        <v>401.49999999999994</v>
      </c>
      <c r="L3" s="14">
        <v>0</v>
      </c>
      <c r="M3" s="14">
        <v>345.49999999999994</v>
      </c>
      <c r="N3" s="14">
        <v>0</v>
      </c>
      <c r="O3" s="14">
        <v>289.49999999999994</v>
      </c>
      <c r="P3" s="14">
        <v>0</v>
      </c>
      <c r="Q3" s="14">
        <v>233.5</v>
      </c>
      <c r="R3" s="14">
        <v>0</v>
      </c>
      <c r="U3" s="116" t="s">
        <v>151</v>
      </c>
      <c r="V3" s="117" t="s">
        <v>50</v>
      </c>
      <c r="W3" s="117" t="s">
        <v>51</v>
      </c>
      <c r="X3" s="117" t="s">
        <v>52</v>
      </c>
      <c r="Y3" s="117" t="s">
        <v>53</v>
      </c>
      <c r="Z3" s="117" t="s">
        <v>54</v>
      </c>
      <c r="AA3" s="117" t="s">
        <v>92</v>
      </c>
      <c r="AB3" s="117" t="s">
        <v>93</v>
      </c>
      <c r="AC3" s="117" t="s">
        <v>94</v>
      </c>
      <c r="AD3" s="117" t="s">
        <v>58</v>
      </c>
      <c r="AE3" s="117" t="s">
        <v>59</v>
      </c>
      <c r="AF3" s="117" t="s">
        <v>60</v>
      </c>
      <c r="AG3" s="117" t="s">
        <v>61</v>
      </c>
      <c r="AJ3" s="116" t="s">
        <v>31</v>
      </c>
      <c r="AK3" s="117" t="s">
        <v>50</v>
      </c>
      <c r="AL3" s="117" t="s">
        <v>51</v>
      </c>
      <c r="AM3" s="117" t="s">
        <v>52</v>
      </c>
      <c r="AN3" s="117" t="s">
        <v>53</v>
      </c>
      <c r="AO3" s="117" t="s">
        <v>54</v>
      </c>
      <c r="AP3" s="117" t="s">
        <v>92</v>
      </c>
      <c r="AQ3" s="117" t="s">
        <v>93</v>
      </c>
      <c r="AR3" s="117" t="s">
        <v>94</v>
      </c>
      <c r="AS3" s="117" t="s">
        <v>58</v>
      </c>
      <c r="AT3" s="117" t="s">
        <v>59</v>
      </c>
      <c r="AU3" s="117" t="s">
        <v>60</v>
      </c>
      <c r="AV3" s="117" t="s">
        <v>61</v>
      </c>
      <c r="AX3" s="116" t="s">
        <v>33</v>
      </c>
      <c r="AY3" s="117" t="s">
        <v>50</v>
      </c>
      <c r="AZ3" s="117" t="s">
        <v>51</v>
      </c>
      <c r="BA3" s="117" t="s">
        <v>52</v>
      </c>
      <c r="BB3" s="117" t="s">
        <v>53</v>
      </c>
      <c r="BC3" s="117" t="s">
        <v>54</v>
      </c>
      <c r="BD3" s="117" t="s">
        <v>92</v>
      </c>
      <c r="BE3" s="117" t="s">
        <v>93</v>
      </c>
      <c r="BF3" s="117" t="s">
        <v>94</v>
      </c>
      <c r="BG3" s="117" t="s">
        <v>58</v>
      </c>
      <c r="BH3" s="117" t="s">
        <v>59</v>
      </c>
      <c r="BI3" s="117" t="s">
        <v>60</v>
      </c>
      <c r="BJ3" s="117" t="s">
        <v>61</v>
      </c>
      <c r="BL3" s="116" t="s">
        <v>35</v>
      </c>
      <c r="BM3" s="117" t="s">
        <v>50</v>
      </c>
      <c r="BN3" s="117" t="s">
        <v>51</v>
      </c>
      <c r="BO3" s="117" t="s">
        <v>52</v>
      </c>
      <c r="BP3" s="117" t="s">
        <v>53</v>
      </c>
      <c r="BQ3" s="117" t="s">
        <v>54</v>
      </c>
      <c r="BR3" s="117" t="s">
        <v>92</v>
      </c>
      <c r="BS3" s="117" t="s">
        <v>93</v>
      </c>
      <c r="BT3" s="117" t="s">
        <v>94</v>
      </c>
      <c r="BU3" s="117" t="s">
        <v>58</v>
      </c>
      <c r="BV3" s="117" t="s">
        <v>59</v>
      </c>
      <c r="BW3" s="117" t="s">
        <v>60</v>
      </c>
      <c r="BX3" s="117" t="s">
        <v>61</v>
      </c>
      <c r="BZ3" s="116" t="s">
        <v>37</v>
      </c>
      <c r="CA3" s="117" t="s">
        <v>50</v>
      </c>
      <c r="CB3" s="117" t="s">
        <v>51</v>
      </c>
      <c r="CC3" s="117" t="s">
        <v>52</v>
      </c>
      <c r="CD3" s="117" t="s">
        <v>53</v>
      </c>
      <c r="CE3" s="117" t="s">
        <v>54</v>
      </c>
      <c r="CF3" s="117" t="s">
        <v>92</v>
      </c>
      <c r="CG3" s="117" t="s">
        <v>93</v>
      </c>
      <c r="CH3" s="117" t="s">
        <v>94</v>
      </c>
      <c r="CI3" s="117" t="s">
        <v>58</v>
      </c>
      <c r="CJ3" s="117" t="s">
        <v>59</v>
      </c>
      <c r="CK3" s="117" t="s">
        <v>60</v>
      </c>
      <c r="CL3" s="117" t="s">
        <v>61</v>
      </c>
      <c r="CN3" s="116" t="s">
        <v>153</v>
      </c>
      <c r="CO3" s="117" t="s">
        <v>50</v>
      </c>
      <c r="CP3" s="117" t="s">
        <v>51</v>
      </c>
      <c r="CQ3" s="117" t="s">
        <v>52</v>
      </c>
      <c r="CR3" s="117" t="s">
        <v>53</v>
      </c>
      <c r="CS3" s="117" t="s">
        <v>54</v>
      </c>
      <c r="CT3" s="117" t="s">
        <v>92</v>
      </c>
      <c r="CU3" s="117" t="s">
        <v>93</v>
      </c>
      <c r="CV3" s="117" t="s">
        <v>94</v>
      </c>
      <c r="CW3" s="117" t="s">
        <v>58</v>
      </c>
      <c r="CX3" s="117" t="s">
        <v>59</v>
      </c>
      <c r="CY3" s="117" t="s">
        <v>60</v>
      </c>
      <c r="CZ3" s="117" t="s">
        <v>61</v>
      </c>
      <c r="DB3" s="116" t="s">
        <v>155</v>
      </c>
      <c r="DC3" s="117" t="s">
        <v>50</v>
      </c>
      <c r="DD3" s="117" t="s">
        <v>51</v>
      </c>
      <c r="DE3" s="117" t="s">
        <v>52</v>
      </c>
      <c r="DF3" s="117" t="s">
        <v>53</v>
      </c>
      <c r="DG3" s="117" t="s">
        <v>54</v>
      </c>
      <c r="DH3" s="117" t="s">
        <v>92</v>
      </c>
      <c r="DI3" s="117" t="s">
        <v>93</v>
      </c>
      <c r="DJ3" s="117" t="s">
        <v>94</v>
      </c>
      <c r="DK3" s="117" t="s">
        <v>58</v>
      </c>
      <c r="DL3" s="117" t="s">
        <v>59</v>
      </c>
      <c r="DM3" s="117" t="s">
        <v>60</v>
      </c>
      <c r="DN3" s="117" t="s">
        <v>61</v>
      </c>
      <c r="DP3" s="31"/>
    </row>
    <row r="4" spans="1:139" x14ac:dyDescent="0.2">
      <c r="A4" s="9">
        <v>36220</v>
      </c>
      <c r="B4">
        <v>1999</v>
      </c>
      <c r="C4">
        <v>3</v>
      </c>
      <c r="D4" s="14">
        <v>1.2161290322580647</v>
      </c>
      <c r="E4" s="14">
        <v>582.30000000000018</v>
      </c>
      <c r="F4" s="14">
        <v>0</v>
      </c>
      <c r="G4" s="14">
        <v>520.30000000000018</v>
      </c>
      <c r="H4" s="14">
        <v>0</v>
      </c>
      <c r="I4" s="14">
        <v>458.30000000000007</v>
      </c>
      <c r="J4" s="14">
        <v>0</v>
      </c>
      <c r="K4" s="14">
        <v>396.60000000000008</v>
      </c>
      <c r="L4" s="14">
        <v>0.30000000000000071</v>
      </c>
      <c r="M4" s="14">
        <v>336.6</v>
      </c>
      <c r="N4" s="14">
        <v>2.3000000000000007</v>
      </c>
      <c r="O4" s="14">
        <v>276.59999999999997</v>
      </c>
      <c r="P4" s="14">
        <v>4.3000000000000007</v>
      </c>
      <c r="Q4" s="14">
        <v>218.29999999999995</v>
      </c>
      <c r="R4" s="14">
        <v>8.0000000000000018</v>
      </c>
      <c r="U4">
        <v>2004</v>
      </c>
      <c r="V4">
        <f>SUMIFS($E:$E,$B:$B,$U4,$C:$C,V$2)</f>
        <v>846.09999999999991</v>
      </c>
      <c r="W4">
        <f t="shared" ref="W4:AG4" si="8">SUMIFS($E:$E,$B:$B,$U4,$C:$C,W$2)</f>
        <v>632.90000000000009</v>
      </c>
      <c r="X4">
        <f t="shared" si="8"/>
        <v>538.1</v>
      </c>
      <c r="Y4">
        <f t="shared" si="8"/>
        <v>391.90000000000015</v>
      </c>
      <c r="Z4">
        <f t="shared" si="8"/>
        <v>234.59999999999997</v>
      </c>
      <c r="AA4">
        <f t="shared" si="8"/>
        <v>90.699999999999989</v>
      </c>
      <c r="AB4">
        <f t="shared" si="8"/>
        <v>24.400000000000002</v>
      </c>
      <c r="AC4">
        <f t="shared" si="8"/>
        <v>30.3</v>
      </c>
      <c r="AD4">
        <f t="shared" si="8"/>
        <v>50.1</v>
      </c>
      <c r="AE4">
        <f t="shared" si="8"/>
        <v>279.20000000000005</v>
      </c>
      <c r="AF4">
        <f t="shared" si="8"/>
        <v>403</v>
      </c>
      <c r="AG4">
        <f t="shared" si="8"/>
        <v>642.30000000000007</v>
      </c>
      <c r="AJ4">
        <v>2004</v>
      </c>
      <c r="AK4">
        <f t="shared" ref="AK4:AV13" si="9">SUMIFS($G:$G,$B:$B,$AJ4,$C:$C,AK$2)</f>
        <v>784.09999999999991</v>
      </c>
      <c r="AL4">
        <f t="shared" si="9"/>
        <v>574.9</v>
      </c>
      <c r="AM4">
        <f t="shared" si="9"/>
        <v>476.09999999999997</v>
      </c>
      <c r="AN4">
        <f t="shared" si="9"/>
        <v>332.60000000000008</v>
      </c>
      <c r="AO4">
        <f t="shared" si="9"/>
        <v>173.50000000000003</v>
      </c>
      <c r="AP4">
        <f t="shared" si="9"/>
        <v>47.599999999999994</v>
      </c>
      <c r="AQ4">
        <f t="shared" si="9"/>
        <v>4</v>
      </c>
      <c r="AR4">
        <f t="shared" si="9"/>
        <v>6.1999999999999957</v>
      </c>
      <c r="AS4">
        <f t="shared" si="9"/>
        <v>22.799999999999997</v>
      </c>
      <c r="AT4">
        <f t="shared" si="9"/>
        <v>218.40000000000003</v>
      </c>
      <c r="AU4">
        <f t="shared" si="9"/>
        <v>343</v>
      </c>
      <c r="AV4">
        <f t="shared" si="9"/>
        <v>580.30000000000007</v>
      </c>
      <c r="AW4" s="385">
        <f t="shared" ref="AW4:AW22" si="10">SUM(AK4:AV4)</f>
        <v>3563.5</v>
      </c>
      <c r="AX4">
        <v>2004</v>
      </c>
      <c r="AY4">
        <f t="shared" ref="AY4:BJ13" si="11">SUMIFS($I:$I,$B:$B,$AX4,$C:$C,AY$2)</f>
        <v>722.09999999999991</v>
      </c>
      <c r="AZ4">
        <f t="shared" si="11"/>
        <v>516.90000000000009</v>
      </c>
      <c r="BA4">
        <f t="shared" si="11"/>
        <v>414.09999999999997</v>
      </c>
      <c r="BB4">
        <f t="shared" si="11"/>
        <v>275.00000000000006</v>
      </c>
      <c r="BC4">
        <f t="shared" si="11"/>
        <v>115.69999999999999</v>
      </c>
      <c r="BD4">
        <f t="shared" si="11"/>
        <v>20</v>
      </c>
      <c r="BE4">
        <f t="shared" si="11"/>
        <v>0</v>
      </c>
      <c r="BF4">
        <f t="shared" si="11"/>
        <v>1.1999999999999993</v>
      </c>
      <c r="BG4">
        <f t="shared" si="11"/>
        <v>9</v>
      </c>
      <c r="BH4">
        <f t="shared" si="11"/>
        <v>161.10000000000002</v>
      </c>
      <c r="BI4">
        <f t="shared" si="11"/>
        <v>283.00000000000006</v>
      </c>
      <c r="BJ4">
        <f t="shared" si="11"/>
        <v>518.30000000000007</v>
      </c>
      <c r="BL4">
        <v>2004</v>
      </c>
      <c r="BM4">
        <f t="shared" ref="BM4:BX13" si="12">SUMIFS($K:$K,$B:$B,$BL4,$C:$C,BM$2)</f>
        <v>660.09999999999991</v>
      </c>
      <c r="BN4">
        <f t="shared" si="12"/>
        <v>458.90000000000003</v>
      </c>
      <c r="BO4">
        <f t="shared" si="12"/>
        <v>352.09999999999991</v>
      </c>
      <c r="BP4">
        <f t="shared" si="12"/>
        <v>219.20000000000005</v>
      </c>
      <c r="BQ4">
        <f t="shared" si="12"/>
        <v>68.999999999999986</v>
      </c>
      <c r="BR4">
        <f t="shared" si="12"/>
        <v>5.4</v>
      </c>
      <c r="BS4">
        <f t="shared" si="12"/>
        <v>0</v>
      </c>
      <c r="BT4">
        <f t="shared" si="12"/>
        <v>0</v>
      </c>
      <c r="BU4">
        <f t="shared" si="12"/>
        <v>1.4000000000000004</v>
      </c>
      <c r="BV4">
        <f t="shared" si="12"/>
        <v>111.3</v>
      </c>
      <c r="BW4">
        <f t="shared" si="12"/>
        <v>223</v>
      </c>
      <c r="BX4">
        <f t="shared" si="12"/>
        <v>456.3</v>
      </c>
      <c r="BZ4">
        <v>2004</v>
      </c>
      <c r="CA4">
        <f>SUMIFS($M:$M,$B:$B,$BZ4,$C:$C,CA$2)</f>
        <v>598.09999999999991</v>
      </c>
      <c r="CB4">
        <f t="shared" ref="CB4:CL4" si="13">SUMIFS($M:$M,$B:$B,$BZ4,$C:$C,CB$2)</f>
        <v>400.90000000000003</v>
      </c>
      <c r="CC4">
        <f t="shared" si="13"/>
        <v>292.09999999999991</v>
      </c>
      <c r="CD4">
        <f t="shared" si="13"/>
        <v>166.10000000000002</v>
      </c>
      <c r="CE4">
        <f t="shared" si="13"/>
        <v>34.800000000000004</v>
      </c>
      <c r="CF4">
        <f t="shared" si="13"/>
        <v>0.80000000000000071</v>
      </c>
      <c r="CG4">
        <f t="shared" si="13"/>
        <v>0</v>
      </c>
      <c r="CH4">
        <f t="shared" si="13"/>
        <v>0</v>
      </c>
      <c r="CI4">
        <f t="shared" si="13"/>
        <v>0</v>
      </c>
      <c r="CJ4">
        <f t="shared" si="13"/>
        <v>66.399999999999991</v>
      </c>
      <c r="CK4">
        <f t="shared" si="13"/>
        <v>163.00000000000003</v>
      </c>
      <c r="CL4">
        <f t="shared" si="13"/>
        <v>394.3</v>
      </c>
      <c r="CN4">
        <v>2004</v>
      </c>
      <c r="CO4">
        <f>SUMIFS($O:$O,$B:$B,$CN4,$C:$C,CO$2)</f>
        <v>536.1</v>
      </c>
      <c r="CP4">
        <f t="shared" ref="CP4:CZ4" si="14">SUMIFS($O:$O,$B:$B,$CN4,$C:$C,CP$2)</f>
        <v>342.90000000000003</v>
      </c>
      <c r="CQ4">
        <f t="shared" si="14"/>
        <v>233.7</v>
      </c>
      <c r="CR4">
        <f t="shared" si="14"/>
        <v>119.79999999999998</v>
      </c>
      <c r="CS4">
        <f t="shared" si="14"/>
        <v>16</v>
      </c>
      <c r="CT4">
        <f t="shared" si="14"/>
        <v>0</v>
      </c>
      <c r="CU4">
        <f t="shared" si="14"/>
        <v>0</v>
      </c>
      <c r="CV4">
        <f t="shared" si="14"/>
        <v>0</v>
      </c>
      <c r="CW4">
        <f t="shared" si="14"/>
        <v>0</v>
      </c>
      <c r="CX4">
        <f t="shared" si="14"/>
        <v>29.6</v>
      </c>
      <c r="CY4">
        <f t="shared" si="14"/>
        <v>106.10000000000001</v>
      </c>
      <c r="CZ4">
        <f t="shared" si="14"/>
        <v>332.3</v>
      </c>
      <c r="DB4">
        <v>2004</v>
      </c>
      <c r="DC4">
        <f>SUMIFS($Q:$Q,$B:$B,$DB4,$C:$C,DC$2)</f>
        <v>475.5</v>
      </c>
      <c r="DD4">
        <f t="shared" ref="DD4:DN4" si="15">SUMIFS($Q:$Q,$B:$B,$DB4,$C:$C,DD$2)</f>
        <v>284.89999999999998</v>
      </c>
      <c r="DE4">
        <f t="shared" si="15"/>
        <v>177.8</v>
      </c>
      <c r="DF4">
        <f t="shared" si="15"/>
        <v>75.999999999999986</v>
      </c>
      <c r="DG4">
        <f t="shared" si="15"/>
        <v>5.6</v>
      </c>
      <c r="DH4">
        <f t="shared" si="15"/>
        <v>0</v>
      </c>
      <c r="DI4">
        <f t="shared" si="15"/>
        <v>0</v>
      </c>
      <c r="DJ4">
        <f t="shared" si="15"/>
        <v>0</v>
      </c>
      <c r="DK4">
        <f t="shared" si="15"/>
        <v>0</v>
      </c>
      <c r="DL4">
        <f t="shared" si="15"/>
        <v>7.6999999999999993</v>
      </c>
      <c r="DM4">
        <f t="shared" si="15"/>
        <v>58.7</v>
      </c>
      <c r="DN4">
        <f t="shared" si="15"/>
        <v>270.59999999999997</v>
      </c>
    </row>
    <row r="5" spans="1:139" x14ac:dyDescent="0.2">
      <c r="A5" s="9">
        <v>36251</v>
      </c>
      <c r="B5">
        <v>1999</v>
      </c>
      <c r="C5">
        <v>4</v>
      </c>
      <c r="D5" s="14">
        <v>7.7266666666666657</v>
      </c>
      <c r="E5" s="14">
        <v>368.20000000000005</v>
      </c>
      <c r="F5" s="14">
        <v>0</v>
      </c>
      <c r="G5" s="14">
        <v>308.2</v>
      </c>
      <c r="H5" s="14">
        <v>0</v>
      </c>
      <c r="I5" s="14">
        <v>248.2</v>
      </c>
      <c r="J5" s="14">
        <v>0</v>
      </c>
      <c r="K5" s="14">
        <v>188.20000000000002</v>
      </c>
      <c r="L5" s="14">
        <v>0</v>
      </c>
      <c r="M5" s="14">
        <v>128.9</v>
      </c>
      <c r="N5" s="14">
        <v>0.69999999999999929</v>
      </c>
      <c r="O5" s="14">
        <v>76.8</v>
      </c>
      <c r="P5" s="14">
        <v>8.6</v>
      </c>
      <c r="Q5" s="14">
        <v>35.300000000000004</v>
      </c>
      <c r="R5" s="14">
        <v>27.099999999999994</v>
      </c>
      <c r="U5">
        <f>U4+1</f>
        <v>2005</v>
      </c>
      <c r="V5">
        <f t="shared" ref="V5:AG24" si="16">SUMIFS($E:$E,$B:$B,$U5,$C:$C,V$2)</f>
        <v>770.40000000000009</v>
      </c>
      <c r="W5">
        <f t="shared" si="16"/>
        <v>638</v>
      </c>
      <c r="X5">
        <f t="shared" si="16"/>
        <v>649.79999999999984</v>
      </c>
      <c r="Y5">
        <f t="shared" si="16"/>
        <v>385.29999999999995</v>
      </c>
      <c r="Z5">
        <f t="shared" si="16"/>
        <v>271.39999999999998</v>
      </c>
      <c r="AA5">
        <f t="shared" si="16"/>
        <v>33.500000000000007</v>
      </c>
      <c r="AB5">
        <f t="shared" si="16"/>
        <v>5.6999999999999993</v>
      </c>
      <c r="AC5">
        <f t="shared" si="16"/>
        <v>3.1000000000000014</v>
      </c>
      <c r="AD5">
        <f t="shared" si="16"/>
        <v>28.300000000000004</v>
      </c>
      <c r="AE5">
        <f t="shared" si="16"/>
        <v>259.10000000000002</v>
      </c>
      <c r="AF5">
        <f t="shared" si="16"/>
        <v>396.40000000000003</v>
      </c>
      <c r="AG5">
        <f t="shared" si="16"/>
        <v>681.20000000000016</v>
      </c>
      <c r="AJ5">
        <f>AJ4+1</f>
        <v>2005</v>
      </c>
      <c r="AK5">
        <f t="shared" si="9"/>
        <v>708.4000000000002</v>
      </c>
      <c r="AL5">
        <f t="shared" si="9"/>
        <v>582</v>
      </c>
      <c r="AM5">
        <f t="shared" si="9"/>
        <v>587.79999999999984</v>
      </c>
      <c r="AN5">
        <f t="shared" si="9"/>
        <v>325.3</v>
      </c>
      <c r="AO5">
        <f t="shared" si="9"/>
        <v>209.39999999999998</v>
      </c>
      <c r="AP5">
        <f t="shared" si="9"/>
        <v>13.600000000000001</v>
      </c>
      <c r="AQ5">
        <f t="shared" si="9"/>
        <v>1.5</v>
      </c>
      <c r="AR5">
        <f t="shared" si="9"/>
        <v>0</v>
      </c>
      <c r="AS5">
        <f t="shared" si="9"/>
        <v>10.000000000000002</v>
      </c>
      <c r="AT5">
        <f t="shared" si="9"/>
        <v>199.79999999999998</v>
      </c>
      <c r="AU5">
        <f t="shared" si="9"/>
        <v>336.40000000000003</v>
      </c>
      <c r="AV5">
        <f t="shared" si="9"/>
        <v>619.20000000000016</v>
      </c>
      <c r="AW5" s="385">
        <f t="shared" si="10"/>
        <v>3593.4000000000005</v>
      </c>
      <c r="AX5">
        <f>AX4+1</f>
        <v>2005</v>
      </c>
      <c r="AY5">
        <f t="shared" si="11"/>
        <v>646.4000000000002</v>
      </c>
      <c r="AZ5">
        <f t="shared" si="11"/>
        <v>526</v>
      </c>
      <c r="BA5">
        <f t="shared" si="11"/>
        <v>525.79999999999995</v>
      </c>
      <c r="BB5">
        <f t="shared" si="11"/>
        <v>265.3</v>
      </c>
      <c r="BC5">
        <f t="shared" si="11"/>
        <v>151.29999999999995</v>
      </c>
      <c r="BD5">
        <f t="shared" si="11"/>
        <v>1.6999999999999993</v>
      </c>
      <c r="BE5">
        <f t="shared" si="11"/>
        <v>0</v>
      </c>
      <c r="BF5">
        <f t="shared" si="11"/>
        <v>0</v>
      </c>
      <c r="BG5">
        <f t="shared" si="11"/>
        <v>2.0999999999999996</v>
      </c>
      <c r="BH5">
        <f t="shared" si="11"/>
        <v>145.79999999999998</v>
      </c>
      <c r="BI5">
        <f t="shared" si="11"/>
        <v>276.39999999999998</v>
      </c>
      <c r="BJ5">
        <f t="shared" si="11"/>
        <v>557.20000000000027</v>
      </c>
      <c r="BL5">
        <f>BL4+1</f>
        <v>2005</v>
      </c>
      <c r="BM5">
        <f t="shared" si="12"/>
        <v>584.40000000000009</v>
      </c>
      <c r="BN5">
        <f t="shared" si="12"/>
        <v>470.00000000000006</v>
      </c>
      <c r="BO5">
        <f t="shared" si="12"/>
        <v>463.8</v>
      </c>
      <c r="BP5">
        <f t="shared" si="12"/>
        <v>206.70000000000002</v>
      </c>
      <c r="BQ5">
        <f t="shared" si="12"/>
        <v>102.60000000000001</v>
      </c>
      <c r="BR5">
        <f t="shared" si="12"/>
        <v>0</v>
      </c>
      <c r="BS5">
        <f t="shared" si="12"/>
        <v>0</v>
      </c>
      <c r="BT5">
        <f t="shared" si="12"/>
        <v>0</v>
      </c>
      <c r="BU5">
        <f t="shared" si="12"/>
        <v>0</v>
      </c>
      <c r="BV5">
        <f t="shared" si="12"/>
        <v>93.9</v>
      </c>
      <c r="BW5">
        <f t="shared" si="12"/>
        <v>216.70000000000002</v>
      </c>
      <c r="BX5">
        <f t="shared" si="12"/>
        <v>495.20000000000022</v>
      </c>
      <c r="BZ5">
        <f>BZ4+1</f>
        <v>2005</v>
      </c>
      <c r="CA5">
        <f t="shared" ref="CA5:CL24" si="17">SUMIFS($M:$M,$B:$B,$BZ5,$C:$C,CA$2)</f>
        <v>522.40000000000009</v>
      </c>
      <c r="CB5">
        <f t="shared" si="17"/>
        <v>414.00000000000006</v>
      </c>
      <c r="CC5">
        <f t="shared" si="17"/>
        <v>401.8</v>
      </c>
      <c r="CD5">
        <f t="shared" si="17"/>
        <v>149.30000000000004</v>
      </c>
      <c r="CE5">
        <f t="shared" si="17"/>
        <v>61.399999999999991</v>
      </c>
      <c r="CF5">
        <f t="shared" si="17"/>
        <v>0</v>
      </c>
      <c r="CG5">
        <f t="shared" si="17"/>
        <v>0</v>
      </c>
      <c r="CH5">
        <f t="shared" si="17"/>
        <v>0</v>
      </c>
      <c r="CI5">
        <f t="shared" si="17"/>
        <v>0</v>
      </c>
      <c r="CJ5">
        <f t="shared" si="17"/>
        <v>51.999999999999993</v>
      </c>
      <c r="CK5">
        <f t="shared" si="17"/>
        <v>164.1</v>
      </c>
      <c r="CL5">
        <f t="shared" si="17"/>
        <v>433.20000000000022</v>
      </c>
      <c r="CN5">
        <f>CN4+1</f>
        <v>2005</v>
      </c>
      <c r="CO5">
        <f t="shared" ref="CO5:CZ24" si="18">SUMIFS($O:$O,$B:$B,$CN5,$C:$C,CO$2)</f>
        <v>460.40000000000003</v>
      </c>
      <c r="CP5">
        <f t="shared" si="18"/>
        <v>358</v>
      </c>
      <c r="CQ5">
        <f t="shared" si="18"/>
        <v>339.79999999999995</v>
      </c>
      <c r="CR5">
        <f t="shared" si="18"/>
        <v>97.8</v>
      </c>
      <c r="CS5">
        <f t="shared" si="18"/>
        <v>29.5</v>
      </c>
      <c r="CT5">
        <f t="shared" si="18"/>
        <v>0</v>
      </c>
      <c r="CU5">
        <f t="shared" si="18"/>
        <v>0</v>
      </c>
      <c r="CV5">
        <f t="shared" si="18"/>
        <v>0</v>
      </c>
      <c r="CW5">
        <f t="shared" si="18"/>
        <v>0</v>
      </c>
      <c r="CX5">
        <f t="shared" si="18"/>
        <v>27.099999999999998</v>
      </c>
      <c r="CY5">
        <f t="shared" si="18"/>
        <v>119.90000000000002</v>
      </c>
      <c r="CZ5">
        <f t="shared" si="18"/>
        <v>371.20000000000022</v>
      </c>
      <c r="DB5">
        <f>DB4+1</f>
        <v>2005</v>
      </c>
      <c r="DC5">
        <f t="shared" ref="DC5:DN22" si="19">SUMIFS($Q:$Q,$B:$B,$DB5,$C:$C,DC$2)</f>
        <v>400.1</v>
      </c>
      <c r="DD5">
        <f t="shared" si="19"/>
        <v>302.00000000000006</v>
      </c>
      <c r="DE5">
        <f t="shared" si="19"/>
        <v>279.40000000000009</v>
      </c>
      <c r="DF5">
        <f t="shared" si="19"/>
        <v>51.400000000000006</v>
      </c>
      <c r="DG5">
        <f t="shared" si="19"/>
        <v>11.599999999999998</v>
      </c>
      <c r="DH5">
        <f t="shared" si="19"/>
        <v>0</v>
      </c>
      <c r="DI5">
        <f t="shared" si="19"/>
        <v>0</v>
      </c>
      <c r="DJ5">
        <f t="shared" si="19"/>
        <v>0</v>
      </c>
      <c r="DK5">
        <f t="shared" si="19"/>
        <v>0</v>
      </c>
      <c r="DL5">
        <f t="shared" si="19"/>
        <v>9.1</v>
      </c>
      <c r="DM5">
        <f t="shared" si="19"/>
        <v>87.3</v>
      </c>
      <c r="DN5">
        <f t="shared" si="19"/>
        <v>309.20000000000016</v>
      </c>
    </row>
    <row r="6" spans="1:139" x14ac:dyDescent="0.2">
      <c r="A6" s="9">
        <v>36281</v>
      </c>
      <c r="B6">
        <v>1999</v>
      </c>
      <c r="C6">
        <v>5</v>
      </c>
      <c r="D6" s="14">
        <v>14.306451612903224</v>
      </c>
      <c r="E6" s="14">
        <v>182.60000000000002</v>
      </c>
      <c r="F6" s="14">
        <v>6.0999999999999979</v>
      </c>
      <c r="G6" s="14">
        <v>129.4</v>
      </c>
      <c r="H6" s="14">
        <v>14.899999999999999</v>
      </c>
      <c r="I6" s="14">
        <v>78.3</v>
      </c>
      <c r="J6" s="14">
        <v>25.799999999999997</v>
      </c>
      <c r="K6" s="14">
        <v>36.800000000000004</v>
      </c>
      <c r="L6" s="14">
        <v>46.29999999999999</v>
      </c>
      <c r="M6" s="14">
        <v>11.299999999999999</v>
      </c>
      <c r="N6" s="14">
        <v>82.800000000000011</v>
      </c>
      <c r="O6" s="14">
        <v>0.19999999999999929</v>
      </c>
      <c r="P6" s="14">
        <v>133.70000000000002</v>
      </c>
      <c r="Q6" s="14">
        <v>0</v>
      </c>
      <c r="R6" s="14">
        <v>195.49999999999997</v>
      </c>
      <c r="U6">
        <f t="shared" ref="U6:U26" si="20">U5+1</f>
        <v>2006</v>
      </c>
      <c r="V6">
        <f t="shared" si="16"/>
        <v>569.09999999999991</v>
      </c>
      <c r="W6">
        <f t="shared" si="16"/>
        <v>609.59999999999991</v>
      </c>
      <c r="X6">
        <f t="shared" si="16"/>
        <v>549.90000000000009</v>
      </c>
      <c r="Y6">
        <f t="shared" si="16"/>
        <v>371.69999999999993</v>
      </c>
      <c r="Z6">
        <f t="shared" si="16"/>
        <v>216</v>
      </c>
      <c r="AA6">
        <f t="shared" si="16"/>
        <v>48.400000000000006</v>
      </c>
      <c r="AB6">
        <f t="shared" si="16"/>
        <v>9.6000000000000014</v>
      </c>
      <c r="AC6">
        <f t="shared" si="16"/>
        <v>14.399999999999999</v>
      </c>
      <c r="AD6">
        <f t="shared" si="16"/>
        <v>107.99999999999999</v>
      </c>
      <c r="AE6">
        <f t="shared" si="16"/>
        <v>311.20000000000005</v>
      </c>
      <c r="AF6">
        <f t="shared" si="16"/>
        <v>421.19999999999993</v>
      </c>
      <c r="AG6">
        <f t="shared" si="16"/>
        <v>518.79999999999995</v>
      </c>
      <c r="AJ6">
        <f t="shared" ref="AJ6:AJ26" si="21">AJ5+1</f>
        <v>2006</v>
      </c>
      <c r="AK6">
        <f t="shared" si="9"/>
        <v>507.09999999999997</v>
      </c>
      <c r="AL6">
        <f t="shared" si="9"/>
        <v>553.6</v>
      </c>
      <c r="AM6">
        <f t="shared" si="9"/>
        <v>487.90000000000003</v>
      </c>
      <c r="AN6">
        <f t="shared" si="9"/>
        <v>311.69999999999993</v>
      </c>
      <c r="AO6">
        <f t="shared" si="9"/>
        <v>160.00000000000003</v>
      </c>
      <c r="AP6">
        <f t="shared" si="9"/>
        <v>19.199999999999996</v>
      </c>
      <c r="AQ6">
        <f t="shared" si="9"/>
        <v>0.80000000000000071</v>
      </c>
      <c r="AR6">
        <f t="shared" si="9"/>
        <v>1.8999999999999986</v>
      </c>
      <c r="AS6">
        <f t="shared" si="9"/>
        <v>59.099999999999994</v>
      </c>
      <c r="AT6">
        <f t="shared" si="9"/>
        <v>249.2</v>
      </c>
      <c r="AU6">
        <f t="shared" si="9"/>
        <v>361.19999999999993</v>
      </c>
      <c r="AV6">
        <f t="shared" si="9"/>
        <v>456.79999999999995</v>
      </c>
      <c r="AW6" s="385">
        <f t="shared" si="10"/>
        <v>3168.5</v>
      </c>
      <c r="AX6">
        <f t="shared" ref="AX6:AX26" si="22">AX5+1</f>
        <v>2006</v>
      </c>
      <c r="AY6">
        <f t="shared" si="11"/>
        <v>445.09999999999991</v>
      </c>
      <c r="AZ6">
        <f t="shared" si="11"/>
        <v>497.6</v>
      </c>
      <c r="BA6">
        <f t="shared" si="11"/>
        <v>425.90000000000003</v>
      </c>
      <c r="BB6">
        <f t="shared" si="11"/>
        <v>251.69999999999996</v>
      </c>
      <c r="BC6">
        <f t="shared" si="11"/>
        <v>105.89999999999999</v>
      </c>
      <c r="BD6">
        <f t="shared" si="11"/>
        <v>6.6</v>
      </c>
      <c r="BE6">
        <f t="shared" si="11"/>
        <v>0</v>
      </c>
      <c r="BF6">
        <f t="shared" si="11"/>
        <v>0</v>
      </c>
      <c r="BG6">
        <f t="shared" si="11"/>
        <v>26.400000000000002</v>
      </c>
      <c r="BH6">
        <f t="shared" si="11"/>
        <v>188.70000000000002</v>
      </c>
      <c r="BI6">
        <f t="shared" si="11"/>
        <v>301.2</v>
      </c>
      <c r="BJ6">
        <f t="shared" si="11"/>
        <v>394.79999999999995</v>
      </c>
      <c r="BL6">
        <f t="shared" ref="BL6:BL26" si="23">BL5+1</f>
        <v>2006</v>
      </c>
      <c r="BM6">
        <f t="shared" si="12"/>
        <v>383.09999999999991</v>
      </c>
      <c r="BN6">
        <f t="shared" si="12"/>
        <v>441.6</v>
      </c>
      <c r="BO6">
        <f t="shared" si="12"/>
        <v>363.90000000000003</v>
      </c>
      <c r="BP6">
        <f t="shared" si="12"/>
        <v>191.79999999999998</v>
      </c>
      <c r="BQ6">
        <f t="shared" si="12"/>
        <v>62.000000000000007</v>
      </c>
      <c r="BR6">
        <f t="shared" si="12"/>
        <v>0.69999999999999929</v>
      </c>
      <c r="BS6">
        <f t="shared" si="12"/>
        <v>0</v>
      </c>
      <c r="BT6">
        <f t="shared" si="12"/>
        <v>0</v>
      </c>
      <c r="BU6">
        <f t="shared" si="12"/>
        <v>9.3000000000000007</v>
      </c>
      <c r="BV6">
        <f t="shared" si="12"/>
        <v>134.5</v>
      </c>
      <c r="BW6">
        <f t="shared" si="12"/>
        <v>241.20000000000007</v>
      </c>
      <c r="BX6">
        <f t="shared" si="12"/>
        <v>332.79999999999995</v>
      </c>
      <c r="BZ6">
        <f t="shared" ref="BZ6:BZ26" si="24">BZ5+1</f>
        <v>2006</v>
      </c>
      <c r="CA6">
        <f t="shared" si="17"/>
        <v>321.09999999999997</v>
      </c>
      <c r="CB6">
        <f t="shared" si="17"/>
        <v>385.6</v>
      </c>
      <c r="CC6">
        <f t="shared" si="17"/>
        <v>301.90000000000003</v>
      </c>
      <c r="CD6">
        <f t="shared" si="17"/>
        <v>134.10000000000002</v>
      </c>
      <c r="CE6">
        <f t="shared" si="17"/>
        <v>26</v>
      </c>
      <c r="CF6">
        <f t="shared" si="17"/>
        <v>0</v>
      </c>
      <c r="CG6">
        <f t="shared" si="17"/>
        <v>0</v>
      </c>
      <c r="CH6">
        <f t="shared" si="17"/>
        <v>0</v>
      </c>
      <c r="CI6">
        <f t="shared" si="17"/>
        <v>1.5</v>
      </c>
      <c r="CJ6">
        <f t="shared" si="17"/>
        <v>89.500000000000014</v>
      </c>
      <c r="CK6">
        <f t="shared" si="17"/>
        <v>181.20000000000002</v>
      </c>
      <c r="CL6">
        <f t="shared" si="17"/>
        <v>270.8</v>
      </c>
      <c r="CN6">
        <f t="shared" ref="CN6:CN26" si="25">CN5+1</f>
        <v>2006</v>
      </c>
      <c r="CO6">
        <f t="shared" si="18"/>
        <v>259.09999999999991</v>
      </c>
      <c r="CP6">
        <f t="shared" si="18"/>
        <v>329.6</v>
      </c>
      <c r="CQ6">
        <f t="shared" si="18"/>
        <v>241.89999999999998</v>
      </c>
      <c r="CR6">
        <f t="shared" si="18"/>
        <v>82.500000000000014</v>
      </c>
      <c r="CS6">
        <f t="shared" si="18"/>
        <v>6.5000000000000009</v>
      </c>
      <c r="CT6">
        <f t="shared" si="18"/>
        <v>0</v>
      </c>
      <c r="CU6">
        <f t="shared" si="18"/>
        <v>0</v>
      </c>
      <c r="CV6">
        <f t="shared" si="18"/>
        <v>0</v>
      </c>
      <c r="CW6">
        <f t="shared" si="18"/>
        <v>0</v>
      </c>
      <c r="CX6">
        <f t="shared" si="18"/>
        <v>51.199999999999996</v>
      </c>
      <c r="CY6">
        <f t="shared" si="18"/>
        <v>124.20000000000002</v>
      </c>
      <c r="CZ6">
        <f t="shared" si="18"/>
        <v>208.8</v>
      </c>
      <c r="DB6">
        <f t="shared" ref="DB6:DB26" si="26">DB5+1</f>
        <v>2006</v>
      </c>
      <c r="DC6">
        <f t="shared" si="19"/>
        <v>197.09999999999997</v>
      </c>
      <c r="DD6">
        <f t="shared" si="19"/>
        <v>273.60000000000002</v>
      </c>
      <c r="DE6">
        <f t="shared" si="19"/>
        <v>184.89999999999998</v>
      </c>
      <c r="DF6">
        <f t="shared" si="19"/>
        <v>40.000000000000007</v>
      </c>
      <c r="DG6">
        <f t="shared" si="19"/>
        <v>1.2999999999999998</v>
      </c>
      <c r="DH6">
        <f t="shared" si="19"/>
        <v>0</v>
      </c>
      <c r="DI6">
        <f t="shared" si="19"/>
        <v>0</v>
      </c>
      <c r="DJ6">
        <f t="shared" si="19"/>
        <v>0</v>
      </c>
      <c r="DK6">
        <f t="shared" si="19"/>
        <v>0</v>
      </c>
      <c r="DL6">
        <f t="shared" si="19"/>
        <v>21.799999999999997</v>
      </c>
      <c r="DM6">
        <f t="shared" si="19"/>
        <v>76.100000000000009</v>
      </c>
      <c r="DN6">
        <f t="shared" si="19"/>
        <v>148.30000000000004</v>
      </c>
    </row>
    <row r="7" spans="1:139" x14ac:dyDescent="0.2">
      <c r="A7" s="9">
        <v>36312</v>
      </c>
      <c r="B7">
        <v>1999</v>
      </c>
      <c r="C7">
        <v>6</v>
      </c>
      <c r="D7" s="14">
        <v>19.388333333333335</v>
      </c>
      <c r="E7" s="14">
        <v>57.399999999999984</v>
      </c>
      <c r="F7" s="14">
        <v>39.050000000000004</v>
      </c>
      <c r="G7" s="14">
        <v>27.899999999999995</v>
      </c>
      <c r="H7" s="14">
        <v>69.55</v>
      </c>
      <c r="I7" s="14">
        <v>9.6999999999999993</v>
      </c>
      <c r="J7" s="14">
        <v>111.35</v>
      </c>
      <c r="K7" s="14">
        <v>1.5</v>
      </c>
      <c r="L7" s="14">
        <v>163.15</v>
      </c>
      <c r="M7" s="14">
        <v>0</v>
      </c>
      <c r="N7" s="14">
        <v>221.65000000000003</v>
      </c>
      <c r="O7" s="14">
        <v>0</v>
      </c>
      <c r="P7" s="14">
        <v>281.64999999999998</v>
      </c>
      <c r="Q7" s="14">
        <v>0</v>
      </c>
      <c r="R7" s="14">
        <v>341.65</v>
      </c>
      <c r="U7">
        <f t="shared" si="20"/>
        <v>2007</v>
      </c>
      <c r="V7">
        <f t="shared" si="16"/>
        <v>661.90000000000009</v>
      </c>
      <c r="W7">
        <f t="shared" si="16"/>
        <v>749.3</v>
      </c>
      <c r="X7">
        <f t="shared" si="16"/>
        <v>584.20000000000005</v>
      </c>
      <c r="Y7">
        <f t="shared" si="16"/>
        <v>418.09999999999997</v>
      </c>
      <c r="Z7">
        <f t="shared" si="16"/>
        <v>212.39999999999998</v>
      </c>
      <c r="AA7">
        <f t="shared" si="16"/>
        <v>33.200000000000003</v>
      </c>
      <c r="AB7">
        <f t="shared" si="16"/>
        <v>17.900000000000002</v>
      </c>
      <c r="AC7">
        <f t="shared" si="16"/>
        <v>13.8</v>
      </c>
      <c r="AD7">
        <f t="shared" si="16"/>
        <v>61.800000000000004</v>
      </c>
      <c r="AE7">
        <f t="shared" si="16"/>
        <v>165.89999999999998</v>
      </c>
      <c r="AF7">
        <f t="shared" si="16"/>
        <v>461.8</v>
      </c>
      <c r="AG7">
        <f t="shared" si="16"/>
        <v>639.09999999999991</v>
      </c>
      <c r="AJ7">
        <f t="shared" si="21"/>
        <v>2007</v>
      </c>
      <c r="AK7">
        <f t="shared" si="9"/>
        <v>599.90000000000009</v>
      </c>
      <c r="AL7">
        <f t="shared" si="9"/>
        <v>693.3</v>
      </c>
      <c r="AM7">
        <f t="shared" si="9"/>
        <v>522.20000000000005</v>
      </c>
      <c r="AN7">
        <f t="shared" si="9"/>
        <v>358.09999999999997</v>
      </c>
      <c r="AO7">
        <f t="shared" si="9"/>
        <v>158.79999999999998</v>
      </c>
      <c r="AP7">
        <f t="shared" si="9"/>
        <v>13.600000000000001</v>
      </c>
      <c r="AQ7">
        <f t="shared" si="9"/>
        <v>1.6000000000000014</v>
      </c>
      <c r="AR7">
        <f t="shared" si="9"/>
        <v>2.600000000000005</v>
      </c>
      <c r="AS7">
        <f t="shared" si="9"/>
        <v>29.100000000000005</v>
      </c>
      <c r="AT7">
        <f t="shared" si="9"/>
        <v>118.5</v>
      </c>
      <c r="AU7">
        <f t="shared" si="9"/>
        <v>401.8</v>
      </c>
      <c r="AV7">
        <f t="shared" si="9"/>
        <v>577.0999999999998</v>
      </c>
      <c r="AW7" s="385">
        <f t="shared" si="10"/>
        <v>3476.6</v>
      </c>
      <c r="AX7">
        <f t="shared" si="22"/>
        <v>2007</v>
      </c>
      <c r="AY7">
        <f t="shared" si="11"/>
        <v>537.90000000000009</v>
      </c>
      <c r="AZ7">
        <f t="shared" si="11"/>
        <v>637.29999999999995</v>
      </c>
      <c r="BA7">
        <f t="shared" si="11"/>
        <v>460.20000000000005</v>
      </c>
      <c r="BB7">
        <f t="shared" si="11"/>
        <v>299.7</v>
      </c>
      <c r="BC7">
        <f t="shared" si="11"/>
        <v>110.09999999999998</v>
      </c>
      <c r="BD7">
        <f t="shared" si="11"/>
        <v>3.5</v>
      </c>
      <c r="BE7">
        <f t="shared" si="11"/>
        <v>0</v>
      </c>
      <c r="BF7">
        <f t="shared" si="11"/>
        <v>0</v>
      </c>
      <c r="BG7">
        <f t="shared" si="11"/>
        <v>10.299999999999999</v>
      </c>
      <c r="BH7">
        <f t="shared" si="11"/>
        <v>77.500000000000028</v>
      </c>
      <c r="BI7">
        <f t="shared" si="11"/>
        <v>341.8</v>
      </c>
      <c r="BJ7">
        <f t="shared" si="11"/>
        <v>515.0999999999998</v>
      </c>
      <c r="BL7">
        <f t="shared" si="23"/>
        <v>2007</v>
      </c>
      <c r="BM7">
        <f t="shared" si="12"/>
        <v>475.90000000000003</v>
      </c>
      <c r="BN7">
        <f t="shared" si="12"/>
        <v>581.29999999999984</v>
      </c>
      <c r="BO7">
        <f t="shared" si="12"/>
        <v>398.20000000000005</v>
      </c>
      <c r="BP7">
        <f t="shared" si="12"/>
        <v>244</v>
      </c>
      <c r="BQ7">
        <f t="shared" si="12"/>
        <v>69.5</v>
      </c>
      <c r="BR7">
        <f t="shared" si="12"/>
        <v>0</v>
      </c>
      <c r="BS7">
        <f t="shared" si="12"/>
        <v>0</v>
      </c>
      <c r="BT7">
        <f t="shared" si="12"/>
        <v>0</v>
      </c>
      <c r="BU7">
        <f t="shared" si="12"/>
        <v>3.2999999999999989</v>
      </c>
      <c r="BV7">
        <f t="shared" si="12"/>
        <v>41.3</v>
      </c>
      <c r="BW7">
        <f t="shared" si="12"/>
        <v>281.80000000000007</v>
      </c>
      <c r="BX7">
        <f t="shared" si="12"/>
        <v>453.09999999999991</v>
      </c>
      <c r="BZ7">
        <f t="shared" si="24"/>
        <v>2007</v>
      </c>
      <c r="CA7">
        <f t="shared" si="17"/>
        <v>413.90000000000009</v>
      </c>
      <c r="CB7">
        <f t="shared" si="17"/>
        <v>525.29999999999995</v>
      </c>
      <c r="CC7">
        <f t="shared" si="17"/>
        <v>336.2</v>
      </c>
      <c r="CD7">
        <f t="shared" si="17"/>
        <v>191.8</v>
      </c>
      <c r="CE7">
        <f t="shared" si="17"/>
        <v>36</v>
      </c>
      <c r="CF7">
        <f t="shared" si="17"/>
        <v>0</v>
      </c>
      <c r="CG7">
        <f t="shared" si="17"/>
        <v>0</v>
      </c>
      <c r="CH7">
        <f t="shared" si="17"/>
        <v>0</v>
      </c>
      <c r="CI7">
        <f t="shared" si="17"/>
        <v>0.69999999999999929</v>
      </c>
      <c r="CJ7">
        <f t="shared" si="17"/>
        <v>16.599999999999998</v>
      </c>
      <c r="CK7">
        <f t="shared" si="17"/>
        <v>223.20000000000005</v>
      </c>
      <c r="CL7">
        <f t="shared" si="17"/>
        <v>391.09999999999991</v>
      </c>
      <c r="CN7">
        <f t="shared" si="25"/>
        <v>2007</v>
      </c>
      <c r="CO7">
        <f t="shared" si="18"/>
        <v>351.90000000000009</v>
      </c>
      <c r="CP7">
        <f t="shared" si="18"/>
        <v>469.2999999999999</v>
      </c>
      <c r="CQ7">
        <f t="shared" si="18"/>
        <v>275.5</v>
      </c>
      <c r="CR7">
        <f t="shared" si="18"/>
        <v>144.30000000000001</v>
      </c>
      <c r="CS7">
        <f t="shared" si="18"/>
        <v>11.499999999999998</v>
      </c>
      <c r="CT7">
        <f t="shared" si="18"/>
        <v>0</v>
      </c>
      <c r="CU7">
        <f t="shared" si="18"/>
        <v>0</v>
      </c>
      <c r="CV7">
        <f t="shared" si="18"/>
        <v>0</v>
      </c>
      <c r="CW7">
        <f t="shared" si="18"/>
        <v>0</v>
      </c>
      <c r="CX7">
        <f t="shared" si="18"/>
        <v>4.8</v>
      </c>
      <c r="CY7">
        <f t="shared" si="18"/>
        <v>165.5</v>
      </c>
      <c r="CZ7">
        <f t="shared" si="18"/>
        <v>329.09999999999997</v>
      </c>
      <c r="DB7">
        <f t="shared" si="26"/>
        <v>2007</v>
      </c>
      <c r="DC7">
        <f t="shared" si="19"/>
        <v>291.20000000000005</v>
      </c>
      <c r="DD7">
        <f t="shared" si="19"/>
        <v>413.2999999999999</v>
      </c>
      <c r="DE7">
        <f t="shared" si="19"/>
        <v>218.70000000000005</v>
      </c>
      <c r="DF7">
        <f t="shared" si="19"/>
        <v>102.69999999999999</v>
      </c>
      <c r="DG7">
        <f t="shared" si="19"/>
        <v>1.0999999999999996</v>
      </c>
      <c r="DH7">
        <f t="shared" si="19"/>
        <v>0</v>
      </c>
      <c r="DI7">
        <f t="shared" si="19"/>
        <v>0</v>
      </c>
      <c r="DJ7">
        <f t="shared" si="19"/>
        <v>0</v>
      </c>
      <c r="DK7">
        <f t="shared" si="19"/>
        <v>0</v>
      </c>
      <c r="DL7">
        <f t="shared" si="19"/>
        <v>1.2000000000000002</v>
      </c>
      <c r="DM7">
        <f t="shared" si="19"/>
        <v>114.1</v>
      </c>
      <c r="DN7">
        <f t="shared" si="19"/>
        <v>267.10000000000002</v>
      </c>
    </row>
    <row r="8" spans="1:139" x14ac:dyDescent="0.2">
      <c r="A8" s="9">
        <v>36342</v>
      </c>
      <c r="B8">
        <v>1999</v>
      </c>
      <c r="C8">
        <v>7</v>
      </c>
      <c r="D8" s="14">
        <v>23.906451612903226</v>
      </c>
      <c r="E8" s="14">
        <v>4.6000000000000014</v>
      </c>
      <c r="F8" s="14">
        <v>125.7</v>
      </c>
      <c r="G8" s="14">
        <v>0.10000000000000142</v>
      </c>
      <c r="H8" s="14">
        <v>183.2</v>
      </c>
      <c r="I8" s="14">
        <v>0</v>
      </c>
      <c r="J8" s="14">
        <v>245.10000000000002</v>
      </c>
      <c r="K8" s="14">
        <v>0</v>
      </c>
      <c r="L8" s="14">
        <v>307.10000000000002</v>
      </c>
      <c r="M8" s="14">
        <v>0</v>
      </c>
      <c r="N8" s="14">
        <v>369.10000000000014</v>
      </c>
      <c r="O8" s="14">
        <v>0</v>
      </c>
      <c r="P8" s="14">
        <v>431.10000000000008</v>
      </c>
      <c r="Q8" s="14">
        <v>0</v>
      </c>
      <c r="R8" s="14">
        <v>493.10000000000008</v>
      </c>
      <c r="U8">
        <f t="shared" si="20"/>
        <v>2008</v>
      </c>
      <c r="V8">
        <f t="shared" si="16"/>
        <v>630.79999999999995</v>
      </c>
      <c r="W8">
        <f t="shared" si="16"/>
        <v>675.99999999999989</v>
      </c>
      <c r="X8">
        <f t="shared" si="16"/>
        <v>629.00000000000011</v>
      </c>
      <c r="Y8">
        <f t="shared" si="16"/>
        <v>364.5</v>
      </c>
      <c r="Z8">
        <f t="shared" si="16"/>
        <v>249.9</v>
      </c>
      <c r="AA8">
        <f t="shared" si="16"/>
        <v>57.199999999999989</v>
      </c>
      <c r="AB8">
        <f t="shared" si="16"/>
        <v>13.200000000000003</v>
      </c>
      <c r="AC8">
        <f t="shared" si="16"/>
        <v>30.900000000000006</v>
      </c>
      <c r="AD8">
        <f t="shared" si="16"/>
        <v>77.8</v>
      </c>
      <c r="AE8">
        <f t="shared" si="16"/>
        <v>292.39999999999998</v>
      </c>
      <c r="AF8">
        <f t="shared" si="16"/>
        <v>473.8</v>
      </c>
      <c r="AG8">
        <f t="shared" si="16"/>
        <v>660.69999999999993</v>
      </c>
      <c r="AJ8">
        <f t="shared" si="21"/>
        <v>2008</v>
      </c>
      <c r="AK8">
        <f t="shared" si="9"/>
        <v>568.79999999999995</v>
      </c>
      <c r="AL8">
        <f t="shared" si="9"/>
        <v>617.99999999999989</v>
      </c>
      <c r="AM8">
        <f t="shared" si="9"/>
        <v>567.00000000000011</v>
      </c>
      <c r="AN8">
        <f t="shared" si="9"/>
        <v>304.5</v>
      </c>
      <c r="AO8">
        <f t="shared" si="9"/>
        <v>190.39999999999995</v>
      </c>
      <c r="AP8">
        <f t="shared" si="9"/>
        <v>32.199999999999996</v>
      </c>
      <c r="AQ8">
        <f t="shared" si="9"/>
        <v>2.3000000000000007</v>
      </c>
      <c r="AR8">
        <f t="shared" si="9"/>
        <v>8.1000000000000014</v>
      </c>
      <c r="AS8">
        <f t="shared" si="9"/>
        <v>36.599999999999994</v>
      </c>
      <c r="AT8">
        <f t="shared" si="9"/>
        <v>231.50000000000003</v>
      </c>
      <c r="AU8">
        <f t="shared" si="9"/>
        <v>413.80000000000007</v>
      </c>
      <c r="AV8">
        <f t="shared" si="9"/>
        <v>598.69999999999993</v>
      </c>
      <c r="AW8" s="385">
        <f t="shared" si="10"/>
        <v>3571.8999999999996</v>
      </c>
      <c r="AX8">
        <f t="shared" si="22"/>
        <v>2008</v>
      </c>
      <c r="AY8">
        <f t="shared" si="11"/>
        <v>506.8</v>
      </c>
      <c r="AZ8">
        <f t="shared" si="11"/>
        <v>559.99999999999989</v>
      </c>
      <c r="BA8">
        <f t="shared" si="11"/>
        <v>505.00000000000011</v>
      </c>
      <c r="BB8">
        <f t="shared" si="11"/>
        <v>244.49999999999997</v>
      </c>
      <c r="BC8">
        <f t="shared" si="11"/>
        <v>132.9</v>
      </c>
      <c r="BD8">
        <f t="shared" si="11"/>
        <v>14.3</v>
      </c>
      <c r="BE8">
        <f t="shared" si="11"/>
        <v>0</v>
      </c>
      <c r="BF8">
        <f t="shared" si="11"/>
        <v>1</v>
      </c>
      <c r="BG8">
        <f t="shared" si="11"/>
        <v>8.6999999999999993</v>
      </c>
      <c r="BH8">
        <f t="shared" si="11"/>
        <v>171.60000000000002</v>
      </c>
      <c r="BI8">
        <f t="shared" si="11"/>
        <v>353.80000000000007</v>
      </c>
      <c r="BJ8">
        <f t="shared" si="11"/>
        <v>536.69999999999982</v>
      </c>
      <c r="BL8">
        <f t="shared" si="23"/>
        <v>2008</v>
      </c>
      <c r="BM8">
        <f t="shared" si="12"/>
        <v>444.8</v>
      </c>
      <c r="BN8">
        <f t="shared" si="12"/>
        <v>502.00000000000006</v>
      </c>
      <c r="BO8">
        <f t="shared" si="12"/>
        <v>443.00000000000011</v>
      </c>
      <c r="BP8">
        <f t="shared" si="12"/>
        <v>184.49999999999997</v>
      </c>
      <c r="BQ8">
        <f t="shared" si="12"/>
        <v>80.100000000000009</v>
      </c>
      <c r="BR8">
        <f t="shared" si="12"/>
        <v>2.1999999999999993</v>
      </c>
      <c r="BS8">
        <f t="shared" si="12"/>
        <v>0</v>
      </c>
      <c r="BT8">
        <f t="shared" si="12"/>
        <v>0</v>
      </c>
      <c r="BU8">
        <f t="shared" si="12"/>
        <v>0</v>
      </c>
      <c r="BV8">
        <f t="shared" si="12"/>
        <v>114.9</v>
      </c>
      <c r="BW8">
        <f t="shared" si="12"/>
        <v>295.10000000000008</v>
      </c>
      <c r="BX8">
        <f t="shared" si="12"/>
        <v>474.7</v>
      </c>
      <c r="BZ8">
        <f t="shared" si="24"/>
        <v>2008</v>
      </c>
      <c r="CA8">
        <f t="shared" si="17"/>
        <v>385.59999999999997</v>
      </c>
      <c r="CB8">
        <f t="shared" si="17"/>
        <v>444</v>
      </c>
      <c r="CC8">
        <f t="shared" si="17"/>
        <v>381.00000000000006</v>
      </c>
      <c r="CD8">
        <f t="shared" si="17"/>
        <v>129</v>
      </c>
      <c r="CE8">
        <f t="shared" si="17"/>
        <v>40.200000000000003</v>
      </c>
      <c r="CF8">
        <f t="shared" si="17"/>
        <v>0</v>
      </c>
      <c r="CG8">
        <f t="shared" si="17"/>
        <v>0</v>
      </c>
      <c r="CH8">
        <f t="shared" si="17"/>
        <v>0</v>
      </c>
      <c r="CI8">
        <f t="shared" si="17"/>
        <v>0</v>
      </c>
      <c r="CJ8">
        <f t="shared" si="17"/>
        <v>68.2</v>
      </c>
      <c r="CK8">
        <f t="shared" si="17"/>
        <v>237.10000000000005</v>
      </c>
      <c r="CL8">
        <f t="shared" si="17"/>
        <v>412.69999999999993</v>
      </c>
      <c r="CN8">
        <f t="shared" si="25"/>
        <v>2008</v>
      </c>
      <c r="CO8">
        <f t="shared" si="18"/>
        <v>327.60000000000002</v>
      </c>
      <c r="CP8">
        <f t="shared" si="18"/>
        <v>386.00000000000006</v>
      </c>
      <c r="CQ8">
        <f t="shared" si="18"/>
        <v>319.00000000000006</v>
      </c>
      <c r="CR8">
        <f t="shared" si="18"/>
        <v>81.600000000000023</v>
      </c>
      <c r="CS8">
        <f t="shared" si="18"/>
        <v>14.600000000000001</v>
      </c>
      <c r="CT8">
        <f t="shared" si="18"/>
        <v>0</v>
      </c>
      <c r="CU8">
        <f t="shared" si="18"/>
        <v>0</v>
      </c>
      <c r="CV8">
        <f t="shared" si="18"/>
        <v>0</v>
      </c>
      <c r="CW8">
        <f t="shared" si="18"/>
        <v>0</v>
      </c>
      <c r="CX8">
        <f t="shared" si="18"/>
        <v>35.1</v>
      </c>
      <c r="CY8">
        <f t="shared" si="18"/>
        <v>184.70000000000005</v>
      </c>
      <c r="CZ8">
        <f t="shared" si="18"/>
        <v>350.69999999999993</v>
      </c>
      <c r="DB8">
        <f t="shared" si="26"/>
        <v>2008</v>
      </c>
      <c r="DC8">
        <f t="shared" si="19"/>
        <v>269.60000000000002</v>
      </c>
      <c r="DD8">
        <f t="shared" si="19"/>
        <v>328.00000000000006</v>
      </c>
      <c r="DE8">
        <f t="shared" si="19"/>
        <v>257</v>
      </c>
      <c r="DF8">
        <f t="shared" si="19"/>
        <v>45.000000000000007</v>
      </c>
      <c r="DG8">
        <f t="shared" si="19"/>
        <v>4.5999999999999996</v>
      </c>
      <c r="DH8">
        <f t="shared" si="19"/>
        <v>0</v>
      </c>
      <c r="DI8">
        <f t="shared" si="19"/>
        <v>0</v>
      </c>
      <c r="DJ8">
        <f t="shared" si="19"/>
        <v>0</v>
      </c>
      <c r="DK8">
        <f t="shared" si="19"/>
        <v>0</v>
      </c>
      <c r="DL8">
        <f t="shared" si="19"/>
        <v>17.200000000000003</v>
      </c>
      <c r="DM8">
        <f t="shared" si="19"/>
        <v>136.5</v>
      </c>
      <c r="DN8">
        <f t="shared" si="19"/>
        <v>290.2</v>
      </c>
    </row>
    <row r="9" spans="1:139" x14ac:dyDescent="0.2">
      <c r="A9" s="9">
        <v>36373</v>
      </c>
      <c r="B9">
        <v>1999</v>
      </c>
      <c r="C9">
        <v>8</v>
      </c>
      <c r="D9" s="14">
        <v>20.170967741935481</v>
      </c>
      <c r="E9" s="14">
        <v>26</v>
      </c>
      <c r="F9" s="14">
        <v>31.3</v>
      </c>
      <c r="G9" s="14">
        <v>6.1</v>
      </c>
      <c r="H9" s="14">
        <v>73.400000000000006</v>
      </c>
      <c r="I9" s="14">
        <v>0.59999999999999964</v>
      </c>
      <c r="J9" s="14">
        <v>129.89999999999995</v>
      </c>
      <c r="K9" s="14">
        <v>0</v>
      </c>
      <c r="L9" s="14">
        <v>191.29999999999995</v>
      </c>
      <c r="M9" s="14">
        <v>0</v>
      </c>
      <c r="N9" s="14">
        <v>253.29999999999998</v>
      </c>
      <c r="O9" s="14">
        <v>0</v>
      </c>
      <c r="P9" s="14">
        <v>315.3</v>
      </c>
      <c r="Q9" s="14">
        <v>0</v>
      </c>
      <c r="R9" s="14">
        <v>377.3</v>
      </c>
      <c r="U9">
        <f t="shared" si="20"/>
        <v>2009</v>
      </c>
      <c r="V9">
        <f t="shared" si="16"/>
        <v>828.9</v>
      </c>
      <c r="W9">
        <f t="shared" si="16"/>
        <v>618.09999999999991</v>
      </c>
      <c r="X9">
        <f t="shared" si="16"/>
        <v>572.5</v>
      </c>
      <c r="Y9">
        <f t="shared" si="16"/>
        <v>380.70000000000005</v>
      </c>
      <c r="Z9">
        <f t="shared" si="16"/>
        <v>225.9</v>
      </c>
      <c r="AA9">
        <f t="shared" si="16"/>
        <v>96.300000000000011</v>
      </c>
      <c r="AB9">
        <f t="shared" si="16"/>
        <v>40.300000000000004</v>
      </c>
      <c r="AC9">
        <f t="shared" si="16"/>
        <v>19.299999999999997</v>
      </c>
      <c r="AD9">
        <f t="shared" si="16"/>
        <v>81.099999999999994</v>
      </c>
      <c r="AE9">
        <f t="shared" si="16"/>
        <v>320.80000000000007</v>
      </c>
      <c r="AF9">
        <f t="shared" si="16"/>
        <v>385.60000000000008</v>
      </c>
      <c r="AG9">
        <f t="shared" si="16"/>
        <v>642.20000000000005</v>
      </c>
      <c r="AJ9">
        <f t="shared" si="21"/>
        <v>2009</v>
      </c>
      <c r="AK9">
        <f t="shared" si="9"/>
        <v>766.90000000000009</v>
      </c>
      <c r="AL9">
        <f t="shared" si="9"/>
        <v>562.09999999999991</v>
      </c>
      <c r="AM9">
        <f t="shared" si="9"/>
        <v>510.5</v>
      </c>
      <c r="AN9">
        <f t="shared" si="9"/>
        <v>320.7000000000001</v>
      </c>
      <c r="AO9">
        <f t="shared" si="9"/>
        <v>168.00000000000003</v>
      </c>
      <c r="AP9">
        <f t="shared" si="9"/>
        <v>59.2</v>
      </c>
      <c r="AQ9">
        <f t="shared" si="9"/>
        <v>9.4999999999999982</v>
      </c>
      <c r="AR9">
        <f t="shared" si="9"/>
        <v>4.7999999999999972</v>
      </c>
      <c r="AS9">
        <f t="shared" si="9"/>
        <v>40.499999999999993</v>
      </c>
      <c r="AT9">
        <f t="shared" si="9"/>
        <v>258.79999999999995</v>
      </c>
      <c r="AU9">
        <f t="shared" si="9"/>
        <v>325.60000000000002</v>
      </c>
      <c r="AV9">
        <f t="shared" si="9"/>
        <v>580.20000000000016</v>
      </c>
      <c r="AW9" s="385">
        <f t="shared" si="10"/>
        <v>3606.8</v>
      </c>
      <c r="AX9">
        <f t="shared" si="22"/>
        <v>2009</v>
      </c>
      <c r="AY9">
        <f t="shared" si="11"/>
        <v>704.9</v>
      </c>
      <c r="AZ9">
        <f t="shared" si="11"/>
        <v>506.1</v>
      </c>
      <c r="BA9">
        <f t="shared" si="11"/>
        <v>448.50000000000006</v>
      </c>
      <c r="BB9">
        <f t="shared" si="11"/>
        <v>261.80000000000007</v>
      </c>
      <c r="BC9">
        <f t="shared" si="11"/>
        <v>113.30000000000001</v>
      </c>
      <c r="BD9">
        <f t="shared" si="11"/>
        <v>29.499999999999996</v>
      </c>
      <c r="BE9">
        <f t="shared" si="11"/>
        <v>9.9999999999999645E-2</v>
      </c>
      <c r="BF9">
        <f t="shared" si="11"/>
        <v>0</v>
      </c>
      <c r="BG9">
        <f t="shared" si="11"/>
        <v>17</v>
      </c>
      <c r="BH9">
        <f t="shared" si="11"/>
        <v>196.79999999999998</v>
      </c>
      <c r="BI9">
        <f t="shared" si="11"/>
        <v>265.60000000000002</v>
      </c>
      <c r="BJ9">
        <f t="shared" si="11"/>
        <v>518.20000000000016</v>
      </c>
      <c r="BL9">
        <f t="shared" si="23"/>
        <v>2009</v>
      </c>
      <c r="BM9">
        <f t="shared" si="12"/>
        <v>642.9</v>
      </c>
      <c r="BN9">
        <f t="shared" si="12"/>
        <v>450.1</v>
      </c>
      <c r="BO9">
        <f t="shared" si="12"/>
        <v>386.50000000000006</v>
      </c>
      <c r="BP9">
        <f t="shared" si="12"/>
        <v>205.70000000000002</v>
      </c>
      <c r="BQ9">
        <f t="shared" si="12"/>
        <v>64.599999999999994</v>
      </c>
      <c r="BR9">
        <f t="shared" si="12"/>
        <v>9.3000000000000007</v>
      </c>
      <c r="BS9">
        <f t="shared" si="12"/>
        <v>0</v>
      </c>
      <c r="BT9">
        <f t="shared" si="12"/>
        <v>0</v>
      </c>
      <c r="BU9">
        <f t="shared" si="12"/>
        <v>5.8000000000000007</v>
      </c>
      <c r="BV9">
        <f t="shared" si="12"/>
        <v>135.69999999999999</v>
      </c>
      <c r="BW9">
        <f t="shared" si="12"/>
        <v>205.6</v>
      </c>
      <c r="BX9">
        <f t="shared" si="12"/>
        <v>456.20000000000016</v>
      </c>
      <c r="BZ9">
        <f t="shared" si="24"/>
        <v>2009</v>
      </c>
      <c r="CA9">
        <f t="shared" si="17"/>
        <v>580.9</v>
      </c>
      <c r="CB9">
        <f t="shared" si="17"/>
        <v>394.10000000000008</v>
      </c>
      <c r="CC9">
        <f t="shared" si="17"/>
        <v>324.5</v>
      </c>
      <c r="CD9">
        <f t="shared" si="17"/>
        <v>152.60000000000002</v>
      </c>
      <c r="CE9">
        <f t="shared" si="17"/>
        <v>30.300000000000008</v>
      </c>
      <c r="CF9">
        <f t="shared" si="17"/>
        <v>0.90000000000000036</v>
      </c>
      <c r="CG9">
        <f t="shared" si="17"/>
        <v>0</v>
      </c>
      <c r="CH9">
        <f t="shared" si="17"/>
        <v>0</v>
      </c>
      <c r="CI9">
        <f t="shared" si="17"/>
        <v>2.4000000000000004</v>
      </c>
      <c r="CJ9">
        <f t="shared" si="17"/>
        <v>82.4</v>
      </c>
      <c r="CK9">
        <f t="shared" si="17"/>
        <v>147.1</v>
      </c>
      <c r="CL9">
        <f t="shared" si="17"/>
        <v>394.20000000000005</v>
      </c>
      <c r="CN9">
        <f t="shared" si="25"/>
        <v>2009</v>
      </c>
      <c r="CO9">
        <f t="shared" si="18"/>
        <v>518.9</v>
      </c>
      <c r="CP9">
        <f t="shared" si="18"/>
        <v>338.1</v>
      </c>
      <c r="CQ9">
        <f t="shared" si="18"/>
        <v>263.40000000000003</v>
      </c>
      <c r="CR9">
        <f t="shared" si="18"/>
        <v>105.4</v>
      </c>
      <c r="CS9">
        <f t="shared" si="18"/>
        <v>7.1000000000000014</v>
      </c>
      <c r="CT9">
        <f t="shared" si="18"/>
        <v>0</v>
      </c>
      <c r="CU9">
        <f t="shared" si="18"/>
        <v>0</v>
      </c>
      <c r="CV9">
        <f t="shared" si="18"/>
        <v>0</v>
      </c>
      <c r="CW9">
        <f t="shared" si="18"/>
        <v>0.40000000000000036</v>
      </c>
      <c r="CX9">
        <f t="shared" si="18"/>
        <v>46.400000000000006</v>
      </c>
      <c r="CY9">
        <f t="shared" si="18"/>
        <v>90.999999999999986</v>
      </c>
      <c r="CZ9">
        <f t="shared" si="18"/>
        <v>332.2000000000001</v>
      </c>
      <c r="DB9">
        <f t="shared" si="26"/>
        <v>2009</v>
      </c>
      <c r="DC9">
        <f t="shared" si="19"/>
        <v>456.9</v>
      </c>
      <c r="DD9">
        <f t="shared" si="19"/>
        <v>282.10000000000008</v>
      </c>
      <c r="DE9">
        <f t="shared" si="19"/>
        <v>205</v>
      </c>
      <c r="DF9">
        <f t="shared" si="19"/>
        <v>60.199999999999996</v>
      </c>
      <c r="DG9">
        <f t="shared" si="19"/>
        <v>0</v>
      </c>
      <c r="DH9">
        <f t="shared" si="19"/>
        <v>0</v>
      </c>
      <c r="DI9">
        <f t="shared" si="19"/>
        <v>0</v>
      </c>
      <c r="DJ9">
        <f t="shared" si="19"/>
        <v>0</v>
      </c>
      <c r="DK9">
        <f t="shared" si="19"/>
        <v>0</v>
      </c>
      <c r="DL9">
        <f t="shared" si="19"/>
        <v>25.599999999999998</v>
      </c>
      <c r="DM9">
        <f t="shared" si="19"/>
        <v>42</v>
      </c>
      <c r="DN9">
        <f t="shared" si="19"/>
        <v>270.50000000000006</v>
      </c>
    </row>
    <row r="10" spans="1:139" x14ac:dyDescent="0.2">
      <c r="A10" s="9">
        <v>36404</v>
      </c>
      <c r="B10">
        <v>1999</v>
      </c>
      <c r="C10">
        <v>9</v>
      </c>
      <c r="D10" s="14">
        <v>18.509999999999998</v>
      </c>
      <c r="E10" s="14">
        <v>68.800000000000011</v>
      </c>
      <c r="F10" s="14">
        <v>24.099999999999998</v>
      </c>
      <c r="G10" s="14">
        <v>34.4</v>
      </c>
      <c r="H10" s="14">
        <v>49.699999999999989</v>
      </c>
      <c r="I10" s="14">
        <v>15</v>
      </c>
      <c r="J10" s="14">
        <v>90.299999999999969</v>
      </c>
      <c r="K10" s="14">
        <v>5.0999999999999996</v>
      </c>
      <c r="L10" s="14">
        <v>140.39999999999998</v>
      </c>
      <c r="M10" s="14">
        <v>1</v>
      </c>
      <c r="N10" s="14">
        <v>196.30000000000004</v>
      </c>
      <c r="O10" s="14">
        <v>0</v>
      </c>
      <c r="P10" s="14">
        <v>255.30000000000004</v>
      </c>
      <c r="Q10" s="14">
        <v>0</v>
      </c>
      <c r="R10" s="14">
        <v>315.3</v>
      </c>
      <c r="U10">
        <f t="shared" si="20"/>
        <v>2010</v>
      </c>
      <c r="V10">
        <f t="shared" si="16"/>
        <v>731.2</v>
      </c>
      <c r="W10">
        <f t="shared" si="16"/>
        <v>616.6</v>
      </c>
      <c r="X10">
        <f t="shared" si="16"/>
        <v>480.40000000000003</v>
      </c>
      <c r="Y10">
        <f t="shared" si="16"/>
        <v>308.89999999999998</v>
      </c>
      <c r="Z10">
        <f t="shared" si="16"/>
        <v>178.60000000000002</v>
      </c>
      <c r="AA10">
        <f t="shared" si="16"/>
        <v>47.6</v>
      </c>
      <c r="AB10">
        <f t="shared" si="16"/>
        <v>6.2000000000000028</v>
      </c>
      <c r="AC10">
        <f t="shared" si="16"/>
        <v>6.1000000000000014</v>
      </c>
      <c r="AD10">
        <f t="shared" si="16"/>
        <v>113.9</v>
      </c>
      <c r="AE10">
        <f t="shared" si="16"/>
        <v>261.7</v>
      </c>
      <c r="AF10">
        <f t="shared" si="16"/>
        <v>442.09999999999997</v>
      </c>
      <c r="AG10">
        <f t="shared" si="16"/>
        <v>695.6</v>
      </c>
      <c r="AJ10">
        <f t="shared" si="21"/>
        <v>2010</v>
      </c>
      <c r="AK10">
        <f t="shared" si="9"/>
        <v>669.2</v>
      </c>
      <c r="AL10">
        <f t="shared" si="9"/>
        <v>560.60000000000014</v>
      </c>
      <c r="AM10">
        <f t="shared" si="9"/>
        <v>418.40000000000009</v>
      </c>
      <c r="AN10">
        <f t="shared" si="9"/>
        <v>248.9</v>
      </c>
      <c r="AO10">
        <f t="shared" si="9"/>
        <v>131.80000000000001</v>
      </c>
      <c r="AP10">
        <f t="shared" si="9"/>
        <v>20.300000000000004</v>
      </c>
      <c r="AQ10">
        <f t="shared" si="9"/>
        <v>0.60000000000000142</v>
      </c>
      <c r="AR10">
        <f t="shared" si="9"/>
        <v>0</v>
      </c>
      <c r="AS10">
        <f t="shared" si="9"/>
        <v>67.499999999999986</v>
      </c>
      <c r="AT10">
        <f t="shared" si="9"/>
        <v>199.9</v>
      </c>
      <c r="AU10">
        <f t="shared" si="9"/>
        <v>382.09999999999997</v>
      </c>
      <c r="AV10">
        <f t="shared" si="9"/>
        <v>633.6</v>
      </c>
      <c r="AW10" s="385">
        <f t="shared" si="10"/>
        <v>3332.9</v>
      </c>
      <c r="AX10">
        <f t="shared" si="22"/>
        <v>2010</v>
      </c>
      <c r="AY10">
        <f t="shared" si="11"/>
        <v>607.20000000000005</v>
      </c>
      <c r="AZ10">
        <f t="shared" si="11"/>
        <v>504.6</v>
      </c>
      <c r="BA10">
        <f t="shared" si="11"/>
        <v>356.40000000000009</v>
      </c>
      <c r="BB10">
        <f t="shared" si="11"/>
        <v>188.90000000000003</v>
      </c>
      <c r="BC10">
        <f t="shared" si="11"/>
        <v>91.8</v>
      </c>
      <c r="BD10">
        <f t="shared" si="11"/>
        <v>3.9000000000000004</v>
      </c>
      <c r="BE10">
        <f t="shared" si="11"/>
        <v>0</v>
      </c>
      <c r="BF10">
        <f t="shared" si="11"/>
        <v>0</v>
      </c>
      <c r="BG10">
        <f t="shared" si="11"/>
        <v>28.200000000000003</v>
      </c>
      <c r="BH10">
        <f t="shared" si="11"/>
        <v>141.1</v>
      </c>
      <c r="BI10">
        <f t="shared" si="11"/>
        <v>322.09999999999997</v>
      </c>
      <c r="BJ10">
        <f t="shared" si="11"/>
        <v>571.6</v>
      </c>
      <c r="BL10">
        <f t="shared" si="23"/>
        <v>2010</v>
      </c>
      <c r="BM10">
        <f t="shared" si="12"/>
        <v>545.20000000000005</v>
      </c>
      <c r="BN10">
        <f t="shared" si="12"/>
        <v>448.6</v>
      </c>
      <c r="BO10">
        <f t="shared" si="12"/>
        <v>294.40000000000003</v>
      </c>
      <c r="BP10">
        <f t="shared" si="12"/>
        <v>130.30000000000001</v>
      </c>
      <c r="BQ10">
        <f t="shared" si="12"/>
        <v>59.900000000000006</v>
      </c>
      <c r="BR10">
        <f t="shared" si="12"/>
        <v>0</v>
      </c>
      <c r="BS10">
        <f t="shared" si="12"/>
        <v>0</v>
      </c>
      <c r="BT10">
        <f t="shared" si="12"/>
        <v>0</v>
      </c>
      <c r="BU10">
        <f t="shared" si="12"/>
        <v>5.7999999999999989</v>
      </c>
      <c r="BV10">
        <f t="shared" si="12"/>
        <v>89.199999999999989</v>
      </c>
      <c r="BW10">
        <f t="shared" si="12"/>
        <v>262.10000000000002</v>
      </c>
      <c r="BX10">
        <f t="shared" si="12"/>
        <v>509.6</v>
      </c>
      <c r="BZ10">
        <f t="shared" si="24"/>
        <v>2010</v>
      </c>
      <c r="CA10">
        <f t="shared" si="17"/>
        <v>483.20000000000005</v>
      </c>
      <c r="CB10">
        <f t="shared" si="17"/>
        <v>392.59999999999997</v>
      </c>
      <c r="CC10">
        <f t="shared" si="17"/>
        <v>232.39999999999995</v>
      </c>
      <c r="CD10">
        <f t="shared" si="17"/>
        <v>78.500000000000014</v>
      </c>
      <c r="CE10">
        <f t="shared" si="17"/>
        <v>36.5</v>
      </c>
      <c r="CF10">
        <f t="shared" si="17"/>
        <v>0</v>
      </c>
      <c r="CG10">
        <f t="shared" si="17"/>
        <v>0</v>
      </c>
      <c r="CH10">
        <f t="shared" si="17"/>
        <v>0</v>
      </c>
      <c r="CI10">
        <f t="shared" si="17"/>
        <v>9.9999999999999645E-2</v>
      </c>
      <c r="CJ10">
        <f t="shared" si="17"/>
        <v>44.2</v>
      </c>
      <c r="CK10">
        <f t="shared" si="17"/>
        <v>202.7</v>
      </c>
      <c r="CL10">
        <f t="shared" si="17"/>
        <v>447.59999999999997</v>
      </c>
      <c r="CN10">
        <f t="shared" si="25"/>
        <v>2010</v>
      </c>
      <c r="CO10">
        <f t="shared" si="18"/>
        <v>421.2</v>
      </c>
      <c r="CP10">
        <f t="shared" si="18"/>
        <v>336.6</v>
      </c>
      <c r="CQ10">
        <f t="shared" si="18"/>
        <v>172.69999999999996</v>
      </c>
      <c r="CR10">
        <f t="shared" si="18"/>
        <v>39.800000000000004</v>
      </c>
      <c r="CS10">
        <f t="shared" si="18"/>
        <v>20</v>
      </c>
      <c r="CT10">
        <f t="shared" si="18"/>
        <v>0</v>
      </c>
      <c r="CU10">
        <f t="shared" si="18"/>
        <v>0</v>
      </c>
      <c r="CV10">
        <f t="shared" si="18"/>
        <v>0</v>
      </c>
      <c r="CW10">
        <f t="shared" si="18"/>
        <v>0</v>
      </c>
      <c r="CX10">
        <f t="shared" si="18"/>
        <v>16</v>
      </c>
      <c r="CY10">
        <f t="shared" si="18"/>
        <v>144.99999999999997</v>
      </c>
      <c r="CZ10">
        <f t="shared" si="18"/>
        <v>385.59999999999997</v>
      </c>
      <c r="DB10">
        <f t="shared" si="26"/>
        <v>2010</v>
      </c>
      <c r="DC10">
        <f t="shared" si="19"/>
        <v>359.19999999999993</v>
      </c>
      <c r="DD10">
        <f t="shared" si="19"/>
        <v>280.59999999999997</v>
      </c>
      <c r="DE10">
        <f t="shared" si="19"/>
        <v>118.89999999999998</v>
      </c>
      <c r="DF10">
        <f t="shared" si="19"/>
        <v>11.4</v>
      </c>
      <c r="DG10">
        <f t="shared" si="19"/>
        <v>6.0000000000000009</v>
      </c>
      <c r="DH10">
        <f t="shared" si="19"/>
        <v>0</v>
      </c>
      <c r="DI10">
        <f t="shared" si="19"/>
        <v>0</v>
      </c>
      <c r="DJ10">
        <f t="shared" si="19"/>
        <v>0</v>
      </c>
      <c r="DK10">
        <f t="shared" si="19"/>
        <v>0</v>
      </c>
      <c r="DL10">
        <f t="shared" si="19"/>
        <v>5.8999999999999995</v>
      </c>
      <c r="DM10">
        <f t="shared" si="19"/>
        <v>91</v>
      </c>
      <c r="DN10">
        <f t="shared" si="19"/>
        <v>323.89999999999998</v>
      </c>
    </row>
    <row r="11" spans="1:139" x14ac:dyDescent="0.2">
      <c r="A11" s="9">
        <v>36434</v>
      </c>
      <c r="B11">
        <v>1999</v>
      </c>
      <c r="C11">
        <v>10</v>
      </c>
      <c r="D11" s="14">
        <v>10.619354838709677</v>
      </c>
      <c r="E11" s="14">
        <v>290.79999999999995</v>
      </c>
      <c r="F11" s="14">
        <v>0</v>
      </c>
      <c r="G11" s="14">
        <v>229</v>
      </c>
      <c r="H11" s="14">
        <v>0.19999999999999929</v>
      </c>
      <c r="I11" s="14">
        <v>170.59999999999997</v>
      </c>
      <c r="J11" s="14">
        <v>3.8000000000000007</v>
      </c>
      <c r="K11" s="14">
        <v>115.3</v>
      </c>
      <c r="L11" s="14">
        <v>10.5</v>
      </c>
      <c r="M11" s="14">
        <v>67.5</v>
      </c>
      <c r="N11" s="14">
        <v>24.7</v>
      </c>
      <c r="O11" s="14">
        <v>32.200000000000003</v>
      </c>
      <c r="P11" s="14">
        <v>51.400000000000006</v>
      </c>
      <c r="Q11" s="14">
        <v>10.399999999999999</v>
      </c>
      <c r="R11" s="14">
        <v>91.59999999999998</v>
      </c>
      <c r="U11">
        <f t="shared" si="20"/>
        <v>2011</v>
      </c>
      <c r="V11">
        <f t="shared" si="16"/>
        <v>788.69999999999993</v>
      </c>
      <c r="W11">
        <f t="shared" si="16"/>
        <v>661.20000000000016</v>
      </c>
      <c r="X11">
        <f t="shared" si="16"/>
        <v>607.50000000000011</v>
      </c>
      <c r="Y11">
        <f t="shared" si="16"/>
        <v>415.70000000000005</v>
      </c>
      <c r="Z11">
        <f t="shared" si="16"/>
        <v>251.70000000000002</v>
      </c>
      <c r="AA11">
        <f t="shared" si="16"/>
        <v>53.199999999999989</v>
      </c>
      <c r="AB11">
        <f t="shared" si="16"/>
        <v>2.5999999999999979</v>
      </c>
      <c r="AC11">
        <f t="shared" si="16"/>
        <v>7.0999999999999979</v>
      </c>
      <c r="AD11">
        <f t="shared" si="16"/>
        <v>83.1</v>
      </c>
      <c r="AE11">
        <f t="shared" si="16"/>
        <v>261.7</v>
      </c>
      <c r="AF11">
        <f t="shared" si="16"/>
        <v>358.40000000000003</v>
      </c>
      <c r="AG11">
        <f t="shared" si="16"/>
        <v>543.29999999999995</v>
      </c>
      <c r="AJ11">
        <f t="shared" si="21"/>
        <v>2011</v>
      </c>
      <c r="AK11">
        <f t="shared" si="9"/>
        <v>726.69999999999993</v>
      </c>
      <c r="AL11">
        <f t="shared" si="9"/>
        <v>605.20000000000016</v>
      </c>
      <c r="AM11">
        <f t="shared" si="9"/>
        <v>545.50000000000011</v>
      </c>
      <c r="AN11">
        <f t="shared" si="9"/>
        <v>355.7</v>
      </c>
      <c r="AO11">
        <f t="shared" si="9"/>
        <v>191.7</v>
      </c>
      <c r="AP11">
        <f t="shared" si="9"/>
        <v>22.4</v>
      </c>
      <c r="AQ11">
        <f t="shared" si="9"/>
        <v>0</v>
      </c>
      <c r="AR11">
        <f t="shared" si="9"/>
        <v>0</v>
      </c>
      <c r="AS11">
        <f t="shared" si="9"/>
        <v>41.600000000000016</v>
      </c>
      <c r="AT11">
        <f t="shared" si="9"/>
        <v>203.49999999999997</v>
      </c>
      <c r="AU11">
        <f t="shared" si="9"/>
        <v>298.39999999999998</v>
      </c>
      <c r="AV11">
        <f t="shared" si="9"/>
        <v>481.2999999999999</v>
      </c>
      <c r="AW11" s="385">
        <f t="shared" si="10"/>
        <v>3471.9999999999995</v>
      </c>
      <c r="AX11">
        <f t="shared" si="22"/>
        <v>2011</v>
      </c>
      <c r="AY11">
        <f t="shared" si="11"/>
        <v>664.69999999999993</v>
      </c>
      <c r="AZ11">
        <f t="shared" si="11"/>
        <v>549.20000000000016</v>
      </c>
      <c r="BA11">
        <f t="shared" si="11"/>
        <v>483.50000000000006</v>
      </c>
      <c r="BB11">
        <f t="shared" si="11"/>
        <v>295.7</v>
      </c>
      <c r="BC11">
        <f t="shared" si="11"/>
        <v>134.79999999999998</v>
      </c>
      <c r="BD11">
        <f t="shared" si="11"/>
        <v>6.8000000000000025</v>
      </c>
      <c r="BE11">
        <f t="shared" si="11"/>
        <v>0</v>
      </c>
      <c r="BF11">
        <f t="shared" si="11"/>
        <v>0</v>
      </c>
      <c r="BG11">
        <f t="shared" si="11"/>
        <v>16.5</v>
      </c>
      <c r="BH11">
        <f t="shared" si="11"/>
        <v>148.4</v>
      </c>
      <c r="BI11">
        <f t="shared" si="11"/>
        <v>238.39999999999998</v>
      </c>
      <c r="BJ11">
        <f t="shared" si="11"/>
        <v>419.29999999999995</v>
      </c>
      <c r="BL11">
        <f t="shared" si="23"/>
        <v>2011</v>
      </c>
      <c r="BM11">
        <f t="shared" si="12"/>
        <v>602.69999999999993</v>
      </c>
      <c r="BN11">
        <f t="shared" si="12"/>
        <v>493.20000000000005</v>
      </c>
      <c r="BO11">
        <f t="shared" si="12"/>
        <v>421.50000000000006</v>
      </c>
      <c r="BP11">
        <f t="shared" si="12"/>
        <v>235.69999999999996</v>
      </c>
      <c r="BQ11">
        <f t="shared" si="12"/>
        <v>85.7</v>
      </c>
      <c r="BR11">
        <f t="shared" si="12"/>
        <v>0.30000000000000071</v>
      </c>
      <c r="BS11">
        <f t="shared" si="12"/>
        <v>0</v>
      </c>
      <c r="BT11">
        <f t="shared" si="12"/>
        <v>0</v>
      </c>
      <c r="BU11">
        <f t="shared" si="12"/>
        <v>5.6999999999999993</v>
      </c>
      <c r="BV11">
        <f t="shared" si="12"/>
        <v>102.2</v>
      </c>
      <c r="BW11">
        <f t="shared" si="12"/>
        <v>179.4</v>
      </c>
      <c r="BX11">
        <f t="shared" si="12"/>
        <v>357.29999999999995</v>
      </c>
      <c r="BZ11">
        <f t="shared" si="24"/>
        <v>2011</v>
      </c>
      <c r="CA11">
        <f t="shared" si="17"/>
        <v>540.69999999999993</v>
      </c>
      <c r="CB11">
        <f t="shared" si="17"/>
        <v>437.20000000000005</v>
      </c>
      <c r="CC11">
        <f t="shared" si="17"/>
        <v>359.50000000000006</v>
      </c>
      <c r="CD11">
        <f t="shared" si="17"/>
        <v>177.5</v>
      </c>
      <c r="CE11">
        <f t="shared" si="17"/>
        <v>42.399999999999991</v>
      </c>
      <c r="CF11">
        <f t="shared" si="17"/>
        <v>0</v>
      </c>
      <c r="CG11">
        <f t="shared" si="17"/>
        <v>0</v>
      </c>
      <c r="CH11">
        <f t="shared" si="17"/>
        <v>0</v>
      </c>
      <c r="CI11">
        <f t="shared" si="17"/>
        <v>0.40000000000000036</v>
      </c>
      <c r="CJ11">
        <f t="shared" si="17"/>
        <v>61.1</v>
      </c>
      <c r="CK11">
        <f t="shared" si="17"/>
        <v>127.09999999999998</v>
      </c>
      <c r="CL11">
        <f t="shared" si="17"/>
        <v>295.3</v>
      </c>
      <c r="CN11">
        <f t="shared" si="25"/>
        <v>2011</v>
      </c>
      <c r="CO11">
        <f t="shared" si="18"/>
        <v>478.69999999999993</v>
      </c>
      <c r="CP11">
        <f t="shared" si="18"/>
        <v>381.20000000000005</v>
      </c>
      <c r="CQ11">
        <f t="shared" si="18"/>
        <v>297.50000000000006</v>
      </c>
      <c r="CR11">
        <f t="shared" si="18"/>
        <v>125.80000000000001</v>
      </c>
      <c r="CS11">
        <f t="shared" si="18"/>
        <v>12.799999999999999</v>
      </c>
      <c r="CT11">
        <f t="shared" si="18"/>
        <v>0</v>
      </c>
      <c r="CU11">
        <f t="shared" si="18"/>
        <v>0</v>
      </c>
      <c r="CV11">
        <f t="shared" si="18"/>
        <v>0</v>
      </c>
      <c r="CW11">
        <f t="shared" si="18"/>
        <v>0</v>
      </c>
      <c r="CX11">
        <f t="shared" si="18"/>
        <v>30.6</v>
      </c>
      <c r="CY11">
        <f t="shared" si="18"/>
        <v>81.999999999999986</v>
      </c>
      <c r="CZ11">
        <f t="shared" si="18"/>
        <v>233.4</v>
      </c>
      <c r="DB11">
        <f t="shared" si="26"/>
        <v>2011</v>
      </c>
      <c r="DC11">
        <f t="shared" si="19"/>
        <v>416.69999999999993</v>
      </c>
      <c r="DD11">
        <f t="shared" si="19"/>
        <v>325.20000000000005</v>
      </c>
      <c r="DE11">
        <f t="shared" si="19"/>
        <v>237.79999999999993</v>
      </c>
      <c r="DF11">
        <f t="shared" si="19"/>
        <v>75.8</v>
      </c>
      <c r="DG11">
        <f t="shared" si="19"/>
        <v>3.3</v>
      </c>
      <c r="DH11">
        <f t="shared" si="19"/>
        <v>0</v>
      </c>
      <c r="DI11">
        <f t="shared" si="19"/>
        <v>0</v>
      </c>
      <c r="DJ11">
        <f t="shared" si="19"/>
        <v>0</v>
      </c>
      <c r="DK11">
        <f t="shared" si="19"/>
        <v>0</v>
      </c>
      <c r="DL11">
        <f t="shared" si="19"/>
        <v>13.2</v>
      </c>
      <c r="DM11">
        <f t="shared" si="19"/>
        <v>49.999999999999993</v>
      </c>
      <c r="DN11">
        <f t="shared" si="19"/>
        <v>173.9</v>
      </c>
    </row>
    <row r="12" spans="1:139" x14ac:dyDescent="0.2">
      <c r="A12" s="9">
        <v>36465</v>
      </c>
      <c r="B12">
        <v>1999</v>
      </c>
      <c r="C12">
        <v>11</v>
      </c>
      <c r="D12" s="14">
        <v>6.7983333333333338</v>
      </c>
      <c r="E12" s="14">
        <v>396.04999999999995</v>
      </c>
      <c r="F12" s="14">
        <v>0</v>
      </c>
      <c r="G12" s="14">
        <v>336.05</v>
      </c>
      <c r="H12" s="14">
        <v>0</v>
      </c>
      <c r="I12" s="14">
        <v>276.05</v>
      </c>
      <c r="J12" s="14">
        <v>0</v>
      </c>
      <c r="K12" s="14">
        <v>217.95000000000002</v>
      </c>
      <c r="L12" s="14">
        <v>1.9000000000000004</v>
      </c>
      <c r="M12" s="14">
        <v>160.44999999999999</v>
      </c>
      <c r="N12" s="14">
        <v>4.4000000000000004</v>
      </c>
      <c r="O12" s="14">
        <v>110.54999999999998</v>
      </c>
      <c r="P12" s="14">
        <v>14.5</v>
      </c>
      <c r="Q12" s="14">
        <v>73.45</v>
      </c>
      <c r="R12" s="14">
        <v>37.4</v>
      </c>
      <c r="U12">
        <f t="shared" si="20"/>
        <v>2012</v>
      </c>
      <c r="V12">
        <f t="shared" si="16"/>
        <v>630.70000000000005</v>
      </c>
      <c r="W12">
        <f t="shared" si="16"/>
        <v>555.39999999999986</v>
      </c>
      <c r="X12">
        <f t="shared" si="16"/>
        <v>430.49999999999994</v>
      </c>
      <c r="Y12">
        <f t="shared" si="16"/>
        <v>364.2</v>
      </c>
      <c r="Z12">
        <f t="shared" si="16"/>
        <v>152.00000000000003</v>
      </c>
      <c r="AA12">
        <f t="shared" si="16"/>
        <v>44.199999999999996</v>
      </c>
      <c r="AB12">
        <f t="shared" si="16"/>
        <v>0</v>
      </c>
      <c r="AC12">
        <f t="shared" si="16"/>
        <v>2.7000000000000028</v>
      </c>
      <c r="AD12">
        <f t="shared" si="16"/>
        <v>97.299999999999983</v>
      </c>
      <c r="AE12">
        <f t="shared" si="16"/>
        <v>284.69999999999993</v>
      </c>
      <c r="AF12">
        <f t="shared" si="16"/>
        <v>454.90000000000003</v>
      </c>
      <c r="AG12">
        <f t="shared" si="16"/>
        <v>541.40000000000009</v>
      </c>
      <c r="AJ12">
        <f t="shared" si="21"/>
        <v>2012</v>
      </c>
      <c r="AK12">
        <f t="shared" si="9"/>
        <v>568.69999999999982</v>
      </c>
      <c r="AL12">
        <f t="shared" si="9"/>
        <v>497.39999999999992</v>
      </c>
      <c r="AM12">
        <f t="shared" si="9"/>
        <v>368.49999999999994</v>
      </c>
      <c r="AN12">
        <f t="shared" si="9"/>
        <v>304.2</v>
      </c>
      <c r="AO12">
        <f t="shared" si="9"/>
        <v>100.99999999999999</v>
      </c>
      <c r="AP12">
        <f t="shared" si="9"/>
        <v>22.7</v>
      </c>
      <c r="AQ12">
        <f t="shared" si="9"/>
        <v>0</v>
      </c>
      <c r="AR12">
        <f t="shared" si="9"/>
        <v>0</v>
      </c>
      <c r="AS12">
        <f t="shared" si="9"/>
        <v>58.400000000000006</v>
      </c>
      <c r="AT12">
        <f t="shared" si="9"/>
        <v>223.20000000000002</v>
      </c>
      <c r="AU12">
        <f t="shared" si="9"/>
        <v>394.9</v>
      </c>
      <c r="AV12">
        <f t="shared" si="9"/>
        <v>479.4</v>
      </c>
      <c r="AW12" s="385">
        <f t="shared" si="10"/>
        <v>3018.4</v>
      </c>
      <c r="AX12">
        <f t="shared" si="22"/>
        <v>2012</v>
      </c>
      <c r="AY12">
        <f t="shared" si="11"/>
        <v>506.70000000000005</v>
      </c>
      <c r="AZ12">
        <f t="shared" si="11"/>
        <v>439.4</v>
      </c>
      <c r="BA12">
        <f t="shared" si="11"/>
        <v>306.5</v>
      </c>
      <c r="BB12">
        <f t="shared" si="11"/>
        <v>244.20000000000002</v>
      </c>
      <c r="BC12">
        <f t="shared" si="11"/>
        <v>62</v>
      </c>
      <c r="BD12">
        <f t="shared" si="11"/>
        <v>8</v>
      </c>
      <c r="BE12">
        <f t="shared" si="11"/>
        <v>0</v>
      </c>
      <c r="BF12">
        <f t="shared" si="11"/>
        <v>0</v>
      </c>
      <c r="BG12">
        <f t="shared" si="11"/>
        <v>28.299999999999997</v>
      </c>
      <c r="BH12">
        <f t="shared" si="11"/>
        <v>164.50000000000003</v>
      </c>
      <c r="BI12">
        <f t="shared" si="11"/>
        <v>334.90000000000003</v>
      </c>
      <c r="BJ12">
        <f t="shared" si="11"/>
        <v>417.40000000000003</v>
      </c>
      <c r="BL12">
        <f t="shared" si="23"/>
        <v>2012</v>
      </c>
      <c r="BM12">
        <f t="shared" si="12"/>
        <v>444.70000000000005</v>
      </c>
      <c r="BN12">
        <f t="shared" si="12"/>
        <v>381.4</v>
      </c>
      <c r="BO12">
        <f t="shared" si="12"/>
        <v>244.8</v>
      </c>
      <c r="BP12">
        <f t="shared" si="12"/>
        <v>186.6</v>
      </c>
      <c r="BQ12">
        <f t="shared" si="12"/>
        <v>31.1</v>
      </c>
      <c r="BR12">
        <f t="shared" si="12"/>
        <v>1.0999999999999996</v>
      </c>
      <c r="BS12">
        <f t="shared" si="12"/>
        <v>0</v>
      </c>
      <c r="BT12">
        <f t="shared" si="12"/>
        <v>0</v>
      </c>
      <c r="BU12">
        <f t="shared" si="12"/>
        <v>11.3</v>
      </c>
      <c r="BV12">
        <f t="shared" si="12"/>
        <v>110.60000000000001</v>
      </c>
      <c r="BW12">
        <f t="shared" si="12"/>
        <v>274.90000000000009</v>
      </c>
      <c r="BX12">
        <f t="shared" si="12"/>
        <v>355.4</v>
      </c>
      <c r="BZ12">
        <f t="shared" si="24"/>
        <v>2012</v>
      </c>
      <c r="CA12">
        <f t="shared" si="17"/>
        <v>382.7000000000001</v>
      </c>
      <c r="CB12">
        <f t="shared" si="17"/>
        <v>323.39999999999998</v>
      </c>
      <c r="CC12">
        <f t="shared" si="17"/>
        <v>184.89999999999998</v>
      </c>
      <c r="CD12">
        <f t="shared" si="17"/>
        <v>134.19999999999999</v>
      </c>
      <c r="CE12">
        <f t="shared" si="17"/>
        <v>11.399999999999997</v>
      </c>
      <c r="CF12">
        <f t="shared" si="17"/>
        <v>0</v>
      </c>
      <c r="CG12">
        <f t="shared" si="17"/>
        <v>0</v>
      </c>
      <c r="CH12">
        <f t="shared" si="17"/>
        <v>0</v>
      </c>
      <c r="CI12">
        <f t="shared" si="17"/>
        <v>0.90000000000000036</v>
      </c>
      <c r="CJ12">
        <f t="shared" si="17"/>
        <v>66.599999999999994</v>
      </c>
      <c r="CK12">
        <f t="shared" si="17"/>
        <v>216.80000000000004</v>
      </c>
      <c r="CL12">
        <f t="shared" si="17"/>
        <v>293.39999999999998</v>
      </c>
      <c r="CN12">
        <f t="shared" si="25"/>
        <v>2012</v>
      </c>
      <c r="CO12">
        <f t="shared" si="18"/>
        <v>320.70000000000005</v>
      </c>
      <c r="CP12">
        <f t="shared" si="18"/>
        <v>265.40000000000003</v>
      </c>
      <c r="CQ12">
        <f t="shared" si="18"/>
        <v>132.9</v>
      </c>
      <c r="CR12">
        <f t="shared" si="18"/>
        <v>83.5</v>
      </c>
      <c r="CS12">
        <f t="shared" si="18"/>
        <v>1.8999999999999986</v>
      </c>
      <c r="CT12">
        <f t="shared" si="18"/>
        <v>0</v>
      </c>
      <c r="CU12">
        <f t="shared" si="18"/>
        <v>0</v>
      </c>
      <c r="CV12">
        <f t="shared" si="18"/>
        <v>0</v>
      </c>
      <c r="CW12">
        <f t="shared" si="18"/>
        <v>0</v>
      </c>
      <c r="CX12">
        <f t="shared" si="18"/>
        <v>29.7</v>
      </c>
      <c r="CY12">
        <f t="shared" si="18"/>
        <v>161</v>
      </c>
      <c r="CZ12">
        <f t="shared" si="18"/>
        <v>233.29999999999998</v>
      </c>
      <c r="DB12">
        <f t="shared" si="26"/>
        <v>2012</v>
      </c>
      <c r="DC12">
        <f t="shared" si="19"/>
        <v>258.7</v>
      </c>
      <c r="DD12">
        <f t="shared" si="19"/>
        <v>207.40000000000006</v>
      </c>
      <c r="DE12">
        <f t="shared" si="19"/>
        <v>93.1</v>
      </c>
      <c r="DF12">
        <f t="shared" si="19"/>
        <v>38</v>
      </c>
      <c r="DG12">
        <f t="shared" si="19"/>
        <v>0</v>
      </c>
      <c r="DH12">
        <f t="shared" si="19"/>
        <v>0</v>
      </c>
      <c r="DI12">
        <f t="shared" si="19"/>
        <v>0</v>
      </c>
      <c r="DJ12">
        <f t="shared" si="19"/>
        <v>0</v>
      </c>
      <c r="DK12">
        <f t="shared" si="19"/>
        <v>0</v>
      </c>
      <c r="DL12">
        <f t="shared" si="19"/>
        <v>9.1999999999999993</v>
      </c>
      <c r="DM12">
        <f t="shared" si="19"/>
        <v>107</v>
      </c>
      <c r="DN12">
        <f t="shared" si="19"/>
        <v>173.79999999999998</v>
      </c>
      <c r="EE12" t="s">
        <v>531</v>
      </c>
    </row>
    <row r="13" spans="1:139" x14ac:dyDescent="0.2">
      <c r="A13" s="9">
        <v>36495</v>
      </c>
      <c r="B13">
        <v>1999</v>
      </c>
      <c r="C13">
        <v>12</v>
      </c>
      <c r="D13" s="14">
        <v>1.0451612903225806</v>
      </c>
      <c r="E13" s="14">
        <v>587.6</v>
      </c>
      <c r="F13" s="14">
        <v>0</v>
      </c>
      <c r="G13" s="14">
        <v>525.6</v>
      </c>
      <c r="H13" s="14">
        <v>0</v>
      </c>
      <c r="I13" s="14">
        <v>463.6</v>
      </c>
      <c r="J13" s="14">
        <v>0</v>
      </c>
      <c r="K13" s="14">
        <v>401.6</v>
      </c>
      <c r="L13" s="14">
        <v>0</v>
      </c>
      <c r="M13" s="14">
        <v>339.6</v>
      </c>
      <c r="N13" s="14">
        <v>0</v>
      </c>
      <c r="O13" s="14">
        <v>280.70000000000005</v>
      </c>
      <c r="P13" s="14">
        <v>3.1000000000000014</v>
      </c>
      <c r="Q13" s="14">
        <v>224.7</v>
      </c>
      <c r="R13" s="14">
        <v>9.1000000000000014</v>
      </c>
      <c r="U13">
        <f t="shared" si="20"/>
        <v>2013</v>
      </c>
      <c r="V13">
        <f t="shared" si="16"/>
        <v>643.20000000000005</v>
      </c>
      <c r="W13">
        <f t="shared" si="16"/>
        <v>643.49999999999989</v>
      </c>
      <c r="X13">
        <f t="shared" si="16"/>
        <v>585.30000000000007</v>
      </c>
      <c r="Y13">
        <f t="shared" si="16"/>
        <v>418.59999999999985</v>
      </c>
      <c r="Z13">
        <f t="shared" si="16"/>
        <v>216.00000000000003</v>
      </c>
      <c r="AA13">
        <f t="shared" si="16"/>
        <v>79.400000000000006</v>
      </c>
      <c r="AB13">
        <f t="shared" si="16"/>
        <v>14.5</v>
      </c>
      <c r="AC13">
        <f t="shared" si="16"/>
        <v>16.699999999999996</v>
      </c>
      <c r="AD13">
        <f t="shared" si="16"/>
        <v>110.80000000000001</v>
      </c>
      <c r="AE13">
        <f t="shared" si="16"/>
        <v>252.5</v>
      </c>
      <c r="AF13">
        <f t="shared" si="16"/>
        <v>486.7</v>
      </c>
      <c r="AG13">
        <f t="shared" si="16"/>
        <v>685.99999999999989</v>
      </c>
      <c r="AJ13">
        <f t="shared" si="21"/>
        <v>2013</v>
      </c>
      <c r="AK13">
        <f t="shared" si="9"/>
        <v>581.20000000000005</v>
      </c>
      <c r="AL13">
        <f t="shared" si="9"/>
        <v>587.49999999999989</v>
      </c>
      <c r="AM13">
        <f t="shared" si="9"/>
        <v>523.30000000000007</v>
      </c>
      <c r="AN13">
        <f t="shared" si="9"/>
        <v>358.59999999999985</v>
      </c>
      <c r="AO13">
        <f t="shared" si="9"/>
        <v>161.5</v>
      </c>
      <c r="AP13">
        <f t="shared" si="9"/>
        <v>43.599999999999994</v>
      </c>
      <c r="AQ13">
        <f t="shared" si="9"/>
        <v>0.69999999999999929</v>
      </c>
      <c r="AR13">
        <f t="shared" si="9"/>
        <v>2.5999999999999979</v>
      </c>
      <c r="AS13">
        <f t="shared" si="9"/>
        <v>67</v>
      </c>
      <c r="AT13">
        <f t="shared" si="9"/>
        <v>193.6</v>
      </c>
      <c r="AU13">
        <f t="shared" si="9"/>
        <v>426.7</v>
      </c>
      <c r="AV13">
        <f t="shared" si="9"/>
        <v>624</v>
      </c>
      <c r="AW13" s="385">
        <f t="shared" si="10"/>
        <v>3570.2999999999993</v>
      </c>
      <c r="AX13">
        <f t="shared" si="22"/>
        <v>2013</v>
      </c>
      <c r="AY13">
        <f t="shared" si="11"/>
        <v>519.20000000000005</v>
      </c>
      <c r="AZ13">
        <f t="shared" si="11"/>
        <v>531.5</v>
      </c>
      <c r="BA13">
        <f t="shared" si="11"/>
        <v>461.30000000000007</v>
      </c>
      <c r="BB13">
        <f t="shared" si="11"/>
        <v>298.59999999999991</v>
      </c>
      <c r="BC13">
        <f t="shared" si="11"/>
        <v>109.9</v>
      </c>
      <c r="BD13">
        <f t="shared" si="11"/>
        <v>17.8</v>
      </c>
      <c r="BE13">
        <f t="shared" si="11"/>
        <v>0</v>
      </c>
      <c r="BF13">
        <f t="shared" si="11"/>
        <v>0</v>
      </c>
      <c r="BG13">
        <f t="shared" si="11"/>
        <v>34.1</v>
      </c>
      <c r="BH13">
        <f t="shared" si="11"/>
        <v>138.20000000000002</v>
      </c>
      <c r="BI13">
        <f t="shared" si="11"/>
        <v>366.69999999999993</v>
      </c>
      <c r="BJ13">
        <f t="shared" si="11"/>
        <v>562</v>
      </c>
      <c r="BL13">
        <f t="shared" si="23"/>
        <v>2013</v>
      </c>
      <c r="BM13">
        <f t="shared" si="12"/>
        <v>457.2</v>
      </c>
      <c r="BN13">
        <f t="shared" si="12"/>
        <v>475.5</v>
      </c>
      <c r="BO13">
        <f t="shared" si="12"/>
        <v>399.30000000000007</v>
      </c>
      <c r="BP13">
        <f t="shared" si="12"/>
        <v>240.19999999999993</v>
      </c>
      <c r="BQ13">
        <f t="shared" si="12"/>
        <v>64.599999999999994</v>
      </c>
      <c r="BR13">
        <f t="shared" si="12"/>
        <v>5.5999999999999979</v>
      </c>
      <c r="BS13">
        <f t="shared" si="12"/>
        <v>0</v>
      </c>
      <c r="BT13">
        <f t="shared" si="12"/>
        <v>0</v>
      </c>
      <c r="BU13">
        <f t="shared" si="12"/>
        <v>12.4</v>
      </c>
      <c r="BV13">
        <f t="shared" si="12"/>
        <v>93.100000000000009</v>
      </c>
      <c r="BW13">
        <f t="shared" si="12"/>
        <v>306.7</v>
      </c>
      <c r="BX13">
        <f t="shared" si="12"/>
        <v>500.00000000000006</v>
      </c>
      <c r="BZ13">
        <f t="shared" si="24"/>
        <v>2013</v>
      </c>
      <c r="CA13">
        <f t="shared" si="17"/>
        <v>395.20000000000005</v>
      </c>
      <c r="CB13">
        <f t="shared" si="17"/>
        <v>419.5</v>
      </c>
      <c r="CC13">
        <f t="shared" si="17"/>
        <v>337.3</v>
      </c>
      <c r="CD13">
        <f t="shared" si="17"/>
        <v>182.99999999999997</v>
      </c>
      <c r="CE13">
        <f t="shared" si="17"/>
        <v>28.200000000000003</v>
      </c>
      <c r="CF13">
        <f t="shared" si="17"/>
        <v>9.9999999999999645E-2</v>
      </c>
      <c r="CG13">
        <f t="shared" si="17"/>
        <v>0</v>
      </c>
      <c r="CH13">
        <f t="shared" si="17"/>
        <v>0</v>
      </c>
      <c r="CI13">
        <f t="shared" si="17"/>
        <v>1.9000000000000004</v>
      </c>
      <c r="CJ13">
        <f t="shared" si="17"/>
        <v>62.400000000000006</v>
      </c>
      <c r="CK13">
        <f t="shared" si="17"/>
        <v>249.59999999999997</v>
      </c>
      <c r="CL13">
        <f t="shared" si="17"/>
        <v>438.00000000000006</v>
      </c>
      <c r="CN13">
        <f t="shared" si="25"/>
        <v>2013</v>
      </c>
      <c r="CO13">
        <f t="shared" si="18"/>
        <v>334.3</v>
      </c>
      <c r="CP13">
        <f t="shared" si="18"/>
        <v>363.5</v>
      </c>
      <c r="CQ13">
        <f t="shared" si="18"/>
        <v>275.29999999999995</v>
      </c>
      <c r="CR13">
        <f t="shared" si="18"/>
        <v>129.40000000000003</v>
      </c>
      <c r="CS13">
        <f t="shared" si="18"/>
        <v>10.700000000000001</v>
      </c>
      <c r="CT13">
        <f t="shared" si="18"/>
        <v>0</v>
      </c>
      <c r="CU13">
        <f t="shared" si="18"/>
        <v>0</v>
      </c>
      <c r="CV13">
        <f t="shared" si="18"/>
        <v>0</v>
      </c>
      <c r="CW13">
        <f t="shared" si="18"/>
        <v>0</v>
      </c>
      <c r="CX13">
        <f t="shared" si="18"/>
        <v>40.400000000000006</v>
      </c>
      <c r="CY13">
        <f t="shared" si="18"/>
        <v>195.59999999999994</v>
      </c>
      <c r="CZ13">
        <f t="shared" si="18"/>
        <v>376</v>
      </c>
      <c r="DB13">
        <f t="shared" si="26"/>
        <v>2013</v>
      </c>
      <c r="DC13">
        <f t="shared" si="19"/>
        <v>277.60000000000002</v>
      </c>
      <c r="DD13">
        <f t="shared" si="19"/>
        <v>307.50000000000006</v>
      </c>
      <c r="DE13">
        <f t="shared" si="19"/>
        <v>214.7</v>
      </c>
      <c r="DF13">
        <f t="shared" si="19"/>
        <v>84.200000000000017</v>
      </c>
      <c r="DG13">
        <f t="shared" si="19"/>
        <v>3.5</v>
      </c>
      <c r="DH13">
        <f t="shared" si="19"/>
        <v>0</v>
      </c>
      <c r="DI13">
        <f t="shared" si="19"/>
        <v>0</v>
      </c>
      <c r="DJ13">
        <f t="shared" si="19"/>
        <v>0</v>
      </c>
      <c r="DK13">
        <f t="shared" si="19"/>
        <v>0</v>
      </c>
      <c r="DL13">
        <f t="shared" si="19"/>
        <v>21.7</v>
      </c>
      <c r="DM13">
        <f t="shared" si="19"/>
        <v>144.99999999999997</v>
      </c>
      <c r="DN13">
        <f t="shared" si="19"/>
        <v>314.00000000000006</v>
      </c>
      <c r="EE13" t="s">
        <v>195</v>
      </c>
    </row>
    <row r="14" spans="1:139" x14ac:dyDescent="0.2">
      <c r="A14" s="9">
        <v>36526</v>
      </c>
      <c r="B14">
        <v>2000</v>
      </c>
      <c r="C14">
        <v>1</v>
      </c>
      <c r="D14" s="14">
        <v>-3.8225806451612905</v>
      </c>
      <c r="E14" s="14">
        <v>738.49999999999989</v>
      </c>
      <c r="F14" s="14">
        <v>0</v>
      </c>
      <c r="G14" s="14">
        <v>676.49999999999989</v>
      </c>
      <c r="H14" s="14">
        <v>0</v>
      </c>
      <c r="I14" s="14">
        <v>614.49999999999989</v>
      </c>
      <c r="J14" s="14">
        <v>0</v>
      </c>
      <c r="K14" s="14">
        <v>552.5</v>
      </c>
      <c r="L14" s="14">
        <v>0</v>
      </c>
      <c r="M14" s="14">
        <v>490.5</v>
      </c>
      <c r="N14" s="14">
        <v>0</v>
      </c>
      <c r="O14" s="14">
        <v>428.50000000000006</v>
      </c>
      <c r="P14" s="14">
        <v>0</v>
      </c>
      <c r="Q14" s="14">
        <v>366.50000000000006</v>
      </c>
      <c r="R14" s="14">
        <v>0</v>
      </c>
      <c r="U14">
        <f t="shared" si="20"/>
        <v>2014</v>
      </c>
      <c r="V14">
        <f t="shared" si="16"/>
        <v>834.1</v>
      </c>
      <c r="W14">
        <f t="shared" si="16"/>
        <v>752.6</v>
      </c>
      <c r="X14">
        <f t="shared" si="16"/>
        <v>712.39999999999986</v>
      </c>
      <c r="Y14">
        <f t="shared" si="16"/>
        <v>424.3</v>
      </c>
      <c r="Z14">
        <f t="shared" si="16"/>
        <v>225.29999999999995</v>
      </c>
      <c r="AA14">
        <f t="shared" si="16"/>
        <v>65.400000000000006</v>
      </c>
      <c r="AB14">
        <f t="shared" si="16"/>
        <v>36.6</v>
      </c>
      <c r="AC14">
        <f t="shared" si="16"/>
        <v>29.3</v>
      </c>
      <c r="AD14">
        <f t="shared" si="16"/>
        <v>99.799999999999983</v>
      </c>
      <c r="AE14">
        <f t="shared" si="16"/>
        <v>256.89999999999998</v>
      </c>
      <c r="AF14">
        <f t="shared" si="16"/>
        <v>501.49999999999994</v>
      </c>
      <c r="AG14">
        <f t="shared" si="16"/>
        <v>581.09999999999991</v>
      </c>
      <c r="AJ14">
        <f t="shared" si="21"/>
        <v>2014</v>
      </c>
      <c r="AK14">
        <f t="shared" ref="AK14:AV24" si="27">SUMIFS($G:$G,$B:$B,$AJ14,$C:$C,AK$2)</f>
        <v>772.1</v>
      </c>
      <c r="AL14">
        <f t="shared" si="27"/>
        <v>696.60000000000014</v>
      </c>
      <c r="AM14">
        <f t="shared" si="27"/>
        <v>650.4</v>
      </c>
      <c r="AN14">
        <f t="shared" si="27"/>
        <v>364.3</v>
      </c>
      <c r="AO14">
        <f t="shared" si="27"/>
        <v>169.29999999999995</v>
      </c>
      <c r="AP14">
        <f t="shared" si="27"/>
        <v>31.200000000000006</v>
      </c>
      <c r="AQ14">
        <f t="shared" si="27"/>
        <v>9.4</v>
      </c>
      <c r="AR14">
        <f t="shared" si="27"/>
        <v>8.3000000000000007</v>
      </c>
      <c r="AS14">
        <f t="shared" si="27"/>
        <v>55.900000000000006</v>
      </c>
      <c r="AT14">
        <f t="shared" si="27"/>
        <v>197.1</v>
      </c>
      <c r="AU14">
        <f t="shared" si="27"/>
        <v>441.49999999999994</v>
      </c>
      <c r="AV14">
        <f t="shared" si="27"/>
        <v>519.09999999999991</v>
      </c>
      <c r="AW14" s="385">
        <f t="shared" si="10"/>
        <v>3915.2000000000007</v>
      </c>
      <c r="AX14">
        <f t="shared" si="22"/>
        <v>2014</v>
      </c>
      <c r="AY14">
        <f t="shared" ref="AY14:BJ24" si="28">SUMIFS($I:$I,$B:$B,$AX14,$C:$C,AY$2)</f>
        <v>710.09999999999991</v>
      </c>
      <c r="AZ14">
        <f t="shared" si="28"/>
        <v>640.60000000000014</v>
      </c>
      <c r="BA14">
        <f t="shared" si="28"/>
        <v>588.4</v>
      </c>
      <c r="BB14">
        <f t="shared" si="28"/>
        <v>304.3</v>
      </c>
      <c r="BC14">
        <f t="shared" si="28"/>
        <v>115.5</v>
      </c>
      <c r="BD14">
        <f t="shared" si="28"/>
        <v>10.700000000000001</v>
      </c>
      <c r="BE14">
        <f t="shared" si="28"/>
        <v>0.90000000000000036</v>
      </c>
      <c r="BF14">
        <f t="shared" si="28"/>
        <v>0.5</v>
      </c>
      <c r="BG14">
        <f t="shared" si="28"/>
        <v>26</v>
      </c>
      <c r="BH14">
        <f t="shared" si="28"/>
        <v>139.29999999999998</v>
      </c>
      <c r="BI14">
        <f t="shared" si="28"/>
        <v>381.49999999999994</v>
      </c>
      <c r="BJ14">
        <f t="shared" si="28"/>
        <v>457.09999999999997</v>
      </c>
      <c r="BL14">
        <f t="shared" si="23"/>
        <v>2014</v>
      </c>
      <c r="BM14">
        <f t="shared" ref="BM14:BX24" si="29">SUMIFS($K:$K,$B:$B,$BL14,$C:$C,BM$2)</f>
        <v>648.1</v>
      </c>
      <c r="BN14">
        <f t="shared" si="29"/>
        <v>584.60000000000014</v>
      </c>
      <c r="BO14">
        <f t="shared" si="29"/>
        <v>526.39999999999986</v>
      </c>
      <c r="BP14">
        <f t="shared" si="29"/>
        <v>244.29999999999993</v>
      </c>
      <c r="BQ14">
        <f t="shared" si="29"/>
        <v>71.099999999999994</v>
      </c>
      <c r="BR14">
        <f t="shared" si="29"/>
        <v>1.9000000000000004</v>
      </c>
      <c r="BS14">
        <f t="shared" si="29"/>
        <v>0</v>
      </c>
      <c r="BT14">
        <f t="shared" si="29"/>
        <v>0</v>
      </c>
      <c r="BU14">
        <f t="shared" si="29"/>
        <v>10.299999999999999</v>
      </c>
      <c r="BV14">
        <f t="shared" si="29"/>
        <v>90.8</v>
      </c>
      <c r="BW14">
        <f t="shared" si="29"/>
        <v>321.5</v>
      </c>
      <c r="BX14">
        <f t="shared" si="29"/>
        <v>395.1</v>
      </c>
      <c r="BZ14">
        <f t="shared" si="24"/>
        <v>2014</v>
      </c>
      <c r="CA14">
        <f t="shared" si="17"/>
        <v>586.09999999999991</v>
      </c>
      <c r="CB14">
        <f t="shared" si="17"/>
        <v>528.60000000000014</v>
      </c>
      <c r="CC14">
        <f t="shared" si="17"/>
        <v>464.4</v>
      </c>
      <c r="CD14">
        <f t="shared" si="17"/>
        <v>185.89999999999995</v>
      </c>
      <c r="CE14">
        <f t="shared" si="17"/>
        <v>33.899999999999991</v>
      </c>
      <c r="CF14">
        <f t="shared" si="17"/>
        <v>0</v>
      </c>
      <c r="CG14">
        <f t="shared" si="17"/>
        <v>0</v>
      </c>
      <c r="CH14">
        <f t="shared" si="17"/>
        <v>0</v>
      </c>
      <c r="CI14">
        <f t="shared" si="17"/>
        <v>0.59999999999999964</v>
      </c>
      <c r="CJ14">
        <f t="shared" si="17"/>
        <v>50.6</v>
      </c>
      <c r="CK14">
        <f t="shared" si="17"/>
        <v>261.60000000000002</v>
      </c>
      <c r="CL14">
        <f t="shared" si="17"/>
        <v>333.1</v>
      </c>
      <c r="CN14">
        <f t="shared" si="25"/>
        <v>2014</v>
      </c>
      <c r="CO14">
        <f t="shared" si="18"/>
        <v>524.09999999999991</v>
      </c>
      <c r="CP14">
        <f t="shared" si="18"/>
        <v>472.60000000000008</v>
      </c>
      <c r="CQ14">
        <f t="shared" si="18"/>
        <v>402.40000000000003</v>
      </c>
      <c r="CR14">
        <f t="shared" si="18"/>
        <v>131.9</v>
      </c>
      <c r="CS14">
        <f t="shared" si="18"/>
        <v>9.5999999999999979</v>
      </c>
      <c r="CT14">
        <f t="shared" si="18"/>
        <v>0</v>
      </c>
      <c r="CU14">
        <f t="shared" si="18"/>
        <v>0</v>
      </c>
      <c r="CV14">
        <f t="shared" si="18"/>
        <v>0</v>
      </c>
      <c r="CW14">
        <f t="shared" si="18"/>
        <v>0</v>
      </c>
      <c r="CX14">
        <f t="shared" si="18"/>
        <v>18.099999999999998</v>
      </c>
      <c r="CY14">
        <f t="shared" si="18"/>
        <v>207.1</v>
      </c>
      <c r="CZ14">
        <f t="shared" si="18"/>
        <v>271.10000000000002</v>
      </c>
      <c r="DB14">
        <f t="shared" si="26"/>
        <v>2014</v>
      </c>
      <c r="DC14">
        <f t="shared" si="19"/>
        <v>462.09999999999997</v>
      </c>
      <c r="DD14">
        <f t="shared" si="19"/>
        <v>416.6</v>
      </c>
      <c r="DE14">
        <f t="shared" si="19"/>
        <v>340.4</v>
      </c>
      <c r="DF14">
        <f t="shared" si="19"/>
        <v>82.3</v>
      </c>
      <c r="DG14">
        <f t="shared" si="19"/>
        <v>1.2999999999999998</v>
      </c>
      <c r="DH14">
        <f t="shared" si="19"/>
        <v>0</v>
      </c>
      <c r="DI14">
        <f t="shared" si="19"/>
        <v>0</v>
      </c>
      <c r="DJ14">
        <f t="shared" si="19"/>
        <v>0</v>
      </c>
      <c r="DK14">
        <f t="shared" si="19"/>
        <v>0</v>
      </c>
      <c r="DL14">
        <f t="shared" si="19"/>
        <v>3.7999999999999989</v>
      </c>
      <c r="DM14">
        <f t="shared" si="19"/>
        <v>156.39999999999998</v>
      </c>
      <c r="DN14">
        <f t="shared" si="19"/>
        <v>209.10000000000002</v>
      </c>
      <c r="EE14" t="s">
        <v>532</v>
      </c>
    </row>
    <row r="15" spans="1:139" x14ac:dyDescent="0.2">
      <c r="A15" s="9">
        <v>36557</v>
      </c>
      <c r="B15">
        <v>2000</v>
      </c>
      <c r="C15">
        <v>2</v>
      </c>
      <c r="D15" s="14">
        <v>-1.4827586206896546</v>
      </c>
      <c r="E15" s="14">
        <v>623.00000000000011</v>
      </c>
      <c r="F15" s="14">
        <v>0</v>
      </c>
      <c r="G15" s="14">
        <v>565.00000000000011</v>
      </c>
      <c r="H15" s="14">
        <v>0</v>
      </c>
      <c r="I15" s="14">
        <v>507.00000000000006</v>
      </c>
      <c r="J15" s="14">
        <v>0</v>
      </c>
      <c r="K15" s="14">
        <v>449.00000000000006</v>
      </c>
      <c r="L15" s="14">
        <v>0</v>
      </c>
      <c r="M15" s="14">
        <v>391</v>
      </c>
      <c r="N15" s="14">
        <v>0</v>
      </c>
      <c r="O15" s="14">
        <v>333</v>
      </c>
      <c r="P15" s="14">
        <v>0</v>
      </c>
      <c r="Q15" s="14">
        <v>277.10000000000002</v>
      </c>
      <c r="R15" s="14">
        <v>2.1000000000000014</v>
      </c>
      <c r="U15">
        <f t="shared" si="20"/>
        <v>2015</v>
      </c>
      <c r="V15">
        <f t="shared" si="16"/>
        <v>801.5999999999998</v>
      </c>
      <c r="W15">
        <f t="shared" si="16"/>
        <v>871.89999999999975</v>
      </c>
      <c r="X15">
        <f t="shared" si="16"/>
        <v>655.99999999999989</v>
      </c>
      <c r="Y15">
        <f t="shared" si="16"/>
        <v>381.90000000000003</v>
      </c>
      <c r="Z15">
        <f t="shared" si="16"/>
        <v>175.50000000000003</v>
      </c>
      <c r="AA15">
        <f t="shared" si="16"/>
        <v>101.39999999999998</v>
      </c>
      <c r="AB15">
        <f t="shared" si="16"/>
        <v>17.600000000000001</v>
      </c>
      <c r="AC15">
        <f t="shared" si="16"/>
        <v>20.399999999999999</v>
      </c>
      <c r="AD15">
        <f t="shared" si="16"/>
        <v>50.100000000000009</v>
      </c>
      <c r="AE15">
        <f t="shared" si="16"/>
        <v>260.8</v>
      </c>
      <c r="AF15">
        <f t="shared" si="16"/>
        <v>361.1</v>
      </c>
      <c r="AG15">
        <f t="shared" si="16"/>
        <v>456.5</v>
      </c>
      <c r="AJ15">
        <f t="shared" si="21"/>
        <v>2015</v>
      </c>
      <c r="AK15">
        <f t="shared" si="27"/>
        <v>739.5999999999998</v>
      </c>
      <c r="AL15">
        <f t="shared" si="27"/>
        <v>815.89999999999975</v>
      </c>
      <c r="AM15">
        <f t="shared" si="27"/>
        <v>593.99999999999989</v>
      </c>
      <c r="AN15">
        <f t="shared" si="27"/>
        <v>321.90000000000009</v>
      </c>
      <c r="AO15">
        <f t="shared" si="27"/>
        <v>123.90000000000002</v>
      </c>
      <c r="AP15">
        <f t="shared" si="27"/>
        <v>61.3</v>
      </c>
      <c r="AQ15">
        <f t="shared" si="27"/>
        <v>4.4000000000000021</v>
      </c>
      <c r="AR15">
        <f t="shared" si="27"/>
        <v>1.8000000000000007</v>
      </c>
      <c r="AS15">
        <f t="shared" si="27"/>
        <v>22.6</v>
      </c>
      <c r="AT15">
        <f t="shared" si="27"/>
        <v>200</v>
      </c>
      <c r="AU15">
        <f t="shared" si="27"/>
        <v>301.10000000000008</v>
      </c>
      <c r="AV15">
        <f t="shared" si="27"/>
        <v>394.5</v>
      </c>
      <c r="AW15" s="385">
        <f t="shared" si="10"/>
        <v>3581</v>
      </c>
      <c r="AX15">
        <f t="shared" si="22"/>
        <v>2015</v>
      </c>
      <c r="AY15">
        <f t="shared" si="28"/>
        <v>677.59999999999968</v>
      </c>
      <c r="AZ15">
        <f t="shared" si="28"/>
        <v>759.89999999999986</v>
      </c>
      <c r="BA15">
        <f t="shared" si="28"/>
        <v>531.99999999999989</v>
      </c>
      <c r="BB15">
        <f t="shared" si="28"/>
        <v>261.89999999999998</v>
      </c>
      <c r="BC15">
        <f t="shared" si="28"/>
        <v>80.5</v>
      </c>
      <c r="BD15">
        <f t="shared" si="28"/>
        <v>29.699999999999996</v>
      </c>
      <c r="BE15">
        <f t="shared" si="28"/>
        <v>0</v>
      </c>
      <c r="BF15">
        <f t="shared" si="28"/>
        <v>0</v>
      </c>
      <c r="BG15">
        <f t="shared" si="28"/>
        <v>7.2000000000000011</v>
      </c>
      <c r="BH15">
        <f t="shared" si="28"/>
        <v>141.1</v>
      </c>
      <c r="BI15">
        <f t="shared" si="28"/>
        <v>241.20000000000005</v>
      </c>
      <c r="BJ15">
        <f t="shared" si="28"/>
        <v>332.5</v>
      </c>
      <c r="BL15">
        <f t="shared" si="23"/>
        <v>2015</v>
      </c>
      <c r="BM15">
        <f t="shared" si="29"/>
        <v>615.5999999999998</v>
      </c>
      <c r="BN15">
        <f t="shared" si="29"/>
        <v>703.89999999999986</v>
      </c>
      <c r="BO15">
        <f t="shared" si="29"/>
        <v>469.99999999999994</v>
      </c>
      <c r="BP15">
        <f t="shared" si="29"/>
        <v>203.49999999999991</v>
      </c>
      <c r="BQ15">
        <f t="shared" si="29"/>
        <v>44.20000000000001</v>
      </c>
      <c r="BR15">
        <f t="shared" si="29"/>
        <v>11.4</v>
      </c>
      <c r="BS15">
        <f t="shared" si="29"/>
        <v>0</v>
      </c>
      <c r="BT15">
        <f t="shared" si="29"/>
        <v>0</v>
      </c>
      <c r="BU15">
        <f t="shared" si="29"/>
        <v>9.9999999999999645E-2</v>
      </c>
      <c r="BV15">
        <f t="shared" si="29"/>
        <v>89.2</v>
      </c>
      <c r="BW15">
        <f t="shared" si="29"/>
        <v>185.10000000000002</v>
      </c>
      <c r="BX15">
        <f t="shared" si="29"/>
        <v>270.5</v>
      </c>
      <c r="BZ15">
        <f t="shared" si="24"/>
        <v>2015</v>
      </c>
      <c r="CA15">
        <f t="shared" si="17"/>
        <v>553.59999999999991</v>
      </c>
      <c r="CB15">
        <f t="shared" si="17"/>
        <v>647.9</v>
      </c>
      <c r="CC15">
        <f t="shared" si="17"/>
        <v>408</v>
      </c>
      <c r="CD15">
        <f t="shared" si="17"/>
        <v>149.69999999999996</v>
      </c>
      <c r="CE15">
        <f t="shared" si="17"/>
        <v>18.3</v>
      </c>
      <c r="CF15">
        <f t="shared" si="17"/>
        <v>3.5</v>
      </c>
      <c r="CG15">
        <f t="shared" si="17"/>
        <v>0</v>
      </c>
      <c r="CH15">
        <f t="shared" si="17"/>
        <v>0</v>
      </c>
      <c r="CI15">
        <f t="shared" si="17"/>
        <v>0</v>
      </c>
      <c r="CJ15">
        <f t="shared" si="17"/>
        <v>51.800000000000004</v>
      </c>
      <c r="CK15">
        <f t="shared" si="17"/>
        <v>133</v>
      </c>
      <c r="CL15">
        <f t="shared" si="17"/>
        <v>208.49999999999994</v>
      </c>
      <c r="CN15">
        <f t="shared" si="25"/>
        <v>2015</v>
      </c>
      <c r="CO15">
        <f t="shared" si="18"/>
        <v>491.59999999999997</v>
      </c>
      <c r="CP15">
        <f t="shared" si="18"/>
        <v>591.9</v>
      </c>
      <c r="CQ15">
        <f t="shared" si="18"/>
        <v>346</v>
      </c>
      <c r="CR15">
        <f t="shared" si="18"/>
        <v>102.5</v>
      </c>
      <c r="CS15">
        <f t="shared" si="18"/>
        <v>4.5999999999999996</v>
      </c>
      <c r="CT15">
        <f t="shared" si="18"/>
        <v>0</v>
      </c>
      <c r="CU15">
        <f t="shared" si="18"/>
        <v>0</v>
      </c>
      <c r="CV15">
        <f t="shared" si="18"/>
        <v>0</v>
      </c>
      <c r="CW15">
        <f t="shared" si="18"/>
        <v>0</v>
      </c>
      <c r="CX15">
        <f t="shared" si="18"/>
        <v>26.9</v>
      </c>
      <c r="CY15">
        <f t="shared" si="18"/>
        <v>90.2</v>
      </c>
      <c r="CZ15">
        <f t="shared" si="18"/>
        <v>148</v>
      </c>
      <c r="DB15">
        <f t="shared" si="26"/>
        <v>2015</v>
      </c>
      <c r="DC15">
        <f t="shared" si="19"/>
        <v>429.59999999999997</v>
      </c>
      <c r="DD15">
        <f t="shared" si="19"/>
        <v>535.9</v>
      </c>
      <c r="DE15">
        <f t="shared" si="19"/>
        <v>284</v>
      </c>
      <c r="DF15">
        <f t="shared" si="19"/>
        <v>61.70000000000001</v>
      </c>
      <c r="DG15">
        <f t="shared" si="19"/>
        <v>0.5</v>
      </c>
      <c r="DH15">
        <f t="shared" si="19"/>
        <v>0</v>
      </c>
      <c r="DI15">
        <f t="shared" si="19"/>
        <v>0</v>
      </c>
      <c r="DJ15">
        <f t="shared" si="19"/>
        <v>0</v>
      </c>
      <c r="DK15">
        <f t="shared" si="19"/>
        <v>0</v>
      </c>
      <c r="DL15">
        <f t="shared" si="19"/>
        <v>11.299999999999999</v>
      </c>
      <c r="DM15">
        <f t="shared" si="19"/>
        <v>56.800000000000004</v>
      </c>
      <c r="DN15">
        <f t="shared" si="19"/>
        <v>96.899999999999991</v>
      </c>
    </row>
    <row r="16" spans="1:139" x14ac:dyDescent="0.2">
      <c r="A16" s="9">
        <v>36586</v>
      </c>
      <c r="B16">
        <v>2000</v>
      </c>
      <c r="C16">
        <v>3</v>
      </c>
      <c r="D16" s="14">
        <v>4.7709677419354852</v>
      </c>
      <c r="E16" s="14">
        <v>472.10000000000019</v>
      </c>
      <c r="F16" s="14">
        <v>0</v>
      </c>
      <c r="G16" s="14">
        <v>410.10000000000014</v>
      </c>
      <c r="H16" s="14">
        <v>0</v>
      </c>
      <c r="I16" s="14">
        <v>348.10000000000014</v>
      </c>
      <c r="J16" s="14">
        <v>0</v>
      </c>
      <c r="K16" s="14">
        <v>286.10000000000008</v>
      </c>
      <c r="L16" s="14">
        <v>0</v>
      </c>
      <c r="M16" s="14">
        <v>224.40000000000003</v>
      </c>
      <c r="N16" s="14">
        <v>0.30000000000000071</v>
      </c>
      <c r="O16" s="14">
        <v>166.10000000000002</v>
      </c>
      <c r="P16" s="14">
        <v>4</v>
      </c>
      <c r="Q16" s="14">
        <v>111.39999999999996</v>
      </c>
      <c r="R16" s="14">
        <v>11.299999999999999</v>
      </c>
      <c r="U16">
        <f t="shared" si="20"/>
        <v>2016</v>
      </c>
      <c r="V16">
        <f t="shared" si="16"/>
        <v>686.99999999999989</v>
      </c>
      <c r="W16">
        <f t="shared" si="16"/>
        <v>602.29999999999995</v>
      </c>
      <c r="X16">
        <f t="shared" si="16"/>
        <v>513.20000000000005</v>
      </c>
      <c r="Y16">
        <f t="shared" si="16"/>
        <v>450.99999999999983</v>
      </c>
      <c r="Z16">
        <f t="shared" si="16"/>
        <v>203.6</v>
      </c>
      <c r="AA16">
        <f t="shared" si="16"/>
        <v>53</v>
      </c>
      <c r="AB16">
        <f t="shared" si="16"/>
        <v>5.2999999999999972</v>
      </c>
      <c r="AC16">
        <f t="shared" si="16"/>
        <v>0.10000000000000142</v>
      </c>
      <c r="AD16">
        <f t="shared" si="16"/>
        <v>41.900000000000013</v>
      </c>
      <c r="AE16">
        <f t="shared" si="16"/>
        <v>212.29999999999998</v>
      </c>
      <c r="AF16">
        <f t="shared" si="16"/>
        <v>352.90000000000003</v>
      </c>
      <c r="AG16">
        <f t="shared" si="16"/>
        <v>621</v>
      </c>
      <c r="AJ16">
        <f t="shared" si="21"/>
        <v>2016</v>
      </c>
      <c r="AK16">
        <f t="shared" si="27"/>
        <v>624.99999999999989</v>
      </c>
      <c r="AL16">
        <f t="shared" si="27"/>
        <v>544.29999999999984</v>
      </c>
      <c r="AM16">
        <f t="shared" si="27"/>
        <v>451.2</v>
      </c>
      <c r="AN16">
        <f t="shared" si="27"/>
        <v>390.99999999999983</v>
      </c>
      <c r="AO16">
        <f t="shared" si="27"/>
        <v>156.09999999999997</v>
      </c>
      <c r="AP16">
        <f t="shared" si="27"/>
        <v>26.500000000000004</v>
      </c>
      <c r="AQ16">
        <f t="shared" si="27"/>
        <v>0.10000000000000142</v>
      </c>
      <c r="AR16">
        <f t="shared" si="27"/>
        <v>0</v>
      </c>
      <c r="AS16">
        <f t="shared" si="27"/>
        <v>15.500000000000002</v>
      </c>
      <c r="AT16">
        <f t="shared" si="27"/>
        <v>156.6</v>
      </c>
      <c r="AU16">
        <f t="shared" si="27"/>
        <v>292.90000000000003</v>
      </c>
      <c r="AV16">
        <f t="shared" si="27"/>
        <v>559</v>
      </c>
      <c r="AW16" s="385">
        <f t="shared" si="10"/>
        <v>3218.1999999999994</v>
      </c>
      <c r="AX16">
        <f t="shared" si="22"/>
        <v>2016</v>
      </c>
      <c r="AY16">
        <f t="shared" si="28"/>
        <v>563</v>
      </c>
      <c r="AZ16">
        <f t="shared" si="28"/>
        <v>486.3</v>
      </c>
      <c r="BA16">
        <f t="shared" si="28"/>
        <v>389.2</v>
      </c>
      <c r="BB16">
        <f t="shared" si="28"/>
        <v>331.7999999999999</v>
      </c>
      <c r="BC16">
        <f t="shared" si="28"/>
        <v>113.69999999999999</v>
      </c>
      <c r="BD16">
        <f t="shared" si="28"/>
        <v>8.5</v>
      </c>
      <c r="BE16">
        <f t="shared" si="28"/>
        <v>0</v>
      </c>
      <c r="BF16">
        <f t="shared" si="28"/>
        <v>0</v>
      </c>
      <c r="BG16">
        <f t="shared" si="28"/>
        <v>3.7999999999999989</v>
      </c>
      <c r="BH16">
        <f t="shared" si="28"/>
        <v>111.3</v>
      </c>
      <c r="BI16">
        <f t="shared" si="28"/>
        <v>232.90000000000003</v>
      </c>
      <c r="BJ16">
        <f t="shared" si="28"/>
        <v>497</v>
      </c>
      <c r="BL16">
        <f t="shared" si="23"/>
        <v>2016</v>
      </c>
      <c r="BM16">
        <f t="shared" si="29"/>
        <v>501</v>
      </c>
      <c r="BN16">
        <f t="shared" si="29"/>
        <v>428.29999999999995</v>
      </c>
      <c r="BO16">
        <f t="shared" si="29"/>
        <v>327.2</v>
      </c>
      <c r="BP16">
        <f t="shared" si="29"/>
        <v>273.7999999999999</v>
      </c>
      <c r="BQ16">
        <f t="shared" si="29"/>
        <v>74.600000000000009</v>
      </c>
      <c r="BR16">
        <f t="shared" si="29"/>
        <v>2</v>
      </c>
      <c r="BS16">
        <f t="shared" si="29"/>
        <v>0</v>
      </c>
      <c r="BT16">
        <f t="shared" si="29"/>
        <v>0</v>
      </c>
      <c r="BU16">
        <f t="shared" si="29"/>
        <v>9.9999999999999645E-2</v>
      </c>
      <c r="BV16">
        <f t="shared" si="29"/>
        <v>77.199999999999989</v>
      </c>
      <c r="BW16">
        <f t="shared" si="29"/>
        <v>174.8</v>
      </c>
      <c r="BX16">
        <f t="shared" si="29"/>
        <v>435.00000000000006</v>
      </c>
      <c r="BZ16">
        <f t="shared" si="24"/>
        <v>2016</v>
      </c>
      <c r="CA16">
        <f t="shared" si="17"/>
        <v>439</v>
      </c>
      <c r="CB16">
        <f t="shared" si="17"/>
        <v>370.3</v>
      </c>
      <c r="CC16">
        <f t="shared" si="17"/>
        <v>267</v>
      </c>
      <c r="CD16">
        <f t="shared" si="17"/>
        <v>216.89999999999998</v>
      </c>
      <c r="CE16">
        <f t="shared" si="17"/>
        <v>41.900000000000006</v>
      </c>
      <c r="CF16">
        <f t="shared" si="17"/>
        <v>0</v>
      </c>
      <c r="CG16">
        <f t="shared" si="17"/>
        <v>0</v>
      </c>
      <c r="CH16">
        <f t="shared" si="17"/>
        <v>0</v>
      </c>
      <c r="CI16">
        <f t="shared" si="17"/>
        <v>0</v>
      </c>
      <c r="CJ16">
        <f t="shared" si="17"/>
        <v>50.1</v>
      </c>
      <c r="CK16">
        <f t="shared" si="17"/>
        <v>121.3</v>
      </c>
      <c r="CL16">
        <f t="shared" si="17"/>
        <v>373</v>
      </c>
      <c r="CN16">
        <f t="shared" si="25"/>
        <v>2016</v>
      </c>
      <c r="CO16">
        <f t="shared" si="18"/>
        <v>377.00000000000006</v>
      </c>
      <c r="CP16">
        <f t="shared" si="18"/>
        <v>312.5</v>
      </c>
      <c r="CQ16">
        <f t="shared" si="18"/>
        <v>208.49999999999997</v>
      </c>
      <c r="CR16">
        <f t="shared" si="18"/>
        <v>162.69999999999999</v>
      </c>
      <c r="CS16">
        <f t="shared" si="18"/>
        <v>17.299999999999997</v>
      </c>
      <c r="CT16">
        <f t="shared" si="18"/>
        <v>0</v>
      </c>
      <c r="CU16">
        <f t="shared" si="18"/>
        <v>0</v>
      </c>
      <c r="CV16">
        <f t="shared" si="18"/>
        <v>0</v>
      </c>
      <c r="CW16">
        <f t="shared" si="18"/>
        <v>0</v>
      </c>
      <c r="CX16">
        <f t="shared" si="18"/>
        <v>26.6</v>
      </c>
      <c r="CY16">
        <f t="shared" si="18"/>
        <v>76.000000000000014</v>
      </c>
      <c r="CZ16">
        <f t="shared" si="18"/>
        <v>311</v>
      </c>
      <c r="DB16">
        <f t="shared" si="26"/>
        <v>2016</v>
      </c>
      <c r="DC16">
        <f t="shared" si="19"/>
        <v>315</v>
      </c>
      <c r="DD16">
        <f t="shared" si="19"/>
        <v>257.2</v>
      </c>
      <c r="DE16">
        <f t="shared" si="19"/>
        <v>154.29999999999998</v>
      </c>
      <c r="DF16">
        <f t="shared" si="19"/>
        <v>113.70000000000002</v>
      </c>
      <c r="DG16">
        <f t="shared" si="19"/>
        <v>4.5</v>
      </c>
      <c r="DH16">
        <f t="shared" si="19"/>
        <v>0</v>
      </c>
      <c r="DI16">
        <f t="shared" si="19"/>
        <v>0</v>
      </c>
      <c r="DJ16">
        <f t="shared" si="19"/>
        <v>0</v>
      </c>
      <c r="DK16">
        <f t="shared" si="19"/>
        <v>0</v>
      </c>
      <c r="DL16">
        <f t="shared" si="19"/>
        <v>10.800000000000002</v>
      </c>
      <c r="DM16">
        <f t="shared" si="19"/>
        <v>45.8</v>
      </c>
      <c r="DN16">
        <f t="shared" si="19"/>
        <v>249</v>
      </c>
      <c r="EF16" t="s">
        <v>68</v>
      </c>
      <c r="EG16" t="s">
        <v>69</v>
      </c>
      <c r="EH16" t="s">
        <v>70</v>
      </c>
      <c r="EI16" t="s">
        <v>71</v>
      </c>
    </row>
    <row r="17" spans="1:139" x14ac:dyDescent="0.2">
      <c r="A17" s="9">
        <v>36617</v>
      </c>
      <c r="B17">
        <v>2000</v>
      </c>
      <c r="C17">
        <v>4</v>
      </c>
      <c r="D17" s="14">
        <v>6.4600000000000017</v>
      </c>
      <c r="E17" s="14">
        <v>406.19999999999987</v>
      </c>
      <c r="F17" s="14">
        <v>0</v>
      </c>
      <c r="G17" s="14">
        <v>346.19999999999993</v>
      </c>
      <c r="H17" s="14">
        <v>0</v>
      </c>
      <c r="I17" s="14">
        <v>286.79999999999995</v>
      </c>
      <c r="J17" s="14">
        <v>0.60000000000000142</v>
      </c>
      <c r="K17" s="14">
        <v>228.79999999999995</v>
      </c>
      <c r="L17" s="14">
        <v>2.6000000000000014</v>
      </c>
      <c r="M17" s="14">
        <v>170.79999999999995</v>
      </c>
      <c r="N17" s="14">
        <v>4.6000000000000014</v>
      </c>
      <c r="O17" s="14">
        <v>117.60000000000002</v>
      </c>
      <c r="P17" s="14">
        <v>11.400000000000002</v>
      </c>
      <c r="Q17" s="14">
        <v>73.900000000000006</v>
      </c>
      <c r="R17" s="14">
        <v>27.700000000000003</v>
      </c>
      <c r="U17">
        <f t="shared" si="20"/>
        <v>2017</v>
      </c>
      <c r="V17">
        <f t="shared" si="16"/>
        <v>630.59999999999991</v>
      </c>
      <c r="W17">
        <f t="shared" si="16"/>
        <v>527.19999999999982</v>
      </c>
      <c r="X17">
        <f t="shared" si="16"/>
        <v>603.20000000000005</v>
      </c>
      <c r="Y17">
        <f t="shared" si="16"/>
        <v>332.09999999999991</v>
      </c>
      <c r="Z17">
        <f t="shared" si="16"/>
        <v>258.59999999999997</v>
      </c>
      <c r="AA17">
        <f t="shared" si="16"/>
        <v>57.4</v>
      </c>
      <c r="AB17">
        <f t="shared" si="16"/>
        <v>5.3999999999999986</v>
      </c>
      <c r="AC17">
        <f t="shared" si="16"/>
        <v>26.599999999999994</v>
      </c>
      <c r="AD17">
        <f t="shared" si="16"/>
        <v>72.199999999999989</v>
      </c>
      <c r="AE17">
        <f t="shared" si="16"/>
        <v>167.79999999999998</v>
      </c>
      <c r="AF17">
        <f t="shared" si="16"/>
        <v>447.9</v>
      </c>
      <c r="AG17">
        <f t="shared" si="16"/>
        <v>711.20000000000016</v>
      </c>
      <c r="AJ17">
        <f t="shared" si="21"/>
        <v>2017</v>
      </c>
      <c r="AK17">
        <f t="shared" si="27"/>
        <v>568.60000000000014</v>
      </c>
      <c r="AL17">
        <f t="shared" si="27"/>
        <v>471.19999999999987</v>
      </c>
      <c r="AM17">
        <f t="shared" si="27"/>
        <v>541.20000000000005</v>
      </c>
      <c r="AN17">
        <f t="shared" si="27"/>
        <v>272.09999999999997</v>
      </c>
      <c r="AO17">
        <f t="shared" si="27"/>
        <v>200.5</v>
      </c>
      <c r="AP17">
        <f t="shared" si="27"/>
        <v>29.300000000000004</v>
      </c>
      <c r="AQ17">
        <f t="shared" si="27"/>
        <v>0</v>
      </c>
      <c r="AR17">
        <f t="shared" si="27"/>
        <v>7.1999999999999993</v>
      </c>
      <c r="AS17">
        <f t="shared" si="27"/>
        <v>41.699999999999996</v>
      </c>
      <c r="AT17">
        <f t="shared" si="27"/>
        <v>113.30000000000003</v>
      </c>
      <c r="AU17">
        <f t="shared" si="27"/>
        <v>387.89999999999992</v>
      </c>
      <c r="AV17">
        <f t="shared" si="27"/>
        <v>649.20000000000016</v>
      </c>
      <c r="AW17" s="385">
        <f t="shared" si="10"/>
        <v>3282.2000000000003</v>
      </c>
      <c r="AX17">
        <f t="shared" si="22"/>
        <v>2017</v>
      </c>
      <c r="AY17">
        <f t="shared" si="28"/>
        <v>506.60000000000014</v>
      </c>
      <c r="AZ17">
        <f t="shared" si="28"/>
        <v>415.19999999999987</v>
      </c>
      <c r="BA17">
        <f t="shared" si="28"/>
        <v>479.2</v>
      </c>
      <c r="BB17">
        <f t="shared" si="28"/>
        <v>213</v>
      </c>
      <c r="BC17">
        <f t="shared" si="28"/>
        <v>147.99999999999997</v>
      </c>
      <c r="BD17">
        <f t="shared" si="28"/>
        <v>8.9000000000000021</v>
      </c>
      <c r="BE17">
        <f t="shared" si="28"/>
        <v>0</v>
      </c>
      <c r="BF17">
        <f t="shared" si="28"/>
        <v>0</v>
      </c>
      <c r="BG17">
        <f t="shared" si="28"/>
        <v>18.599999999999998</v>
      </c>
      <c r="BH17">
        <f t="shared" si="28"/>
        <v>75.2</v>
      </c>
      <c r="BI17">
        <f t="shared" si="28"/>
        <v>327.9</v>
      </c>
      <c r="BJ17">
        <f t="shared" si="28"/>
        <v>587.20000000000005</v>
      </c>
      <c r="BL17">
        <f t="shared" si="23"/>
        <v>2017</v>
      </c>
      <c r="BM17">
        <f t="shared" si="29"/>
        <v>444.60000000000008</v>
      </c>
      <c r="BN17">
        <f t="shared" si="29"/>
        <v>359.19999999999993</v>
      </c>
      <c r="BO17">
        <f t="shared" si="29"/>
        <v>417.20000000000005</v>
      </c>
      <c r="BP17">
        <f t="shared" si="29"/>
        <v>156.79999999999998</v>
      </c>
      <c r="BQ17">
        <f t="shared" si="29"/>
        <v>98.600000000000009</v>
      </c>
      <c r="BR17">
        <f t="shared" si="29"/>
        <v>0</v>
      </c>
      <c r="BS17">
        <f t="shared" si="29"/>
        <v>0</v>
      </c>
      <c r="BT17">
        <f t="shared" si="29"/>
        <v>0</v>
      </c>
      <c r="BU17">
        <f t="shared" si="29"/>
        <v>4.0999999999999996</v>
      </c>
      <c r="BV17">
        <f t="shared" si="29"/>
        <v>47.5</v>
      </c>
      <c r="BW17">
        <f t="shared" si="29"/>
        <v>267.89999999999998</v>
      </c>
      <c r="BX17">
        <f t="shared" si="29"/>
        <v>525.19999999999993</v>
      </c>
      <c r="BZ17">
        <f t="shared" si="24"/>
        <v>2017</v>
      </c>
      <c r="CA17">
        <f t="shared" si="17"/>
        <v>382.60000000000008</v>
      </c>
      <c r="CB17">
        <f t="shared" si="17"/>
        <v>303.19999999999993</v>
      </c>
      <c r="CC17">
        <f t="shared" si="17"/>
        <v>355.20000000000005</v>
      </c>
      <c r="CD17">
        <f t="shared" si="17"/>
        <v>107.10000000000002</v>
      </c>
      <c r="CE17">
        <f t="shared" si="17"/>
        <v>57.899999999999991</v>
      </c>
      <c r="CF17">
        <f t="shared" si="17"/>
        <v>0</v>
      </c>
      <c r="CG17">
        <f t="shared" si="17"/>
        <v>0</v>
      </c>
      <c r="CH17">
        <f t="shared" si="17"/>
        <v>0</v>
      </c>
      <c r="CI17">
        <f t="shared" si="17"/>
        <v>1</v>
      </c>
      <c r="CJ17">
        <f t="shared" si="17"/>
        <v>26.3</v>
      </c>
      <c r="CK17">
        <f t="shared" si="17"/>
        <v>208.10000000000005</v>
      </c>
      <c r="CL17">
        <f t="shared" si="17"/>
        <v>463.20000000000005</v>
      </c>
      <c r="CN17">
        <f t="shared" si="25"/>
        <v>2017</v>
      </c>
      <c r="CO17">
        <f t="shared" si="18"/>
        <v>320.59999999999997</v>
      </c>
      <c r="CP17">
        <f t="shared" si="18"/>
        <v>247.7</v>
      </c>
      <c r="CQ17">
        <f t="shared" si="18"/>
        <v>293.40000000000003</v>
      </c>
      <c r="CR17">
        <f t="shared" si="18"/>
        <v>65.800000000000011</v>
      </c>
      <c r="CS17">
        <f t="shared" si="18"/>
        <v>25.700000000000003</v>
      </c>
      <c r="CT17">
        <f t="shared" si="18"/>
        <v>0</v>
      </c>
      <c r="CU17">
        <f t="shared" si="18"/>
        <v>0</v>
      </c>
      <c r="CV17">
        <f t="shared" si="18"/>
        <v>0</v>
      </c>
      <c r="CW17">
        <f t="shared" si="18"/>
        <v>0</v>
      </c>
      <c r="CX17">
        <f t="shared" si="18"/>
        <v>12.3</v>
      </c>
      <c r="CY17">
        <f t="shared" si="18"/>
        <v>151.80000000000004</v>
      </c>
      <c r="CZ17">
        <f t="shared" si="18"/>
        <v>401.20000000000005</v>
      </c>
      <c r="DB17">
        <f t="shared" si="26"/>
        <v>2017</v>
      </c>
      <c r="DC17">
        <f t="shared" si="19"/>
        <v>258.59999999999997</v>
      </c>
      <c r="DD17">
        <f t="shared" si="19"/>
        <v>193.8</v>
      </c>
      <c r="DE17">
        <f t="shared" si="19"/>
        <v>234.70000000000002</v>
      </c>
      <c r="DF17">
        <f t="shared" si="19"/>
        <v>29.499999999999996</v>
      </c>
      <c r="DG17">
        <f t="shared" si="19"/>
        <v>6.8000000000000007</v>
      </c>
      <c r="DH17">
        <f t="shared" si="19"/>
        <v>0</v>
      </c>
      <c r="DI17">
        <f t="shared" si="19"/>
        <v>0</v>
      </c>
      <c r="DJ17">
        <f t="shared" si="19"/>
        <v>0</v>
      </c>
      <c r="DK17">
        <f t="shared" si="19"/>
        <v>0</v>
      </c>
      <c r="DL17">
        <f t="shared" si="19"/>
        <v>2.1000000000000005</v>
      </c>
      <c r="DM17">
        <f t="shared" si="19"/>
        <v>99.000000000000014</v>
      </c>
      <c r="DN17">
        <f t="shared" si="19"/>
        <v>339.20000000000005</v>
      </c>
      <c r="EE17" t="s">
        <v>72</v>
      </c>
      <c r="EF17">
        <v>35298963.860157602</v>
      </c>
      <c r="EG17">
        <v>718234.67198198801</v>
      </c>
      <c r="EH17">
        <v>49.146839100302998</v>
      </c>
      <c r="EI17" s="32">
        <v>5.7428687577253096E-80</v>
      </c>
    </row>
    <row r="18" spans="1:139" x14ac:dyDescent="0.2">
      <c r="A18" s="9">
        <v>36647</v>
      </c>
      <c r="B18">
        <v>2000</v>
      </c>
      <c r="C18">
        <v>5</v>
      </c>
      <c r="D18" s="14">
        <v>13.683870967741939</v>
      </c>
      <c r="E18" s="14">
        <v>206.49999999999994</v>
      </c>
      <c r="F18" s="14">
        <v>10.700000000000003</v>
      </c>
      <c r="G18" s="14">
        <v>154.5</v>
      </c>
      <c r="H18" s="14">
        <v>20.700000000000003</v>
      </c>
      <c r="I18" s="14">
        <v>106.6</v>
      </c>
      <c r="J18" s="14">
        <v>34.800000000000004</v>
      </c>
      <c r="K18" s="14">
        <v>63.899999999999991</v>
      </c>
      <c r="L18" s="14">
        <v>54.1</v>
      </c>
      <c r="M18" s="14">
        <v>28.399999999999995</v>
      </c>
      <c r="N18" s="14">
        <v>80.599999999999994</v>
      </c>
      <c r="O18" s="14">
        <v>9.7999999999999989</v>
      </c>
      <c r="P18" s="14">
        <v>124</v>
      </c>
      <c r="Q18" s="14">
        <v>2.4000000000000004</v>
      </c>
      <c r="R18" s="14">
        <v>178.6</v>
      </c>
      <c r="U18">
        <f t="shared" si="20"/>
        <v>2018</v>
      </c>
      <c r="V18">
        <f t="shared" si="16"/>
        <v>742.29999999999984</v>
      </c>
      <c r="W18">
        <f t="shared" si="16"/>
        <v>568.1</v>
      </c>
      <c r="X18">
        <f t="shared" si="16"/>
        <v>595.9</v>
      </c>
      <c r="Y18">
        <f t="shared" si="16"/>
        <v>479.3</v>
      </c>
      <c r="Z18">
        <f t="shared" si="16"/>
        <v>173.79999999999998</v>
      </c>
      <c r="AA18">
        <f t="shared" si="16"/>
        <v>64.600000000000009</v>
      </c>
      <c r="AB18">
        <f t="shared" si="16"/>
        <v>0.5</v>
      </c>
      <c r="AC18">
        <f t="shared" si="16"/>
        <v>5.8000000000000007</v>
      </c>
      <c r="AD18">
        <f t="shared" si="16"/>
        <v>57.199999999999996</v>
      </c>
      <c r="AE18">
        <f t="shared" si="16"/>
        <v>295.49999999999989</v>
      </c>
      <c r="AF18">
        <f t="shared" si="16"/>
        <v>512.4</v>
      </c>
      <c r="AG18">
        <f t="shared" si="16"/>
        <v>578.00000000000011</v>
      </c>
      <c r="AJ18">
        <f t="shared" si="21"/>
        <v>2018</v>
      </c>
      <c r="AK18">
        <f t="shared" si="27"/>
        <v>680.29999999999984</v>
      </c>
      <c r="AL18">
        <f t="shared" si="27"/>
        <v>512.09999999999991</v>
      </c>
      <c r="AM18">
        <f t="shared" si="27"/>
        <v>533.9</v>
      </c>
      <c r="AN18">
        <f t="shared" si="27"/>
        <v>419.3</v>
      </c>
      <c r="AO18">
        <f t="shared" si="27"/>
        <v>127.7</v>
      </c>
      <c r="AP18">
        <f t="shared" si="27"/>
        <v>26.9</v>
      </c>
      <c r="AQ18">
        <f t="shared" si="27"/>
        <v>0</v>
      </c>
      <c r="AR18">
        <f t="shared" si="27"/>
        <v>1.3000000000000007</v>
      </c>
      <c r="AS18">
        <f t="shared" si="27"/>
        <v>27.800000000000004</v>
      </c>
      <c r="AT18">
        <f t="shared" si="27"/>
        <v>237.49999999999997</v>
      </c>
      <c r="AU18">
        <f t="shared" si="27"/>
        <v>452.40000000000003</v>
      </c>
      <c r="AV18">
        <f t="shared" si="27"/>
        <v>516.00000000000011</v>
      </c>
      <c r="AW18" s="385">
        <f t="shared" si="10"/>
        <v>3535.2000000000003</v>
      </c>
      <c r="AX18">
        <f t="shared" si="22"/>
        <v>2018</v>
      </c>
      <c r="AY18">
        <f t="shared" si="28"/>
        <v>618.29999999999984</v>
      </c>
      <c r="AZ18">
        <f t="shared" si="28"/>
        <v>456.1</v>
      </c>
      <c r="BA18">
        <f t="shared" si="28"/>
        <v>471.89999999999992</v>
      </c>
      <c r="BB18">
        <f t="shared" si="28"/>
        <v>359.3</v>
      </c>
      <c r="BC18">
        <f t="shared" si="28"/>
        <v>86</v>
      </c>
      <c r="BD18">
        <f t="shared" si="28"/>
        <v>5.0000000000000018</v>
      </c>
      <c r="BE18">
        <f t="shared" si="28"/>
        <v>0</v>
      </c>
      <c r="BF18">
        <f t="shared" si="28"/>
        <v>0</v>
      </c>
      <c r="BG18">
        <f t="shared" si="28"/>
        <v>11.300000000000002</v>
      </c>
      <c r="BH18">
        <f t="shared" si="28"/>
        <v>182.2</v>
      </c>
      <c r="BI18">
        <f t="shared" si="28"/>
        <v>392.40000000000003</v>
      </c>
      <c r="BJ18">
        <f t="shared" si="28"/>
        <v>454.00000000000006</v>
      </c>
      <c r="BL18">
        <f t="shared" si="23"/>
        <v>2018</v>
      </c>
      <c r="BM18">
        <f t="shared" si="29"/>
        <v>556.29999999999995</v>
      </c>
      <c r="BN18">
        <f t="shared" si="29"/>
        <v>400.1</v>
      </c>
      <c r="BO18">
        <f t="shared" si="29"/>
        <v>409.89999999999986</v>
      </c>
      <c r="BP18">
        <f t="shared" si="29"/>
        <v>299.3</v>
      </c>
      <c r="BQ18">
        <f t="shared" si="29"/>
        <v>50.5</v>
      </c>
      <c r="BR18">
        <f t="shared" si="29"/>
        <v>0.60000000000000142</v>
      </c>
      <c r="BS18">
        <f t="shared" si="29"/>
        <v>0</v>
      </c>
      <c r="BT18">
        <f t="shared" si="29"/>
        <v>0</v>
      </c>
      <c r="BU18">
        <f t="shared" si="29"/>
        <v>2.0000000000000018</v>
      </c>
      <c r="BV18">
        <f t="shared" si="29"/>
        <v>132.70000000000002</v>
      </c>
      <c r="BW18">
        <f t="shared" si="29"/>
        <v>332.40000000000003</v>
      </c>
      <c r="BX18">
        <f t="shared" si="29"/>
        <v>392.00000000000006</v>
      </c>
      <c r="BZ18">
        <f t="shared" si="24"/>
        <v>2018</v>
      </c>
      <c r="CA18">
        <f t="shared" si="17"/>
        <v>494.3</v>
      </c>
      <c r="CB18">
        <f t="shared" si="17"/>
        <v>344.10000000000008</v>
      </c>
      <c r="CC18">
        <f t="shared" si="17"/>
        <v>347.89999999999986</v>
      </c>
      <c r="CD18">
        <f t="shared" si="17"/>
        <v>239.3</v>
      </c>
      <c r="CE18">
        <f t="shared" si="17"/>
        <v>25.199999999999996</v>
      </c>
      <c r="CF18">
        <f t="shared" si="17"/>
        <v>0</v>
      </c>
      <c r="CG18">
        <f t="shared" si="17"/>
        <v>0</v>
      </c>
      <c r="CH18">
        <f t="shared" si="17"/>
        <v>0</v>
      </c>
      <c r="CI18">
        <f t="shared" si="17"/>
        <v>0</v>
      </c>
      <c r="CJ18">
        <f t="shared" si="17"/>
        <v>88.200000000000031</v>
      </c>
      <c r="CK18">
        <f t="shared" si="17"/>
        <v>272.40000000000003</v>
      </c>
      <c r="CL18">
        <f t="shared" si="17"/>
        <v>330</v>
      </c>
      <c r="CN18">
        <f t="shared" si="25"/>
        <v>2018</v>
      </c>
      <c r="CO18">
        <f t="shared" si="18"/>
        <v>432.5</v>
      </c>
      <c r="CP18">
        <f t="shared" si="18"/>
        <v>288.50000000000006</v>
      </c>
      <c r="CQ18">
        <f t="shared" si="18"/>
        <v>285.89999999999992</v>
      </c>
      <c r="CR18">
        <f t="shared" si="18"/>
        <v>180.8</v>
      </c>
      <c r="CS18">
        <f t="shared" si="18"/>
        <v>6.8999999999999986</v>
      </c>
      <c r="CT18">
        <f t="shared" si="18"/>
        <v>0</v>
      </c>
      <c r="CU18">
        <f t="shared" si="18"/>
        <v>0</v>
      </c>
      <c r="CV18">
        <f t="shared" si="18"/>
        <v>0</v>
      </c>
      <c r="CW18">
        <f t="shared" si="18"/>
        <v>0</v>
      </c>
      <c r="CX18">
        <f t="shared" si="18"/>
        <v>50.199999999999996</v>
      </c>
      <c r="CY18">
        <f t="shared" si="18"/>
        <v>214.10000000000002</v>
      </c>
      <c r="CZ18">
        <f t="shared" si="18"/>
        <v>267.99999999999994</v>
      </c>
      <c r="DB18">
        <f t="shared" si="26"/>
        <v>2018</v>
      </c>
      <c r="DC18">
        <f t="shared" si="19"/>
        <v>372.5</v>
      </c>
      <c r="DD18">
        <f t="shared" si="19"/>
        <v>235.5</v>
      </c>
      <c r="DE18">
        <f t="shared" si="19"/>
        <v>223.89999999999998</v>
      </c>
      <c r="DF18">
        <f t="shared" si="19"/>
        <v>127.50000000000003</v>
      </c>
      <c r="DG18">
        <f t="shared" si="19"/>
        <v>0.69999999999999929</v>
      </c>
      <c r="DH18">
        <f t="shared" si="19"/>
        <v>0</v>
      </c>
      <c r="DI18">
        <f t="shared" si="19"/>
        <v>0</v>
      </c>
      <c r="DJ18">
        <f t="shared" si="19"/>
        <v>0</v>
      </c>
      <c r="DK18">
        <f t="shared" si="19"/>
        <v>0</v>
      </c>
      <c r="DL18">
        <f t="shared" si="19"/>
        <v>20.599999999999994</v>
      </c>
      <c r="DM18">
        <f t="shared" si="19"/>
        <v>157.90000000000003</v>
      </c>
      <c r="DN18">
        <f t="shared" si="19"/>
        <v>205.99999999999994</v>
      </c>
      <c r="EE18" t="s">
        <v>35</v>
      </c>
      <c r="EF18">
        <v>20087.288698869201</v>
      </c>
      <c r="EG18">
        <v>2033.02066714335</v>
      </c>
      <c r="EH18">
        <v>9.8805137712123603</v>
      </c>
      <c r="EI18" s="32">
        <v>4.1623294259003597E-17</v>
      </c>
    </row>
    <row r="19" spans="1:139" x14ac:dyDescent="0.2">
      <c r="A19" s="9">
        <v>36678</v>
      </c>
      <c r="B19">
        <v>2000</v>
      </c>
      <c r="C19">
        <v>6</v>
      </c>
      <c r="D19" s="14">
        <v>17.676666666666669</v>
      </c>
      <c r="E19" s="14">
        <v>82.5</v>
      </c>
      <c r="F19" s="14">
        <v>12.8</v>
      </c>
      <c r="G19" s="14">
        <v>45.800000000000004</v>
      </c>
      <c r="H19" s="14">
        <v>36.1</v>
      </c>
      <c r="I19" s="14">
        <v>24.8</v>
      </c>
      <c r="J19" s="14">
        <v>75.099999999999994</v>
      </c>
      <c r="K19" s="14">
        <v>11.1</v>
      </c>
      <c r="L19" s="14">
        <v>121.4</v>
      </c>
      <c r="M19" s="14">
        <v>1.5</v>
      </c>
      <c r="N19" s="14">
        <v>171.8</v>
      </c>
      <c r="O19" s="14">
        <v>0</v>
      </c>
      <c r="P19" s="14">
        <v>230.3</v>
      </c>
      <c r="Q19" s="14">
        <v>0</v>
      </c>
      <c r="R19" s="14">
        <v>290.29999999999995</v>
      </c>
      <c r="U19">
        <f t="shared" si="20"/>
        <v>2019</v>
      </c>
      <c r="V19">
        <f t="shared" si="16"/>
        <v>762</v>
      </c>
      <c r="W19">
        <f t="shared" si="16"/>
        <v>627.70000000000005</v>
      </c>
      <c r="X19">
        <f t="shared" si="16"/>
        <v>618.49999999999989</v>
      </c>
      <c r="Y19">
        <f t="shared" si="16"/>
        <v>411.9</v>
      </c>
      <c r="Z19">
        <f t="shared" si="16"/>
        <v>277.2</v>
      </c>
      <c r="AA19">
        <f t="shared" si="16"/>
        <v>96.9</v>
      </c>
      <c r="AB19">
        <f t="shared" si="16"/>
        <v>1.4000000000000021</v>
      </c>
      <c r="AC19">
        <f t="shared" si="16"/>
        <v>10.700000000000003</v>
      </c>
      <c r="AD19">
        <f t="shared" si="16"/>
        <v>58</v>
      </c>
      <c r="AE19">
        <f t="shared" si="16"/>
        <v>247.00000000000003</v>
      </c>
      <c r="AF19">
        <f t="shared" si="16"/>
        <v>524</v>
      </c>
      <c r="AG19">
        <f t="shared" si="16"/>
        <v>582.39999999999986</v>
      </c>
      <c r="AJ19">
        <f t="shared" si="21"/>
        <v>2019</v>
      </c>
      <c r="AK19">
        <f t="shared" si="27"/>
        <v>700</v>
      </c>
      <c r="AL19">
        <f t="shared" si="27"/>
        <v>571.70000000000016</v>
      </c>
      <c r="AM19">
        <f t="shared" si="27"/>
        <v>556.49999999999989</v>
      </c>
      <c r="AN19">
        <f t="shared" si="27"/>
        <v>351.9</v>
      </c>
      <c r="AO19">
        <f t="shared" si="27"/>
        <v>215.59999999999997</v>
      </c>
      <c r="AP19">
        <f t="shared" si="27"/>
        <v>54.899999999999991</v>
      </c>
      <c r="AQ19">
        <f t="shared" si="27"/>
        <v>0</v>
      </c>
      <c r="AR19">
        <f t="shared" si="27"/>
        <v>1.4000000000000021</v>
      </c>
      <c r="AS19">
        <f t="shared" si="27"/>
        <v>21.8</v>
      </c>
      <c r="AT19">
        <f t="shared" si="27"/>
        <v>187.00000000000003</v>
      </c>
      <c r="AU19">
        <f t="shared" si="27"/>
        <v>464</v>
      </c>
      <c r="AV19">
        <f t="shared" si="27"/>
        <v>520.39999999999986</v>
      </c>
      <c r="AW19" s="385">
        <f t="shared" si="10"/>
        <v>3645.2000000000007</v>
      </c>
      <c r="AX19">
        <f t="shared" si="22"/>
        <v>2019</v>
      </c>
      <c r="AY19">
        <f t="shared" si="28"/>
        <v>638</v>
      </c>
      <c r="AZ19">
        <f t="shared" si="28"/>
        <v>515.70000000000005</v>
      </c>
      <c r="BA19">
        <f t="shared" si="28"/>
        <v>494.49999999999989</v>
      </c>
      <c r="BB19">
        <f t="shared" si="28"/>
        <v>291.89999999999998</v>
      </c>
      <c r="BC19">
        <f t="shared" si="28"/>
        <v>157.79999999999998</v>
      </c>
      <c r="BD19">
        <f t="shared" si="28"/>
        <v>22</v>
      </c>
      <c r="BE19">
        <f t="shared" si="28"/>
        <v>0</v>
      </c>
      <c r="BF19">
        <f t="shared" si="28"/>
        <v>0</v>
      </c>
      <c r="BG19">
        <f t="shared" si="28"/>
        <v>5.0999999999999996</v>
      </c>
      <c r="BH19">
        <f t="shared" si="28"/>
        <v>128.5</v>
      </c>
      <c r="BI19">
        <f t="shared" si="28"/>
        <v>403.99999999999994</v>
      </c>
      <c r="BJ19">
        <f t="shared" si="28"/>
        <v>458.4</v>
      </c>
      <c r="BL19">
        <f t="shared" si="23"/>
        <v>2019</v>
      </c>
      <c r="BM19">
        <f t="shared" si="29"/>
        <v>576</v>
      </c>
      <c r="BN19">
        <f t="shared" si="29"/>
        <v>459.70000000000005</v>
      </c>
      <c r="BO19">
        <f t="shared" si="29"/>
        <v>432.49999999999989</v>
      </c>
      <c r="BP19">
        <f t="shared" si="29"/>
        <v>231.89999999999995</v>
      </c>
      <c r="BQ19">
        <f t="shared" si="29"/>
        <v>105.80000000000003</v>
      </c>
      <c r="BR19">
        <f t="shared" si="29"/>
        <v>4.3999999999999986</v>
      </c>
      <c r="BS19">
        <f t="shared" si="29"/>
        <v>0</v>
      </c>
      <c r="BT19">
        <f t="shared" si="29"/>
        <v>0</v>
      </c>
      <c r="BU19">
        <f t="shared" si="29"/>
        <v>0.30000000000000071</v>
      </c>
      <c r="BV19">
        <f t="shared" si="29"/>
        <v>74.100000000000009</v>
      </c>
      <c r="BW19">
        <f t="shared" si="29"/>
        <v>343.99999999999994</v>
      </c>
      <c r="BX19">
        <f t="shared" si="29"/>
        <v>396.4</v>
      </c>
      <c r="BZ19">
        <f t="shared" si="24"/>
        <v>2019</v>
      </c>
      <c r="CA19">
        <f t="shared" si="17"/>
        <v>514</v>
      </c>
      <c r="CB19">
        <f t="shared" si="17"/>
        <v>403.70000000000005</v>
      </c>
      <c r="CC19">
        <f t="shared" si="17"/>
        <v>370.49999999999989</v>
      </c>
      <c r="CD19">
        <f t="shared" si="17"/>
        <v>173.29999999999998</v>
      </c>
      <c r="CE19">
        <f t="shared" si="17"/>
        <v>63.5</v>
      </c>
      <c r="CF19">
        <f t="shared" si="17"/>
        <v>0.19999999999999929</v>
      </c>
      <c r="CG19">
        <f t="shared" si="17"/>
        <v>0</v>
      </c>
      <c r="CH19">
        <f t="shared" si="17"/>
        <v>0</v>
      </c>
      <c r="CI19">
        <f t="shared" si="17"/>
        <v>0</v>
      </c>
      <c r="CJ19">
        <f t="shared" si="17"/>
        <v>32</v>
      </c>
      <c r="CK19">
        <f t="shared" si="17"/>
        <v>284</v>
      </c>
      <c r="CL19">
        <f t="shared" si="17"/>
        <v>334.40000000000003</v>
      </c>
      <c r="CN19">
        <f t="shared" si="25"/>
        <v>2019</v>
      </c>
      <c r="CO19">
        <f t="shared" si="18"/>
        <v>452.00000000000006</v>
      </c>
      <c r="CP19">
        <f t="shared" si="18"/>
        <v>347.70000000000005</v>
      </c>
      <c r="CQ19">
        <f t="shared" si="18"/>
        <v>308.49999999999994</v>
      </c>
      <c r="CR19">
        <f t="shared" si="18"/>
        <v>116.70000000000002</v>
      </c>
      <c r="CS19">
        <f t="shared" si="18"/>
        <v>33.1</v>
      </c>
      <c r="CT19">
        <f t="shared" si="18"/>
        <v>0</v>
      </c>
      <c r="CU19">
        <f t="shared" si="18"/>
        <v>0</v>
      </c>
      <c r="CV19">
        <f t="shared" si="18"/>
        <v>0</v>
      </c>
      <c r="CW19">
        <f t="shared" si="18"/>
        <v>0</v>
      </c>
      <c r="CX19">
        <f t="shared" si="18"/>
        <v>10.4</v>
      </c>
      <c r="CY19">
        <f t="shared" si="18"/>
        <v>224.00000000000006</v>
      </c>
      <c r="CZ19">
        <f t="shared" si="18"/>
        <v>272.40000000000003</v>
      </c>
      <c r="DB19">
        <f t="shared" si="26"/>
        <v>2019</v>
      </c>
      <c r="DC19">
        <f t="shared" si="19"/>
        <v>390.00000000000006</v>
      </c>
      <c r="DD19">
        <f t="shared" si="19"/>
        <v>293.70000000000005</v>
      </c>
      <c r="DE19">
        <f t="shared" si="19"/>
        <v>246.6</v>
      </c>
      <c r="DF19">
        <f t="shared" si="19"/>
        <v>71.400000000000006</v>
      </c>
      <c r="DG19">
        <f t="shared" si="19"/>
        <v>13.399999999999999</v>
      </c>
      <c r="DH19">
        <f t="shared" si="19"/>
        <v>0</v>
      </c>
      <c r="DI19">
        <f t="shared" si="19"/>
        <v>0</v>
      </c>
      <c r="DJ19">
        <f t="shared" si="19"/>
        <v>0</v>
      </c>
      <c r="DK19">
        <f t="shared" si="19"/>
        <v>0</v>
      </c>
      <c r="DL19">
        <f t="shared" si="19"/>
        <v>0.29999999999999982</v>
      </c>
      <c r="DM19">
        <f t="shared" si="19"/>
        <v>165.8</v>
      </c>
      <c r="DN19">
        <f t="shared" si="19"/>
        <v>210.40000000000006</v>
      </c>
      <c r="EE19" t="s">
        <v>36</v>
      </c>
      <c r="EF19">
        <v>97475.790083630607</v>
      </c>
      <c r="EG19">
        <v>3822.7970057642001</v>
      </c>
      <c r="EH19">
        <v>25.498552483077699</v>
      </c>
      <c r="EI19" s="32">
        <v>1.3326186526749399E-49</v>
      </c>
    </row>
    <row r="20" spans="1:139" x14ac:dyDescent="0.2">
      <c r="A20" s="9">
        <v>36708</v>
      </c>
      <c r="B20">
        <v>2000</v>
      </c>
      <c r="C20">
        <v>7</v>
      </c>
      <c r="D20" s="14">
        <v>19.987096774193546</v>
      </c>
      <c r="E20" s="14">
        <v>21.8</v>
      </c>
      <c r="F20" s="14">
        <v>21.400000000000009</v>
      </c>
      <c r="G20" s="14">
        <v>3.3000000000000007</v>
      </c>
      <c r="H20" s="14">
        <v>64.90000000000002</v>
      </c>
      <c r="I20" s="14">
        <v>0</v>
      </c>
      <c r="J20" s="14">
        <v>123.60000000000002</v>
      </c>
      <c r="K20" s="14">
        <v>0</v>
      </c>
      <c r="L20" s="14">
        <v>185.6</v>
      </c>
      <c r="M20" s="14">
        <v>0</v>
      </c>
      <c r="N20" s="14">
        <v>247.59999999999997</v>
      </c>
      <c r="O20" s="14">
        <v>0</v>
      </c>
      <c r="P20" s="14">
        <v>309.60000000000008</v>
      </c>
      <c r="Q20" s="14">
        <v>0</v>
      </c>
      <c r="R20" s="14">
        <v>371.60000000000014</v>
      </c>
      <c r="U20">
        <f t="shared" si="20"/>
        <v>2020</v>
      </c>
      <c r="V20">
        <f t="shared" si="16"/>
        <v>613.79999999999995</v>
      </c>
      <c r="W20">
        <f t="shared" si="16"/>
        <v>619.19999999999993</v>
      </c>
      <c r="X20">
        <f t="shared" si="16"/>
        <v>502</v>
      </c>
      <c r="Y20">
        <f t="shared" si="16"/>
        <v>421</v>
      </c>
      <c r="Z20">
        <f t="shared" si="16"/>
        <v>276.90000000000003</v>
      </c>
      <c r="AA20">
        <f t="shared" si="16"/>
        <v>48</v>
      </c>
      <c r="AB20">
        <f t="shared" si="16"/>
        <v>0.39999999999999858</v>
      </c>
      <c r="AC20">
        <f t="shared" si="16"/>
        <v>9.0999999999999979</v>
      </c>
      <c r="AD20">
        <f t="shared" si="16"/>
        <v>92.700000000000031</v>
      </c>
      <c r="AE20">
        <f t="shared" si="16"/>
        <v>295.00000000000006</v>
      </c>
      <c r="AF20">
        <f t="shared" si="16"/>
        <v>355.90000000000003</v>
      </c>
      <c r="AG20">
        <f t="shared" si="16"/>
        <v>574.10000000000014</v>
      </c>
      <c r="AJ20">
        <f t="shared" si="21"/>
        <v>2020</v>
      </c>
      <c r="AK20">
        <f t="shared" si="27"/>
        <v>551.79999999999995</v>
      </c>
      <c r="AL20">
        <f t="shared" si="27"/>
        <v>561.20000000000005</v>
      </c>
      <c r="AM20">
        <f t="shared" si="27"/>
        <v>440.00000000000006</v>
      </c>
      <c r="AN20">
        <f t="shared" si="27"/>
        <v>360.99999999999994</v>
      </c>
      <c r="AO20">
        <f t="shared" si="27"/>
        <v>221.5</v>
      </c>
      <c r="AP20">
        <f t="shared" si="27"/>
        <v>26.8</v>
      </c>
      <c r="AQ20">
        <f t="shared" si="27"/>
        <v>0</v>
      </c>
      <c r="AR20">
        <f t="shared" si="27"/>
        <v>0</v>
      </c>
      <c r="AS20">
        <f t="shared" si="27"/>
        <v>52.900000000000006</v>
      </c>
      <c r="AT20">
        <f t="shared" si="27"/>
        <v>233</v>
      </c>
      <c r="AU20">
        <f t="shared" si="27"/>
        <v>295.90000000000003</v>
      </c>
      <c r="AV20">
        <f t="shared" si="27"/>
        <v>512.10000000000014</v>
      </c>
      <c r="AW20" s="385">
        <f t="shared" si="10"/>
        <v>3256.2000000000007</v>
      </c>
      <c r="AX20">
        <f t="shared" si="22"/>
        <v>2020</v>
      </c>
      <c r="AY20">
        <f t="shared" si="28"/>
        <v>489.79999999999995</v>
      </c>
      <c r="AZ20">
        <f t="shared" si="28"/>
        <v>503.20000000000005</v>
      </c>
      <c r="BA20">
        <f t="shared" si="28"/>
        <v>378.00000000000006</v>
      </c>
      <c r="BB20">
        <f t="shared" si="28"/>
        <v>300.99999999999994</v>
      </c>
      <c r="BC20">
        <f t="shared" si="28"/>
        <v>168.8</v>
      </c>
      <c r="BD20">
        <f t="shared" si="28"/>
        <v>11.700000000000001</v>
      </c>
      <c r="BE20">
        <f t="shared" si="28"/>
        <v>0</v>
      </c>
      <c r="BF20">
        <f t="shared" si="28"/>
        <v>0</v>
      </c>
      <c r="BG20">
        <f t="shared" si="28"/>
        <v>23.400000000000002</v>
      </c>
      <c r="BH20">
        <f t="shared" si="28"/>
        <v>172.3</v>
      </c>
      <c r="BI20">
        <f t="shared" si="28"/>
        <v>236.6</v>
      </c>
      <c r="BJ20">
        <f t="shared" si="28"/>
        <v>450.10000000000008</v>
      </c>
      <c r="BL20">
        <f t="shared" si="23"/>
        <v>2020</v>
      </c>
      <c r="BM20">
        <f t="shared" si="29"/>
        <v>427.8</v>
      </c>
      <c r="BN20">
        <f t="shared" si="29"/>
        <v>445.2</v>
      </c>
      <c r="BO20">
        <f t="shared" si="29"/>
        <v>316</v>
      </c>
      <c r="BP20">
        <f t="shared" si="29"/>
        <v>241.00000000000003</v>
      </c>
      <c r="BQ20">
        <f t="shared" si="29"/>
        <v>122.60000000000001</v>
      </c>
      <c r="BR20">
        <f t="shared" si="29"/>
        <v>3.0999999999999996</v>
      </c>
      <c r="BS20">
        <f t="shared" si="29"/>
        <v>0</v>
      </c>
      <c r="BT20">
        <f t="shared" si="29"/>
        <v>0</v>
      </c>
      <c r="BU20">
        <f t="shared" si="29"/>
        <v>6.7999999999999989</v>
      </c>
      <c r="BV20">
        <f t="shared" si="29"/>
        <v>116.69999999999999</v>
      </c>
      <c r="BW20">
        <f t="shared" si="29"/>
        <v>184.59999999999997</v>
      </c>
      <c r="BX20">
        <f t="shared" si="29"/>
        <v>388.10000000000008</v>
      </c>
      <c r="BZ20">
        <f t="shared" si="24"/>
        <v>2020</v>
      </c>
      <c r="CA20">
        <f t="shared" si="17"/>
        <v>365.8</v>
      </c>
      <c r="CB20">
        <f t="shared" si="17"/>
        <v>387.2</v>
      </c>
      <c r="CC20">
        <f t="shared" si="17"/>
        <v>254.00000000000006</v>
      </c>
      <c r="CD20">
        <f t="shared" si="17"/>
        <v>181.00000000000003</v>
      </c>
      <c r="CE20">
        <f t="shared" si="17"/>
        <v>83.199999999999989</v>
      </c>
      <c r="CF20">
        <f t="shared" si="17"/>
        <v>0</v>
      </c>
      <c r="CG20">
        <f t="shared" si="17"/>
        <v>0</v>
      </c>
      <c r="CH20">
        <f t="shared" si="17"/>
        <v>0</v>
      </c>
      <c r="CI20">
        <f t="shared" si="17"/>
        <v>1.5999999999999996</v>
      </c>
      <c r="CJ20">
        <f t="shared" si="17"/>
        <v>72.5</v>
      </c>
      <c r="CK20">
        <f t="shared" si="17"/>
        <v>137</v>
      </c>
      <c r="CL20">
        <f t="shared" si="17"/>
        <v>326.09999999999997</v>
      </c>
      <c r="CN20">
        <f t="shared" si="25"/>
        <v>2020</v>
      </c>
      <c r="CO20">
        <f t="shared" si="18"/>
        <v>303.8</v>
      </c>
      <c r="CP20">
        <f t="shared" si="18"/>
        <v>329.2</v>
      </c>
      <c r="CQ20">
        <f t="shared" si="18"/>
        <v>195.30000000000007</v>
      </c>
      <c r="CR20">
        <f t="shared" si="18"/>
        <v>121.19999999999999</v>
      </c>
      <c r="CS20">
        <f t="shared" si="18"/>
        <v>48.400000000000006</v>
      </c>
      <c r="CT20">
        <f t="shared" si="18"/>
        <v>0</v>
      </c>
      <c r="CU20">
        <f t="shared" si="18"/>
        <v>0</v>
      </c>
      <c r="CV20">
        <f t="shared" si="18"/>
        <v>0</v>
      </c>
      <c r="CW20">
        <f t="shared" si="18"/>
        <v>0</v>
      </c>
      <c r="CX20">
        <f t="shared" si="18"/>
        <v>39.5</v>
      </c>
      <c r="CY20">
        <f t="shared" si="18"/>
        <v>95.699999999999989</v>
      </c>
      <c r="CZ20">
        <f t="shared" si="18"/>
        <v>264.09999999999997</v>
      </c>
      <c r="DB20">
        <f t="shared" si="26"/>
        <v>2020</v>
      </c>
      <c r="DC20">
        <f t="shared" si="19"/>
        <v>241.9</v>
      </c>
      <c r="DD20">
        <f t="shared" si="19"/>
        <v>271.20000000000005</v>
      </c>
      <c r="DE20">
        <f t="shared" si="19"/>
        <v>138.1</v>
      </c>
      <c r="DF20">
        <f t="shared" si="19"/>
        <v>67.40000000000002</v>
      </c>
      <c r="DG20">
        <f t="shared" si="19"/>
        <v>23.700000000000003</v>
      </c>
      <c r="DH20">
        <f t="shared" si="19"/>
        <v>0</v>
      </c>
      <c r="DI20">
        <f t="shared" si="19"/>
        <v>0</v>
      </c>
      <c r="DJ20">
        <f t="shared" si="19"/>
        <v>0</v>
      </c>
      <c r="DK20">
        <f t="shared" si="19"/>
        <v>0</v>
      </c>
      <c r="DL20">
        <f t="shared" si="19"/>
        <v>16.299999999999997</v>
      </c>
      <c r="DM20">
        <f t="shared" si="19"/>
        <v>58.5</v>
      </c>
      <c r="DN20">
        <f t="shared" si="19"/>
        <v>202.29999999999998</v>
      </c>
    </row>
    <row r="21" spans="1:139" x14ac:dyDescent="0.2">
      <c r="A21" s="9">
        <v>36739</v>
      </c>
      <c r="B21">
        <v>2000</v>
      </c>
      <c r="C21">
        <v>8</v>
      </c>
      <c r="D21" s="14">
        <v>20.890322580645162</v>
      </c>
      <c r="E21" s="14">
        <v>19.900000000000002</v>
      </c>
      <c r="F21" s="14">
        <v>47.5</v>
      </c>
      <c r="G21" s="14">
        <v>6</v>
      </c>
      <c r="H21" s="14">
        <v>95.6</v>
      </c>
      <c r="I21" s="14">
        <v>0.69999999999999929</v>
      </c>
      <c r="J21" s="14">
        <v>152.30000000000001</v>
      </c>
      <c r="K21" s="14">
        <v>0</v>
      </c>
      <c r="L21" s="14">
        <v>213.60000000000002</v>
      </c>
      <c r="M21" s="14">
        <v>0</v>
      </c>
      <c r="N21" s="14">
        <v>275.60000000000008</v>
      </c>
      <c r="O21" s="14">
        <v>0</v>
      </c>
      <c r="P21" s="14">
        <v>337.60000000000008</v>
      </c>
      <c r="Q21" s="14">
        <v>0</v>
      </c>
      <c r="R21" s="14">
        <v>399.60000000000014</v>
      </c>
      <c r="U21">
        <f t="shared" si="20"/>
        <v>2021</v>
      </c>
      <c r="V21">
        <f t="shared" si="16"/>
        <v>647.89999999999986</v>
      </c>
      <c r="W21">
        <f t="shared" si="16"/>
        <v>665.00000000000011</v>
      </c>
      <c r="X21">
        <f t="shared" si="16"/>
        <v>511.00000000000006</v>
      </c>
      <c r="Y21">
        <f t="shared" si="16"/>
        <v>396.7</v>
      </c>
      <c r="Z21">
        <f t="shared" si="16"/>
        <v>219.29999999999998</v>
      </c>
      <c r="AA21">
        <f t="shared" si="16"/>
        <v>28.7</v>
      </c>
      <c r="AB21">
        <f t="shared" si="16"/>
        <v>15</v>
      </c>
      <c r="AC21">
        <f t="shared" si="16"/>
        <v>2.3000000000000007</v>
      </c>
      <c r="AD21">
        <f t="shared" si="16"/>
        <v>58.2</v>
      </c>
      <c r="AE21">
        <f t="shared" si="16"/>
        <v>170</v>
      </c>
      <c r="AF21">
        <f t="shared" si="16"/>
        <v>422.99999999999994</v>
      </c>
      <c r="AG21">
        <f t="shared" si="16"/>
        <v>526.50000000000011</v>
      </c>
      <c r="AJ21">
        <f t="shared" si="21"/>
        <v>2021</v>
      </c>
      <c r="AK21">
        <f t="shared" si="27"/>
        <v>585.9</v>
      </c>
      <c r="AL21">
        <f t="shared" si="27"/>
        <v>609</v>
      </c>
      <c r="AM21">
        <f t="shared" si="27"/>
        <v>449</v>
      </c>
      <c r="AN21">
        <f t="shared" si="27"/>
        <v>336.7</v>
      </c>
      <c r="AO21">
        <f t="shared" si="27"/>
        <v>166.4</v>
      </c>
      <c r="AP21">
        <f t="shared" si="27"/>
        <v>7.7999999999999989</v>
      </c>
      <c r="AQ21">
        <f t="shared" si="27"/>
        <v>0.70000000000000284</v>
      </c>
      <c r="AR21">
        <f t="shared" si="27"/>
        <v>0</v>
      </c>
      <c r="AS21">
        <f t="shared" si="27"/>
        <v>22.8</v>
      </c>
      <c r="AT21">
        <f t="shared" si="27"/>
        <v>118.20000000000002</v>
      </c>
      <c r="AU21">
        <f t="shared" si="27"/>
        <v>362.99999999999994</v>
      </c>
      <c r="AV21">
        <f t="shared" si="27"/>
        <v>464.50000000000006</v>
      </c>
      <c r="AW21" s="385">
        <f t="shared" si="10"/>
        <v>3124</v>
      </c>
      <c r="AX21">
        <f t="shared" si="22"/>
        <v>2021</v>
      </c>
      <c r="AY21">
        <f t="shared" si="28"/>
        <v>523.9</v>
      </c>
      <c r="AZ21">
        <f t="shared" si="28"/>
        <v>553</v>
      </c>
      <c r="BA21">
        <f t="shared" si="28"/>
        <v>387</v>
      </c>
      <c r="BB21">
        <f t="shared" si="28"/>
        <v>276.69999999999993</v>
      </c>
      <c r="BC21">
        <f t="shared" si="28"/>
        <v>119.70000000000002</v>
      </c>
      <c r="BD21">
        <f t="shared" si="28"/>
        <v>1.4000000000000004</v>
      </c>
      <c r="BE21">
        <f t="shared" si="28"/>
        <v>0</v>
      </c>
      <c r="BF21">
        <f t="shared" si="28"/>
        <v>0</v>
      </c>
      <c r="BG21">
        <f t="shared" si="28"/>
        <v>4.6999999999999993</v>
      </c>
      <c r="BH21">
        <f t="shared" si="28"/>
        <v>77.599999999999994</v>
      </c>
      <c r="BI21">
        <f t="shared" si="28"/>
        <v>303</v>
      </c>
      <c r="BJ21">
        <f t="shared" si="28"/>
        <v>402.50000000000006</v>
      </c>
      <c r="BL21">
        <f t="shared" si="23"/>
        <v>2021</v>
      </c>
      <c r="BM21">
        <f t="shared" si="29"/>
        <v>461.9</v>
      </c>
      <c r="BN21">
        <f t="shared" si="29"/>
        <v>496.99999999999994</v>
      </c>
      <c r="BO21">
        <f t="shared" si="29"/>
        <v>325.00000000000006</v>
      </c>
      <c r="BP21">
        <f t="shared" si="29"/>
        <v>216.7</v>
      </c>
      <c r="BQ21">
        <f t="shared" si="29"/>
        <v>79.400000000000006</v>
      </c>
      <c r="BR21">
        <f t="shared" si="29"/>
        <v>0</v>
      </c>
      <c r="BS21">
        <f t="shared" si="29"/>
        <v>0</v>
      </c>
      <c r="BT21">
        <f t="shared" si="29"/>
        <v>0</v>
      </c>
      <c r="BU21">
        <f t="shared" si="29"/>
        <v>0.69999999999999929</v>
      </c>
      <c r="BV21">
        <f t="shared" si="29"/>
        <v>47.79999999999999</v>
      </c>
      <c r="BW21">
        <f t="shared" si="29"/>
        <v>243.00000000000003</v>
      </c>
      <c r="BX21">
        <f t="shared" si="29"/>
        <v>340.50000000000006</v>
      </c>
      <c r="BZ21">
        <f t="shared" si="24"/>
        <v>2021</v>
      </c>
      <c r="CA21">
        <f t="shared" si="17"/>
        <v>399.90000000000003</v>
      </c>
      <c r="CB21">
        <f t="shared" si="17"/>
        <v>440.99999999999994</v>
      </c>
      <c r="CC21">
        <f t="shared" si="17"/>
        <v>264.5</v>
      </c>
      <c r="CD21">
        <f t="shared" si="17"/>
        <v>156.9</v>
      </c>
      <c r="CE21">
        <f t="shared" si="17"/>
        <v>45.9</v>
      </c>
      <c r="CF21">
        <f t="shared" si="17"/>
        <v>0</v>
      </c>
      <c r="CG21">
        <f t="shared" si="17"/>
        <v>0</v>
      </c>
      <c r="CH21">
        <f t="shared" si="17"/>
        <v>0</v>
      </c>
      <c r="CI21">
        <f t="shared" si="17"/>
        <v>0</v>
      </c>
      <c r="CJ21">
        <f t="shared" si="17"/>
        <v>24.1</v>
      </c>
      <c r="CK21">
        <f t="shared" si="17"/>
        <v>184.39999999999998</v>
      </c>
      <c r="CL21">
        <f t="shared" si="17"/>
        <v>278.49999999999994</v>
      </c>
      <c r="CN21">
        <f t="shared" si="25"/>
        <v>2021</v>
      </c>
      <c r="CO21">
        <f t="shared" si="18"/>
        <v>337.90000000000009</v>
      </c>
      <c r="CP21">
        <f t="shared" si="18"/>
        <v>384.99999999999994</v>
      </c>
      <c r="CQ21">
        <f t="shared" si="18"/>
        <v>207.8</v>
      </c>
      <c r="CR21">
        <f t="shared" si="18"/>
        <v>100.4</v>
      </c>
      <c r="CS21">
        <f t="shared" si="18"/>
        <v>19.300000000000004</v>
      </c>
      <c r="CT21">
        <f t="shared" si="18"/>
        <v>0</v>
      </c>
      <c r="CU21">
        <f t="shared" si="18"/>
        <v>0</v>
      </c>
      <c r="CV21">
        <f t="shared" si="18"/>
        <v>0</v>
      </c>
      <c r="CW21">
        <f t="shared" si="18"/>
        <v>0</v>
      </c>
      <c r="CX21">
        <f t="shared" si="18"/>
        <v>8.6999999999999993</v>
      </c>
      <c r="CY21">
        <f t="shared" si="18"/>
        <v>132.00000000000003</v>
      </c>
      <c r="CZ21">
        <f t="shared" si="18"/>
        <v>217.9</v>
      </c>
      <c r="DB21">
        <f t="shared" si="26"/>
        <v>2021</v>
      </c>
      <c r="DC21">
        <f t="shared" si="19"/>
        <v>275.89999999999998</v>
      </c>
      <c r="DD21">
        <f t="shared" si="19"/>
        <v>329</v>
      </c>
      <c r="DE21">
        <f t="shared" si="19"/>
        <v>154.79999999999998</v>
      </c>
      <c r="DF21">
        <f t="shared" si="19"/>
        <v>51.5</v>
      </c>
      <c r="DG21">
        <f t="shared" si="19"/>
        <v>3.8</v>
      </c>
      <c r="DH21">
        <f t="shared" si="19"/>
        <v>0</v>
      </c>
      <c r="DI21">
        <f t="shared" si="19"/>
        <v>0</v>
      </c>
      <c r="DJ21">
        <f t="shared" si="19"/>
        <v>0</v>
      </c>
      <c r="DK21">
        <f t="shared" si="19"/>
        <v>0</v>
      </c>
      <c r="DL21">
        <f t="shared" si="19"/>
        <v>0.59999999999999964</v>
      </c>
      <c r="DM21">
        <f t="shared" si="19"/>
        <v>86.399999999999991</v>
      </c>
      <c r="DN21">
        <f t="shared" si="19"/>
        <v>160.6</v>
      </c>
      <c r="EE21" t="s">
        <v>165</v>
      </c>
    </row>
    <row r="22" spans="1:139" x14ac:dyDescent="0.2">
      <c r="A22" s="9">
        <v>36770</v>
      </c>
      <c r="B22">
        <v>2000</v>
      </c>
      <c r="C22">
        <v>9</v>
      </c>
      <c r="D22" s="14">
        <v>16.483333333333331</v>
      </c>
      <c r="E22" s="14">
        <v>123.89999999999999</v>
      </c>
      <c r="F22" s="14">
        <v>18.400000000000002</v>
      </c>
      <c r="G22" s="14">
        <v>83.1</v>
      </c>
      <c r="H22" s="14">
        <v>37.6</v>
      </c>
      <c r="I22" s="14">
        <v>49.8</v>
      </c>
      <c r="J22" s="14">
        <v>64.300000000000011</v>
      </c>
      <c r="K22" s="14">
        <v>27.000000000000004</v>
      </c>
      <c r="L22" s="14">
        <v>101.50000000000001</v>
      </c>
      <c r="M22" s="14">
        <v>13.100000000000001</v>
      </c>
      <c r="N22" s="14">
        <v>147.6</v>
      </c>
      <c r="O22" s="14">
        <v>5.3</v>
      </c>
      <c r="P22" s="14">
        <v>199.79999999999995</v>
      </c>
      <c r="Q22" s="14">
        <v>1.7999999999999998</v>
      </c>
      <c r="R22" s="14">
        <v>256.3</v>
      </c>
      <c r="U22">
        <f t="shared" si="20"/>
        <v>2022</v>
      </c>
      <c r="V22">
        <f t="shared" si="16"/>
        <v>810.19999999999993</v>
      </c>
      <c r="W22">
        <f t="shared" si="16"/>
        <v>632.70000000000016</v>
      </c>
      <c r="X22">
        <f t="shared" si="16"/>
        <v>557.70000000000005</v>
      </c>
      <c r="Y22">
        <f t="shared" si="16"/>
        <v>413.6</v>
      </c>
      <c r="Z22">
        <f t="shared" si="16"/>
        <v>203.69999999999996</v>
      </c>
      <c r="AA22">
        <f t="shared" si="16"/>
        <v>48.6</v>
      </c>
      <c r="AB22">
        <f t="shared" si="16"/>
        <v>5.0000000000000036</v>
      </c>
      <c r="AC22">
        <f t="shared" si="16"/>
        <v>2.1000000000000014</v>
      </c>
      <c r="AD22">
        <f t="shared" si="16"/>
        <v>73.300000000000011</v>
      </c>
      <c r="AE22">
        <f t="shared" si="16"/>
        <v>293.7</v>
      </c>
      <c r="AF22">
        <f t="shared" si="16"/>
        <v>397.69999999999993</v>
      </c>
      <c r="AG22">
        <f t="shared" si="16"/>
        <v>584.5</v>
      </c>
      <c r="AJ22">
        <f t="shared" si="21"/>
        <v>2022</v>
      </c>
      <c r="AK22">
        <f t="shared" si="27"/>
        <v>748.2</v>
      </c>
      <c r="AL22">
        <f t="shared" si="27"/>
        <v>576.70000000000005</v>
      </c>
      <c r="AM22">
        <f t="shared" si="27"/>
        <v>495.70000000000005</v>
      </c>
      <c r="AN22">
        <f t="shared" si="27"/>
        <v>353.6</v>
      </c>
      <c r="AO22">
        <f t="shared" si="27"/>
        <v>153.9</v>
      </c>
      <c r="AP22">
        <f t="shared" si="27"/>
        <v>15.300000000000004</v>
      </c>
      <c r="AQ22">
        <f t="shared" si="27"/>
        <v>0.30000000000000071</v>
      </c>
      <c r="AR22">
        <f t="shared" si="27"/>
        <v>0</v>
      </c>
      <c r="AS22">
        <f t="shared" si="27"/>
        <v>44.900000000000006</v>
      </c>
      <c r="AT22">
        <f t="shared" si="27"/>
        <v>232.49999999999997</v>
      </c>
      <c r="AU22">
        <f t="shared" si="27"/>
        <v>339.69999999999993</v>
      </c>
      <c r="AV22">
        <f t="shared" si="27"/>
        <v>522.5</v>
      </c>
      <c r="AW22" s="385">
        <f t="shared" si="10"/>
        <v>3483.3000000000006</v>
      </c>
      <c r="AX22">
        <f t="shared" si="22"/>
        <v>2022</v>
      </c>
      <c r="AY22">
        <f t="shared" si="28"/>
        <v>686.19999999999993</v>
      </c>
      <c r="AZ22">
        <f t="shared" si="28"/>
        <v>520.70000000000005</v>
      </c>
      <c r="BA22">
        <f t="shared" si="28"/>
        <v>433.70000000000005</v>
      </c>
      <c r="BB22">
        <f t="shared" si="28"/>
        <v>293.59999999999997</v>
      </c>
      <c r="BC22">
        <f t="shared" si="28"/>
        <v>108.20000000000003</v>
      </c>
      <c r="BD22">
        <f t="shared" si="28"/>
        <v>2.8000000000000007</v>
      </c>
      <c r="BE22">
        <f t="shared" si="28"/>
        <v>0</v>
      </c>
      <c r="BF22">
        <f t="shared" si="28"/>
        <v>0</v>
      </c>
      <c r="BG22">
        <f t="shared" si="28"/>
        <v>25.1</v>
      </c>
      <c r="BH22">
        <f t="shared" si="28"/>
        <v>174.49999999999997</v>
      </c>
      <c r="BI22">
        <f t="shared" si="28"/>
        <v>281.8</v>
      </c>
      <c r="BJ22">
        <f t="shared" si="28"/>
        <v>460.49999999999994</v>
      </c>
      <c r="BL22">
        <f t="shared" si="23"/>
        <v>2022</v>
      </c>
      <c r="BM22">
        <f t="shared" si="29"/>
        <v>624.19999999999993</v>
      </c>
      <c r="BN22">
        <f t="shared" si="29"/>
        <v>464.7</v>
      </c>
      <c r="BO22">
        <f t="shared" si="29"/>
        <v>371.70000000000005</v>
      </c>
      <c r="BP22">
        <f t="shared" si="29"/>
        <v>233.59999999999997</v>
      </c>
      <c r="BQ22">
        <f t="shared" si="29"/>
        <v>68.399999999999977</v>
      </c>
      <c r="BR22">
        <f t="shared" si="29"/>
        <v>0</v>
      </c>
      <c r="BS22">
        <f t="shared" si="29"/>
        <v>0</v>
      </c>
      <c r="BT22">
        <f t="shared" si="29"/>
        <v>0</v>
      </c>
      <c r="BU22">
        <f t="shared" si="29"/>
        <v>8.1999999999999993</v>
      </c>
      <c r="BV22">
        <f t="shared" si="29"/>
        <v>119.99999999999999</v>
      </c>
      <c r="BW22">
        <f t="shared" si="29"/>
        <v>226.90000000000003</v>
      </c>
      <c r="BX22">
        <f t="shared" si="29"/>
        <v>398.5</v>
      </c>
      <c r="BZ22">
        <f t="shared" si="24"/>
        <v>2022</v>
      </c>
      <c r="CA22">
        <f t="shared" si="17"/>
        <v>562.19999999999993</v>
      </c>
      <c r="CB22">
        <f t="shared" si="17"/>
        <v>408.7</v>
      </c>
      <c r="CC22">
        <f t="shared" si="17"/>
        <v>309.7</v>
      </c>
      <c r="CD22">
        <f t="shared" si="17"/>
        <v>173.59999999999997</v>
      </c>
      <c r="CE22">
        <f t="shared" si="17"/>
        <v>36.1</v>
      </c>
      <c r="CF22">
        <f t="shared" si="17"/>
        <v>0</v>
      </c>
      <c r="CG22">
        <f t="shared" si="17"/>
        <v>0</v>
      </c>
      <c r="CH22">
        <f t="shared" si="17"/>
        <v>0</v>
      </c>
      <c r="CI22">
        <f t="shared" si="17"/>
        <v>0.29999999999999893</v>
      </c>
      <c r="CJ22">
        <f t="shared" si="17"/>
        <v>70.800000000000011</v>
      </c>
      <c r="CK22">
        <f t="shared" si="17"/>
        <v>178.1</v>
      </c>
      <c r="CL22">
        <f t="shared" si="17"/>
        <v>336.50000000000006</v>
      </c>
      <c r="CN22">
        <f t="shared" si="25"/>
        <v>2022</v>
      </c>
      <c r="CO22">
        <f t="shared" si="18"/>
        <v>500.20000000000005</v>
      </c>
      <c r="CP22">
        <f t="shared" si="18"/>
        <v>352.7</v>
      </c>
      <c r="CQ22">
        <f t="shared" si="18"/>
        <v>247.89999999999998</v>
      </c>
      <c r="CR22">
        <f t="shared" si="18"/>
        <v>116.39999999999999</v>
      </c>
      <c r="CS22">
        <f t="shared" si="18"/>
        <v>13.6</v>
      </c>
      <c r="CT22">
        <f t="shared" si="18"/>
        <v>0</v>
      </c>
      <c r="CU22">
        <f t="shared" si="18"/>
        <v>0</v>
      </c>
      <c r="CV22">
        <f t="shared" si="18"/>
        <v>0</v>
      </c>
      <c r="CW22">
        <f t="shared" si="18"/>
        <v>0</v>
      </c>
      <c r="CX22">
        <f t="shared" si="18"/>
        <v>34.6</v>
      </c>
      <c r="CY22">
        <f t="shared" si="18"/>
        <v>130.10000000000002</v>
      </c>
      <c r="CZ22">
        <f t="shared" si="18"/>
        <v>275.3</v>
      </c>
      <c r="DB22">
        <f t="shared" si="26"/>
        <v>2022</v>
      </c>
      <c r="DC22">
        <f t="shared" si="19"/>
        <v>438.2</v>
      </c>
      <c r="DD22">
        <f t="shared" si="19"/>
        <v>296.69999999999993</v>
      </c>
      <c r="DE22">
        <f t="shared" si="19"/>
        <v>188.9</v>
      </c>
      <c r="DF22">
        <f t="shared" si="19"/>
        <v>68.900000000000006</v>
      </c>
      <c r="DG22">
        <f t="shared" si="19"/>
        <v>1.6000000000000005</v>
      </c>
      <c r="DH22">
        <f t="shared" si="19"/>
        <v>0</v>
      </c>
      <c r="DI22">
        <f t="shared" si="19"/>
        <v>0</v>
      </c>
      <c r="DJ22">
        <f t="shared" si="19"/>
        <v>0</v>
      </c>
      <c r="DK22">
        <f t="shared" si="19"/>
        <v>0</v>
      </c>
      <c r="DL22">
        <f t="shared" ref="DC22:DN24" si="30">SUMIFS($Q:$Q,$B:$B,$DB22,$C:$C,DL$2)</f>
        <v>14.2</v>
      </c>
      <c r="DM22">
        <f t="shared" si="30"/>
        <v>87.9</v>
      </c>
      <c r="DN22">
        <f t="shared" si="30"/>
        <v>215.29999999999998</v>
      </c>
      <c r="EE22" t="s">
        <v>75</v>
      </c>
      <c r="EF22">
        <v>700093884169904</v>
      </c>
      <c r="EG22" t="s">
        <v>76</v>
      </c>
      <c r="EH22">
        <v>2446161.9757711398</v>
      </c>
    </row>
    <row r="23" spans="1:139" x14ac:dyDescent="0.2">
      <c r="A23" s="9">
        <v>36800</v>
      </c>
      <c r="B23">
        <v>2000</v>
      </c>
      <c r="C23">
        <v>10</v>
      </c>
      <c r="D23" s="14">
        <v>11.916129032258064</v>
      </c>
      <c r="E23" s="14">
        <v>250.70000000000002</v>
      </c>
      <c r="F23" s="14">
        <v>0.10000000000000142</v>
      </c>
      <c r="G23" s="14">
        <v>191.8</v>
      </c>
      <c r="H23" s="14">
        <v>3.2000000000000028</v>
      </c>
      <c r="I23" s="14">
        <v>136.5</v>
      </c>
      <c r="J23" s="14">
        <v>9.9000000000000057</v>
      </c>
      <c r="K23" s="14">
        <v>87.100000000000009</v>
      </c>
      <c r="L23" s="14">
        <v>22.500000000000007</v>
      </c>
      <c r="M23" s="14">
        <v>52.29999999999999</v>
      </c>
      <c r="N23" s="14">
        <v>49.7</v>
      </c>
      <c r="O23" s="14">
        <v>27</v>
      </c>
      <c r="P23" s="14">
        <v>86.4</v>
      </c>
      <c r="Q23" s="14">
        <v>9.6</v>
      </c>
      <c r="R23" s="14">
        <v>131</v>
      </c>
      <c r="U23">
        <f t="shared" si="20"/>
        <v>2023</v>
      </c>
      <c r="V23">
        <f>SUMIFS($E:$E,$B:$B,$U23,$C:$C,V$2)</f>
        <v>601.6</v>
      </c>
      <c r="W23">
        <f t="shared" si="16"/>
        <v>547.90000000000009</v>
      </c>
      <c r="X23">
        <f t="shared" si="16"/>
        <v>558.39999999999986</v>
      </c>
      <c r="Y23">
        <f t="shared" si="16"/>
        <v>343.80000000000007</v>
      </c>
      <c r="Z23">
        <f t="shared" si="16"/>
        <v>218.39999999999995</v>
      </c>
      <c r="AA23">
        <f t="shared" si="16"/>
        <v>39.800000000000011</v>
      </c>
      <c r="AB23">
        <f t="shared" si="16"/>
        <v>0.10000000000000142</v>
      </c>
      <c r="AC23">
        <f t="shared" si="16"/>
        <v>24.599999999999998</v>
      </c>
      <c r="AD23">
        <f t="shared" si="16"/>
        <v>66.3</v>
      </c>
      <c r="AE23">
        <f t="shared" si="16"/>
        <v>215.59999999999997</v>
      </c>
      <c r="AF23">
        <f t="shared" si="16"/>
        <v>434.09999999999997</v>
      </c>
      <c r="AG23">
        <f t="shared" si="16"/>
        <v>505.20000000000005</v>
      </c>
      <c r="AJ23">
        <f t="shared" si="21"/>
        <v>2023</v>
      </c>
      <c r="AK23">
        <f t="shared" si="27"/>
        <v>539.6</v>
      </c>
      <c r="AL23">
        <f t="shared" si="27"/>
        <v>491.90000000000003</v>
      </c>
      <c r="AM23">
        <f t="shared" si="27"/>
        <v>496.4</v>
      </c>
      <c r="AN23">
        <f t="shared" si="27"/>
        <v>287.39999999999998</v>
      </c>
      <c r="AO23">
        <f t="shared" si="27"/>
        <v>162.39999999999995</v>
      </c>
      <c r="AP23">
        <f t="shared" si="27"/>
        <v>10.499999999999996</v>
      </c>
      <c r="AQ23">
        <f t="shared" si="27"/>
        <v>0</v>
      </c>
      <c r="AR23">
        <f t="shared" si="27"/>
        <v>5.8999999999999986</v>
      </c>
      <c r="AS23">
        <f t="shared" si="27"/>
        <v>22.200000000000006</v>
      </c>
      <c r="AT23">
        <f t="shared" si="27"/>
        <v>164.10000000000002</v>
      </c>
      <c r="AU23">
        <f t="shared" si="27"/>
        <v>374.09999999999997</v>
      </c>
      <c r="AV23">
        <f t="shared" si="27"/>
        <v>443.20000000000005</v>
      </c>
      <c r="AW23" s="385">
        <f>SUM(AK23:AV23)</f>
        <v>2997.7</v>
      </c>
      <c r="AX23">
        <f t="shared" si="22"/>
        <v>2023</v>
      </c>
      <c r="AY23">
        <f t="shared" si="28"/>
        <v>477.6</v>
      </c>
      <c r="AZ23">
        <f t="shared" si="28"/>
        <v>435.9</v>
      </c>
      <c r="BA23">
        <f t="shared" si="28"/>
        <v>434.4</v>
      </c>
      <c r="BB23">
        <f t="shared" si="28"/>
        <v>231.60000000000002</v>
      </c>
      <c r="BC23">
        <f t="shared" si="28"/>
        <v>113.69999999999999</v>
      </c>
      <c r="BD23">
        <f t="shared" si="28"/>
        <v>0</v>
      </c>
      <c r="BE23">
        <f t="shared" si="28"/>
        <v>0</v>
      </c>
      <c r="BF23">
        <f t="shared" si="28"/>
        <v>0</v>
      </c>
      <c r="BG23">
        <f t="shared" si="28"/>
        <v>0.69999999999999929</v>
      </c>
      <c r="BH23">
        <f t="shared" si="28"/>
        <v>119.80000000000001</v>
      </c>
      <c r="BI23">
        <f t="shared" si="28"/>
        <v>314.09999999999997</v>
      </c>
      <c r="BJ23">
        <f t="shared" si="28"/>
        <v>381.20000000000005</v>
      </c>
      <c r="BL23">
        <f t="shared" si="23"/>
        <v>2023</v>
      </c>
      <c r="BM23">
        <f t="shared" si="29"/>
        <v>415.6</v>
      </c>
      <c r="BN23">
        <f t="shared" si="29"/>
        <v>379.9</v>
      </c>
      <c r="BO23">
        <f t="shared" si="29"/>
        <v>372.4</v>
      </c>
      <c r="BP23">
        <f t="shared" si="29"/>
        <v>178.9</v>
      </c>
      <c r="BQ23">
        <f t="shared" si="29"/>
        <v>73.899999999999977</v>
      </c>
      <c r="BR23">
        <f t="shared" si="29"/>
        <v>0</v>
      </c>
      <c r="BS23">
        <f t="shared" si="29"/>
        <v>0</v>
      </c>
      <c r="BT23">
        <f t="shared" si="29"/>
        <v>0</v>
      </c>
      <c r="BU23">
        <f t="shared" si="29"/>
        <v>0</v>
      </c>
      <c r="BV23">
        <f t="shared" si="29"/>
        <v>77.599999999999994</v>
      </c>
      <c r="BW23">
        <f t="shared" si="29"/>
        <v>254.10000000000002</v>
      </c>
      <c r="BX23">
        <f t="shared" si="29"/>
        <v>319.20000000000005</v>
      </c>
      <c r="BZ23">
        <f t="shared" si="24"/>
        <v>2023</v>
      </c>
      <c r="CA23">
        <f t="shared" si="17"/>
        <v>353.6</v>
      </c>
      <c r="CB23">
        <f t="shared" si="17"/>
        <v>323.90000000000003</v>
      </c>
      <c r="CC23">
        <f t="shared" si="17"/>
        <v>310.40000000000003</v>
      </c>
      <c r="CD23">
        <f t="shared" si="17"/>
        <v>128.9</v>
      </c>
      <c r="CE23">
        <f t="shared" si="17"/>
        <v>41.699999999999996</v>
      </c>
      <c r="CF23">
        <f t="shared" si="17"/>
        <v>0</v>
      </c>
      <c r="CG23">
        <f t="shared" si="17"/>
        <v>0</v>
      </c>
      <c r="CH23">
        <f t="shared" si="17"/>
        <v>0</v>
      </c>
      <c r="CI23">
        <f t="shared" si="17"/>
        <v>0</v>
      </c>
      <c r="CJ23">
        <f t="shared" si="17"/>
        <v>40.699999999999996</v>
      </c>
      <c r="CK23">
        <f t="shared" si="17"/>
        <v>194.10000000000002</v>
      </c>
      <c r="CL23">
        <f t="shared" si="17"/>
        <v>257.2</v>
      </c>
      <c r="CN23">
        <f t="shared" si="25"/>
        <v>2023</v>
      </c>
      <c r="CO23">
        <f t="shared" si="18"/>
        <v>291.60000000000002</v>
      </c>
      <c r="CP23">
        <f t="shared" si="18"/>
        <v>267.90000000000003</v>
      </c>
      <c r="CQ23">
        <f t="shared" si="18"/>
        <v>248.40000000000003</v>
      </c>
      <c r="CR23">
        <f t="shared" si="18"/>
        <v>83.499999999999986</v>
      </c>
      <c r="CS23">
        <f t="shared" si="18"/>
        <v>21.1</v>
      </c>
      <c r="CT23">
        <f t="shared" si="18"/>
        <v>0</v>
      </c>
      <c r="CU23">
        <f t="shared" si="18"/>
        <v>0</v>
      </c>
      <c r="CV23">
        <f t="shared" si="18"/>
        <v>0</v>
      </c>
      <c r="CW23">
        <f t="shared" si="18"/>
        <v>0</v>
      </c>
      <c r="CX23">
        <f t="shared" si="18"/>
        <v>18.100000000000001</v>
      </c>
      <c r="CY23">
        <f t="shared" si="18"/>
        <v>137.9</v>
      </c>
      <c r="CZ23">
        <f t="shared" si="18"/>
        <v>195.20000000000002</v>
      </c>
      <c r="DB23">
        <f t="shared" si="26"/>
        <v>2023</v>
      </c>
      <c r="DC23">
        <f t="shared" si="30"/>
        <v>229.6</v>
      </c>
      <c r="DD23">
        <f t="shared" si="30"/>
        <v>213.20000000000007</v>
      </c>
      <c r="DE23">
        <f t="shared" si="30"/>
        <v>186.4</v>
      </c>
      <c r="DF23">
        <f t="shared" si="30"/>
        <v>45.9</v>
      </c>
      <c r="DG23">
        <f t="shared" si="30"/>
        <v>7</v>
      </c>
      <c r="DH23">
        <f t="shared" si="30"/>
        <v>0</v>
      </c>
      <c r="DI23">
        <f t="shared" si="30"/>
        <v>0</v>
      </c>
      <c r="DJ23">
        <f t="shared" si="30"/>
        <v>0</v>
      </c>
      <c r="DK23">
        <f t="shared" si="30"/>
        <v>0</v>
      </c>
      <c r="DL23">
        <f t="shared" si="30"/>
        <v>8.1</v>
      </c>
      <c r="DM23">
        <f t="shared" si="30"/>
        <v>89.800000000000011</v>
      </c>
      <c r="DN23">
        <f t="shared" si="30"/>
        <v>134.9</v>
      </c>
      <c r="EE23" t="s">
        <v>77</v>
      </c>
      <c r="EF23">
        <v>0.90562914197005195</v>
      </c>
      <c r="EG23" t="s">
        <v>78</v>
      </c>
      <c r="EH23">
        <v>0.90401596490971103</v>
      </c>
    </row>
    <row r="24" spans="1:139" x14ac:dyDescent="0.2">
      <c r="A24" s="9">
        <v>36831</v>
      </c>
      <c r="B24">
        <v>2000</v>
      </c>
      <c r="C24">
        <v>11</v>
      </c>
      <c r="D24" s="14">
        <v>4.97</v>
      </c>
      <c r="E24" s="14">
        <v>450.89999999999992</v>
      </c>
      <c r="F24" s="14">
        <v>0</v>
      </c>
      <c r="G24" s="14">
        <v>390.89999999999986</v>
      </c>
      <c r="H24" s="14">
        <v>0</v>
      </c>
      <c r="I24" s="14">
        <v>330.89999999999986</v>
      </c>
      <c r="J24" s="14">
        <v>0</v>
      </c>
      <c r="K24" s="14">
        <v>271.20000000000005</v>
      </c>
      <c r="L24" s="14">
        <v>0.30000000000000071</v>
      </c>
      <c r="M24" s="14">
        <v>213.3</v>
      </c>
      <c r="N24" s="14">
        <v>2.4000000000000004</v>
      </c>
      <c r="O24" s="14">
        <v>159</v>
      </c>
      <c r="P24" s="14">
        <v>8.1000000000000014</v>
      </c>
      <c r="Q24" s="14">
        <v>109.80000000000003</v>
      </c>
      <c r="R24" s="14">
        <v>18.899999999999999</v>
      </c>
      <c r="U24">
        <f t="shared" si="20"/>
        <v>2024</v>
      </c>
      <c r="V24">
        <f t="shared" si="16"/>
        <v>648.40000000000009</v>
      </c>
      <c r="W24">
        <f t="shared" si="16"/>
        <v>547.1</v>
      </c>
      <c r="X24">
        <f t="shared" si="16"/>
        <v>491.50000000000011</v>
      </c>
      <c r="Y24">
        <f t="shared" si="16"/>
        <v>354.7</v>
      </c>
      <c r="Z24">
        <f t="shared" si="16"/>
        <v>164.3</v>
      </c>
      <c r="AA24">
        <f t="shared" si="16"/>
        <v>53.400000000000006</v>
      </c>
      <c r="AB24">
        <f t="shared" si="16"/>
        <v>5.2000000000000028</v>
      </c>
      <c r="AC24">
        <f t="shared" si="16"/>
        <v>11.999999999999996</v>
      </c>
      <c r="AD24">
        <f t="shared" si="16"/>
        <v>37.4</v>
      </c>
      <c r="AE24">
        <f t="shared" si="16"/>
        <v>194.8</v>
      </c>
      <c r="AF24">
        <f t="shared" si="16"/>
        <v>364.90000000000003</v>
      </c>
      <c r="AG24">
        <f t="shared" si="16"/>
        <v>586.79999999999995</v>
      </c>
      <c r="AJ24">
        <f t="shared" si="21"/>
        <v>2024</v>
      </c>
      <c r="AK24">
        <f t="shared" si="27"/>
        <v>586.4</v>
      </c>
      <c r="AL24">
        <f t="shared" si="27"/>
        <v>489.09999999999997</v>
      </c>
      <c r="AM24">
        <f t="shared" si="27"/>
        <v>429.50000000000011</v>
      </c>
      <c r="AN24">
        <f t="shared" si="27"/>
        <v>294.70000000000005</v>
      </c>
      <c r="AO24">
        <f t="shared" si="27"/>
        <v>114.6</v>
      </c>
      <c r="AP24">
        <f t="shared" si="27"/>
        <v>23.4</v>
      </c>
      <c r="AQ24">
        <f t="shared" si="27"/>
        <v>0.90000000000000213</v>
      </c>
      <c r="AR24">
        <f t="shared" si="27"/>
        <v>4.1999999999999993</v>
      </c>
      <c r="AS24">
        <f t="shared" si="27"/>
        <v>10.800000000000002</v>
      </c>
      <c r="AT24">
        <f t="shared" si="27"/>
        <v>141.79999999999998</v>
      </c>
      <c r="AU24">
        <f t="shared" si="27"/>
        <v>306.89999999999998</v>
      </c>
      <c r="AV24">
        <f t="shared" si="27"/>
        <v>524.79999999999995</v>
      </c>
      <c r="AW24" s="385">
        <f>SUM(AK24:AV24)</f>
        <v>2927.1000000000004</v>
      </c>
      <c r="AX24">
        <f t="shared" si="22"/>
        <v>2024</v>
      </c>
      <c r="AY24">
        <f t="shared" si="28"/>
        <v>524.39999999999986</v>
      </c>
      <c r="AZ24">
        <f t="shared" si="28"/>
        <v>431.09999999999997</v>
      </c>
      <c r="BA24">
        <f t="shared" si="28"/>
        <v>367.50000000000006</v>
      </c>
      <c r="BB24">
        <f t="shared" si="28"/>
        <v>234.70000000000002</v>
      </c>
      <c r="BC24">
        <f t="shared" si="28"/>
        <v>68</v>
      </c>
      <c r="BD24">
        <f t="shared" si="28"/>
        <v>4.1000000000000014</v>
      </c>
      <c r="BE24">
        <f t="shared" si="28"/>
        <v>0</v>
      </c>
      <c r="BF24">
        <f t="shared" si="28"/>
        <v>0.19999999999999929</v>
      </c>
      <c r="BG24">
        <f t="shared" si="28"/>
        <v>3.9000000000000004</v>
      </c>
      <c r="BH24">
        <f t="shared" si="28"/>
        <v>94</v>
      </c>
      <c r="BI24">
        <f t="shared" si="28"/>
        <v>250.19999999999996</v>
      </c>
      <c r="BJ24">
        <f t="shared" si="28"/>
        <v>462.79999999999995</v>
      </c>
      <c r="BL24" s="78">
        <f t="shared" si="23"/>
        <v>2024</v>
      </c>
      <c r="BM24">
        <f t="shared" si="29"/>
        <v>462.39999999999992</v>
      </c>
      <c r="BN24">
        <f t="shared" si="29"/>
        <v>373.09999999999997</v>
      </c>
      <c r="BO24">
        <f t="shared" si="29"/>
        <v>305.50000000000006</v>
      </c>
      <c r="BP24">
        <f t="shared" si="29"/>
        <v>175.79999999999998</v>
      </c>
      <c r="BQ24">
        <f t="shared" si="29"/>
        <v>30</v>
      </c>
      <c r="BR24">
        <f t="shared" si="29"/>
        <v>0</v>
      </c>
      <c r="BS24">
        <f t="shared" si="29"/>
        <v>0</v>
      </c>
      <c r="BT24">
        <f t="shared" si="29"/>
        <v>0</v>
      </c>
      <c r="BU24">
        <f t="shared" si="29"/>
        <v>0.40000000000000036</v>
      </c>
      <c r="BV24">
        <f t="shared" si="29"/>
        <v>55.2</v>
      </c>
      <c r="BW24">
        <f t="shared" si="29"/>
        <v>194.20000000000002</v>
      </c>
      <c r="BX24">
        <f t="shared" si="29"/>
        <v>400.7999999999999</v>
      </c>
      <c r="BZ24">
        <f t="shared" si="24"/>
        <v>2024</v>
      </c>
      <c r="CA24">
        <f t="shared" si="17"/>
        <v>400.39999999999992</v>
      </c>
      <c r="CB24">
        <f t="shared" si="17"/>
        <v>315.10000000000008</v>
      </c>
      <c r="CC24">
        <f t="shared" si="17"/>
        <v>244.9</v>
      </c>
      <c r="CD24">
        <f t="shared" si="17"/>
        <v>120.40000000000002</v>
      </c>
      <c r="CE24">
        <f t="shared" si="17"/>
        <v>8.1000000000000014</v>
      </c>
      <c r="CF24">
        <f t="shared" si="17"/>
        <v>0</v>
      </c>
      <c r="CG24">
        <f t="shared" si="17"/>
        <v>0</v>
      </c>
      <c r="CH24">
        <f t="shared" si="17"/>
        <v>0</v>
      </c>
      <c r="CI24">
        <f t="shared" si="17"/>
        <v>0</v>
      </c>
      <c r="CJ24">
        <f t="shared" si="17"/>
        <v>27.900000000000002</v>
      </c>
      <c r="CK24">
        <f t="shared" si="17"/>
        <v>140.29999999999998</v>
      </c>
      <c r="CL24">
        <f t="shared" si="17"/>
        <v>338.7999999999999</v>
      </c>
      <c r="CN24">
        <f t="shared" si="25"/>
        <v>2024</v>
      </c>
      <c r="CO24">
        <f t="shared" si="18"/>
        <v>338.4</v>
      </c>
      <c r="CP24">
        <f t="shared" si="18"/>
        <v>257.10000000000008</v>
      </c>
      <c r="CQ24">
        <f t="shared" si="18"/>
        <v>184.99999999999997</v>
      </c>
      <c r="CR24">
        <f t="shared" si="18"/>
        <v>70.7</v>
      </c>
      <c r="CS24">
        <f t="shared" si="18"/>
        <v>1.8000000000000007</v>
      </c>
      <c r="CT24">
        <f t="shared" si="18"/>
        <v>0</v>
      </c>
      <c r="CU24">
        <f t="shared" si="18"/>
        <v>0</v>
      </c>
      <c r="CV24">
        <f t="shared" si="18"/>
        <v>0</v>
      </c>
      <c r="CW24">
        <f t="shared" si="18"/>
        <v>0</v>
      </c>
      <c r="CX24">
        <f t="shared" si="18"/>
        <v>8.6000000000000014</v>
      </c>
      <c r="CY24">
        <f t="shared" si="18"/>
        <v>90.7</v>
      </c>
      <c r="CZ24">
        <f t="shared" si="18"/>
        <v>276.80000000000007</v>
      </c>
      <c r="DB24" s="78">
        <f t="shared" si="26"/>
        <v>2024</v>
      </c>
      <c r="DC24">
        <f t="shared" si="30"/>
        <v>276.39999999999998</v>
      </c>
      <c r="DD24">
        <f t="shared" si="30"/>
        <v>199.4</v>
      </c>
      <c r="DE24">
        <f t="shared" si="30"/>
        <v>126.99999999999997</v>
      </c>
      <c r="DF24">
        <f t="shared" si="30"/>
        <v>32.699999999999996</v>
      </c>
      <c r="DG24">
        <f t="shared" si="30"/>
        <v>0</v>
      </c>
      <c r="DH24">
        <f t="shared" si="30"/>
        <v>0</v>
      </c>
      <c r="DI24">
        <f t="shared" si="30"/>
        <v>0</v>
      </c>
      <c r="DJ24">
        <f t="shared" si="30"/>
        <v>0</v>
      </c>
      <c r="DK24">
        <f t="shared" si="30"/>
        <v>0</v>
      </c>
      <c r="DL24">
        <f t="shared" si="30"/>
        <v>0.29999999999999982</v>
      </c>
      <c r="DM24">
        <f t="shared" si="30"/>
        <v>50.1</v>
      </c>
      <c r="DN24">
        <f t="shared" si="30"/>
        <v>215.20000000000005</v>
      </c>
      <c r="EE24" t="s">
        <v>533</v>
      </c>
      <c r="EF24">
        <v>378.42799051717901</v>
      </c>
      <c r="EG24" t="s">
        <v>79</v>
      </c>
      <c r="EH24" s="32">
        <v>8.2156309502483097E-52</v>
      </c>
    </row>
    <row r="25" spans="1:139" ht="15" x14ac:dyDescent="0.25">
      <c r="A25" s="9">
        <v>36861</v>
      </c>
      <c r="B25">
        <v>2000</v>
      </c>
      <c r="C25">
        <v>12</v>
      </c>
      <c r="D25" s="14">
        <v>-5.2774193548387105</v>
      </c>
      <c r="E25" s="14">
        <v>783.6</v>
      </c>
      <c r="F25" s="14">
        <v>0</v>
      </c>
      <c r="G25" s="14">
        <v>721.59999999999991</v>
      </c>
      <c r="H25" s="14">
        <v>0</v>
      </c>
      <c r="I25" s="14">
        <v>659.59999999999991</v>
      </c>
      <c r="J25" s="14">
        <v>0</v>
      </c>
      <c r="K25" s="14">
        <v>597.59999999999991</v>
      </c>
      <c r="L25" s="14">
        <v>0</v>
      </c>
      <c r="M25" s="14">
        <v>535.59999999999991</v>
      </c>
      <c r="N25" s="14">
        <v>0</v>
      </c>
      <c r="O25" s="14">
        <v>473.59999999999997</v>
      </c>
      <c r="P25" s="14">
        <v>0</v>
      </c>
      <c r="Q25" s="14">
        <v>411.60000000000008</v>
      </c>
      <c r="R25" s="14">
        <v>0</v>
      </c>
      <c r="U25" s="78">
        <f t="shared" si="20"/>
        <v>2025</v>
      </c>
      <c r="V25" s="40">
        <f>AVERAGE(V15:V24)</f>
        <v>694.54</v>
      </c>
      <c r="W25" s="40">
        <f t="shared" ref="W25" si="31">AVERAGE(W15:W24)</f>
        <v>620.91000000000008</v>
      </c>
      <c r="X25" s="40">
        <f>AVERAGE(X15:X24)</f>
        <v>560.74</v>
      </c>
      <c r="Y25" s="40">
        <f t="shared" ref="Y25:AG25" si="32">AVERAGE(Y15:Y24)</f>
        <v>398.59999999999997</v>
      </c>
      <c r="Z25" s="40">
        <f t="shared" si="32"/>
        <v>217.13000000000002</v>
      </c>
      <c r="AA25" s="40">
        <f t="shared" si="32"/>
        <v>59.179999999999993</v>
      </c>
      <c r="AB25" s="40">
        <f t="shared" si="32"/>
        <v>5.59</v>
      </c>
      <c r="AC25" s="40">
        <f t="shared" si="32"/>
        <v>11.37</v>
      </c>
      <c r="AD25" s="40">
        <f t="shared" si="32"/>
        <v>60.73</v>
      </c>
      <c r="AE25" s="40">
        <f t="shared" si="32"/>
        <v>235.25</v>
      </c>
      <c r="AF25" s="40">
        <f t="shared" si="32"/>
        <v>417.39</v>
      </c>
      <c r="AG25" s="40">
        <f t="shared" si="32"/>
        <v>572.62000000000012</v>
      </c>
      <c r="AJ25" s="78">
        <f t="shared" si="21"/>
        <v>2025</v>
      </c>
      <c r="AK25" s="40">
        <f>AVERAGE(AK15:AK24)</f>
        <v>632.53999999999985</v>
      </c>
      <c r="AL25" s="40">
        <f t="shared" ref="AL25" si="33">AVERAGE(AL15:AL24)</f>
        <v>564.30999999999995</v>
      </c>
      <c r="AM25" s="40">
        <f>AVERAGE(AM15:AM24)</f>
        <v>498.73999999999995</v>
      </c>
      <c r="AN25" s="40">
        <f t="shared" ref="AN25:AV25" si="34">AVERAGE(AN15:AN24)</f>
        <v>338.95999999999992</v>
      </c>
      <c r="AO25" s="40">
        <f t="shared" si="34"/>
        <v>164.26</v>
      </c>
      <c r="AP25" s="40">
        <f t="shared" si="34"/>
        <v>28.27</v>
      </c>
      <c r="AQ25" s="40">
        <f t="shared" si="34"/>
        <v>0.6400000000000009</v>
      </c>
      <c r="AR25" s="40">
        <f t="shared" si="34"/>
        <v>2.1800000000000002</v>
      </c>
      <c r="AS25" s="40">
        <f t="shared" si="34"/>
        <v>28.300000000000004</v>
      </c>
      <c r="AT25" s="40">
        <f t="shared" si="34"/>
        <v>178.40000000000003</v>
      </c>
      <c r="AU25" s="40">
        <f t="shared" si="34"/>
        <v>357.79</v>
      </c>
      <c r="AV25" s="40">
        <f t="shared" si="34"/>
        <v>510.62000000000006</v>
      </c>
      <c r="AW25" s="385">
        <f t="shared" ref="AW25:AW26" si="35">SUM(AK25:AV25)</f>
        <v>3305.0099999999993</v>
      </c>
      <c r="AX25" s="78">
        <f t="shared" si="22"/>
        <v>2025</v>
      </c>
      <c r="AY25" s="40">
        <f>AVERAGE(AY15:AY24)</f>
        <v>570.54</v>
      </c>
      <c r="AZ25" s="40">
        <f t="shared" ref="AZ25" si="36">AVERAGE(AZ15:AZ24)</f>
        <v>507.70999999999992</v>
      </c>
      <c r="BA25" s="40">
        <f>AVERAGE(BA15:BA24)</f>
        <v>436.74000000000007</v>
      </c>
      <c r="BB25" s="40">
        <f t="shared" ref="BB25:BJ25" si="37">AVERAGE(BB15:BB24)</f>
        <v>279.5499999999999</v>
      </c>
      <c r="BC25" s="40">
        <f t="shared" si="37"/>
        <v>116.44000000000001</v>
      </c>
      <c r="BD25" s="40">
        <f t="shared" si="37"/>
        <v>9.41</v>
      </c>
      <c r="BE25" s="40">
        <f t="shared" si="37"/>
        <v>0</v>
      </c>
      <c r="BF25" s="40">
        <f t="shared" si="37"/>
        <v>1.9999999999999928E-2</v>
      </c>
      <c r="BG25" s="40">
        <f t="shared" si="37"/>
        <v>10.380000000000003</v>
      </c>
      <c r="BH25" s="40">
        <f t="shared" si="37"/>
        <v>127.64999999999998</v>
      </c>
      <c r="BI25" s="40">
        <f t="shared" si="37"/>
        <v>298.40999999999997</v>
      </c>
      <c r="BJ25" s="40">
        <f t="shared" si="37"/>
        <v>448.62</v>
      </c>
      <c r="BL25" s="78">
        <f t="shared" si="23"/>
        <v>2025</v>
      </c>
      <c r="BM25" s="40">
        <f>AVERAGE(BM15:BM24)</f>
        <v>508.54000000000008</v>
      </c>
      <c r="BN25" s="40">
        <f t="shared" ref="BN25" si="38">AVERAGE(BN15:BN24)</f>
        <v>451.10999999999996</v>
      </c>
      <c r="BO25" s="40">
        <f>AVERAGE(BO15:BO24)</f>
        <v>374.74</v>
      </c>
      <c r="BP25" s="40">
        <f t="shared" ref="BP25:BX25" si="39">AVERAGE(BP15:BP24)</f>
        <v>221.12999999999997</v>
      </c>
      <c r="BQ25" s="40">
        <f t="shared" si="39"/>
        <v>74.8</v>
      </c>
      <c r="BR25" s="40">
        <f t="shared" si="39"/>
        <v>2.15</v>
      </c>
      <c r="BS25" s="40">
        <f t="shared" si="39"/>
        <v>0</v>
      </c>
      <c r="BT25" s="40">
        <f t="shared" si="39"/>
        <v>0</v>
      </c>
      <c r="BU25" s="40">
        <f t="shared" si="39"/>
        <v>2.2699999999999996</v>
      </c>
      <c r="BV25" s="40">
        <f t="shared" si="39"/>
        <v>83.800000000000011</v>
      </c>
      <c r="BW25" s="40">
        <f t="shared" si="39"/>
        <v>240.7</v>
      </c>
      <c r="BX25" s="40">
        <f t="shared" si="39"/>
        <v>386.61999999999995</v>
      </c>
      <c r="BZ25" s="78">
        <f t="shared" si="24"/>
        <v>2025</v>
      </c>
      <c r="CA25" s="40">
        <f>AVERAGE(CA15:CA24)</f>
        <v>446.53999999999996</v>
      </c>
      <c r="CB25" s="40">
        <f t="shared" ref="CB25:CL25" si="40">AVERAGE(CB15:CB24)</f>
        <v>394.51</v>
      </c>
      <c r="CC25" s="40">
        <f t="shared" si="40"/>
        <v>313.20999999999998</v>
      </c>
      <c r="CD25" s="40">
        <f t="shared" si="40"/>
        <v>164.71</v>
      </c>
      <c r="CE25" s="40">
        <f t="shared" si="40"/>
        <v>42.18</v>
      </c>
      <c r="CF25" s="40">
        <f t="shared" si="40"/>
        <v>0.36999999999999994</v>
      </c>
      <c r="CG25" s="40">
        <f t="shared" si="40"/>
        <v>0</v>
      </c>
      <c r="CH25" s="40">
        <f t="shared" si="40"/>
        <v>0</v>
      </c>
      <c r="CI25" s="40">
        <f t="shared" si="40"/>
        <v>0.28999999999999987</v>
      </c>
      <c r="CJ25" s="40">
        <f t="shared" si="40"/>
        <v>48.440000000000005</v>
      </c>
      <c r="CK25" s="40">
        <f t="shared" si="40"/>
        <v>185.27</v>
      </c>
      <c r="CL25" s="40">
        <f t="shared" si="40"/>
        <v>324.61999999999995</v>
      </c>
      <c r="CN25" s="78">
        <f t="shared" si="25"/>
        <v>2025</v>
      </c>
      <c r="CO25" s="40">
        <f>AVERAGE(CO15:CO24)</f>
        <v>384.56000000000006</v>
      </c>
      <c r="CP25" s="40">
        <f t="shared" ref="CP25" si="41">AVERAGE(CP15:CP24)</f>
        <v>338.02</v>
      </c>
      <c r="CQ25" s="40">
        <f>AVERAGE(CQ15:CQ24)</f>
        <v>252.67</v>
      </c>
      <c r="CR25" s="40">
        <f t="shared" ref="CR25:CZ25" si="42">AVERAGE(CR15:CR24)</f>
        <v>112.07000000000001</v>
      </c>
      <c r="CS25" s="40">
        <f t="shared" si="42"/>
        <v>19.18</v>
      </c>
      <c r="CT25" s="40">
        <f t="shared" si="42"/>
        <v>0</v>
      </c>
      <c r="CU25" s="40">
        <f t="shared" si="42"/>
        <v>0</v>
      </c>
      <c r="CV25" s="40">
        <f t="shared" si="42"/>
        <v>0</v>
      </c>
      <c r="CW25" s="40">
        <f t="shared" si="42"/>
        <v>0</v>
      </c>
      <c r="CX25" s="40">
        <f t="shared" si="42"/>
        <v>23.589999999999996</v>
      </c>
      <c r="CY25" s="40">
        <f t="shared" si="42"/>
        <v>134.25000000000003</v>
      </c>
      <c r="CZ25" s="40">
        <f t="shared" si="42"/>
        <v>262.99</v>
      </c>
      <c r="DB25" s="78">
        <f t="shared" si="26"/>
        <v>2025</v>
      </c>
      <c r="DC25" s="40">
        <f>AVERAGE(DC15:DC24)</f>
        <v>322.77</v>
      </c>
      <c r="DD25" s="40">
        <f t="shared" ref="DD25" si="43">AVERAGE(DD15:DD24)</f>
        <v>282.56000000000006</v>
      </c>
      <c r="DE25" s="40">
        <f>AVERAGE(DE15:DE24)</f>
        <v>193.87</v>
      </c>
      <c r="DF25" s="40">
        <f t="shared" ref="DF25:DN25" si="44">AVERAGE(DF15:DF24)</f>
        <v>67.02000000000001</v>
      </c>
      <c r="DG25" s="40">
        <f t="shared" si="44"/>
        <v>6.2</v>
      </c>
      <c r="DH25" s="40">
        <f t="shared" si="44"/>
        <v>0</v>
      </c>
      <c r="DI25" s="40">
        <f t="shared" si="44"/>
        <v>0</v>
      </c>
      <c r="DJ25" s="40">
        <f t="shared" si="44"/>
        <v>0</v>
      </c>
      <c r="DK25" s="40">
        <f t="shared" si="44"/>
        <v>0</v>
      </c>
      <c r="DL25" s="40">
        <f t="shared" si="44"/>
        <v>8.4599999999999973</v>
      </c>
      <c r="DM25" s="40">
        <f t="shared" si="44"/>
        <v>89.800000000000011</v>
      </c>
      <c r="DN25" s="40">
        <f t="shared" si="44"/>
        <v>202.98</v>
      </c>
      <c r="EE25" t="s">
        <v>80</v>
      </c>
      <c r="EF25">
        <v>-9.1110168496973107E-2</v>
      </c>
      <c r="EG25" t="s">
        <v>81</v>
      </c>
      <c r="EH25">
        <v>2.1359898406020701</v>
      </c>
    </row>
    <row r="26" spans="1:139" ht="15" x14ac:dyDescent="0.25">
      <c r="A26" s="9">
        <v>36892</v>
      </c>
      <c r="B26">
        <v>2001</v>
      </c>
      <c r="C26">
        <v>1</v>
      </c>
      <c r="D26" s="14">
        <v>-2.6870967741935479</v>
      </c>
      <c r="E26" s="14">
        <v>703.30000000000018</v>
      </c>
      <c r="F26" s="14">
        <v>0</v>
      </c>
      <c r="G26" s="14">
        <v>641.30000000000007</v>
      </c>
      <c r="H26" s="14">
        <v>0</v>
      </c>
      <c r="I26" s="14">
        <v>579.30000000000007</v>
      </c>
      <c r="J26" s="14">
        <v>0</v>
      </c>
      <c r="K26" s="14">
        <v>517.29999999999995</v>
      </c>
      <c r="L26" s="14">
        <v>0</v>
      </c>
      <c r="M26" s="14">
        <v>455.3</v>
      </c>
      <c r="N26" s="14">
        <v>0</v>
      </c>
      <c r="O26" s="14">
        <v>393.30000000000007</v>
      </c>
      <c r="P26" s="14">
        <v>0</v>
      </c>
      <c r="Q26" s="14">
        <v>331.30000000000007</v>
      </c>
      <c r="R26" s="14">
        <v>0</v>
      </c>
      <c r="U26" s="78">
        <f t="shared" si="20"/>
        <v>2026</v>
      </c>
      <c r="V26" s="40">
        <f>V25</f>
        <v>694.54</v>
      </c>
      <c r="W26" s="40">
        <f t="shared" ref="W26:AG26" si="45">W25</f>
        <v>620.91000000000008</v>
      </c>
      <c r="X26" s="40">
        <f t="shared" si="45"/>
        <v>560.74</v>
      </c>
      <c r="Y26" s="40">
        <f t="shared" si="45"/>
        <v>398.59999999999997</v>
      </c>
      <c r="Z26" s="40">
        <f t="shared" si="45"/>
        <v>217.13000000000002</v>
      </c>
      <c r="AA26" s="40">
        <f t="shared" si="45"/>
        <v>59.179999999999993</v>
      </c>
      <c r="AB26" s="40">
        <f t="shared" si="45"/>
        <v>5.59</v>
      </c>
      <c r="AC26" s="40">
        <f t="shared" si="45"/>
        <v>11.37</v>
      </c>
      <c r="AD26" s="40">
        <f t="shared" si="45"/>
        <v>60.73</v>
      </c>
      <c r="AE26" s="40">
        <f t="shared" si="45"/>
        <v>235.25</v>
      </c>
      <c r="AF26" s="40">
        <f t="shared" si="45"/>
        <v>417.39</v>
      </c>
      <c r="AG26" s="40">
        <f t="shared" si="45"/>
        <v>572.62000000000012</v>
      </c>
      <c r="AJ26" s="78">
        <f t="shared" si="21"/>
        <v>2026</v>
      </c>
      <c r="AK26" s="40">
        <f>AK25</f>
        <v>632.53999999999985</v>
      </c>
      <c r="AL26" s="40">
        <f t="shared" ref="AL26:AV26" si="46">AL25</f>
        <v>564.30999999999995</v>
      </c>
      <c r="AM26" s="40">
        <f t="shared" si="46"/>
        <v>498.73999999999995</v>
      </c>
      <c r="AN26" s="40">
        <f t="shared" si="46"/>
        <v>338.95999999999992</v>
      </c>
      <c r="AO26" s="40">
        <f t="shared" si="46"/>
        <v>164.26</v>
      </c>
      <c r="AP26" s="40">
        <f t="shared" si="46"/>
        <v>28.27</v>
      </c>
      <c r="AQ26" s="40">
        <f t="shared" si="46"/>
        <v>0.6400000000000009</v>
      </c>
      <c r="AR26" s="40">
        <f t="shared" si="46"/>
        <v>2.1800000000000002</v>
      </c>
      <c r="AS26" s="40">
        <f t="shared" si="46"/>
        <v>28.300000000000004</v>
      </c>
      <c r="AT26" s="40">
        <f t="shared" si="46"/>
        <v>178.40000000000003</v>
      </c>
      <c r="AU26" s="40">
        <f t="shared" si="46"/>
        <v>357.79</v>
      </c>
      <c r="AV26" s="40">
        <f t="shared" si="46"/>
        <v>510.62000000000006</v>
      </c>
      <c r="AW26" s="385">
        <f t="shared" si="35"/>
        <v>3305.0099999999993</v>
      </c>
      <c r="AX26" s="78">
        <f t="shared" si="22"/>
        <v>2026</v>
      </c>
      <c r="AY26" s="40">
        <f>AY25</f>
        <v>570.54</v>
      </c>
      <c r="AZ26" s="40">
        <f t="shared" ref="AZ26:BJ26" si="47">AZ25</f>
        <v>507.70999999999992</v>
      </c>
      <c r="BA26" s="40">
        <f t="shared" si="47"/>
        <v>436.74000000000007</v>
      </c>
      <c r="BB26" s="40">
        <f t="shared" si="47"/>
        <v>279.5499999999999</v>
      </c>
      <c r="BC26" s="40">
        <f t="shared" si="47"/>
        <v>116.44000000000001</v>
      </c>
      <c r="BD26" s="40">
        <f t="shared" si="47"/>
        <v>9.41</v>
      </c>
      <c r="BE26" s="40">
        <f t="shared" si="47"/>
        <v>0</v>
      </c>
      <c r="BF26" s="40">
        <f t="shared" si="47"/>
        <v>1.9999999999999928E-2</v>
      </c>
      <c r="BG26" s="40">
        <f t="shared" si="47"/>
        <v>10.380000000000003</v>
      </c>
      <c r="BH26" s="40">
        <f t="shared" si="47"/>
        <v>127.64999999999998</v>
      </c>
      <c r="BI26" s="40">
        <f t="shared" si="47"/>
        <v>298.40999999999997</v>
      </c>
      <c r="BJ26" s="40">
        <f t="shared" si="47"/>
        <v>448.62</v>
      </c>
      <c r="BL26" s="78">
        <f t="shared" si="23"/>
        <v>2026</v>
      </c>
      <c r="BM26" s="40">
        <f>BM25</f>
        <v>508.54000000000008</v>
      </c>
      <c r="BN26" s="40">
        <f t="shared" ref="BN26:BX26" si="48">BN25</f>
        <v>451.10999999999996</v>
      </c>
      <c r="BO26" s="40">
        <f t="shared" si="48"/>
        <v>374.74</v>
      </c>
      <c r="BP26" s="40">
        <f t="shared" si="48"/>
        <v>221.12999999999997</v>
      </c>
      <c r="BQ26" s="40">
        <f t="shared" si="48"/>
        <v>74.8</v>
      </c>
      <c r="BR26" s="40">
        <f t="shared" si="48"/>
        <v>2.15</v>
      </c>
      <c r="BS26" s="40">
        <f t="shared" si="48"/>
        <v>0</v>
      </c>
      <c r="BT26" s="40">
        <f t="shared" si="48"/>
        <v>0</v>
      </c>
      <c r="BU26" s="40">
        <f t="shared" si="48"/>
        <v>2.2699999999999996</v>
      </c>
      <c r="BV26" s="40">
        <f t="shared" si="48"/>
        <v>83.800000000000011</v>
      </c>
      <c r="BW26" s="40">
        <f t="shared" si="48"/>
        <v>240.7</v>
      </c>
      <c r="BX26" s="40">
        <f t="shared" si="48"/>
        <v>386.61999999999995</v>
      </c>
      <c r="BZ26" s="78">
        <f t="shared" si="24"/>
        <v>2026</v>
      </c>
      <c r="CA26" s="40">
        <f>CA25</f>
        <v>446.53999999999996</v>
      </c>
      <c r="CB26" s="40">
        <f t="shared" ref="CB26" si="49">CB25</f>
        <v>394.51</v>
      </c>
      <c r="CC26" s="40">
        <f t="shared" ref="CC26" si="50">CC25</f>
        <v>313.20999999999998</v>
      </c>
      <c r="CD26" s="40">
        <f t="shared" ref="CD26" si="51">CD25</f>
        <v>164.71</v>
      </c>
      <c r="CE26" s="40">
        <f t="shared" ref="CE26" si="52">CE25</f>
        <v>42.18</v>
      </c>
      <c r="CF26" s="40">
        <f t="shared" ref="CF26" si="53">CF25</f>
        <v>0.36999999999999994</v>
      </c>
      <c r="CG26" s="40">
        <f t="shared" ref="CG26" si="54">CG25</f>
        <v>0</v>
      </c>
      <c r="CH26" s="40">
        <f t="shared" ref="CH26" si="55">CH25</f>
        <v>0</v>
      </c>
      <c r="CI26" s="40">
        <f t="shared" ref="CI26" si="56">CI25</f>
        <v>0.28999999999999987</v>
      </c>
      <c r="CJ26" s="40">
        <f t="shared" ref="CJ26" si="57">CJ25</f>
        <v>48.440000000000005</v>
      </c>
      <c r="CK26" s="40">
        <f t="shared" ref="CK26" si="58">CK25</f>
        <v>185.27</v>
      </c>
      <c r="CL26" s="40">
        <f t="shared" ref="CL26" si="59">CL25</f>
        <v>324.61999999999995</v>
      </c>
      <c r="CN26" s="78">
        <f t="shared" si="25"/>
        <v>2026</v>
      </c>
      <c r="CO26" s="40">
        <f>CO25</f>
        <v>384.56000000000006</v>
      </c>
      <c r="CP26" s="40">
        <f t="shared" ref="CP26" si="60">CP25</f>
        <v>338.02</v>
      </c>
      <c r="CQ26" s="40">
        <f t="shared" ref="CQ26" si="61">CQ25</f>
        <v>252.67</v>
      </c>
      <c r="CR26" s="40">
        <f t="shared" ref="CR26" si="62">CR25</f>
        <v>112.07000000000001</v>
      </c>
      <c r="CS26" s="40">
        <f t="shared" ref="CS26" si="63">CS25</f>
        <v>19.18</v>
      </c>
      <c r="CT26" s="40">
        <f t="shared" ref="CT26" si="64">CT25</f>
        <v>0</v>
      </c>
      <c r="CU26" s="40">
        <f t="shared" ref="CU26" si="65">CU25</f>
        <v>0</v>
      </c>
      <c r="CV26" s="40">
        <f t="shared" ref="CV26" si="66">CV25</f>
        <v>0</v>
      </c>
      <c r="CW26" s="40">
        <f t="shared" ref="CW26" si="67">CW25</f>
        <v>0</v>
      </c>
      <c r="CX26" s="40">
        <f t="shared" ref="CX26" si="68">CX25</f>
        <v>23.589999999999996</v>
      </c>
      <c r="CY26" s="40">
        <f t="shared" ref="CY26" si="69">CY25</f>
        <v>134.25000000000003</v>
      </c>
      <c r="CZ26" s="40">
        <f t="shared" ref="CZ26" si="70">CZ25</f>
        <v>262.99</v>
      </c>
      <c r="DB26" s="78">
        <f t="shared" si="26"/>
        <v>2026</v>
      </c>
      <c r="DC26" s="40">
        <f>DC25</f>
        <v>322.77</v>
      </c>
      <c r="DD26" s="40">
        <f t="shared" ref="DD26:DN26" si="71">DD25</f>
        <v>282.56000000000006</v>
      </c>
      <c r="DE26" s="40">
        <f t="shared" si="71"/>
        <v>193.87</v>
      </c>
      <c r="DF26" s="40">
        <f t="shared" si="71"/>
        <v>67.02000000000001</v>
      </c>
      <c r="DG26" s="40">
        <f t="shared" si="71"/>
        <v>6.2</v>
      </c>
      <c r="DH26" s="40">
        <f t="shared" si="71"/>
        <v>0</v>
      </c>
      <c r="DI26" s="40">
        <f t="shared" si="71"/>
        <v>0</v>
      </c>
      <c r="DJ26" s="40">
        <f t="shared" si="71"/>
        <v>0</v>
      </c>
      <c r="DK26" s="40">
        <f t="shared" si="71"/>
        <v>0</v>
      </c>
      <c r="DL26" s="40">
        <f t="shared" si="71"/>
        <v>8.4599999999999973</v>
      </c>
      <c r="DM26" s="40">
        <f t="shared" si="71"/>
        <v>89.800000000000011</v>
      </c>
      <c r="DN26" s="40">
        <f t="shared" si="71"/>
        <v>202.98</v>
      </c>
    </row>
    <row r="27" spans="1:139" x14ac:dyDescent="0.2">
      <c r="A27" s="9">
        <v>36923</v>
      </c>
      <c r="B27">
        <v>2001</v>
      </c>
      <c r="C27">
        <v>2</v>
      </c>
      <c r="D27" s="14">
        <v>-1.5678571428571431</v>
      </c>
      <c r="E27" s="14">
        <v>603.9</v>
      </c>
      <c r="F27" s="14">
        <v>0</v>
      </c>
      <c r="G27" s="14">
        <v>547.9</v>
      </c>
      <c r="H27" s="14">
        <v>0</v>
      </c>
      <c r="I27" s="14">
        <v>491.9</v>
      </c>
      <c r="J27" s="14">
        <v>0</v>
      </c>
      <c r="K27" s="14">
        <v>435.9</v>
      </c>
      <c r="L27" s="14">
        <v>0</v>
      </c>
      <c r="M27" s="14">
        <v>379.9</v>
      </c>
      <c r="N27" s="14">
        <v>0</v>
      </c>
      <c r="O27" s="14">
        <v>323.89999999999998</v>
      </c>
      <c r="P27" s="14">
        <v>0</v>
      </c>
      <c r="Q27" s="14">
        <v>267.89999999999998</v>
      </c>
      <c r="R27" s="14">
        <v>0</v>
      </c>
      <c r="U27"/>
      <c r="AJ27" s="31"/>
      <c r="AK27" s="31"/>
      <c r="EE27" t="s">
        <v>462</v>
      </c>
    </row>
    <row r="28" spans="1:139" x14ac:dyDescent="0.2">
      <c r="A28" s="9">
        <v>36951</v>
      </c>
      <c r="B28">
        <v>2001</v>
      </c>
      <c r="C28">
        <v>3</v>
      </c>
      <c r="D28" s="14">
        <v>0.42580645161290331</v>
      </c>
      <c r="E28" s="14">
        <v>606.79999999999995</v>
      </c>
      <c r="F28" s="14">
        <v>0</v>
      </c>
      <c r="G28" s="14">
        <v>544.79999999999984</v>
      </c>
      <c r="H28" s="14">
        <v>0</v>
      </c>
      <c r="I28" s="14">
        <v>482.79999999999984</v>
      </c>
      <c r="J28" s="14">
        <v>0</v>
      </c>
      <c r="K28" s="14">
        <v>420.7999999999999</v>
      </c>
      <c r="L28" s="14">
        <v>0</v>
      </c>
      <c r="M28" s="14">
        <v>358.79999999999995</v>
      </c>
      <c r="N28" s="14">
        <v>0</v>
      </c>
      <c r="O28" s="14">
        <v>296.7999999999999</v>
      </c>
      <c r="P28" s="14">
        <v>0</v>
      </c>
      <c r="Q28" s="14">
        <v>234.79999999999995</v>
      </c>
      <c r="R28" s="14">
        <v>0</v>
      </c>
      <c r="U28" s="116" t="s">
        <v>152</v>
      </c>
      <c r="V28" s="117" t="s">
        <v>50</v>
      </c>
      <c r="W28" s="117" t="s">
        <v>51</v>
      </c>
      <c r="X28" s="117" t="s">
        <v>52</v>
      </c>
      <c r="Y28" s="117" t="s">
        <v>53</v>
      </c>
      <c r="Z28" s="117" t="s">
        <v>54</v>
      </c>
      <c r="AA28" s="117" t="s">
        <v>92</v>
      </c>
      <c r="AB28" s="117" t="s">
        <v>93</v>
      </c>
      <c r="AC28" s="117" t="s">
        <v>94</v>
      </c>
      <c r="AD28" s="117" t="s">
        <v>58</v>
      </c>
      <c r="AE28" s="117" t="s">
        <v>59</v>
      </c>
      <c r="AF28" s="117" t="s">
        <v>60</v>
      </c>
      <c r="AG28" s="117" t="s">
        <v>61</v>
      </c>
      <c r="AJ28" s="116" t="s">
        <v>32</v>
      </c>
      <c r="AK28" s="117" t="s">
        <v>50</v>
      </c>
      <c r="AL28" s="117" t="s">
        <v>51</v>
      </c>
      <c r="AM28" s="117" t="s">
        <v>52</v>
      </c>
      <c r="AN28" s="117" t="s">
        <v>53</v>
      </c>
      <c r="AO28" s="117" t="s">
        <v>54</v>
      </c>
      <c r="AP28" s="117" t="s">
        <v>92</v>
      </c>
      <c r="AQ28" s="117" t="s">
        <v>93</v>
      </c>
      <c r="AR28" s="117" t="s">
        <v>94</v>
      </c>
      <c r="AS28" s="117" t="s">
        <v>58</v>
      </c>
      <c r="AT28" s="117" t="s">
        <v>59</v>
      </c>
      <c r="AU28" s="117" t="s">
        <v>60</v>
      </c>
      <c r="AV28" s="117" t="s">
        <v>61</v>
      </c>
      <c r="AX28" s="116" t="s">
        <v>34</v>
      </c>
      <c r="AY28" s="117" t="s">
        <v>50</v>
      </c>
      <c r="AZ28" s="117" t="s">
        <v>51</v>
      </c>
      <c r="BA28" s="117" t="s">
        <v>52</v>
      </c>
      <c r="BB28" s="117" t="s">
        <v>53</v>
      </c>
      <c r="BC28" s="117" t="s">
        <v>54</v>
      </c>
      <c r="BD28" s="117" t="s">
        <v>92</v>
      </c>
      <c r="BE28" s="117" t="s">
        <v>93</v>
      </c>
      <c r="BF28" s="117" t="s">
        <v>94</v>
      </c>
      <c r="BG28" s="117" t="s">
        <v>58</v>
      </c>
      <c r="BH28" s="117" t="s">
        <v>59</v>
      </c>
      <c r="BI28" s="117" t="s">
        <v>60</v>
      </c>
      <c r="BJ28" s="117" t="s">
        <v>61</v>
      </c>
      <c r="BL28" s="116" t="s">
        <v>36</v>
      </c>
      <c r="BM28" s="117" t="s">
        <v>50</v>
      </c>
      <c r="BN28" s="117" t="s">
        <v>51</v>
      </c>
      <c r="BO28" s="117" t="s">
        <v>52</v>
      </c>
      <c r="BP28" s="117" t="s">
        <v>53</v>
      </c>
      <c r="BQ28" s="117" t="s">
        <v>54</v>
      </c>
      <c r="BR28" s="117" t="s">
        <v>92</v>
      </c>
      <c r="BS28" s="117" t="s">
        <v>93</v>
      </c>
      <c r="BT28" s="117" t="s">
        <v>94</v>
      </c>
      <c r="BU28" s="117" t="s">
        <v>58</v>
      </c>
      <c r="BV28" s="117" t="s">
        <v>59</v>
      </c>
      <c r="BW28" s="117" t="s">
        <v>60</v>
      </c>
      <c r="BX28" s="117" t="s">
        <v>61</v>
      </c>
      <c r="BZ28" s="116" t="s">
        <v>38</v>
      </c>
      <c r="CA28" s="117" t="s">
        <v>50</v>
      </c>
      <c r="CB28" s="117" t="s">
        <v>51</v>
      </c>
      <c r="CC28" s="117" t="s">
        <v>52</v>
      </c>
      <c r="CD28" s="117" t="s">
        <v>53</v>
      </c>
      <c r="CE28" s="117" t="s">
        <v>54</v>
      </c>
      <c r="CF28" s="117" t="s">
        <v>92</v>
      </c>
      <c r="CG28" s="117" t="s">
        <v>93</v>
      </c>
      <c r="CH28" s="117" t="s">
        <v>94</v>
      </c>
      <c r="CI28" s="117" t="s">
        <v>58</v>
      </c>
      <c r="CJ28" s="117" t="s">
        <v>59</v>
      </c>
      <c r="CK28" s="117" t="s">
        <v>60</v>
      </c>
      <c r="CL28" s="117" t="s">
        <v>61</v>
      </c>
      <c r="CN28" s="116" t="s">
        <v>154</v>
      </c>
      <c r="CO28" s="117" t="s">
        <v>50</v>
      </c>
      <c r="CP28" s="117" t="s">
        <v>51</v>
      </c>
      <c r="CQ28" s="117" t="s">
        <v>52</v>
      </c>
      <c r="CR28" s="117" t="s">
        <v>53</v>
      </c>
      <c r="CS28" s="117" t="s">
        <v>54</v>
      </c>
      <c r="CT28" s="117" t="s">
        <v>92</v>
      </c>
      <c r="CU28" s="117" t="s">
        <v>93</v>
      </c>
      <c r="CV28" s="117" t="s">
        <v>94</v>
      </c>
      <c r="CW28" s="117" t="s">
        <v>58</v>
      </c>
      <c r="CX28" s="117" t="s">
        <v>59</v>
      </c>
      <c r="CY28" s="117" t="s">
        <v>60</v>
      </c>
      <c r="CZ28" s="117" t="s">
        <v>61</v>
      </c>
      <c r="DB28" s="116" t="s">
        <v>156</v>
      </c>
      <c r="DC28" s="117" t="s">
        <v>50</v>
      </c>
      <c r="DD28" s="117" t="s">
        <v>51</v>
      </c>
      <c r="DE28" s="117" t="s">
        <v>52</v>
      </c>
      <c r="DF28" s="117" t="s">
        <v>53</v>
      </c>
      <c r="DG28" s="117" t="s">
        <v>54</v>
      </c>
      <c r="DH28" s="117" t="s">
        <v>92</v>
      </c>
      <c r="DI28" s="117" t="s">
        <v>93</v>
      </c>
      <c r="DJ28" s="117" t="s">
        <v>94</v>
      </c>
      <c r="DK28" s="117" t="s">
        <v>58</v>
      </c>
      <c r="DL28" s="117" t="s">
        <v>59</v>
      </c>
      <c r="DM28" s="117" t="s">
        <v>60</v>
      </c>
      <c r="DN28" s="117" t="s">
        <v>61</v>
      </c>
      <c r="EE28" t="s">
        <v>73</v>
      </c>
      <c r="EF28">
        <v>46569854.479594603</v>
      </c>
      <c r="EG28" t="s">
        <v>74</v>
      </c>
      <c r="EH28">
        <v>7889713.9568650797</v>
      </c>
    </row>
    <row r="29" spans="1:139" x14ac:dyDescent="0.2">
      <c r="A29" s="9">
        <v>36982</v>
      </c>
      <c r="B29">
        <v>2001</v>
      </c>
      <c r="C29">
        <v>4</v>
      </c>
      <c r="D29" s="14">
        <v>7.3733333333333322</v>
      </c>
      <c r="E29" s="14">
        <v>378.8</v>
      </c>
      <c r="F29" s="14">
        <v>0</v>
      </c>
      <c r="G29" s="14">
        <v>318.8</v>
      </c>
      <c r="H29" s="14">
        <v>0</v>
      </c>
      <c r="I29" s="14">
        <v>258.8</v>
      </c>
      <c r="J29" s="14">
        <v>0</v>
      </c>
      <c r="K29" s="14">
        <v>201.60000000000002</v>
      </c>
      <c r="L29" s="14">
        <v>2.7999999999999989</v>
      </c>
      <c r="M29" s="14">
        <v>149.5</v>
      </c>
      <c r="N29" s="14">
        <v>10.7</v>
      </c>
      <c r="O29" s="14">
        <v>103</v>
      </c>
      <c r="P29" s="14">
        <v>24.2</v>
      </c>
      <c r="Q29" s="14">
        <v>59.999999999999993</v>
      </c>
      <c r="R29" s="14">
        <v>41.2</v>
      </c>
      <c r="U29">
        <v>2004</v>
      </c>
      <c r="V29" s="14">
        <f t="shared" ref="V29:AG38" si="72">SUMIFS($F:$F,$B:$B,$U29,$C:$C,V$2)</f>
        <v>0</v>
      </c>
      <c r="W29" s="14">
        <f t="shared" si="72"/>
        <v>0</v>
      </c>
      <c r="X29" s="14">
        <f t="shared" si="72"/>
        <v>0</v>
      </c>
      <c r="Y29" s="14">
        <f t="shared" si="72"/>
        <v>0</v>
      </c>
      <c r="Z29" s="14">
        <f t="shared" si="72"/>
        <v>0</v>
      </c>
      <c r="AA29" s="14">
        <f t="shared" si="72"/>
        <v>14.699999999999996</v>
      </c>
      <c r="AB29" s="14">
        <f t="shared" si="72"/>
        <v>33.400000000000006</v>
      </c>
      <c r="AC29" s="14">
        <f t="shared" si="72"/>
        <v>28.1</v>
      </c>
      <c r="AD29" s="14">
        <f t="shared" si="72"/>
        <v>22.5</v>
      </c>
      <c r="AE29" s="14">
        <f t="shared" si="72"/>
        <v>0</v>
      </c>
      <c r="AF29" s="14">
        <f t="shared" si="72"/>
        <v>0</v>
      </c>
      <c r="AG29" s="14">
        <f t="shared" si="72"/>
        <v>0</v>
      </c>
      <c r="AJ29">
        <v>2004</v>
      </c>
      <c r="AK29" s="14">
        <f t="shared" ref="AK29:AV38" si="73">SUMIFS($H:$H,$B:$B,$AJ29,$C:$C,AK$2)</f>
        <v>0</v>
      </c>
      <c r="AL29" s="14">
        <f t="shared" si="73"/>
        <v>0</v>
      </c>
      <c r="AM29" s="14">
        <f t="shared" si="73"/>
        <v>0</v>
      </c>
      <c r="AN29" s="14">
        <f t="shared" si="73"/>
        <v>0.69999999999999929</v>
      </c>
      <c r="AO29" s="14">
        <f t="shared" si="73"/>
        <v>0.89999999999999858</v>
      </c>
      <c r="AP29" s="14">
        <f t="shared" si="73"/>
        <v>31.599999999999998</v>
      </c>
      <c r="AQ29" s="14">
        <f t="shared" si="73"/>
        <v>75</v>
      </c>
      <c r="AR29" s="14">
        <f t="shared" si="73"/>
        <v>66</v>
      </c>
      <c r="AS29" s="14">
        <f t="shared" si="73"/>
        <v>55.199999999999989</v>
      </c>
      <c r="AT29" s="14">
        <f t="shared" si="73"/>
        <v>1.1999999999999993</v>
      </c>
      <c r="AU29" s="14">
        <f t="shared" si="73"/>
        <v>0</v>
      </c>
      <c r="AV29" s="14">
        <f t="shared" si="73"/>
        <v>0</v>
      </c>
      <c r="AW29" s="385">
        <f t="shared" ref="AW29:AW47" si="74">SUM(AK29:AV29)</f>
        <v>230.59999999999997</v>
      </c>
      <c r="AX29">
        <v>2004</v>
      </c>
      <c r="AY29" s="14">
        <f t="shared" ref="AY29:BJ38" si="75">SUMIFS($J:$J,$B:$B,$AX29,$C:$C,AY$2)</f>
        <v>0</v>
      </c>
      <c r="AZ29" s="14">
        <f t="shared" si="75"/>
        <v>0</v>
      </c>
      <c r="BA29" s="14">
        <f t="shared" si="75"/>
        <v>0</v>
      </c>
      <c r="BB29" s="14">
        <f t="shared" si="75"/>
        <v>3.0999999999999979</v>
      </c>
      <c r="BC29" s="14">
        <f t="shared" si="75"/>
        <v>5.0999999999999979</v>
      </c>
      <c r="BD29" s="14">
        <f t="shared" si="75"/>
        <v>64.000000000000014</v>
      </c>
      <c r="BE29" s="14">
        <f t="shared" si="75"/>
        <v>133.00000000000003</v>
      </c>
      <c r="BF29" s="14">
        <f t="shared" si="75"/>
        <v>123.00000000000001</v>
      </c>
      <c r="BG29" s="14">
        <f t="shared" si="75"/>
        <v>101.4</v>
      </c>
      <c r="BH29" s="14">
        <f t="shared" si="75"/>
        <v>5.8999999999999986</v>
      </c>
      <c r="BI29" s="14">
        <f t="shared" si="75"/>
        <v>0</v>
      </c>
      <c r="BJ29" s="14">
        <f t="shared" si="75"/>
        <v>0</v>
      </c>
      <c r="BL29">
        <v>2004</v>
      </c>
      <c r="BM29" s="14">
        <f t="shared" ref="BM29:BX38" si="76">SUMIFS($L:$L,$B:$B,$BL29,$C:$C,BM$2)</f>
        <v>0</v>
      </c>
      <c r="BN29" s="14">
        <f t="shared" si="76"/>
        <v>0</v>
      </c>
      <c r="BO29" s="14">
        <f t="shared" si="76"/>
        <v>0</v>
      </c>
      <c r="BP29" s="14">
        <f t="shared" si="76"/>
        <v>7.2999999999999972</v>
      </c>
      <c r="BQ29" s="14">
        <f t="shared" si="76"/>
        <v>20.399999999999999</v>
      </c>
      <c r="BR29" s="14">
        <f t="shared" si="76"/>
        <v>109.39999999999998</v>
      </c>
      <c r="BS29" s="14">
        <f t="shared" si="76"/>
        <v>194.99999999999997</v>
      </c>
      <c r="BT29" s="14">
        <f t="shared" si="76"/>
        <v>183.79999999999998</v>
      </c>
      <c r="BU29" s="14">
        <f t="shared" si="76"/>
        <v>153.79999999999995</v>
      </c>
      <c r="BV29" s="14">
        <f t="shared" si="76"/>
        <v>18.100000000000001</v>
      </c>
      <c r="BW29" s="14">
        <f t="shared" si="76"/>
        <v>0</v>
      </c>
      <c r="BX29" s="14">
        <f t="shared" si="76"/>
        <v>0</v>
      </c>
      <c r="BZ29">
        <v>2004</v>
      </c>
      <c r="CA29" s="14">
        <f>SUMIFS($N:$N,$B:$B,$BZ29,$C:$C,CA$2)</f>
        <v>0</v>
      </c>
      <c r="CB29" s="14">
        <f t="shared" ref="CB29:CL44" si="77">SUMIFS($N:$N,$B:$B,$BZ29,$C:$C,CB$2)</f>
        <v>0</v>
      </c>
      <c r="CC29" s="14">
        <f t="shared" si="77"/>
        <v>2</v>
      </c>
      <c r="CD29" s="14">
        <f t="shared" si="77"/>
        <v>14.199999999999996</v>
      </c>
      <c r="CE29" s="14">
        <f t="shared" si="77"/>
        <v>48.200000000000017</v>
      </c>
      <c r="CF29" s="14">
        <f t="shared" si="77"/>
        <v>164.79999999999998</v>
      </c>
      <c r="CG29" s="14">
        <f t="shared" si="77"/>
        <v>257</v>
      </c>
      <c r="CH29" s="14">
        <f t="shared" si="77"/>
        <v>245.79999999999998</v>
      </c>
      <c r="CI29" s="14">
        <f t="shared" si="77"/>
        <v>212.39999999999998</v>
      </c>
      <c r="CJ29" s="14">
        <f t="shared" si="77"/>
        <v>35.200000000000003</v>
      </c>
      <c r="CK29" s="14">
        <f t="shared" si="77"/>
        <v>0</v>
      </c>
      <c r="CL29" s="14">
        <f t="shared" si="77"/>
        <v>0</v>
      </c>
      <c r="CN29">
        <v>2004</v>
      </c>
      <c r="CO29" s="14">
        <f>SUMIFS($P:$P,$B:$B,$CN29,$C:$C,CO$2)</f>
        <v>0</v>
      </c>
      <c r="CP29" s="14">
        <f t="shared" ref="CP29:CZ29" si="78">SUMIFS($P:$P,$B:$B,$CN29,$C:$C,CP$2)</f>
        <v>0</v>
      </c>
      <c r="CQ29" s="14">
        <f t="shared" si="78"/>
        <v>5.6</v>
      </c>
      <c r="CR29" s="14">
        <f t="shared" si="78"/>
        <v>27.899999999999995</v>
      </c>
      <c r="CS29" s="14">
        <f t="shared" si="78"/>
        <v>91.399999999999991</v>
      </c>
      <c r="CT29" s="14">
        <f t="shared" si="78"/>
        <v>224</v>
      </c>
      <c r="CU29" s="14">
        <f t="shared" si="78"/>
        <v>319</v>
      </c>
      <c r="CV29" s="14">
        <f t="shared" si="78"/>
        <v>307.8</v>
      </c>
      <c r="CW29" s="14">
        <f t="shared" si="78"/>
        <v>272.40000000000003</v>
      </c>
      <c r="CX29" s="14">
        <f t="shared" si="78"/>
        <v>60.399999999999991</v>
      </c>
      <c r="CY29" s="14">
        <f t="shared" si="78"/>
        <v>3.0999999999999996</v>
      </c>
      <c r="CZ29" s="14">
        <f t="shared" si="78"/>
        <v>0</v>
      </c>
      <c r="DB29">
        <v>2004</v>
      </c>
      <c r="DC29" s="14">
        <f>SUMIFS($R:$R,$B:$B,$DB29,$C:$C,DC$2)</f>
        <v>1.4000000000000004</v>
      </c>
      <c r="DD29" s="14">
        <f t="shared" ref="DD29:DN29" si="79">SUMIFS($R:$R,$B:$B,$DB29,$C:$C,DD$2)</f>
        <v>0</v>
      </c>
      <c r="DE29" s="14">
        <f t="shared" si="79"/>
        <v>11.7</v>
      </c>
      <c r="DF29" s="14">
        <f t="shared" si="79"/>
        <v>44.099999999999994</v>
      </c>
      <c r="DG29" s="14">
        <f t="shared" si="79"/>
        <v>142.99999999999994</v>
      </c>
      <c r="DH29" s="14">
        <f t="shared" si="79"/>
        <v>284</v>
      </c>
      <c r="DI29" s="14">
        <f t="shared" si="79"/>
        <v>381</v>
      </c>
      <c r="DJ29" s="14">
        <f t="shared" si="79"/>
        <v>369.8</v>
      </c>
      <c r="DK29" s="14">
        <f t="shared" si="79"/>
        <v>332.40000000000003</v>
      </c>
      <c r="DL29" s="14">
        <f t="shared" si="79"/>
        <v>100.5</v>
      </c>
      <c r="DM29" s="14">
        <f t="shared" si="79"/>
        <v>15.7</v>
      </c>
      <c r="DN29" s="14">
        <f t="shared" si="79"/>
        <v>0.30000000000000071</v>
      </c>
    </row>
    <row r="30" spans="1:139" x14ac:dyDescent="0.2">
      <c r="A30" s="9">
        <v>37012</v>
      </c>
      <c r="B30">
        <v>2001</v>
      </c>
      <c r="C30">
        <v>5</v>
      </c>
      <c r="D30" s="14">
        <v>13.483870967741934</v>
      </c>
      <c r="E30" s="14">
        <v>206.50000000000003</v>
      </c>
      <c r="F30" s="14">
        <v>4.5</v>
      </c>
      <c r="G30" s="14">
        <v>149.69999999999999</v>
      </c>
      <c r="H30" s="14">
        <v>9.6999999999999993</v>
      </c>
      <c r="I30" s="14">
        <v>100.6</v>
      </c>
      <c r="J30" s="14">
        <v>22.599999999999998</v>
      </c>
      <c r="K30" s="14">
        <v>55</v>
      </c>
      <c r="L30" s="14">
        <v>39</v>
      </c>
      <c r="M30" s="14">
        <v>17.200000000000003</v>
      </c>
      <c r="N30" s="14">
        <v>63.199999999999989</v>
      </c>
      <c r="O30" s="14">
        <v>2.6000000000000014</v>
      </c>
      <c r="P30" s="14">
        <v>110.60000000000001</v>
      </c>
      <c r="Q30" s="14">
        <v>0</v>
      </c>
      <c r="R30" s="14">
        <v>169.99999999999994</v>
      </c>
      <c r="U30">
        <f>U29+1</f>
        <v>2005</v>
      </c>
      <c r="V30" s="14">
        <f t="shared" si="72"/>
        <v>0</v>
      </c>
      <c r="W30" s="14">
        <f t="shared" si="72"/>
        <v>0</v>
      </c>
      <c r="X30" s="14">
        <f t="shared" si="72"/>
        <v>0</v>
      </c>
      <c r="Y30" s="14">
        <f t="shared" si="72"/>
        <v>0</v>
      </c>
      <c r="Z30" s="14">
        <f t="shared" si="72"/>
        <v>0</v>
      </c>
      <c r="AA30" s="14">
        <f t="shared" si="72"/>
        <v>73.699999999999989</v>
      </c>
      <c r="AB30" s="14">
        <f t="shared" si="72"/>
        <v>113</v>
      </c>
      <c r="AC30" s="14">
        <f t="shared" si="72"/>
        <v>92.899999999999991</v>
      </c>
      <c r="AD30" s="14">
        <f t="shared" si="72"/>
        <v>32.9</v>
      </c>
      <c r="AE30" s="14">
        <f t="shared" si="72"/>
        <v>1.1000000000000014</v>
      </c>
      <c r="AF30" s="14">
        <f t="shared" si="72"/>
        <v>0</v>
      </c>
      <c r="AG30" s="14">
        <f t="shared" si="72"/>
        <v>0</v>
      </c>
      <c r="AJ30">
        <f>AJ29+1</f>
        <v>2005</v>
      </c>
      <c r="AK30" s="14">
        <f t="shared" si="73"/>
        <v>0</v>
      </c>
      <c r="AL30" s="14">
        <f t="shared" si="73"/>
        <v>0</v>
      </c>
      <c r="AM30" s="14">
        <f t="shared" si="73"/>
        <v>0</v>
      </c>
      <c r="AN30" s="14">
        <f t="shared" si="73"/>
        <v>0</v>
      </c>
      <c r="AO30" s="14">
        <f t="shared" si="73"/>
        <v>0</v>
      </c>
      <c r="AP30" s="14">
        <f t="shared" si="73"/>
        <v>113.8</v>
      </c>
      <c r="AQ30" s="14">
        <f t="shared" si="73"/>
        <v>170.79999999999998</v>
      </c>
      <c r="AR30" s="14">
        <f t="shared" si="73"/>
        <v>151.79999999999998</v>
      </c>
      <c r="AS30" s="14">
        <f t="shared" si="73"/>
        <v>74.599999999999994</v>
      </c>
      <c r="AT30" s="14">
        <f t="shared" si="73"/>
        <v>3.8000000000000007</v>
      </c>
      <c r="AU30" s="14">
        <f t="shared" si="73"/>
        <v>0</v>
      </c>
      <c r="AV30" s="14">
        <f t="shared" si="73"/>
        <v>0</v>
      </c>
      <c r="AW30" s="385">
        <f t="shared" si="74"/>
        <v>514.79999999999995</v>
      </c>
      <c r="AX30">
        <f>AX29+1</f>
        <v>2005</v>
      </c>
      <c r="AY30" s="14">
        <f t="shared" si="75"/>
        <v>0</v>
      </c>
      <c r="AZ30" s="14">
        <f t="shared" si="75"/>
        <v>0</v>
      </c>
      <c r="BA30" s="14">
        <f t="shared" si="75"/>
        <v>0</v>
      </c>
      <c r="BB30" s="14">
        <f t="shared" si="75"/>
        <v>0</v>
      </c>
      <c r="BC30" s="14">
        <f t="shared" si="75"/>
        <v>3.9000000000000021</v>
      </c>
      <c r="BD30" s="14">
        <f t="shared" si="75"/>
        <v>161.90000000000003</v>
      </c>
      <c r="BE30" s="14">
        <f t="shared" si="75"/>
        <v>231.29999999999998</v>
      </c>
      <c r="BF30" s="14">
        <f t="shared" si="75"/>
        <v>213.79999999999993</v>
      </c>
      <c r="BG30" s="14">
        <f t="shared" si="75"/>
        <v>126.7</v>
      </c>
      <c r="BH30" s="14">
        <f t="shared" si="75"/>
        <v>11.8</v>
      </c>
      <c r="BI30" s="14">
        <f t="shared" si="75"/>
        <v>0</v>
      </c>
      <c r="BJ30" s="14">
        <f t="shared" si="75"/>
        <v>0</v>
      </c>
      <c r="BL30">
        <f>BL29+1</f>
        <v>2005</v>
      </c>
      <c r="BM30" s="14">
        <f t="shared" si="76"/>
        <v>0</v>
      </c>
      <c r="BN30" s="14">
        <f t="shared" si="76"/>
        <v>0</v>
      </c>
      <c r="BO30" s="14">
        <f t="shared" si="76"/>
        <v>0</v>
      </c>
      <c r="BP30" s="14">
        <f t="shared" si="76"/>
        <v>1.4000000000000004</v>
      </c>
      <c r="BQ30" s="14">
        <f t="shared" si="76"/>
        <v>17.200000000000003</v>
      </c>
      <c r="BR30" s="14">
        <f t="shared" si="76"/>
        <v>220.2</v>
      </c>
      <c r="BS30" s="14">
        <f t="shared" si="76"/>
        <v>293.3</v>
      </c>
      <c r="BT30" s="14">
        <f t="shared" si="76"/>
        <v>275.79999999999995</v>
      </c>
      <c r="BU30" s="14">
        <f t="shared" si="76"/>
        <v>184.6</v>
      </c>
      <c r="BV30" s="14">
        <f t="shared" si="76"/>
        <v>21.900000000000002</v>
      </c>
      <c r="BW30" s="14">
        <f t="shared" si="76"/>
        <v>0.29999999999999893</v>
      </c>
      <c r="BX30" s="14">
        <f t="shared" si="76"/>
        <v>0</v>
      </c>
      <c r="BZ30">
        <f>BZ29+1</f>
        <v>2005</v>
      </c>
      <c r="CA30" s="14">
        <f t="shared" ref="CA30:CL49" si="80">SUMIFS($N:$N,$B:$B,$BZ30,$C:$C,CA$2)</f>
        <v>0</v>
      </c>
      <c r="CB30" s="14">
        <f t="shared" si="77"/>
        <v>0</v>
      </c>
      <c r="CC30" s="14">
        <f t="shared" si="77"/>
        <v>0</v>
      </c>
      <c r="CD30" s="14">
        <f t="shared" si="77"/>
        <v>4</v>
      </c>
      <c r="CE30" s="14">
        <f t="shared" si="77"/>
        <v>38</v>
      </c>
      <c r="CF30" s="14">
        <f t="shared" si="77"/>
        <v>280.20000000000005</v>
      </c>
      <c r="CG30" s="14">
        <f t="shared" si="77"/>
        <v>355.3</v>
      </c>
      <c r="CH30" s="14">
        <f t="shared" si="77"/>
        <v>337.8</v>
      </c>
      <c r="CI30" s="14">
        <f t="shared" si="77"/>
        <v>244.6</v>
      </c>
      <c r="CJ30" s="14">
        <f t="shared" si="77"/>
        <v>42.000000000000014</v>
      </c>
      <c r="CK30" s="14">
        <f t="shared" si="77"/>
        <v>7.6999999999999993</v>
      </c>
      <c r="CL30" s="14">
        <f t="shared" si="77"/>
        <v>0</v>
      </c>
      <c r="CN30">
        <f>CN29+1</f>
        <v>2005</v>
      </c>
      <c r="CO30" s="14">
        <f t="shared" ref="CO30:CZ49" si="81">SUMIFS($P:$P,$B:$B,$CN30,$C:$C,CO$2)</f>
        <v>0</v>
      </c>
      <c r="CP30" s="14">
        <f t="shared" si="81"/>
        <v>0</v>
      </c>
      <c r="CQ30" s="14">
        <f t="shared" si="81"/>
        <v>0</v>
      </c>
      <c r="CR30" s="14">
        <f t="shared" si="81"/>
        <v>12.5</v>
      </c>
      <c r="CS30" s="14">
        <f t="shared" si="81"/>
        <v>68.099999999999994</v>
      </c>
      <c r="CT30" s="14">
        <f t="shared" si="81"/>
        <v>340.20000000000005</v>
      </c>
      <c r="CU30" s="14">
        <f t="shared" si="81"/>
        <v>417.3</v>
      </c>
      <c r="CV30" s="14">
        <f t="shared" si="81"/>
        <v>399.8</v>
      </c>
      <c r="CW30" s="14">
        <f t="shared" si="81"/>
        <v>304.59999999999997</v>
      </c>
      <c r="CX30" s="14">
        <f t="shared" si="81"/>
        <v>79.100000000000009</v>
      </c>
      <c r="CY30" s="14">
        <f t="shared" si="81"/>
        <v>23.5</v>
      </c>
      <c r="CZ30" s="14">
        <f t="shared" si="81"/>
        <v>0</v>
      </c>
      <c r="DB30">
        <f>DB29+1</f>
        <v>2005</v>
      </c>
      <c r="DC30" s="14">
        <f t="shared" ref="DC30:DN48" si="82">SUMIFS($R:$R,$B:$B,$DB30,$C:$C,DC$2)</f>
        <v>1.6999999999999993</v>
      </c>
      <c r="DD30" s="14">
        <f t="shared" si="82"/>
        <v>0</v>
      </c>
      <c r="DE30" s="14">
        <f t="shared" si="82"/>
        <v>1.5999999999999996</v>
      </c>
      <c r="DF30" s="14">
        <f t="shared" si="82"/>
        <v>26.099999999999998</v>
      </c>
      <c r="DG30" s="14">
        <f t="shared" si="82"/>
        <v>112.19999999999999</v>
      </c>
      <c r="DH30" s="14">
        <f t="shared" si="82"/>
        <v>400.2</v>
      </c>
      <c r="DI30" s="14">
        <f t="shared" si="82"/>
        <v>479.3</v>
      </c>
      <c r="DJ30" s="14">
        <f t="shared" si="82"/>
        <v>461.8</v>
      </c>
      <c r="DK30" s="14">
        <f t="shared" si="82"/>
        <v>364.59999999999991</v>
      </c>
      <c r="DL30" s="14">
        <f t="shared" si="82"/>
        <v>123.09999999999998</v>
      </c>
      <c r="DM30" s="14">
        <f t="shared" si="82"/>
        <v>50.9</v>
      </c>
      <c r="DN30" s="14">
        <f t="shared" si="82"/>
        <v>0</v>
      </c>
    </row>
    <row r="31" spans="1:139" x14ac:dyDescent="0.2">
      <c r="A31" s="9">
        <v>37043</v>
      </c>
      <c r="B31">
        <v>2001</v>
      </c>
      <c r="C31">
        <v>6</v>
      </c>
      <c r="D31" s="14">
        <v>19.193333333333335</v>
      </c>
      <c r="E31" s="14">
        <v>64.700000000000017</v>
      </c>
      <c r="F31" s="14">
        <v>40.5</v>
      </c>
      <c r="G31" s="14">
        <v>35.4</v>
      </c>
      <c r="H31" s="14">
        <v>71.2</v>
      </c>
      <c r="I31" s="14">
        <v>16.7</v>
      </c>
      <c r="J31" s="14">
        <v>112.5</v>
      </c>
      <c r="K31" s="14">
        <v>5.6999999999999993</v>
      </c>
      <c r="L31" s="14">
        <v>161.50000000000003</v>
      </c>
      <c r="M31" s="14">
        <v>0.69999999999999929</v>
      </c>
      <c r="N31" s="14">
        <v>216.49999999999997</v>
      </c>
      <c r="O31" s="14">
        <v>0</v>
      </c>
      <c r="P31" s="14">
        <v>275.79999999999995</v>
      </c>
      <c r="Q31" s="14">
        <v>0</v>
      </c>
      <c r="R31" s="14">
        <v>335.79999999999995</v>
      </c>
      <c r="U31">
        <f t="shared" ref="U31:U51" si="83">U30+1</f>
        <v>2006</v>
      </c>
      <c r="V31" s="14">
        <f t="shared" si="72"/>
        <v>0</v>
      </c>
      <c r="W31" s="14">
        <f t="shared" si="72"/>
        <v>0</v>
      </c>
      <c r="X31" s="14">
        <f t="shared" si="72"/>
        <v>0</v>
      </c>
      <c r="Y31" s="14">
        <f t="shared" si="72"/>
        <v>0</v>
      </c>
      <c r="Z31" s="14">
        <f t="shared" si="72"/>
        <v>13</v>
      </c>
      <c r="AA31" s="14">
        <f t="shared" si="72"/>
        <v>32.9</v>
      </c>
      <c r="AB31" s="14">
        <f t="shared" si="72"/>
        <v>97.6</v>
      </c>
      <c r="AC31" s="14">
        <f t="shared" si="72"/>
        <v>56.8</v>
      </c>
      <c r="AD31" s="14">
        <f t="shared" si="72"/>
        <v>2.5</v>
      </c>
      <c r="AE31" s="14">
        <f t="shared" si="72"/>
        <v>0</v>
      </c>
      <c r="AF31" s="14">
        <f t="shared" si="72"/>
        <v>0</v>
      </c>
      <c r="AG31" s="14">
        <f t="shared" si="72"/>
        <v>0</v>
      </c>
      <c r="AJ31">
        <f t="shared" ref="AJ31:AJ51" si="84">AJ30+1</f>
        <v>2006</v>
      </c>
      <c r="AK31" s="14">
        <f t="shared" si="73"/>
        <v>0</v>
      </c>
      <c r="AL31" s="14">
        <f t="shared" si="73"/>
        <v>0</v>
      </c>
      <c r="AM31" s="14">
        <f t="shared" si="73"/>
        <v>0</v>
      </c>
      <c r="AN31" s="14">
        <f t="shared" si="73"/>
        <v>0</v>
      </c>
      <c r="AO31" s="14">
        <f t="shared" si="73"/>
        <v>19</v>
      </c>
      <c r="AP31" s="14">
        <f t="shared" si="73"/>
        <v>63.699999999999989</v>
      </c>
      <c r="AQ31" s="14">
        <f t="shared" si="73"/>
        <v>150.79999999999998</v>
      </c>
      <c r="AR31" s="14">
        <f t="shared" si="73"/>
        <v>106.29999999999998</v>
      </c>
      <c r="AS31" s="14">
        <f t="shared" si="73"/>
        <v>13.600000000000001</v>
      </c>
      <c r="AT31" s="14">
        <f t="shared" si="73"/>
        <v>0</v>
      </c>
      <c r="AU31" s="14">
        <f t="shared" si="73"/>
        <v>0</v>
      </c>
      <c r="AV31" s="14">
        <f t="shared" si="73"/>
        <v>0</v>
      </c>
      <c r="AW31" s="385">
        <f t="shared" si="74"/>
        <v>353.4</v>
      </c>
      <c r="AX31">
        <f t="shared" ref="AX31:AX51" si="85">AX30+1</f>
        <v>2006</v>
      </c>
      <c r="AY31" s="14">
        <f t="shared" si="75"/>
        <v>0</v>
      </c>
      <c r="AZ31" s="14">
        <f t="shared" si="75"/>
        <v>0</v>
      </c>
      <c r="BA31" s="14">
        <f t="shared" si="75"/>
        <v>0</v>
      </c>
      <c r="BB31" s="14">
        <f t="shared" si="75"/>
        <v>0</v>
      </c>
      <c r="BC31" s="14">
        <f t="shared" si="75"/>
        <v>26.900000000000002</v>
      </c>
      <c r="BD31" s="14">
        <f t="shared" si="75"/>
        <v>111.10000000000001</v>
      </c>
      <c r="BE31" s="14">
        <f t="shared" si="75"/>
        <v>212</v>
      </c>
      <c r="BF31" s="14">
        <f t="shared" si="75"/>
        <v>166.40000000000003</v>
      </c>
      <c r="BG31" s="14">
        <f t="shared" si="75"/>
        <v>40.900000000000006</v>
      </c>
      <c r="BH31" s="14">
        <f t="shared" si="75"/>
        <v>1.5</v>
      </c>
      <c r="BI31" s="14">
        <f t="shared" si="75"/>
        <v>0</v>
      </c>
      <c r="BJ31" s="14">
        <f t="shared" si="75"/>
        <v>0</v>
      </c>
      <c r="BL31">
        <f t="shared" ref="BL31:BL51" si="86">BL30+1</f>
        <v>2006</v>
      </c>
      <c r="BM31" s="14">
        <f t="shared" si="76"/>
        <v>0</v>
      </c>
      <c r="BN31" s="14">
        <f t="shared" si="76"/>
        <v>0</v>
      </c>
      <c r="BO31" s="14">
        <f t="shared" si="76"/>
        <v>0</v>
      </c>
      <c r="BP31" s="14">
        <f t="shared" si="76"/>
        <v>9.9999999999999645E-2</v>
      </c>
      <c r="BQ31" s="14">
        <f t="shared" si="76"/>
        <v>45</v>
      </c>
      <c r="BR31" s="14">
        <f t="shared" si="76"/>
        <v>165.2</v>
      </c>
      <c r="BS31" s="14">
        <f t="shared" si="76"/>
        <v>274</v>
      </c>
      <c r="BT31" s="14">
        <f t="shared" si="76"/>
        <v>228.40000000000003</v>
      </c>
      <c r="BU31" s="14">
        <f t="shared" si="76"/>
        <v>83.799999999999983</v>
      </c>
      <c r="BV31" s="14">
        <f t="shared" si="76"/>
        <v>9.3000000000000007</v>
      </c>
      <c r="BW31" s="14">
        <f t="shared" si="76"/>
        <v>0</v>
      </c>
      <c r="BX31" s="14">
        <f t="shared" si="76"/>
        <v>0</v>
      </c>
      <c r="BZ31">
        <f t="shared" ref="BZ31:BZ51" si="87">BZ30+1</f>
        <v>2006</v>
      </c>
      <c r="CA31" s="14">
        <f t="shared" si="80"/>
        <v>0</v>
      </c>
      <c r="CB31" s="14">
        <f t="shared" si="77"/>
        <v>0</v>
      </c>
      <c r="CC31" s="14">
        <f t="shared" si="77"/>
        <v>0</v>
      </c>
      <c r="CD31" s="14">
        <f t="shared" si="77"/>
        <v>2.4000000000000004</v>
      </c>
      <c r="CE31" s="14">
        <f t="shared" si="77"/>
        <v>71</v>
      </c>
      <c r="CF31" s="14">
        <f t="shared" si="77"/>
        <v>224.49999999999997</v>
      </c>
      <c r="CG31" s="14">
        <f t="shared" si="77"/>
        <v>335.99999999999994</v>
      </c>
      <c r="CH31" s="14">
        <f t="shared" si="77"/>
        <v>290.40000000000003</v>
      </c>
      <c r="CI31" s="14">
        <f t="shared" si="77"/>
        <v>135.99999999999997</v>
      </c>
      <c r="CJ31" s="14">
        <f t="shared" si="77"/>
        <v>26.3</v>
      </c>
      <c r="CK31" s="14">
        <f t="shared" si="77"/>
        <v>0</v>
      </c>
      <c r="CL31" s="14">
        <f t="shared" si="77"/>
        <v>0</v>
      </c>
      <c r="CN31">
        <f t="shared" ref="CN31:CN51" si="88">CN30+1</f>
        <v>2006</v>
      </c>
      <c r="CO31" s="14">
        <f t="shared" si="81"/>
        <v>0</v>
      </c>
      <c r="CP31" s="14">
        <f t="shared" si="81"/>
        <v>0</v>
      </c>
      <c r="CQ31" s="14">
        <f t="shared" si="81"/>
        <v>2</v>
      </c>
      <c r="CR31" s="14">
        <f t="shared" si="81"/>
        <v>10.8</v>
      </c>
      <c r="CS31" s="14">
        <f t="shared" si="81"/>
        <v>113.49999999999999</v>
      </c>
      <c r="CT31" s="14">
        <f t="shared" si="81"/>
        <v>284.49999999999994</v>
      </c>
      <c r="CU31" s="14">
        <f t="shared" si="81"/>
        <v>397.99999999999994</v>
      </c>
      <c r="CV31" s="14">
        <f t="shared" si="81"/>
        <v>352.40000000000003</v>
      </c>
      <c r="CW31" s="14">
        <f t="shared" si="81"/>
        <v>194.49999999999997</v>
      </c>
      <c r="CX31" s="14">
        <f t="shared" si="81"/>
        <v>50.000000000000014</v>
      </c>
      <c r="CY31" s="14">
        <f t="shared" si="81"/>
        <v>3</v>
      </c>
      <c r="CZ31" s="14">
        <f t="shared" si="81"/>
        <v>0</v>
      </c>
      <c r="DB31">
        <f t="shared" ref="DB31:DB51" si="89">DB30+1</f>
        <v>2006</v>
      </c>
      <c r="DC31" s="14">
        <f t="shared" si="82"/>
        <v>0</v>
      </c>
      <c r="DD31" s="14">
        <f t="shared" si="82"/>
        <v>0</v>
      </c>
      <c r="DE31" s="14">
        <f t="shared" si="82"/>
        <v>7</v>
      </c>
      <c r="DF31" s="14">
        <f t="shared" si="82"/>
        <v>28.299999999999997</v>
      </c>
      <c r="DG31" s="14">
        <f t="shared" si="82"/>
        <v>170.30000000000004</v>
      </c>
      <c r="DH31" s="14">
        <f t="shared" si="82"/>
        <v>344.49999999999994</v>
      </c>
      <c r="DI31" s="14">
        <f t="shared" si="82"/>
        <v>459.99999999999994</v>
      </c>
      <c r="DJ31" s="14">
        <f t="shared" si="82"/>
        <v>414.4</v>
      </c>
      <c r="DK31" s="14">
        <f t="shared" si="82"/>
        <v>254.5</v>
      </c>
      <c r="DL31" s="14">
        <f t="shared" si="82"/>
        <v>82.6</v>
      </c>
      <c r="DM31" s="14">
        <f t="shared" si="82"/>
        <v>14.899999999999999</v>
      </c>
      <c r="DN31" s="14">
        <f t="shared" si="82"/>
        <v>1.4999999999999982</v>
      </c>
    </row>
    <row r="32" spans="1:139" x14ac:dyDescent="0.2">
      <c r="A32" s="9">
        <v>37073</v>
      </c>
      <c r="B32">
        <v>2001</v>
      </c>
      <c r="C32">
        <v>7</v>
      </c>
      <c r="D32" s="14">
        <v>20.319354838709678</v>
      </c>
      <c r="E32" s="14">
        <v>31.500000000000004</v>
      </c>
      <c r="F32" s="14">
        <v>41.399999999999991</v>
      </c>
      <c r="G32" s="14">
        <v>6.4999999999999982</v>
      </c>
      <c r="H32" s="14">
        <v>78.399999999999991</v>
      </c>
      <c r="I32" s="14">
        <v>0.90000000000000036</v>
      </c>
      <c r="J32" s="14">
        <v>134.79999999999995</v>
      </c>
      <c r="K32" s="14">
        <v>0</v>
      </c>
      <c r="L32" s="14">
        <v>195.9</v>
      </c>
      <c r="M32" s="14">
        <v>0</v>
      </c>
      <c r="N32" s="14">
        <v>257.90000000000003</v>
      </c>
      <c r="O32" s="14">
        <v>0</v>
      </c>
      <c r="P32" s="14">
        <v>319.90000000000003</v>
      </c>
      <c r="Q32" s="14">
        <v>0</v>
      </c>
      <c r="R32" s="14">
        <v>381.90000000000003</v>
      </c>
      <c r="U32">
        <f t="shared" si="83"/>
        <v>2007</v>
      </c>
      <c r="V32" s="14">
        <f t="shared" si="72"/>
        <v>0</v>
      </c>
      <c r="W32" s="14">
        <f t="shared" si="72"/>
        <v>0</v>
      </c>
      <c r="X32" s="14">
        <f t="shared" si="72"/>
        <v>0</v>
      </c>
      <c r="Y32" s="14">
        <f t="shared" si="72"/>
        <v>0</v>
      </c>
      <c r="Z32" s="14">
        <f t="shared" si="72"/>
        <v>6.1999999999999993</v>
      </c>
      <c r="AA32" s="14">
        <f t="shared" si="72"/>
        <v>53.7</v>
      </c>
      <c r="AB32" s="14">
        <f t="shared" si="72"/>
        <v>40</v>
      </c>
      <c r="AC32" s="14">
        <f t="shared" si="72"/>
        <v>81.3</v>
      </c>
      <c r="AD32" s="14">
        <f t="shared" si="72"/>
        <v>25.700000000000003</v>
      </c>
      <c r="AE32" s="14">
        <f t="shared" si="72"/>
        <v>7.4999999999999964</v>
      </c>
      <c r="AF32" s="14">
        <f t="shared" si="72"/>
        <v>0</v>
      </c>
      <c r="AG32" s="14">
        <f t="shared" si="72"/>
        <v>0</v>
      </c>
      <c r="AJ32">
        <f t="shared" si="84"/>
        <v>2007</v>
      </c>
      <c r="AK32" s="14">
        <f t="shared" si="73"/>
        <v>0</v>
      </c>
      <c r="AL32" s="14">
        <f t="shared" si="73"/>
        <v>0</v>
      </c>
      <c r="AM32" s="14">
        <f t="shared" si="73"/>
        <v>0</v>
      </c>
      <c r="AN32" s="14">
        <f t="shared" si="73"/>
        <v>0</v>
      </c>
      <c r="AO32" s="14">
        <f t="shared" si="73"/>
        <v>14.599999999999998</v>
      </c>
      <c r="AP32" s="14">
        <f t="shared" si="73"/>
        <v>94.1</v>
      </c>
      <c r="AQ32" s="14">
        <f t="shared" si="73"/>
        <v>85.700000000000017</v>
      </c>
      <c r="AR32" s="14">
        <f t="shared" si="73"/>
        <v>132.1</v>
      </c>
      <c r="AS32" s="14">
        <f t="shared" si="73"/>
        <v>53.000000000000007</v>
      </c>
      <c r="AT32" s="14">
        <f t="shared" si="73"/>
        <v>22.1</v>
      </c>
      <c r="AU32" s="14">
        <f t="shared" si="73"/>
        <v>0</v>
      </c>
      <c r="AV32" s="14">
        <f t="shared" si="73"/>
        <v>0</v>
      </c>
      <c r="AW32" s="385">
        <f t="shared" si="74"/>
        <v>401.6</v>
      </c>
      <c r="AX32">
        <f t="shared" si="85"/>
        <v>2007</v>
      </c>
      <c r="AY32" s="14">
        <f t="shared" si="75"/>
        <v>0</v>
      </c>
      <c r="AZ32" s="14">
        <f t="shared" si="75"/>
        <v>0</v>
      </c>
      <c r="BA32" s="14">
        <f t="shared" si="75"/>
        <v>0</v>
      </c>
      <c r="BB32" s="14">
        <f t="shared" si="75"/>
        <v>1.6000000000000014</v>
      </c>
      <c r="BC32" s="14">
        <f t="shared" si="75"/>
        <v>27.9</v>
      </c>
      <c r="BD32" s="14">
        <f t="shared" si="75"/>
        <v>144</v>
      </c>
      <c r="BE32" s="14">
        <f t="shared" si="75"/>
        <v>146.1</v>
      </c>
      <c r="BF32" s="14">
        <f t="shared" si="75"/>
        <v>191.50000000000003</v>
      </c>
      <c r="BG32" s="14">
        <f t="shared" si="75"/>
        <v>94.199999999999989</v>
      </c>
      <c r="BH32" s="14">
        <f t="shared" si="75"/>
        <v>43.100000000000009</v>
      </c>
      <c r="BI32" s="14">
        <f t="shared" si="75"/>
        <v>0</v>
      </c>
      <c r="BJ32" s="14">
        <f t="shared" si="75"/>
        <v>0</v>
      </c>
      <c r="BL32">
        <f t="shared" si="86"/>
        <v>2007</v>
      </c>
      <c r="BM32" s="14">
        <f t="shared" si="76"/>
        <v>0</v>
      </c>
      <c r="BN32" s="14">
        <f t="shared" si="76"/>
        <v>0</v>
      </c>
      <c r="BO32" s="14">
        <f t="shared" si="76"/>
        <v>0</v>
      </c>
      <c r="BP32" s="14">
        <f t="shared" si="76"/>
        <v>5.9000000000000021</v>
      </c>
      <c r="BQ32" s="14">
        <f t="shared" si="76"/>
        <v>49.29999999999999</v>
      </c>
      <c r="BR32" s="14">
        <f t="shared" si="76"/>
        <v>200.50000000000003</v>
      </c>
      <c r="BS32" s="14">
        <f t="shared" si="76"/>
        <v>208.09999999999997</v>
      </c>
      <c r="BT32" s="14">
        <f t="shared" si="76"/>
        <v>253.50000000000006</v>
      </c>
      <c r="BU32" s="14">
        <f t="shared" si="76"/>
        <v>147.19999999999999</v>
      </c>
      <c r="BV32" s="14">
        <f t="shared" si="76"/>
        <v>68.900000000000006</v>
      </c>
      <c r="BW32" s="14">
        <f t="shared" si="76"/>
        <v>0</v>
      </c>
      <c r="BX32" s="14">
        <f t="shared" si="76"/>
        <v>0</v>
      </c>
      <c r="BZ32">
        <f t="shared" si="87"/>
        <v>2007</v>
      </c>
      <c r="CA32" s="14">
        <f t="shared" si="80"/>
        <v>0</v>
      </c>
      <c r="CB32" s="14">
        <f t="shared" si="77"/>
        <v>0</v>
      </c>
      <c r="CC32" s="14">
        <f t="shared" si="77"/>
        <v>0</v>
      </c>
      <c r="CD32" s="14">
        <f t="shared" si="77"/>
        <v>13.700000000000003</v>
      </c>
      <c r="CE32" s="14">
        <f t="shared" si="77"/>
        <v>77.800000000000011</v>
      </c>
      <c r="CF32" s="14">
        <f t="shared" si="77"/>
        <v>260.5</v>
      </c>
      <c r="CG32" s="14">
        <f t="shared" si="77"/>
        <v>270.09999999999997</v>
      </c>
      <c r="CH32" s="14">
        <f t="shared" si="77"/>
        <v>315.50000000000011</v>
      </c>
      <c r="CI32" s="14">
        <f t="shared" si="77"/>
        <v>204.6</v>
      </c>
      <c r="CJ32" s="14">
        <f t="shared" si="77"/>
        <v>106.19999999999999</v>
      </c>
      <c r="CK32" s="14">
        <f t="shared" si="77"/>
        <v>1.4000000000000004</v>
      </c>
      <c r="CL32" s="14">
        <f t="shared" si="77"/>
        <v>0</v>
      </c>
      <c r="CN32">
        <f t="shared" si="88"/>
        <v>2007</v>
      </c>
      <c r="CO32" s="14">
        <f t="shared" si="81"/>
        <v>0</v>
      </c>
      <c r="CP32" s="14">
        <f t="shared" si="81"/>
        <v>0</v>
      </c>
      <c r="CQ32" s="14">
        <f t="shared" si="81"/>
        <v>1.3000000000000007</v>
      </c>
      <c r="CR32" s="14">
        <f t="shared" si="81"/>
        <v>26.200000000000003</v>
      </c>
      <c r="CS32" s="14">
        <f t="shared" si="81"/>
        <v>115.30000000000001</v>
      </c>
      <c r="CT32" s="14">
        <f t="shared" si="81"/>
        <v>320.5</v>
      </c>
      <c r="CU32" s="14">
        <f t="shared" si="81"/>
        <v>332.09999999999997</v>
      </c>
      <c r="CV32" s="14">
        <f t="shared" si="81"/>
        <v>377.5</v>
      </c>
      <c r="CW32" s="14">
        <f t="shared" si="81"/>
        <v>263.89999999999998</v>
      </c>
      <c r="CX32" s="14">
        <f t="shared" si="81"/>
        <v>156.39999999999995</v>
      </c>
      <c r="CY32" s="14">
        <f t="shared" si="81"/>
        <v>3.6999999999999993</v>
      </c>
      <c r="CZ32" s="14">
        <f t="shared" si="81"/>
        <v>0</v>
      </c>
      <c r="DB32">
        <f t="shared" si="89"/>
        <v>2007</v>
      </c>
      <c r="DC32" s="14">
        <f t="shared" si="82"/>
        <v>1.2999999999999989</v>
      </c>
      <c r="DD32" s="14">
        <f t="shared" si="82"/>
        <v>0</v>
      </c>
      <c r="DE32" s="14">
        <f t="shared" si="82"/>
        <v>6.5000000000000018</v>
      </c>
      <c r="DF32" s="14">
        <f t="shared" si="82"/>
        <v>44.599999999999994</v>
      </c>
      <c r="DG32" s="14">
        <f t="shared" si="82"/>
        <v>166.89999999999998</v>
      </c>
      <c r="DH32" s="14">
        <f t="shared" si="82"/>
        <v>380.49999999999994</v>
      </c>
      <c r="DI32" s="14">
        <f t="shared" si="82"/>
        <v>394.09999999999997</v>
      </c>
      <c r="DJ32" s="14">
        <f t="shared" si="82"/>
        <v>439.5</v>
      </c>
      <c r="DK32" s="14">
        <f t="shared" si="82"/>
        <v>323.89999999999998</v>
      </c>
      <c r="DL32" s="14">
        <f t="shared" si="82"/>
        <v>214.79999999999995</v>
      </c>
      <c r="DM32" s="14">
        <f t="shared" si="82"/>
        <v>12.299999999999999</v>
      </c>
      <c r="DN32" s="14">
        <f t="shared" si="82"/>
        <v>0</v>
      </c>
      <c r="EE32" t="s">
        <v>534</v>
      </c>
    </row>
    <row r="33" spans="1:139" x14ac:dyDescent="0.2">
      <c r="A33" s="9">
        <v>37104</v>
      </c>
      <c r="B33">
        <v>2001</v>
      </c>
      <c r="C33">
        <v>8</v>
      </c>
      <c r="D33" s="14">
        <v>22.819354838709682</v>
      </c>
      <c r="E33" s="14">
        <v>3.6000000000000014</v>
      </c>
      <c r="F33" s="14">
        <v>91</v>
      </c>
      <c r="G33" s="14">
        <v>0</v>
      </c>
      <c r="H33" s="14">
        <v>149.39999999999998</v>
      </c>
      <c r="I33" s="14">
        <v>0</v>
      </c>
      <c r="J33" s="14">
        <v>211.39999999999998</v>
      </c>
      <c r="K33" s="14">
        <v>0</v>
      </c>
      <c r="L33" s="14">
        <v>273.39999999999998</v>
      </c>
      <c r="M33" s="14">
        <v>0</v>
      </c>
      <c r="N33" s="14">
        <v>335.4</v>
      </c>
      <c r="O33" s="14">
        <v>0</v>
      </c>
      <c r="P33" s="14">
        <v>397.4</v>
      </c>
      <c r="Q33" s="14">
        <v>0</v>
      </c>
      <c r="R33" s="14">
        <v>459.40000000000003</v>
      </c>
      <c r="U33">
        <f t="shared" si="83"/>
        <v>2008</v>
      </c>
      <c r="V33" s="14">
        <f t="shared" si="72"/>
        <v>0</v>
      </c>
      <c r="W33" s="14">
        <f t="shared" si="72"/>
        <v>0</v>
      </c>
      <c r="X33" s="14">
        <f t="shared" si="72"/>
        <v>0</v>
      </c>
      <c r="Y33" s="14">
        <f t="shared" si="72"/>
        <v>0</v>
      </c>
      <c r="Z33" s="14">
        <f t="shared" si="72"/>
        <v>0</v>
      </c>
      <c r="AA33" s="14">
        <f t="shared" si="72"/>
        <v>32.700000000000003</v>
      </c>
      <c r="AB33" s="14">
        <f t="shared" si="72"/>
        <v>63.599999999999994</v>
      </c>
      <c r="AC33" s="14">
        <f t="shared" si="72"/>
        <v>32.099999999999994</v>
      </c>
      <c r="AD33" s="14">
        <f t="shared" si="72"/>
        <v>15.800000000000004</v>
      </c>
      <c r="AE33" s="14">
        <f t="shared" si="72"/>
        <v>0</v>
      </c>
      <c r="AF33" s="14">
        <f t="shared" si="72"/>
        <v>0</v>
      </c>
      <c r="AG33" s="14">
        <f t="shared" si="72"/>
        <v>0</v>
      </c>
      <c r="AJ33">
        <f t="shared" si="84"/>
        <v>2008</v>
      </c>
      <c r="AK33" s="14">
        <f t="shared" si="73"/>
        <v>0</v>
      </c>
      <c r="AL33" s="14">
        <f t="shared" si="73"/>
        <v>0</v>
      </c>
      <c r="AM33" s="14">
        <f t="shared" si="73"/>
        <v>0</v>
      </c>
      <c r="AN33" s="14">
        <f t="shared" si="73"/>
        <v>0</v>
      </c>
      <c r="AO33" s="14">
        <f t="shared" si="73"/>
        <v>2.5</v>
      </c>
      <c r="AP33" s="14">
        <f t="shared" si="73"/>
        <v>67.7</v>
      </c>
      <c r="AQ33" s="14">
        <f t="shared" si="73"/>
        <v>114.70000000000002</v>
      </c>
      <c r="AR33" s="14">
        <f t="shared" si="73"/>
        <v>71.3</v>
      </c>
      <c r="AS33" s="14">
        <f t="shared" si="73"/>
        <v>34.6</v>
      </c>
      <c r="AT33" s="14">
        <f t="shared" si="73"/>
        <v>1.1000000000000014</v>
      </c>
      <c r="AU33" s="14">
        <f t="shared" si="73"/>
        <v>0</v>
      </c>
      <c r="AV33" s="14">
        <f t="shared" si="73"/>
        <v>0</v>
      </c>
      <c r="AW33" s="385">
        <f t="shared" si="74"/>
        <v>291.90000000000009</v>
      </c>
      <c r="AX33">
        <f t="shared" si="85"/>
        <v>2008</v>
      </c>
      <c r="AY33" s="14">
        <f t="shared" si="75"/>
        <v>0</v>
      </c>
      <c r="AZ33" s="14">
        <f t="shared" si="75"/>
        <v>0</v>
      </c>
      <c r="BA33" s="14">
        <f t="shared" si="75"/>
        <v>0</v>
      </c>
      <c r="BB33" s="14">
        <f t="shared" si="75"/>
        <v>0</v>
      </c>
      <c r="BC33" s="14">
        <f t="shared" si="75"/>
        <v>7</v>
      </c>
      <c r="BD33" s="14">
        <f t="shared" si="75"/>
        <v>109.80000000000001</v>
      </c>
      <c r="BE33" s="14">
        <f t="shared" si="75"/>
        <v>174.4</v>
      </c>
      <c r="BF33" s="14">
        <f t="shared" si="75"/>
        <v>126.19999999999997</v>
      </c>
      <c r="BG33" s="14">
        <f t="shared" si="75"/>
        <v>66.7</v>
      </c>
      <c r="BH33" s="14">
        <f t="shared" si="75"/>
        <v>3.2000000000000028</v>
      </c>
      <c r="BI33" s="14">
        <f t="shared" si="75"/>
        <v>0</v>
      </c>
      <c r="BJ33" s="14">
        <f t="shared" si="75"/>
        <v>0</v>
      </c>
      <c r="BL33">
        <f t="shared" si="86"/>
        <v>2008</v>
      </c>
      <c r="BM33" s="14">
        <f t="shared" si="76"/>
        <v>0</v>
      </c>
      <c r="BN33" s="14">
        <f t="shared" si="76"/>
        <v>0</v>
      </c>
      <c r="BO33" s="14">
        <f t="shared" si="76"/>
        <v>0</v>
      </c>
      <c r="BP33" s="14">
        <f t="shared" si="76"/>
        <v>0</v>
      </c>
      <c r="BQ33" s="14">
        <f t="shared" si="76"/>
        <v>16.200000000000003</v>
      </c>
      <c r="BR33" s="14">
        <f t="shared" si="76"/>
        <v>157.69999999999999</v>
      </c>
      <c r="BS33" s="14">
        <f t="shared" si="76"/>
        <v>236.4</v>
      </c>
      <c r="BT33" s="14">
        <f t="shared" si="76"/>
        <v>187.2</v>
      </c>
      <c r="BU33" s="14">
        <f t="shared" si="76"/>
        <v>117.99999999999996</v>
      </c>
      <c r="BV33" s="14">
        <f t="shared" si="76"/>
        <v>8.5000000000000036</v>
      </c>
      <c r="BW33" s="14">
        <f t="shared" si="76"/>
        <v>1.3000000000000007</v>
      </c>
      <c r="BX33" s="14">
        <f t="shared" si="76"/>
        <v>0</v>
      </c>
      <c r="BZ33">
        <f t="shared" si="87"/>
        <v>2008</v>
      </c>
      <c r="CA33" s="14">
        <f t="shared" si="80"/>
        <v>2.8000000000000007</v>
      </c>
      <c r="CB33" s="14">
        <f t="shared" si="77"/>
        <v>0</v>
      </c>
      <c r="CC33" s="14">
        <f t="shared" si="77"/>
        <v>0</v>
      </c>
      <c r="CD33" s="14">
        <f t="shared" si="77"/>
        <v>4.5</v>
      </c>
      <c r="CE33" s="14">
        <f t="shared" si="77"/>
        <v>38.299999999999997</v>
      </c>
      <c r="CF33" s="14">
        <f t="shared" si="77"/>
        <v>215.5</v>
      </c>
      <c r="CG33" s="14">
        <f t="shared" si="77"/>
        <v>298.40000000000003</v>
      </c>
      <c r="CH33" s="14">
        <f t="shared" si="77"/>
        <v>249.2</v>
      </c>
      <c r="CI33" s="14">
        <f t="shared" si="77"/>
        <v>178</v>
      </c>
      <c r="CJ33" s="14">
        <f t="shared" si="77"/>
        <v>23.800000000000004</v>
      </c>
      <c r="CK33" s="14">
        <f t="shared" si="77"/>
        <v>3.3000000000000007</v>
      </c>
      <c r="CL33" s="14">
        <f t="shared" si="77"/>
        <v>0</v>
      </c>
      <c r="CN33">
        <f t="shared" si="88"/>
        <v>2008</v>
      </c>
      <c r="CO33" s="14">
        <f t="shared" si="81"/>
        <v>6.8000000000000007</v>
      </c>
      <c r="CP33" s="14">
        <f t="shared" si="81"/>
        <v>0</v>
      </c>
      <c r="CQ33" s="14">
        <f t="shared" si="81"/>
        <v>0</v>
      </c>
      <c r="CR33" s="14">
        <f t="shared" si="81"/>
        <v>17.100000000000001</v>
      </c>
      <c r="CS33" s="14">
        <f t="shared" si="81"/>
        <v>74.7</v>
      </c>
      <c r="CT33" s="14">
        <f t="shared" si="81"/>
        <v>275.5</v>
      </c>
      <c r="CU33" s="14">
        <f t="shared" si="81"/>
        <v>360.40000000000003</v>
      </c>
      <c r="CV33" s="14">
        <f t="shared" si="81"/>
        <v>311.20000000000005</v>
      </c>
      <c r="CW33" s="14">
        <f t="shared" si="81"/>
        <v>238.00000000000003</v>
      </c>
      <c r="CX33" s="14">
        <f t="shared" si="81"/>
        <v>52.70000000000001</v>
      </c>
      <c r="CY33" s="14">
        <f t="shared" si="81"/>
        <v>10.9</v>
      </c>
      <c r="CZ33" s="14">
        <f t="shared" si="81"/>
        <v>0</v>
      </c>
      <c r="DB33">
        <f t="shared" si="89"/>
        <v>2008</v>
      </c>
      <c r="DC33" s="14">
        <f t="shared" si="82"/>
        <v>10.8</v>
      </c>
      <c r="DD33" s="14">
        <f t="shared" si="82"/>
        <v>0</v>
      </c>
      <c r="DE33" s="14">
        <f t="shared" si="82"/>
        <v>0</v>
      </c>
      <c r="DF33" s="14">
        <f t="shared" si="82"/>
        <v>40.499999999999993</v>
      </c>
      <c r="DG33" s="14">
        <f t="shared" si="82"/>
        <v>126.69999999999999</v>
      </c>
      <c r="DH33" s="14">
        <f t="shared" si="82"/>
        <v>335.5</v>
      </c>
      <c r="DI33" s="14">
        <f t="shared" si="82"/>
        <v>422.40000000000003</v>
      </c>
      <c r="DJ33" s="14">
        <f t="shared" si="82"/>
        <v>373.2</v>
      </c>
      <c r="DK33" s="14">
        <f t="shared" si="82"/>
        <v>298</v>
      </c>
      <c r="DL33" s="14">
        <f t="shared" si="82"/>
        <v>96.799999999999983</v>
      </c>
      <c r="DM33" s="14">
        <f t="shared" si="82"/>
        <v>22.699999999999996</v>
      </c>
      <c r="DN33" s="14">
        <f t="shared" si="82"/>
        <v>1.5</v>
      </c>
      <c r="EE33" t="s">
        <v>197</v>
      </c>
    </row>
    <row r="34" spans="1:139" x14ac:dyDescent="0.2">
      <c r="A34" s="9">
        <v>37135</v>
      </c>
      <c r="B34">
        <v>2001</v>
      </c>
      <c r="C34">
        <v>9</v>
      </c>
      <c r="D34" s="14">
        <v>17.316666666666666</v>
      </c>
      <c r="E34" s="14">
        <v>100.80000000000001</v>
      </c>
      <c r="F34" s="14">
        <v>20.299999999999997</v>
      </c>
      <c r="G34" s="14">
        <v>56.9</v>
      </c>
      <c r="H34" s="14">
        <v>36.399999999999991</v>
      </c>
      <c r="I34" s="14">
        <v>30.4</v>
      </c>
      <c r="J34" s="14">
        <v>69.900000000000006</v>
      </c>
      <c r="K34" s="14">
        <v>13.4</v>
      </c>
      <c r="L34" s="14">
        <v>112.9</v>
      </c>
      <c r="M34" s="14">
        <v>5.4</v>
      </c>
      <c r="N34" s="14">
        <v>164.89999999999998</v>
      </c>
      <c r="O34" s="14">
        <v>1.1999999999999993</v>
      </c>
      <c r="P34" s="14">
        <v>220.69999999999996</v>
      </c>
      <c r="Q34" s="14">
        <v>0</v>
      </c>
      <c r="R34" s="14">
        <v>279.5</v>
      </c>
      <c r="U34">
        <f t="shared" si="83"/>
        <v>2009</v>
      </c>
      <c r="V34" s="14">
        <f t="shared" si="72"/>
        <v>0</v>
      </c>
      <c r="W34" s="14">
        <f t="shared" si="72"/>
        <v>0</v>
      </c>
      <c r="X34" s="14">
        <f t="shared" si="72"/>
        <v>0</v>
      </c>
      <c r="Y34" s="14">
        <f t="shared" si="72"/>
        <v>0</v>
      </c>
      <c r="Z34" s="14">
        <f t="shared" si="72"/>
        <v>1.3000000000000007</v>
      </c>
      <c r="AA34" s="14">
        <f t="shared" si="72"/>
        <v>19.599999999999994</v>
      </c>
      <c r="AB34" s="14">
        <f t="shared" si="72"/>
        <v>16.600000000000001</v>
      </c>
      <c r="AC34" s="14">
        <f t="shared" si="72"/>
        <v>59.500000000000007</v>
      </c>
      <c r="AD34" s="14">
        <f t="shared" si="72"/>
        <v>6.4999999999999964</v>
      </c>
      <c r="AE34" s="14">
        <f t="shared" si="72"/>
        <v>0</v>
      </c>
      <c r="AF34" s="14">
        <f t="shared" si="72"/>
        <v>0</v>
      </c>
      <c r="AG34" s="14">
        <f t="shared" si="72"/>
        <v>0</v>
      </c>
      <c r="AJ34">
        <f t="shared" si="84"/>
        <v>2009</v>
      </c>
      <c r="AK34" s="14">
        <f t="shared" si="73"/>
        <v>0</v>
      </c>
      <c r="AL34" s="14">
        <f t="shared" si="73"/>
        <v>0</v>
      </c>
      <c r="AM34" s="14">
        <f t="shared" si="73"/>
        <v>0</v>
      </c>
      <c r="AN34" s="14">
        <f t="shared" si="73"/>
        <v>0</v>
      </c>
      <c r="AO34" s="14">
        <f t="shared" si="73"/>
        <v>5.4000000000000021</v>
      </c>
      <c r="AP34" s="14">
        <f t="shared" si="73"/>
        <v>42.5</v>
      </c>
      <c r="AQ34" s="14">
        <f t="shared" si="73"/>
        <v>47.8</v>
      </c>
      <c r="AR34" s="14">
        <f t="shared" si="73"/>
        <v>107</v>
      </c>
      <c r="AS34" s="14">
        <f t="shared" si="73"/>
        <v>25.9</v>
      </c>
      <c r="AT34" s="14">
        <f t="shared" si="73"/>
        <v>0</v>
      </c>
      <c r="AU34" s="14">
        <f t="shared" si="73"/>
        <v>0</v>
      </c>
      <c r="AV34" s="14">
        <f t="shared" si="73"/>
        <v>0</v>
      </c>
      <c r="AW34" s="385">
        <f t="shared" si="74"/>
        <v>228.6</v>
      </c>
      <c r="AX34">
        <f t="shared" si="85"/>
        <v>2009</v>
      </c>
      <c r="AY34" s="14">
        <f t="shared" si="75"/>
        <v>0</v>
      </c>
      <c r="AZ34" s="14">
        <f t="shared" si="75"/>
        <v>0</v>
      </c>
      <c r="BA34" s="14">
        <f t="shared" si="75"/>
        <v>0</v>
      </c>
      <c r="BB34" s="14">
        <f t="shared" si="75"/>
        <v>1.1000000000000014</v>
      </c>
      <c r="BC34" s="14">
        <f t="shared" si="75"/>
        <v>12.700000000000003</v>
      </c>
      <c r="BD34" s="14">
        <f t="shared" si="75"/>
        <v>72.800000000000011</v>
      </c>
      <c r="BE34" s="14">
        <f t="shared" si="75"/>
        <v>100.39999999999998</v>
      </c>
      <c r="BF34" s="14">
        <f t="shared" si="75"/>
        <v>164.2</v>
      </c>
      <c r="BG34" s="14">
        <f t="shared" si="75"/>
        <v>62.400000000000006</v>
      </c>
      <c r="BH34" s="14">
        <f t="shared" si="75"/>
        <v>0</v>
      </c>
      <c r="BI34" s="14">
        <f t="shared" si="75"/>
        <v>0</v>
      </c>
      <c r="BJ34" s="14">
        <f t="shared" si="75"/>
        <v>0</v>
      </c>
      <c r="BL34">
        <f t="shared" si="86"/>
        <v>2009</v>
      </c>
      <c r="BM34" s="14">
        <f t="shared" si="76"/>
        <v>0</v>
      </c>
      <c r="BN34" s="14">
        <f t="shared" si="76"/>
        <v>0</v>
      </c>
      <c r="BO34" s="14">
        <f t="shared" si="76"/>
        <v>0</v>
      </c>
      <c r="BP34" s="14">
        <f t="shared" si="76"/>
        <v>5.0000000000000018</v>
      </c>
      <c r="BQ34" s="14">
        <f t="shared" si="76"/>
        <v>26.000000000000004</v>
      </c>
      <c r="BR34" s="14">
        <f t="shared" si="76"/>
        <v>112.60000000000002</v>
      </c>
      <c r="BS34" s="14">
        <f t="shared" si="76"/>
        <v>162.30000000000004</v>
      </c>
      <c r="BT34" s="14">
        <f t="shared" si="76"/>
        <v>226.19999999999996</v>
      </c>
      <c r="BU34" s="14">
        <f t="shared" si="76"/>
        <v>111.20000000000003</v>
      </c>
      <c r="BV34" s="14">
        <f t="shared" si="76"/>
        <v>0.89999999999999858</v>
      </c>
      <c r="BW34" s="14">
        <f t="shared" si="76"/>
        <v>0</v>
      </c>
      <c r="BX34" s="14">
        <f t="shared" si="76"/>
        <v>0</v>
      </c>
      <c r="BZ34">
        <f t="shared" si="87"/>
        <v>2009</v>
      </c>
      <c r="CA34" s="14">
        <f t="shared" si="80"/>
        <v>0</v>
      </c>
      <c r="CB34" s="14">
        <f t="shared" si="77"/>
        <v>0</v>
      </c>
      <c r="CC34" s="14">
        <f t="shared" si="77"/>
        <v>0</v>
      </c>
      <c r="CD34" s="14">
        <f t="shared" si="77"/>
        <v>11.9</v>
      </c>
      <c r="CE34" s="14">
        <f t="shared" si="77"/>
        <v>53.7</v>
      </c>
      <c r="CF34" s="14">
        <f t="shared" si="77"/>
        <v>164.20000000000002</v>
      </c>
      <c r="CG34" s="14">
        <f t="shared" si="77"/>
        <v>224.3</v>
      </c>
      <c r="CH34" s="14">
        <f t="shared" si="77"/>
        <v>288.2</v>
      </c>
      <c r="CI34" s="14">
        <f t="shared" si="77"/>
        <v>167.79999999999995</v>
      </c>
      <c r="CJ34" s="14">
        <f t="shared" si="77"/>
        <v>9.5999999999999979</v>
      </c>
      <c r="CK34" s="14">
        <f t="shared" si="77"/>
        <v>1.5</v>
      </c>
      <c r="CL34" s="14">
        <f t="shared" si="77"/>
        <v>0</v>
      </c>
      <c r="CN34">
        <f t="shared" si="88"/>
        <v>2009</v>
      </c>
      <c r="CO34" s="14">
        <f t="shared" si="81"/>
        <v>0</v>
      </c>
      <c r="CP34" s="14">
        <f t="shared" si="81"/>
        <v>0</v>
      </c>
      <c r="CQ34" s="14">
        <f t="shared" si="81"/>
        <v>0.90000000000000036</v>
      </c>
      <c r="CR34" s="14">
        <f t="shared" si="81"/>
        <v>24.700000000000003</v>
      </c>
      <c r="CS34" s="14">
        <f t="shared" si="81"/>
        <v>92.499999999999986</v>
      </c>
      <c r="CT34" s="14">
        <f t="shared" si="81"/>
        <v>223.3</v>
      </c>
      <c r="CU34" s="14">
        <f t="shared" si="81"/>
        <v>286.3</v>
      </c>
      <c r="CV34" s="14">
        <f t="shared" si="81"/>
        <v>350.20000000000005</v>
      </c>
      <c r="CW34" s="14">
        <f t="shared" si="81"/>
        <v>225.79999999999995</v>
      </c>
      <c r="CX34" s="14">
        <f t="shared" si="81"/>
        <v>35.600000000000009</v>
      </c>
      <c r="CY34" s="14">
        <f t="shared" si="81"/>
        <v>5.4</v>
      </c>
      <c r="CZ34" s="14">
        <f t="shared" si="81"/>
        <v>0</v>
      </c>
      <c r="DB34">
        <f t="shared" si="89"/>
        <v>2009</v>
      </c>
      <c r="DC34" s="14">
        <f t="shared" si="82"/>
        <v>0</v>
      </c>
      <c r="DD34" s="14">
        <f t="shared" si="82"/>
        <v>0</v>
      </c>
      <c r="DE34" s="14">
        <f t="shared" si="82"/>
        <v>4.5</v>
      </c>
      <c r="DF34" s="14">
        <f t="shared" si="82"/>
        <v>39.5</v>
      </c>
      <c r="DG34" s="14">
        <f t="shared" si="82"/>
        <v>147.39999999999995</v>
      </c>
      <c r="DH34" s="14">
        <f t="shared" si="82"/>
        <v>283.29999999999995</v>
      </c>
      <c r="DI34" s="14">
        <f t="shared" si="82"/>
        <v>348.3</v>
      </c>
      <c r="DJ34" s="14">
        <f t="shared" si="82"/>
        <v>412.20000000000005</v>
      </c>
      <c r="DK34" s="14">
        <f t="shared" si="82"/>
        <v>285.39999999999998</v>
      </c>
      <c r="DL34" s="14">
        <f t="shared" si="82"/>
        <v>76.8</v>
      </c>
      <c r="DM34" s="14">
        <f t="shared" si="82"/>
        <v>16.399999999999999</v>
      </c>
      <c r="DN34" s="14">
        <f t="shared" si="82"/>
        <v>0.30000000000000071</v>
      </c>
      <c r="EE34" t="s">
        <v>535</v>
      </c>
    </row>
    <row r="35" spans="1:139" x14ac:dyDescent="0.2">
      <c r="A35" s="9">
        <v>37165</v>
      </c>
      <c r="B35">
        <v>2001</v>
      </c>
      <c r="C35">
        <v>10</v>
      </c>
      <c r="D35" s="14">
        <v>11.56451612903226</v>
      </c>
      <c r="E35" s="14">
        <v>261.90000000000003</v>
      </c>
      <c r="F35" s="14">
        <v>0.39999999999999858</v>
      </c>
      <c r="G35" s="14">
        <v>202.4</v>
      </c>
      <c r="H35" s="14">
        <v>2.8999999999999986</v>
      </c>
      <c r="I35" s="14">
        <v>148.10000000000002</v>
      </c>
      <c r="J35" s="14">
        <v>10.599999999999998</v>
      </c>
      <c r="K35" s="14">
        <v>102.9</v>
      </c>
      <c r="L35" s="14">
        <v>27.4</v>
      </c>
      <c r="M35" s="14">
        <v>65.800000000000011</v>
      </c>
      <c r="N35" s="14">
        <v>52.29999999999999</v>
      </c>
      <c r="O35" s="14">
        <v>37.299999999999997</v>
      </c>
      <c r="P35" s="14">
        <v>85.8</v>
      </c>
      <c r="Q35" s="14">
        <v>15.3</v>
      </c>
      <c r="R35" s="14">
        <v>125.8</v>
      </c>
      <c r="U35">
        <f t="shared" si="83"/>
        <v>2010</v>
      </c>
      <c r="V35" s="14">
        <f t="shared" si="72"/>
        <v>0</v>
      </c>
      <c r="W35" s="14">
        <f t="shared" si="72"/>
        <v>0</v>
      </c>
      <c r="X35" s="14">
        <f t="shared" si="72"/>
        <v>0</v>
      </c>
      <c r="Y35" s="14">
        <f t="shared" si="72"/>
        <v>0</v>
      </c>
      <c r="Z35" s="14">
        <f t="shared" si="72"/>
        <v>9.600000000000005</v>
      </c>
      <c r="AA35" s="14">
        <f t="shared" si="72"/>
        <v>28.699999999999996</v>
      </c>
      <c r="AB35" s="14">
        <f t="shared" si="72"/>
        <v>112</v>
      </c>
      <c r="AC35" s="14">
        <f t="shared" si="72"/>
        <v>89.800000000000011</v>
      </c>
      <c r="AD35" s="14">
        <f t="shared" si="72"/>
        <v>22.5</v>
      </c>
      <c r="AE35" s="14">
        <f t="shared" si="72"/>
        <v>0</v>
      </c>
      <c r="AF35" s="14">
        <f t="shared" si="72"/>
        <v>0</v>
      </c>
      <c r="AG35" s="14">
        <f t="shared" si="72"/>
        <v>0</v>
      </c>
      <c r="AJ35">
        <f t="shared" si="84"/>
        <v>2010</v>
      </c>
      <c r="AK35" s="14">
        <f t="shared" si="73"/>
        <v>0</v>
      </c>
      <c r="AL35" s="14">
        <f t="shared" si="73"/>
        <v>0</v>
      </c>
      <c r="AM35" s="14">
        <f t="shared" si="73"/>
        <v>0</v>
      </c>
      <c r="AN35" s="14">
        <f t="shared" si="73"/>
        <v>0</v>
      </c>
      <c r="AO35" s="14">
        <f t="shared" si="73"/>
        <v>24.800000000000004</v>
      </c>
      <c r="AP35" s="14">
        <f t="shared" si="73"/>
        <v>61.399999999999991</v>
      </c>
      <c r="AQ35" s="14">
        <f t="shared" si="73"/>
        <v>168.40000000000003</v>
      </c>
      <c r="AR35" s="14">
        <f t="shared" si="73"/>
        <v>145.69999999999996</v>
      </c>
      <c r="AS35" s="14">
        <f t="shared" si="73"/>
        <v>36.1</v>
      </c>
      <c r="AT35" s="14">
        <f t="shared" si="73"/>
        <v>0.19999999999999929</v>
      </c>
      <c r="AU35" s="14">
        <f t="shared" si="73"/>
        <v>0</v>
      </c>
      <c r="AV35" s="14">
        <f t="shared" si="73"/>
        <v>0</v>
      </c>
      <c r="AW35" s="385">
        <f t="shared" si="74"/>
        <v>436.59999999999997</v>
      </c>
      <c r="AX35">
        <f t="shared" si="85"/>
        <v>2010</v>
      </c>
      <c r="AY35" s="14">
        <f t="shared" si="75"/>
        <v>0</v>
      </c>
      <c r="AZ35" s="14">
        <f t="shared" si="75"/>
        <v>0</v>
      </c>
      <c r="BA35" s="14">
        <f t="shared" si="75"/>
        <v>0</v>
      </c>
      <c r="BB35" s="14">
        <f t="shared" si="75"/>
        <v>0</v>
      </c>
      <c r="BC35" s="14">
        <f t="shared" si="75"/>
        <v>46.8</v>
      </c>
      <c r="BD35" s="14">
        <f t="shared" si="75"/>
        <v>105</v>
      </c>
      <c r="BE35" s="14">
        <f t="shared" si="75"/>
        <v>229.8</v>
      </c>
      <c r="BF35" s="14">
        <f t="shared" si="75"/>
        <v>207.7</v>
      </c>
      <c r="BG35" s="14">
        <f t="shared" si="75"/>
        <v>56.8</v>
      </c>
      <c r="BH35" s="14">
        <f t="shared" si="75"/>
        <v>3.4000000000000021</v>
      </c>
      <c r="BI35" s="14">
        <f t="shared" si="75"/>
        <v>0</v>
      </c>
      <c r="BJ35" s="14">
        <f t="shared" si="75"/>
        <v>0</v>
      </c>
      <c r="BL35">
        <f t="shared" si="86"/>
        <v>2010</v>
      </c>
      <c r="BM35" s="14">
        <f t="shared" si="76"/>
        <v>0</v>
      </c>
      <c r="BN35" s="14">
        <f t="shared" si="76"/>
        <v>0</v>
      </c>
      <c r="BO35" s="14">
        <f t="shared" si="76"/>
        <v>0</v>
      </c>
      <c r="BP35" s="14">
        <f t="shared" si="76"/>
        <v>1.4000000000000004</v>
      </c>
      <c r="BQ35" s="14">
        <f t="shared" si="76"/>
        <v>76.900000000000006</v>
      </c>
      <c r="BR35" s="14">
        <f t="shared" si="76"/>
        <v>161.1</v>
      </c>
      <c r="BS35" s="14">
        <f t="shared" si="76"/>
        <v>291.7999999999999</v>
      </c>
      <c r="BT35" s="14">
        <f t="shared" si="76"/>
        <v>269.7</v>
      </c>
      <c r="BU35" s="14">
        <f t="shared" si="76"/>
        <v>94.4</v>
      </c>
      <c r="BV35" s="14">
        <f t="shared" si="76"/>
        <v>13.500000000000002</v>
      </c>
      <c r="BW35" s="14">
        <f t="shared" si="76"/>
        <v>0</v>
      </c>
      <c r="BX35" s="14">
        <f t="shared" si="76"/>
        <v>0</v>
      </c>
      <c r="BZ35">
        <f t="shared" si="87"/>
        <v>2010</v>
      </c>
      <c r="CA35" s="14">
        <f t="shared" si="80"/>
        <v>0</v>
      </c>
      <c r="CB35" s="14">
        <f t="shared" si="77"/>
        <v>0</v>
      </c>
      <c r="CC35" s="14">
        <f t="shared" si="77"/>
        <v>0</v>
      </c>
      <c r="CD35" s="14">
        <f t="shared" si="77"/>
        <v>9.6</v>
      </c>
      <c r="CE35" s="14">
        <f t="shared" si="77"/>
        <v>115.5</v>
      </c>
      <c r="CF35" s="14">
        <f t="shared" si="77"/>
        <v>221.10000000000002</v>
      </c>
      <c r="CG35" s="14">
        <f t="shared" si="77"/>
        <v>353.7999999999999</v>
      </c>
      <c r="CH35" s="14">
        <f t="shared" si="77"/>
        <v>331.7</v>
      </c>
      <c r="CI35" s="14">
        <f t="shared" si="77"/>
        <v>148.70000000000002</v>
      </c>
      <c r="CJ35" s="14">
        <f t="shared" si="77"/>
        <v>30.5</v>
      </c>
      <c r="CK35" s="14">
        <f t="shared" si="77"/>
        <v>0.59999999999999964</v>
      </c>
      <c r="CL35" s="14">
        <f t="shared" si="77"/>
        <v>0</v>
      </c>
      <c r="CN35">
        <f t="shared" si="88"/>
        <v>2010</v>
      </c>
      <c r="CO35" s="14">
        <f t="shared" si="81"/>
        <v>0</v>
      </c>
      <c r="CP35" s="14">
        <f t="shared" si="81"/>
        <v>0</v>
      </c>
      <c r="CQ35" s="14">
        <f t="shared" si="81"/>
        <v>2.3000000000000007</v>
      </c>
      <c r="CR35" s="14">
        <f t="shared" si="81"/>
        <v>30.900000000000006</v>
      </c>
      <c r="CS35" s="14">
        <f t="shared" si="81"/>
        <v>161</v>
      </c>
      <c r="CT35" s="14">
        <f t="shared" si="81"/>
        <v>281.09999999999997</v>
      </c>
      <c r="CU35" s="14">
        <f t="shared" si="81"/>
        <v>415.7999999999999</v>
      </c>
      <c r="CV35" s="14">
        <f t="shared" si="81"/>
        <v>393.70000000000005</v>
      </c>
      <c r="CW35" s="14">
        <f t="shared" si="81"/>
        <v>208.60000000000002</v>
      </c>
      <c r="CX35" s="14">
        <f t="shared" si="81"/>
        <v>64.3</v>
      </c>
      <c r="CY35" s="14">
        <f t="shared" si="81"/>
        <v>2.9000000000000004</v>
      </c>
      <c r="CZ35" s="14">
        <f t="shared" si="81"/>
        <v>0</v>
      </c>
      <c r="DB35">
        <f t="shared" si="89"/>
        <v>2010</v>
      </c>
      <c r="DC35" s="14">
        <f t="shared" si="82"/>
        <v>0</v>
      </c>
      <c r="DD35" s="14">
        <f t="shared" si="82"/>
        <v>0</v>
      </c>
      <c r="DE35" s="14">
        <f t="shared" si="82"/>
        <v>10.5</v>
      </c>
      <c r="DF35" s="14">
        <f t="shared" si="82"/>
        <v>62.500000000000007</v>
      </c>
      <c r="DG35" s="14">
        <f t="shared" si="82"/>
        <v>209</v>
      </c>
      <c r="DH35" s="14">
        <f t="shared" si="82"/>
        <v>341.09999999999997</v>
      </c>
      <c r="DI35" s="14">
        <f t="shared" si="82"/>
        <v>477.7999999999999</v>
      </c>
      <c r="DJ35" s="14">
        <f t="shared" si="82"/>
        <v>455.7</v>
      </c>
      <c r="DK35" s="14">
        <f t="shared" si="82"/>
        <v>268.59999999999997</v>
      </c>
      <c r="DL35" s="14">
        <f t="shared" si="82"/>
        <v>116.20000000000002</v>
      </c>
      <c r="DM35" s="14">
        <f t="shared" si="82"/>
        <v>8.9</v>
      </c>
      <c r="DN35" s="14">
        <f t="shared" si="82"/>
        <v>0.30000000000000071</v>
      </c>
    </row>
    <row r="36" spans="1:139" x14ac:dyDescent="0.2">
      <c r="A36" s="9">
        <v>37196</v>
      </c>
      <c r="B36">
        <v>2001</v>
      </c>
      <c r="C36">
        <v>11</v>
      </c>
      <c r="D36" s="14">
        <v>8.3633333333333333</v>
      </c>
      <c r="E36" s="14">
        <v>349.1</v>
      </c>
      <c r="F36" s="14">
        <v>0</v>
      </c>
      <c r="G36" s="14">
        <v>289.10000000000002</v>
      </c>
      <c r="H36" s="14">
        <v>0</v>
      </c>
      <c r="I36" s="14">
        <v>229.1</v>
      </c>
      <c r="J36" s="14">
        <v>0</v>
      </c>
      <c r="K36" s="14">
        <v>170.4</v>
      </c>
      <c r="L36" s="14">
        <v>1.3000000000000007</v>
      </c>
      <c r="M36" s="14">
        <v>116.79999999999998</v>
      </c>
      <c r="N36" s="14">
        <v>7.7000000000000011</v>
      </c>
      <c r="O36" s="14">
        <v>69.100000000000009</v>
      </c>
      <c r="P36" s="14">
        <v>20</v>
      </c>
      <c r="Q36" s="14">
        <v>34</v>
      </c>
      <c r="R36" s="14">
        <v>44.899999999999991</v>
      </c>
      <c r="U36">
        <f t="shared" si="83"/>
        <v>2011</v>
      </c>
      <c r="V36" s="14">
        <f t="shared" si="72"/>
        <v>0</v>
      </c>
      <c r="W36" s="14">
        <f t="shared" si="72"/>
        <v>0</v>
      </c>
      <c r="X36" s="14">
        <f t="shared" si="72"/>
        <v>0</v>
      </c>
      <c r="Y36" s="14">
        <f t="shared" si="72"/>
        <v>0</v>
      </c>
      <c r="Z36" s="14">
        <f t="shared" si="72"/>
        <v>2.6999999999999993</v>
      </c>
      <c r="AA36" s="14">
        <f t="shared" si="72"/>
        <v>12.799999999999997</v>
      </c>
      <c r="AB36" s="14">
        <f t="shared" si="72"/>
        <v>130.49999999999997</v>
      </c>
      <c r="AC36" s="14">
        <f t="shared" si="72"/>
        <v>63.5</v>
      </c>
      <c r="AD36" s="14">
        <f t="shared" si="72"/>
        <v>11.600000000000001</v>
      </c>
      <c r="AE36" s="14">
        <f t="shared" si="72"/>
        <v>0.89999999999999858</v>
      </c>
      <c r="AF36" s="14">
        <f t="shared" si="72"/>
        <v>0</v>
      </c>
      <c r="AG36" s="14">
        <f t="shared" si="72"/>
        <v>0</v>
      </c>
      <c r="AJ36">
        <f t="shared" si="84"/>
        <v>2011</v>
      </c>
      <c r="AK36" s="14">
        <f t="shared" si="73"/>
        <v>0</v>
      </c>
      <c r="AL36" s="14">
        <f t="shared" si="73"/>
        <v>0</v>
      </c>
      <c r="AM36" s="14">
        <f t="shared" si="73"/>
        <v>0</v>
      </c>
      <c r="AN36" s="14">
        <f t="shared" si="73"/>
        <v>0</v>
      </c>
      <c r="AO36" s="14">
        <f t="shared" si="73"/>
        <v>4.6999999999999993</v>
      </c>
      <c r="AP36" s="14">
        <f t="shared" si="73"/>
        <v>42</v>
      </c>
      <c r="AQ36" s="14">
        <f t="shared" si="73"/>
        <v>189.90000000000003</v>
      </c>
      <c r="AR36" s="14">
        <f t="shared" si="73"/>
        <v>118.4</v>
      </c>
      <c r="AS36" s="14">
        <f t="shared" si="73"/>
        <v>30.1</v>
      </c>
      <c r="AT36" s="14">
        <f t="shared" si="73"/>
        <v>4.6999999999999993</v>
      </c>
      <c r="AU36" s="14">
        <f t="shared" si="73"/>
        <v>0</v>
      </c>
      <c r="AV36" s="14">
        <f t="shared" si="73"/>
        <v>0</v>
      </c>
      <c r="AW36" s="385">
        <f t="shared" si="74"/>
        <v>389.8</v>
      </c>
      <c r="AX36">
        <f t="shared" si="85"/>
        <v>2011</v>
      </c>
      <c r="AY36" s="14">
        <f t="shared" si="75"/>
        <v>0</v>
      </c>
      <c r="AZ36" s="14">
        <f t="shared" si="75"/>
        <v>0</v>
      </c>
      <c r="BA36" s="14">
        <f t="shared" si="75"/>
        <v>0</v>
      </c>
      <c r="BB36" s="14">
        <f t="shared" si="75"/>
        <v>0</v>
      </c>
      <c r="BC36" s="14">
        <f t="shared" si="75"/>
        <v>9.8000000000000007</v>
      </c>
      <c r="BD36" s="14">
        <f t="shared" si="75"/>
        <v>86.4</v>
      </c>
      <c r="BE36" s="14">
        <f t="shared" si="75"/>
        <v>251.9</v>
      </c>
      <c r="BF36" s="14">
        <f t="shared" si="75"/>
        <v>180.40000000000003</v>
      </c>
      <c r="BG36" s="14">
        <f t="shared" si="75"/>
        <v>65</v>
      </c>
      <c r="BH36" s="14">
        <f t="shared" si="75"/>
        <v>11.599999999999998</v>
      </c>
      <c r="BI36" s="14">
        <f t="shared" si="75"/>
        <v>0</v>
      </c>
      <c r="BJ36" s="14">
        <f t="shared" si="75"/>
        <v>0</v>
      </c>
      <c r="BL36">
        <f t="shared" si="86"/>
        <v>2011</v>
      </c>
      <c r="BM36" s="14">
        <f t="shared" si="76"/>
        <v>0</v>
      </c>
      <c r="BN36" s="14">
        <f t="shared" si="76"/>
        <v>0</v>
      </c>
      <c r="BO36" s="14">
        <f t="shared" si="76"/>
        <v>0</v>
      </c>
      <c r="BP36" s="14">
        <f t="shared" si="76"/>
        <v>0</v>
      </c>
      <c r="BQ36" s="14">
        <f t="shared" si="76"/>
        <v>22.700000000000003</v>
      </c>
      <c r="BR36" s="14">
        <f t="shared" si="76"/>
        <v>139.9</v>
      </c>
      <c r="BS36" s="14">
        <f t="shared" si="76"/>
        <v>313.90000000000003</v>
      </c>
      <c r="BT36" s="14">
        <f t="shared" si="76"/>
        <v>242.40000000000003</v>
      </c>
      <c r="BU36" s="14">
        <f t="shared" si="76"/>
        <v>114.19999999999996</v>
      </c>
      <c r="BV36" s="14">
        <f t="shared" si="76"/>
        <v>27.4</v>
      </c>
      <c r="BW36" s="14">
        <f t="shared" si="76"/>
        <v>0.99999999999999822</v>
      </c>
      <c r="BX36" s="14">
        <f t="shared" si="76"/>
        <v>0</v>
      </c>
      <c r="BZ36">
        <f t="shared" si="87"/>
        <v>2011</v>
      </c>
      <c r="CA36" s="14">
        <f t="shared" si="80"/>
        <v>0</v>
      </c>
      <c r="CB36" s="14">
        <f t="shared" si="77"/>
        <v>0</v>
      </c>
      <c r="CC36" s="14">
        <f t="shared" si="77"/>
        <v>0</v>
      </c>
      <c r="CD36" s="14">
        <f t="shared" si="77"/>
        <v>1.8000000000000007</v>
      </c>
      <c r="CE36" s="14">
        <f t="shared" si="77"/>
        <v>41.399999999999991</v>
      </c>
      <c r="CF36" s="14">
        <f t="shared" si="77"/>
        <v>199.60000000000002</v>
      </c>
      <c r="CG36" s="14">
        <f t="shared" si="77"/>
        <v>375.90000000000003</v>
      </c>
      <c r="CH36" s="14">
        <f t="shared" si="77"/>
        <v>304.39999999999998</v>
      </c>
      <c r="CI36" s="14">
        <f t="shared" si="77"/>
        <v>168.9</v>
      </c>
      <c r="CJ36" s="14">
        <f t="shared" si="77"/>
        <v>48.300000000000004</v>
      </c>
      <c r="CK36" s="14">
        <f t="shared" si="77"/>
        <v>8.6999999999999975</v>
      </c>
      <c r="CL36" s="14">
        <f t="shared" si="77"/>
        <v>0</v>
      </c>
      <c r="CN36">
        <f t="shared" si="88"/>
        <v>2011</v>
      </c>
      <c r="CO36" s="14">
        <f t="shared" si="81"/>
        <v>0</v>
      </c>
      <c r="CP36" s="14">
        <f t="shared" si="81"/>
        <v>0</v>
      </c>
      <c r="CQ36" s="14">
        <f t="shared" si="81"/>
        <v>0</v>
      </c>
      <c r="CR36" s="14">
        <f t="shared" si="81"/>
        <v>10.100000000000001</v>
      </c>
      <c r="CS36" s="14">
        <f t="shared" si="81"/>
        <v>73.8</v>
      </c>
      <c r="CT36" s="14">
        <f t="shared" si="81"/>
        <v>259.60000000000002</v>
      </c>
      <c r="CU36" s="14">
        <f t="shared" si="81"/>
        <v>437.90000000000003</v>
      </c>
      <c r="CV36" s="14">
        <f t="shared" si="81"/>
        <v>366.40000000000003</v>
      </c>
      <c r="CW36" s="14">
        <f t="shared" si="81"/>
        <v>228.5</v>
      </c>
      <c r="CX36" s="14">
        <f t="shared" si="81"/>
        <v>79.800000000000011</v>
      </c>
      <c r="CY36" s="14">
        <f t="shared" si="81"/>
        <v>23.599999999999998</v>
      </c>
      <c r="CZ36" s="14">
        <f t="shared" si="81"/>
        <v>9.9999999999999645E-2</v>
      </c>
      <c r="DB36">
        <f t="shared" si="89"/>
        <v>2011</v>
      </c>
      <c r="DC36" s="14">
        <f t="shared" si="82"/>
        <v>0</v>
      </c>
      <c r="DD36" s="14">
        <f t="shared" si="82"/>
        <v>0</v>
      </c>
      <c r="DE36" s="14">
        <f t="shared" si="82"/>
        <v>2.2999999999999989</v>
      </c>
      <c r="DF36" s="14">
        <f t="shared" si="82"/>
        <v>20.100000000000001</v>
      </c>
      <c r="DG36" s="14">
        <f t="shared" si="82"/>
        <v>126.30000000000001</v>
      </c>
      <c r="DH36" s="14">
        <f t="shared" si="82"/>
        <v>319.60000000000002</v>
      </c>
      <c r="DI36" s="14">
        <f t="shared" si="82"/>
        <v>499.90000000000003</v>
      </c>
      <c r="DJ36" s="14">
        <f t="shared" si="82"/>
        <v>428.4</v>
      </c>
      <c r="DK36" s="14">
        <f t="shared" si="82"/>
        <v>288.5</v>
      </c>
      <c r="DL36" s="14">
        <f t="shared" si="82"/>
        <v>124.40000000000002</v>
      </c>
      <c r="DM36" s="14">
        <f t="shared" si="82"/>
        <v>51.599999999999994</v>
      </c>
      <c r="DN36" s="14">
        <f t="shared" si="82"/>
        <v>2.5999999999999996</v>
      </c>
      <c r="EF36" t="s">
        <v>68</v>
      </c>
      <c r="EG36" t="s">
        <v>69</v>
      </c>
      <c r="EH36" t="s">
        <v>70</v>
      </c>
      <c r="EI36" t="s">
        <v>71</v>
      </c>
    </row>
    <row r="37" spans="1:139" x14ac:dyDescent="0.2">
      <c r="A37" s="9">
        <v>37226</v>
      </c>
      <c r="B37">
        <v>2001</v>
      </c>
      <c r="C37">
        <v>12</v>
      </c>
      <c r="D37" s="14">
        <v>3.0322580645161286</v>
      </c>
      <c r="E37" s="14">
        <v>525.99999999999989</v>
      </c>
      <c r="F37" s="14">
        <v>0</v>
      </c>
      <c r="G37" s="14">
        <v>463.99999999999989</v>
      </c>
      <c r="H37" s="14">
        <v>0</v>
      </c>
      <c r="I37" s="14">
        <v>402</v>
      </c>
      <c r="J37" s="14">
        <v>0</v>
      </c>
      <c r="K37" s="14">
        <v>341.00000000000006</v>
      </c>
      <c r="L37" s="14">
        <v>1</v>
      </c>
      <c r="M37" s="14">
        <v>281.00000000000006</v>
      </c>
      <c r="N37" s="14">
        <v>3</v>
      </c>
      <c r="O37" s="14">
        <v>222.30000000000004</v>
      </c>
      <c r="P37" s="14">
        <v>6.3000000000000007</v>
      </c>
      <c r="Q37" s="14">
        <v>167.4</v>
      </c>
      <c r="R37" s="14">
        <v>13.400000000000002</v>
      </c>
      <c r="U37">
        <f t="shared" si="83"/>
        <v>2012</v>
      </c>
      <c r="V37" s="14">
        <f t="shared" si="72"/>
        <v>0</v>
      </c>
      <c r="W37" s="14">
        <f t="shared" si="72"/>
        <v>0</v>
      </c>
      <c r="X37" s="14">
        <f t="shared" si="72"/>
        <v>0</v>
      </c>
      <c r="Y37" s="14">
        <f t="shared" si="72"/>
        <v>0</v>
      </c>
      <c r="Z37" s="14">
        <f t="shared" si="72"/>
        <v>12.2</v>
      </c>
      <c r="AA37" s="14">
        <f t="shared" si="72"/>
        <v>63.20000000000001</v>
      </c>
      <c r="AB37" s="14">
        <f t="shared" si="72"/>
        <v>131</v>
      </c>
      <c r="AC37" s="14">
        <f t="shared" si="72"/>
        <v>71.5</v>
      </c>
      <c r="AD37" s="14">
        <f t="shared" si="72"/>
        <v>18.900000000000002</v>
      </c>
      <c r="AE37" s="14">
        <f t="shared" si="72"/>
        <v>0</v>
      </c>
      <c r="AF37" s="14">
        <f t="shared" si="72"/>
        <v>0</v>
      </c>
      <c r="AG37" s="14">
        <f t="shared" si="72"/>
        <v>0</v>
      </c>
      <c r="AJ37">
        <f t="shared" si="84"/>
        <v>2012</v>
      </c>
      <c r="AK37" s="14">
        <f t="shared" si="73"/>
        <v>0</v>
      </c>
      <c r="AL37" s="14">
        <f t="shared" si="73"/>
        <v>0</v>
      </c>
      <c r="AM37" s="14">
        <f t="shared" si="73"/>
        <v>0</v>
      </c>
      <c r="AN37" s="14">
        <f t="shared" si="73"/>
        <v>0</v>
      </c>
      <c r="AO37" s="14">
        <f t="shared" si="73"/>
        <v>23.2</v>
      </c>
      <c r="AP37" s="14">
        <f t="shared" si="73"/>
        <v>101.69999999999999</v>
      </c>
      <c r="AQ37" s="14">
        <f t="shared" si="73"/>
        <v>193</v>
      </c>
      <c r="AR37" s="14">
        <f t="shared" si="73"/>
        <v>130.80000000000001</v>
      </c>
      <c r="AS37" s="14">
        <f t="shared" si="73"/>
        <v>40</v>
      </c>
      <c r="AT37" s="14">
        <f t="shared" si="73"/>
        <v>0.5</v>
      </c>
      <c r="AU37" s="14">
        <f t="shared" si="73"/>
        <v>0</v>
      </c>
      <c r="AV37" s="14">
        <f t="shared" si="73"/>
        <v>0</v>
      </c>
      <c r="AW37" s="385">
        <f t="shared" si="74"/>
        <v>489.2</v>
      </c>
      <c r="AX37">
        <f t="shared" si="85"/>
        <v>2012</v>
      </c>
      <c r="AY37" s="14">
        <f t="shared" si="75"/>
        <v>0</v>
      </c>
      <c r="AZ37" s="14">
        <f t="shared" si="75"/>
        <v>0</v>
      </c>
      <c r="BA37" s="14">
        <f t="shared" si="75"/>
        <v>0</v>
      </c>
      <c r="BB37" s="14">
        <f t="shared" si="75"/>
        <v>0</v>
      </c>
      <c r="BC37" s="14">
        <f t="shared" si="75"/>
        <v>46.2</v>
      </c>
      <c r="BD37" s="14">
        <f t="shared" si="75"/>
        <v>147</v>
      </c>
      <c r="BE37" s="14">
        <f t="shared" si="75"/>
        <v>255</v>
      </c>
      <c r="BF37" s="14">
        <f t="shared" si="75"/>
        <v>192.8</v>
      </c>
      <c r="BG37" s="14">
        <f t="shared" si="75"/>
        <v>69.900000000000006</v>
      </c>
      <c r="BH37" s="14">
        <f t="shared" si="75"/>
        <v>3.8000000000000007</v>
      </c>
      <c r="BI37" s="14">
        <f t="shared" si="75"/>
        <v>0</v>
      </c>
      <c r="BJ37" s="14">
        <f t="shared" si="75"/>
        <v>0</v>
      </c>
      <c r="BL37">
        <f t="shared" si="86"/>
        <v>2012</v>
      </c>
      <c r="BM37" s="14">
        <f t="shared" si="76"/>
        <v>0</v>
      </c>
      <c r="BN37" s="14">
        <f t="shared" si="76"/>
        <v>0</v>
      </c>
      <c r="BO37" s="14">
        <f t="shared" si="76"/>
        <v>0.30000000000000071</v>
      </c>
      <c r="BP37" s="14">
        <f t="shared" si="76"/>
        <v>2.4000000000000004</v>
      </c>
      <c r="BQ37" s="14">
        <f t="shared" si="76"/>
        <v>77.3</v>
      </c>
      <c r="BR37" s="14">
        <f t="shared" si="76"/>
        <v>200.09999999999997</v>
      </c>
      <c r="BS37" s="14">
        <f t="shared" si="76"/>
        <v>317</v>
      </c>
      <c r="BT37" s="14">
        <f t="shared" si="76"/>
        <v>254.8</v>
      </c>
      <c r="BU37" s="14">
        <f t="shared" si="76"/>
        <v>112.89999999999999</v>
      </c>
      <c r="BV37" s="14">
        <f t="shared" si="76"/>
        <v>11.9</v>
      </c>
      <c r="BW37" s="14">
        <f t="shared" si="76"/>
        <v>0</v>
      </c>
      <c r="BX37" s="14">
        <f t="shared" si="76"/>
        <v>0</v>
      </c>
      <c r="BZ37">
        <f t="shared" si="87"/>
        <v>2012</v>
      </c>
      <c r="CA37" s="14">
        <f t="shared" si="80"/>
        <v>0</v>
      </c>
      <c r="CB37" s="14">
        <f t="shared" si="77"/>
        <v>0</v>
      </c>
      <c r="CC37" s="14">
        <f t="shared" si="77"/>
        <v>2.4000000000000004</v>
      </c>
      <c r="CD37" s="14">
        <f t="shared" si="77"/>
        <v>10</v>
      </c>
      <c r="CE37" s="14">
        <f t="shared" si="77"/>
        <v>119.6</v>
      </c>
      <c r="CF37" s="14">
        <f t="shared" si="77"/>
        <v>259</v>
      </c>
      <c r="CG37" s="14">
        <f t="shared" si="77"/>
        <v>379</v>
      </c>
      <c r="CH37" s="14">
        <f t="shared" si="77"/>
        <v>316.8</v>
      </c>
      <c r="CI37" s="14">
        <f t="shared" si="77"/>
        <v>162.5</v>
      </c>
      <c r="CJ37" s="14">
        <f t="shared" si="77"/>
        <v>29.900000000000006</v>
      </c>
      <c r="CK37" s="14">
        <f t="shared" si="77"/>
        <v>1.9000000000000004</v>
      </c>
      <c r="CL37" s="14">
        <f t="shared" si="77"/>
        <v>0</v>
      </c>
      <c r="CN37">
        <f t="shared" si="88"/>
        <v>2012</v>
      </c>
      <c r="CO37" s="14">
        <f t="shared" si="81"/>
        <v>0</v>
      </c>
      <c r="CP37" s="14">
        <f t="shared" si="81"/>
        <v>0</v>
      </c>
      <c r="CQ37" s="14">
        <f t="shared" si="81"/>
        <v>12.4</v>
      </c>
      <c r="CR37" s="14">
        <f t="shared" si="81"/>
        <v>19.3</v>
      </c>
      <c r="CS37" s="14">
        <f t="shared" si="81"/>
        <v>172.10000000000002</v>
      </c>
      <c r="CT37" s="14">
        <f t="shared" si="81"/>
        <v>319</v>
      </c>
      <c r="CU37" s="14">
        <f t="shared" si="81"/>
        <v>441</v>
      </c>
      <c r="CV37" s="14">
        <f t="shared" si="81"/>
        <v>378.8</v>
      </c>
      <c r="CW37" s="14">
        <f t="shared" si="81"/>
        <v>221.6</v>
      </c>
      <c r="CX37" s="14">
        <f t="shared" si="81"/>
        <v>55</v>
      </c>
      <c r="CY37" s="14">
        <f t="shared" si="81"/>
        <v>6.1</v>
      </c>
      <c r="CZ37" s="14">
        <f t="shared" si="81"/>
        <v>1.9000000000000004</v>
      </c>
      <c r="DB37">
        <f t="shared" si="89"/>
        <v>2012</v>
      </c>
      <c r="DC37" s="14">
        <f t="shared" si="82"/>
        <v>0</v>
      </c>
      <c r="DD37" s="14">
        <f t="shared" si="82"/>
        <v>0</v>
      </c>
      <c r="DE37" s="14">
        <f t="shared" si="82"/>
        <v>34.6</v>
      </c>
      <c r="DF37" s="14">
        <f t="shared" si="82"/>
        <v>33.799999999999997</v>
      </c>
      <c r="DG37" s="14">
        <f t="shared" si="82"/>
        <v>232.2</v>
      </c>
      <c r="DH37" s="14">
        <f t="shared" si="82"/>
        <v>379</v>
      </c>
      <c r="DI37" s="14">
        <f t="shared" si="82"/>
        <v>503</v>
      </c>
      <c r="DJ37" s="14">
        <f t="shared" si="82"/>
        <v>440.80000000000007</v>
      </c>
      <c r="DK37" s="14">
        <f t="shared" si="82"/>
        <v>281.59999999999997</v>
      </c>
      <c r="DL37" s="14">
        <f t="shared" si="82"/>
        <v>96.5</v>
      </c>
      <c r="DM37" s="14">
        <f t="shared" si="82"/>
        <v>12.1</v>
      </c>
      <c r="DN37" s="14">
        <f t="shared" si="82"/>
        <v>4.4000000000000004</v>
      </c>
      <c r="EE37" t="s">
        <v>72</v>
      </c>
      <c r="EF37">
        <v>12682532.251424899</v>
      </c>
      <c r="EG37">
        <v>199879.78089369001</v>
      </c>
      <c r="EH37">
        <v>63.450801250229297</v>
      </c>
      <c r="EI37" s="32">
        <v>1.7740155680122101E-92</v>
      </c>
    </row>
    <row r="38" spans="1:139" x14ac:dyDescent="0.2">
      <c r="A38" s="9">
        <v>37257</v>
      </c>
      <c r="B38">
        <v>2002</v>
      </c>
      <c r="C38">
        <v>1</v>
      </c>
      <c r="D38" s="14">
        <v>1.0129032258064514</v>
      </c>
      <c r="E38" s="14">
        <v>588.6</v>
      </c>
      <c r="F38" s="14">
        <v>0</v>
      </c>
      <c r="G38" s="14">
        <v>526.59999999999991</v>
      </c>
      <c r="H38" s="14">
        <v>0</v>
      </c>
      <c r="I38" s="14">
        <v>464.59999999999997</v>
      </c>
      <c r="J38" s="14">
        <v>0</v>
      </c>
      <c r="K38" s="14">
        <v>402.59999999999997</v>
      </c>
      <c r="L38" s="14">
        <v>0</v>
      </c>
      <c r="M38" s="14">
        <v>340.59999999999997</v>
      </c>
      <c r="N38" s="14">
        <v>0</v>
      </c>
      <c r="O38" s="14">
        <v>278.60000000000008</v>
      </c>
      <c r="P38" s="14">
        <v>0</v>
      </c>
      <c r="Q38" s="14">
        <v>216.60000000000005</v>
      </c>
      <c r="R38" s="14">
        <v>0</v>
      </c>
      <c r="U38">
        <f t="shared" si="83"/>
        <v>2013</v>
      </c>
      <c r="V38" s="14">
        <f t="shared" si="72"/>
        <v>0</v>
      </c>
      <c r="W38" s="14">
        <f t="shared" si="72"/>
        <v>0</v>
      </c>
      <c r="X38" s="14">
        <f t="shared" si="72"/>
        <v>0</v>
      </c>
      <c r="Y38" s="14">
        <f t="shared" si="72"/>
        <v>0</v>
      </c>
      <c r="Z38" s="14">
        <f t="shared" si="72"/>
        <v>8.6999999999999993</v>
      </c>
      <c r="AA38" s="14">
        <f t="shared" si="72"/>
        <v>31.400000000000002</v>
      </c>
      <c r="AB38" s="14">
        <f t="shared" si="72"/>
        <v>83.399999999999977</v>
      </c>
      <c r="AC38" s="14">
        <f t="shared" si="72"/>
        <v>43.7</v>
      </c>
      <c r="AD38" s="14">
        <f t="shared" si="72"/>
        <v>13.799999999999997</v>
      </c>
      <c r="AE38" s="14">
        <f t="shared" si="72"/>
        <v>0</v>
      </c>
      <c r="AF38" s="14">
        <f t="shared" si="72"/>
        <v>0</v>
      </c>
      <c r="AG38" s="14">
        <f t="shared" si="72"/>
        <v>0</v>
      </c>
      <c r="AJ38">
        <f t="shared" si="84"/>
        <v>2013</v>
      </c>
      <c r="AK38" s="14">
        <f t="shared" si="73"/>
        <v>0</v>
      </c>
      <c r="AL38" s="14">
        <f t="shared" si="73"/>
        <v>0</v>
      </c>
      <c r="AM38" s="14">
        <f t="shared" si="73"/>
        <v>0</v>
      </c>
      <c r="AN38" s="14">
        <f t="shared" si="73"/>
        <v>0</v>
      </c>
      <c r="AO38" s="14">
        <f t="shared" si="73"/>
        <v>16.2</v>
      </c>
      <c r="AP38" s="14">
        <f t="shared" si="73"/>
        <v>55.6</v>
      </c>
      <c r="AQ38" s="14">
        <f t="shared" si="73"/>
        <v>131.6</v>
      </c>
      <c r="AR38" s="14">
        <f t="shared" si="73"/>
        <v>91.600000000000009</v>
      </c>
      <c r="AS38" s="14">
        <f t="shared" si="73"/>
        <v>29.999999999999996</v>
      </c>
      <c r="AT38" s="14">
        <f t="shared" si="73"/>
        <v>3.0999999999999979</v>
      </c>
      <c r="AU38" s="14">
        <f t="shared" si="73"/>
        <v>0</v>
      </c>
      <c r="AV38" s="14">
        <f t="shared" si="73"/>
        <v>0</v>
      </c>
      <c r="AW38" s="385">
        <f t="shared" si="74"/>
        <v>328.1</v>
      </c>
      <c r="AX38">
        <f t="shared" si="85"/>
        <v>2013</v>
      </c>
      <c r="AY38" s="14">
        <f t="shared" si="75"/>
        <v>0</v>
      </c>
      <c r="AZ38" s="14">
        <f t="shared" si="75"/>
        <v>0</v>
      </c>
      <c r="BA38" s="14">
        <f t="shared" si="75"/>
        <v>0</v>
      </c>
      <c r="BB38" s="14">
        <f t="shared" si="75"/>
        <v>0</v>
      </c>
      <c r="BC38" s="14">
        <f t="shared" si="75"/>
        <v>26.599999999999998</v>
      </c>
      <c r="BD38" s="14">
        <f t="shared" si="75"/>
        <v>89.800000000000011</v>
      </c>
      <c r="BE38" s="14">
        <f t="shared" si="75"/>
        <v>192.90000000000003</v>
      </c>
      <c r="BF38" s="14">
        <f t="shared" si="75"/>
        <v>151</v>
      </c>
      <c r="BG38" s="14">
        <f t="shared" si="75"/>
        <v>57.099999999999994</v>
      </c>
      <c r="BH38" s="14">
        <f t="shared" si="75"/>
        <v>9.6999999999999993</v>
      </c>
      <c r="BI38" s="14">
        <f t="shared" si="75"/>
        <v>0</v>
      </c>
      <c r="BJ38" s="14">
        <f t="shared" si="75"/>
        <v>0</v>
      </c>
      <c r="BL38">
        <f t="shared" si="86"/>
        <v>2013</v>
      </c>
      <c r="BM38" s="14">
        <f t="shared" si="76"/>
        <v>0</v>
      </c>
      <c r="BN38" s="14">
        <f t="shared" si="76"/>
        <v>0</v>
      </c>
      <c r="BO38" s="14">
        <f t="shared" si="76"/>
        <v>0</v>
      </c>
      <c r="BP38" s="14">
        <f t="shared" si="76"/>
        <v>1.5999999999999996</v>
      </c>
      <c r="BQ38" s="14">
        <f t="shared" si="76"/>
        <v>43.3</v>
      </c>
      <c r="BR38" s="14">
        <f t="shared" si="76"/>
        <v>137.6</v>
      </c>
      <c r="BS38" s="14">
        <f t="shared" si="76"/>
        <v>254.90000000000003</v>
      </c>
      <c r="BT38" s="14">
        <f t="shared" si="76"/>
        <v>213</v>
      </c>
      <c r="BU38" s="14">
        <f t="shared" si="76"/>
        <v>95.4</v>
      </c>
      <c r="BV38" s="14">
        <f t="shared" si="76"/>
        <v>26.6</v>
      </c>
      <c r="BW38" s="14">
        <f t="shared" si="76"/>
        <v>0</v>
      </c>
      <c r="BX38" s="14">
        <f t="shared" si="76"/>
        <v>0</v>
      </c>
      <c r="BZ38">
        <f t="shared" si="87"/>
        <v>2013</v>
      </c>
      <c r="CA38" s="14">
        <f t="shared" si="80"/>
        <v>0</v>
      </c>
      <c r="CB38" s="14">
        <f t="shared" si="77"/>
        <v>0</v>
      </c>
      <c r="CC38" s="14">
        <f t="shared" si="77"/>
        <v>0</v>
      </c>
      <c r="CD38" s="14">
        <f t="shared" si="77"/>
        <v>4.4000000000000004</v>
      </c>
      <c r="CE38" s="14">
        <f t="shared" si="77"/>
        <v>68.899999999999991</v>
      </c>
      <c r="CF38" s="14">
        <f t="shared" si="77"/>
        <v>192.10000000000002</v>
      </c>
      <c r="CG38" s="14">
        <f t="shared" si="77"/>
        <v>316.89999999999998</v>
      </c>
      <c r="CH38" s="14">
        <f t="shared" si="77"/>
        <v>275</v>
      </c>
      <c r="CI38" s="14">
        <f t="shared" si="77"/>
        <v>144.9</v>
      </c>
      <c r="CJ38" s="14">
        <f t="shared" si="77"/>
        <v>57.90000000000002</v>
      </c>
      <c r="CK38" s="14">
        <f t="shared" si="77"/>
        <v>2.9000000000000004</v>
      </c>
      <c r="CL38" s="14">
        <f t="shared" si="77"/>
        <v>0</v>
      </c>
      <c r="CN38">
        <f t="shared" si="88"/>
        <v>2013</v>
      </c>
      <c r="CO38" s="14">
        <f t="shared" si="81"/>
        <v>1.0999999999999996</v>
      </c>
      <c r="CP38" s="14">
        <f t="shared" si="81"/>
        <v>0</v>
      </c>
      <c r="CQ38" s="14">
        <f t="shared" si="81"/>
        <v>0</v>
      </c>
      <c r="CR38" s="14">
        <f t="shared" si="81"/>
        <v>10.8</v>
      </c>
      <c r="CS38" s="14">
        <f t="shared" si="81"/>
        <v>113.39999999999999</v>
      </c>
      <c r="CT38" s="14">
        <f t="shared" si="81"/>
        <v>252.00000000000003</v>
      </c>
      <c r="CU38" s="14">
        <f t="shared" si="81"/>
        <v>378.9</v>
      </c>
      <c r="CV38" s="14">
        <f t="shared" si="81"/>
        <v>336.99999999999994</v>
      </c>
      <c r="CW38" s="14">
        <f t="shared" si="81"/>
        <v>203</v>
      </c>
      <c r="CX38" s="14">
        <f t="shared" si="81"/>
        <v>97.899999999999991</v>
      </c>
      <c r="CY38" s="14">
        <f t="shared" si="81"/>
        <v>8.9</v>
      </c>
      <c r="CZ38" s="14">
        <f t="shared" si="81"/>
        <v>0</v>
      </c>
      <c r="DB38">
        <f t="shared" si="89"/>
        <v>2013</v>
      </c>
      <c r="DC38" s="14">
        <f t="shared" si="82"/>
        <v>6.4</v>
      </c>
      <c r="DD38" s="14">
        <f t="shared" si="82"/>
        <v>0</v>
      </c>
      <c r="DE38" s="14">
        <f t="shared" si="82"/>
        <v>1.4000000000000004</v>
      </c>
      <c r="DF38" s="14">
        <f t="shared" si="82"/>
        <v>25.600000000000005</v>
      </c>
      <c r="DG38" s="14">
        <f t="shared" si="82"/>
        <v>168.2</v>
      </c>
      <c r="DH38" s="14">
        <f t="shared" si="82"/>
        <v>312</v>
      </c>
      <c r="DI38" s="14">
        <f t="shared" si="82"/>
        <v>440.9</v>
      </c>
      <c r="DJ38" s="14">
        <f t="shared" si="82"/>
        <v>399</v>
      </c>
      <c r="DK38" s="14">
        <f t="shared" si="82"/>
        <v>263</v>
      </c>
      <c r="DL38" s="14">
        <f t="shared" si="82"/>
        <v>141.19999999999999</v>
      </c>
      <c r="DM38" s="14">
        <f t="shared" si="82"/>
        <v>18.3</v>
      </c>
      <c r="DN38" s="14">
        <f t="shared" si="82"/>
        <v>0</v>
      </c>
      <c r="EE38" t="s">
        <v>35</v>
      </c>
      <c r="EF38">
        <v>5440.3545276811601</v>
      </c>
      <c r="EG38">
        <v>497.75186094834902</v>
      </c>
      <c r="EH38">
        <v>10.929852712787101</v>
      </c>
      <c r="EI38" s="32">
        <v>1.3663064048610299E-19</v>
      </c>
    </row>
    <row r="39" spans="1:139" x14ac:dyDescent="0.2">
      <c r="A39" s="9">
        <v>37288</v>
      </c>
      <c r="B39">
        <v>2002</v>
      </c>
      <c r="C39">
        <v>2</v>
      </c>
      <c r="D39" s="14">
        <v>-1.7857142857142714E-2</v>
      </c>
      <c r="E39" s="14">
        <v>560.49999999999989</v>
      </c>
      <c r="F39" s="14">
        <v>0</v>
      </c>
      <c r="G39" s="14">
        <v>504.5</v>
      </c>
      <c r="H39" s="14">
        <v>0</v>
      </c>
      <c r="I39" s="14">
        <v>448.5</v>
      </c>
      <c r="J39" s="14">
        <v>0</v>
      </c>
      <c r="K39" s="14">
        <v>392.5</v>
      </c>
      <c r="L39" s="14">
        <v>0</v>
      </c>
      <c r="M39" s="14">
        <v>336.49999999999994</v>
      </c>
      <c r="N39" s="14">
        <v>0</v>
      </c>
      <c r="O39" s="14">
        <v>280.49999999999994</v>
      </c>
      <c r="P39" s="14">
        <v>0</v>
      </c>
      <c r="Q39" s="14">
        <v>226.1</v>
      </c>
      <c r="R39" s="14">
        <v>1.5999999999999996</v>
      </c>
      <c r="U39">
        <f t="shared" si="83"/>
        <v>2014</v>
      </c>
      <c r="V39" s="14">
        <f t="shared" ref="V39:AG49" si="90">SUMIFS($F:$F,$B:$B,$U39,$C:$C,V$2)</f>
        <v>0</v>
      </c>
      <c r="W39" s="14">
        <f t="shared" si="90"/>
        <v>0</v>
      </c>
      <c r="X39" s="14">
        <f t="shared" si="90"/>
        <v>0</v>
      </c>
      <c r="Y39" s="14">
        <f t="shared" si="90"/>
        <v>0</v>
      </c>
      <c r="Z39" s="14">
        <f t="shared" si="90"/>
        <v>4.0000000000000036</v>
      </c>
      <c r="AA39" s="14">
        <f t="shared" si="90"/>
        <v>20.799999999999997</v>
      </c>
      <c r="AB39" s="14">
        <f t="shared" si="90"/>
        <v>31.2</v>
      </c>
      <c r="AC39" s="14">
        <f t="shared" si="90"/>
        <v>31.500000000000007</v>
      </c>
      <c r="AD39" s="14">
        <f t="shared" si="90"/>
        <v>18.399999999999999</v>
      </c>
      <c r="AE39" s="14">
        <f t="shared" si="90"/>
        <v>0</v>
      </c>
      <c r="AF39" s="14">
        <f t="shared" si="90"/>
        <v>0</v>
      </c>
      <c r="AG39" s="14">
        <f t="shared" si="90"/>
        <v>0</v>
      </c>
      <c r="AJ39">
        <f t="shared" si="84"/>
        <v>2014</v>
      </c>
      <c r="AK39" s="14">
        <f t="shared" ref="AK39:AV49" si="91">SUMIFS($H:$H,$B:$B,$AJ39,$C:$C,AK$2)</f>
        <v>0</v>
      </c>
      <c r="AL39" s="14">
        <f t="shared" si="91"/>
        <v>0</v>
      </c>
      <c r="AM39" s="14">
        <f t="shared" si="91"/>
        <v>0</v>
      </c>
      <c r="AN39" s="14">
        <f t="shared" si="91"/>
        <v>0</v>
      </c>
      <c r="AO39" s="14">
        <f t="shared" si="91"/>
        <v>10.000000000000004</v>
      </c>
      <c r="AP39" s="14">
        <f t="shared" si="91"/>
        <v>46.6</v>
      </c>
      <c r="AQ39" s="14">
        <f t="shared" si="91"/>
        <v>66.000000000000014</v>
      </c>
      <c r="AR39" s="14">
        <f t="shared" si="91"/>
        <v>72.500000000000028</v>
      </c>
      <c r="AS39" s="14">
        <f t="shared" si="91"/>
        <v>34.5</v>
      </c>
      <c r="AT39" s="14">
        <f t="shared" si="91"/>
        <v>2.1999999999999993</v>
      </c>
      <c r="AU39" s="14">
        <f t="shared" si="91"/>
        <v>0</v>
      </c>
      <c r="AV39" s="14">
        <f t="shared" si="91"/>
        <v>0</v>
      </c>
      <c r="AW39" s="385">
        <f t="shared" si="74"/>
        <v>231.80000000000004</v>
      </c>
      <c r="AX39">
        <f t="shared" si="85"/>
        <v>2014</v>
      </c>
      <c r="AY39" s="14">
        <f t="shared" ref="AY39:BJ49" si="92">SUMIFS($J:$J,$B:$B,$AX39,$C:$C,AY$2)</f>
        <v>0</v>
      </c>
      <c r="AZ39" s="14">
        <f t="shared" si="92"/>
        <v>0</v>
      </c>
      <c r="BA39" s="14">
        <f t="shared" si="92"/>
        <v>0</v>
      </c>
      <c r="BB39" s="14">
        <f t="shared" si="92"/>
        <v>0</v>
      </c>
      <c r="BC39" s="14">
        <f t="shared" si="92"/>
        <v>18.200000000000003</v>
      </c>
      <c r="BD39" s="14">
        <f t="shared" si="92"/>
        <v>86.1</v>
      </c>
      <c r="BE39" s="14">
        <f t="shared" si="92"/>
        <v>119.49999999999999</v>
      </c>
      <c r="BF39" s="14">
        <f t="shared" si="92"/>
        <v>126.70000000000002</v>
      </c>
      <c r="BG39" s="14">
        <f t="shared" si="92"/>
        <v>64.600000000000009</v>
      </c>
      <c r="BH39" s="14">
        <f t="shared" si="92"/>
        <v>6.3999999999999986</v>
      </c>
      <c r="BI39" s="14">
        <f t="shared" si="92"/>
        <v>0</v>
      </c>
      <c r="BJ39" s="14">
        <f t="shared" si="92"/>
        <v>0</v>
      </c>
      <c r="BL39">
        <f t="shared" si="86"/>
        <v>2014</v>
      </c>
      <c r="BM39" s="14">
        <f t="shared" ref="BM39:BX49" si="93">SUMIFS($L:$L,$B:$B,$BL39,$C:$C,BM$2)</f>
        <v>0</v>
      </c>
      <c r="BN39" s="14">
        <f t="shared" si="93"/>
        <v>0</v>
      </c>
      <c r="BO39" s="14">
        <f t="shared" si="93"/>
        <v>0</v>
      </c>
      <c r="BP39" s="14">
        <f t="shared" si="93"/>
        <v>0</v>
      </c>
      <c r="BQ39" s="14">
        <f t="shared" si="93"/>
        <v>35.799999999999997</v>
      </c>
      <c r="BR39" s="14">
        <f t="shared" si="93"/>
        <v>137.30000000000001</v>
      </c>
      <c r="BS39" s="14">
        <f t="shared" si="93"/>
        <v>180.6</v>
      </c>
      <c r="BT39" s="14">
        <f t="shared" si="93"/>
        <v>188.19999999999996</v>
      </c>
      <c r="BU39" s="14">
        <f t="shared" si="93"/>
        <v>108.9</v>
      </c>
      <c r="BV39" s="14">
        <f t="shared" si="93"/>
        <v>19.899999999999999</v>
      </c>
      <c r="BW39" s="14">
        <f t="shared" si="93"/>
        <v>0</v>
      </c>
      <c r="BX39" s="14">
        <f t="shared" si="93"/>
        <v>0</v>
      </c>
      <c r="BZ39">
        <f t="shared" si="87"/>
        <v>2014</v>
      </c>
      <c r="CA39" s="14">
        <f t="shared" si="80"/>
        <v>0</v>
      </c>
      <c r="CB39" s="14">
        <f t="shared" si="77"/>
        <v>0</v>
      </c>
      <c r="CC39" s="14">
        <f t="shared" si="77"/>
        <v>0</v>
      </c>
      <c r="CD39" s="14">
        <f t="shared" si="77"/>
        <v>1.5999999999999996</v>
      </c>
      <c r="CE39" s="14">
        <f t="shared" si="77"/>
        <v>60.6</v>
      </c>
      <c r="CF39" s="14">
        <f t="shared" si="77"/>
        <v>195.40000000000003</v>
      </c>
      <c r="CG39" s="14">
        <f t="shared" si="77"/>
        <v>242.6</v>
      </c>
      <c r="CH39" s="14">
        <f t="shared" si="77"/>
        <v>250.19999999999996</v>
      </c>
      <c r="CI39" s="14">
        <f t="shared" si="77"/>
        <v>159.19999999999996</v>
      </c>
      <c r="CJ39" s="14">
        <f t="shared" si="77"/>
        <v>41.699999999999996</v>
      </c>
      <c r="CK39" s="14">
        <f t="shared" si="77"/>
        <v>9.9999999999999645E-2</v>
      </c>
      <c r="CL39" s="14">
        <f t="shared" si="77"/>
        <v>0</v>
      </c>
      <c r="CN39">
        <f t="shared" si="88"/>
        <v>2014</v>
      </c>
      <c r="CO39" s="14">
        <f t="shared" si="81"/>
        <v>0</v>
      </c>
      <c r="CP39" s="14">
        <f t="shared" si="81"/>
        <v>0</v>
      </c>
      <c r="CQ39" s="14">
        <f t="shared" si="81"/>
        <v>0</v>
      </c>
      <c r="CR39" s="14">
        <f t="shared" si="81"/>
        <v>7.6</v>
      </c>
      <c r="CS39" s="14">
        <f t="shared" si="81"/>
        <v>98.300000000000011</v>
      </c>
      <c r="CT39" s="14">
        <f t="shared" si="81"/>
        <v>255.40000000000003</v>
      </c>
      <c r="CU39" s="14">
        <f t="shared" si="81"/>
        <v>304.59999999999991</v>
      </c>
      <c r="CV39" s="14">
        <f t="shared" si="81"/>
        <v>312.2</v>
      </c>
      <c r="CW39" s="14">
        <f t="shared" si="81"/>
        <v>218.59999999999994</v>
      </c>
      <c r="CX39" s="14">
        <f t="shared" si="81"/>
        <v>71.199999999999989</v>
      </c>
      <c r="CY39" s="14">
        <f t="shared" si="81"/>
        <v>5.6</v>
      </c>
      <c r="CZ39" s="14">
        <f t="shared" si="81"/>
        <v>0</v>
      </c>
      <c r="DB39">
        <f t="shared" si="89"/>
        <v>2014</v>
      </c>
      <c r="DC39" s="14">
        <f t="shared" si="82"/>
        <v>0</v>
      </c>
      <c r="DD39" s="14">
        <f t="shared" si="82"/>
        <v>0</v>
      </c>
      <c r="DE39" s="14">
        <f t="shared" si="82"/>
        <v>0</v>
      </c>
      <c r="DF39" s="14">
        <f t="shared" si="82"/>
        <v>18</v>
      </c>
      <c r="DG39" s="14">
        <f t="shared" si="82"/>
        <v>152</v>
      </c>
      <c r="DH39" s="14">
        <f t="shared" si="82"/>
        <v>315.39999999999998</v>
      </c>
      <c r="DI39" s="14">
        <f t="shared" si="82"/>
        <v>366.59999999999991</v>
      </c>
      <c r="DJ39" s="14">
        <f t="shared" si="82"/>
        <v>374.2</v>
      </c>
      <c r="DK39" s="14">
        <f t="shared" si="82"/>
        <v>278.59999999999997</v>
      </c>
      <c r="DL39" s="14">
        <f t="shared" si="82"/>
        <v>118.90000000000002</v>
      </c>
      <c r="DM39" s="14">
        <f t="shared" si="82"/>
        <v>14.899999999999999</v>
      </c>
      <c r="DN39" s="14">
        <f t="shared" si="82"/>
        <v>0</v>
      </c>
      <c r="EE39" t="s">
        <v>36</v>
      </c>
      <c r="EF39">
        <v>13519.3751026835</v>
      </c>
      <c r="EG39">
        <v>891.93439007269797</v>
      </c>
      <c r="EH39">
        <v>15.1573649958508</v>
      </c>
      <c r="EI39" s="32">
        <v>2.25260501726116E-29</v>
      </c>
    </row>
    <row r="40" spans="1:139" x14ac:dyDescent="0.2">
      <c r="A40" s="9">
        <v>37316</v>
      </c>
      <c r="B40">
        <v>2002</v>
      </c>
      <c r="C40">
        <v>3</v>
      </c>
      <c r="D40" s="14">
        <v>1.5096774193548386</v>
      </c>
      <c r="E40" s="14">
        <v>573.20000000000005</v>
      </c>
      <c r="F40" s="14">
        <v>0</v>
      </c>
      <c r="G40" s="14">
        <v>511.2</v>
      </c>
      <c r="H40" s="14">
        <v>0</v>
      </c>
      <c r="I40" s="14">
        <v>449.2</v>
      </c>
      <c r="J40" s="14">
        <v>0</v>
      </c>
      <c r="K40" s="14">
        <v>387.20000000000005</v>
      </c>
      <c r="L40" s="14">
        <v>0</v>
      </c>
      <c r="M40" s="14">
        <v>325.20000000000005</v>
      </c>
      <c r="N40" s="14">
        <v>0</v>
      </c>
      <c r="O40" s="14">
        <v>263.2</v>
      </c>
      <c r="P40" s="14">
        <v>0</v>
      </c>
      <c r="Q40" s="14">
        <v>201.19999999999996</v>
      </c>
      <c r="R40" s="14">
        <v>0</v>
      </c>
      <c r="U40">
        <f t="shared" si="83"/>
        <v>2015</v>
      </c>
      <c r="V40" s="14">
        <f t="shared" si="90"/>
        <v>0</v>
      </c>
      <c r="W40" s="14">
        <f t="shared" si="90"/>
        <v>0</v>
      </c>
      <c r="X40" s="14">
        <f t="shared" si="90"/>
        <v>0</v>
      </c>
      <c r="Y40" s="14">
        <f t="shared" si="90"/>
        <v>0</v>
      </c>
      <c r="Z40" s="14">
        <f t="shared" si="90"/>
        <v>6.1000000000000014</v>
      </c>
      <c r="AA40" s="14">
        <f t="shared" si="90"/>
        <v>8</v>
      </c>
      <c r="AB40" s="14">
        <f t="shared" si="90"/>
        <v>76.5</v>
      </c>
      <c r="AC40" s="14">
        <f t="shared" si="90"/>
        <v>45.100000000000009</v>
      </c>
      <c r="AD40" s="14">
        <f t="shared" si="90"/>
        <v>51.000000000000014</v>
      </c>
      <c r="AE40" s="14">
        <f t="shared" si="90"/>
        <v>0</v>
      </c>
      <c r="AF40" s="14">
        <f t="shared" si="90"/>
        <v>0</v>
      </c>
      <c r="AG40" s="14">
        <f t="shared" si="90"/>
        <v>0</v>
      </c>
      <c r="AJ40">
        <f t="shared" si="84"/>
        <v>2015</v>
      </c>
      <c r="AK40" s="14">
        <f t="shared" si="91"/>
        <v>0</v>
      </c>
      <c r="AL40" s="14">
        <f t="shared" si="91"/>
        <v>0</v>
      </c>
      <c r="AM40" s="14">
        <f t="shared" si="91"/>
        <v>0</v>
      </c>
      <c r="AN40" s="14">
        <f t="shared" si="91"/>
        <v>0</v>
      </c>
      <c r="AO40" s="14">
        <f t="shared" si="91"/>
        <v>16.5</v>
      </c>
      <c r="AP40" s="14">
        <f t="shared" si="91"/>
        <v>27.9</v>
      </c>
      <c r="AQ40" s="14">
        <f t="shared" si="91"/>
        <v>125.30000000000001</v>
      </c>
      <c r="AR40" s="14">
        <f t="shared" si="91"/>
        <v>88.499999999999986</v>
      </c>
      <c r="AS40" s="14">
        <f t="shared" si="91"/>
        <v>83.5</v>
      </c>
      <c r="AT40" s="14">
        <f t="shared" si="91"/>
        <v>1.1999999999999993</v>
      </c>
      <c r="AU40" s="14">
        <f t="shared" si="91"/>
        <v>0</v>
      </c>
      <c r="AV40" s="14">
        <f t="shared" si="91"/>
        <v>0</v>
      </c>
      <c r="AW40" s="385">
        <f t="shared" si="74"/>
        <v>342.9</v>
      </c>
      <c r="AX40">
        <f t="shared" si="85"/>
        <v>2015</v>
      </c>
      <c r="AY40" s="14">
        <f t="shared" si="92"/>
        <v>0</v>
      </c>
      <c r="AZ40" s="14">
        <f t="shared" si="92"/>
        <v>0</v>
      </c>
      <c r="BA40" s="14">
        <f t="shared" si="92"/>
        <v>0</v>
      </c>
      <c r="BB40" s="14">
        <f t="shared" si="92"/>
        <v>0</v>
      </c>
      <c r="BC40" s="14">
        <f t="shared" si="92"/>
        <v>35.1</v>
      </c>
      <c r="BD40" s="14">
        <f t="shared" si="92"/>
        <v>56.3</v>
      </c>
      <c r="BE40" s="14">
        <f t="shared" si="92"/>
        <v>182.9</v>
      </c>
      <c r="BF40" s="14">
        <f t="shared" si="92"/>
        <v>148.70000000000002</v>
      </c>
      <c r="BG40" s="14">
        <f t="shared" si="92"/>
        <v>128.10000000000002</v>
      </c>
      <c r="BH40" s="14">
        <f t="shared" si="92"/>
        <v>4.2999999999999972</v>
      </c>
      <c r="BI40" s="14">
        <f t="shared" si="92"/>
        <v>0.10000000000000142</v>
      </c>
      <c r="BJ40" s="14">
        <f t="shared" si="92"/>
        <v>0</v>
      </c>
      <c r="BL40">
        <f t="shared" si="86"/>
        <v>2015</v>
      </c>
      <c r="BM40" s="14">
        <f t="shared" si="93"/>
        <v>0</v>
      </c>
      <c r="BN40" s="14">
        <f t="shared" si="93"/>
        <v>0</v>
      </c>
      <c r="BO40" s="14">
        <f t="shared" si="93"/>
        <v>0</v>
      </c>
      <c r="BP40" s="14">
        <f t="shared" si="93"/>
        <v>1.5999999999999996</v>
      </c>
      <c r="BQ40" s="14">
        <f t="shared" si="93"/>
        <v>60.8</v>
      </c>
      <c r="BR40" s="14">
        <f t="shared" si="93"/>
        <v>98.000000000000028</v>
      </c>
      <c r="BS40" s="14">
        <f t="shared" si="93"/>
        <v>244.9</v>
      </c>
      <c r="BT40" s="14">
        <f t="shared" si="93"/>
        <v>210.70000000000002</v>
      </c>
      <c r="BU40" s="14">
        <f t="shared" si="93"/>
        <v>181</v>
      </c>
      <c r="BV40" s="14">
        <f t="shared" si="93"/>
        <v>14.399999999999997</v>
      </c>
      <c r="BW40" s="14">
        <f t="shared" si="93"/>
        <v>4.0000000000000018</v>
      </c>
      <c r="BX40" s="14">
        <f t="shared" si="93"/>
        <v>0</v>
      </c>
      <c r="BZ40">
        <f t="shared" si="87"/>
        <v>2015</v>
      </c>
      <c r="CA40" s="14">
        <f t="shared" si="80"/>
        <v>0</v>
      </c>
      <c r="CB40" s="14">
        <f t="shared" si="77"/>
        <v>0</v>
      </c>
      <c r="CC40" s="14">
        <f t="shared" si="77"/>
        <v>0</v>
      </c>
      <c r="CD40" s="14">
        <f t="shared" si="77"/>
        <v>7.8000000000000007</v>
      </c>
      <c r="CE40" s="14">
        <f t="shared" si="77"/>
        <v>96.90000000000002</v>
      </c>
      <c r="CF40" s="14">
        <f t="shared" si="77"/>
        <v>150.10000000000005</v>
      </c>
      <c r="CG40" s="14">
        <f t="shared" si="77"/>
        <v>306.90000000000003</v>
      </c>
      <c r="CH40" s="14">
        <f t="shared" si="77"/>
        <v>272.70000000000005</v>
      </c>
      <c r="CI40" s="14">
        <f t="shared" si="77"/>
        <v>240.9</v>
      </c>
      <c r="CJ40" s="14">
        <f t="shared" si="77"/>
        <v>38.999999999999993</v>
      </c>
      <c r="CK40" s="14">
        <f t="shared" si="77"/>
        <v>11.9</v>
      </c>
      <c r="CL40" s="14">
        <f t="shared" si="77"/>
        <v>0</v>
      </c>
      <c r="CN40">
        <f t="shared" si="88"/>
        <v>2015</v>
      </c>
      <c r="CO40" s="14">
        <f t="shared" si="81"/>
        <v>0</v>
      </c>
      <c r="CP40" s="14">
        <f t="shared" si="81"/>
        <v>0</v>
      </c>
      <c r="CQ40" s="14">
        <f t="shared" si="81"/>
        <v>0</v>
      </c>
      <c r="CR40" s="14">
        <f t="shared" si="81"/>
        <v>20.6</v>
      </c>
      <c r="CS40" s="14">
        <f t="shared" si="81"/>
        <v>145.20000000000002</v>
      </c>
      <c r="CT40" s="14">
        <f t="shared" si="81"/>
        <v>206.60000000000002</v>
      </c>
      <c r="CU40" s="14">
        <f t="shared" si="81"/>
        <v>368.90000000000003</v>
      </c>
      <c r="CV40" s="14">
        <f t="shared" si="81"/>
        <v>334.7000000000001</v>
      </c>
      <c r="CW40" s="14">
        <f t="shared" si="81"/>
        <v>300.90000000000003</v>
      </c>
      <c r="CX40" s="14">
        <f t="shared" si="81"/>
        <v>76.100000000000023</v>
      </c>
      <c r="CY40" s="14">
        <f t="shared" si="81"/>
        <v>29.1</v>
      </c>
      <c r="CZ40" s="14">
        <f t="shared" si="81"/>
        <v>1.5</v>
      </c>
      <c r="DB40">
        <f t="shared" si="89"/>
        <v>2015</v>
      </c>
      <c r="DC40" s="14">
        <f t="shared" si="82"/>
        <v>0</v>
      </c>
      <c r="DD40" s="14">
        <f t="shared" si="82"/>
        <v>0</v>
      </c>
      <c r="DE40" s="14">
        <f t="shared" si="82"/>
        <v>0</v>
      </c>
      <c r="DF40" s="14">
        <f t="shared" si="82"/>
        <v>39.799999999999997</v>
      </c>
      <c r="DG40" s="14">
        <f t="shared" si="82"/>
        <v>203.09999999999997</v>
      </c>
      <c r="DH40" s="14">
        <f t="shared" si="82"/>
        <v>266.60000000000002</v>
      </c>
      <c r="DI40" s="14">
        <f t="shared" si="82"/>
        <v>430.90000000000003</v>
      </c>
      <c r="DJ40" s="14">
        <f t="shared" si="82"/>
        <v>396.7000000000001</v>
      </c>
      <c r="DK40" s="14">
        <f t="shared" si="82"/>
        <v>360.90000000000009</v>
      </c>
      <c r="DL40" s="14">
        <f t="shared" si="82"/>
        <v>122.50000000000003</v>
      </c>
      <c r="DM40" s="14">
        <f t="shared" si="82"/>
        <v>55.70000000000001</v>
      </c>
      <c r="DN40" s="14">
        <f t="shared" si="82"/>
        <v>12.400000000000002</v>
      </c>
    </row>
    <row r="41" spans="1:139" x14ac:dyDescent="0.2">
      <c r="A41" s="9">
        <v>37347</v>
      </c>
      <c r="B41">
        <v>2002</v>
      </c>
      <c r="C41">
        <v>4</v>
      </c>
      <c r="D41" s="14">
        <v>7.2500000000000009</v>
      </c>
      <c r="E41" s="14">
        <v>383.8</v>
      </c>
      <c r="F41" s="14">
        <v>1.3000000000000007</v>
      </c>
      <c r="G41" s="14">
        <v>325.8</v>
      </c>
      <c r="H41" s="14">
        <v>3.3000000000000007</v>
      </c>
      <c r="I41" s="14">
        <v>268.39999999999998</v>
      </c>
      <c r="J41" s="14">
        <v>5.9000000000000021</v>
      </c>
      <c r="K41" s="14">
        <v>216</v>
      </c>
      <c r="L41" s="14">
        <v>13.500000000000002</v>
      </c>
      <c r="M41" s="14">
        <v>168.00000000000003</v>
      </c>
      <c r="N41" s="14">
        <v>25.5</v>
      </c>
      <c r="O41" s="14">
        <v>120.10000000000001</v>
      </c>
      <c r="P41" s="14">
        <v>37.6</v>
      </c>
      <c r="Q41" s="14">
        <v>77.800000000000011</v>
      </c>
      <c r="R41" s="14">
        <v>55.3</v>
      </c>
      <c r="U41">
        <f t="shared" si="83"/>
        <v>2016</v>
      </c>
      <c r="V41" s="14">
        <f t="shared" si="90"/>
        <v>0</v>
      </c>
      <c r="W41" s="14">
        <f t="shared" si="90"/>
        <v>0</v>
      </c>
      <c r="X41" s="14">
        <f t="shared" si="90"/>
        <v>0</v>
      </c>
      <c r="Y41" s="14">
        <f t="shared" si="90"/>
        <v>0</v>
      </c>
      <c r="Z41" s="14">
        <f t="shared" si="90"/>
        <v>13.599999999999998</v>
      </c>
      <c r="AA41" s="14">
        <f t="shared" si="90"/>
        <v>34.6</v>
      </c>
      <c r="AB41" s="14">
        <f t="shared" si="90"/>
        <v>95.800000000000026</v>
      </c>
      <c r="AC41" s="14">
        <f t="shared" si="90"/>
        <v>115.89999999999998</v>
      </c>
      <c r="AD41" s="14">
        <f t="shared" si="90"/>
        <v>42.800000000000011</v>
      </c>
      <c r="AE41" s="14">
        <f t="shared" si="90"/>
        <v>1.7999999999999972</v>
      </c>
      <c r="AF41" s="14">
        <f t="shared" si="90"/>
        <v>0</v>
      </c>
      <c r="AG41" s="14">
        <f t="shared" si="90"/>
        <v>0</v>
      </c>
      <c r="AJ41">
        <f t="shared" si="84"/>
        <v>2016</v>
      </c>
      <c r="AK41" s="14">
        <f t="shared" si="91"/>
        <v>0</v>
      </c>
      <c r="AL41" s="14">
        <f t="shared" si="91"/>
        <v>0</v>
      </c>
      <c r="AM41" s="14">
        <f t="shared" si="91"/>
        <v>0</v>
      </c>
      <c r="AN41" s="14">
        <f t="shared" si="91"/>
        <v>0</v>
      </c>
      <c r="AO41" s="14">
        <f t="shared" si="91"/>
        <v>28.099999999999998</v>
      </c>
      <c r="AP41" s="14">
        <f t="shared" si="91"/>
        <v>68.099999999999994</v>
      </c>
      <c r="AQ41" s="14">
        <f t="shared" si="91"/>
        <v>152.60000000000002</v>
      </c>
      <c r="AR41" s="14">
        <f t="shared" si="91"/>
        <v>177.79999999999998</v>
      </c>
      <c r="AS41" s="14">
        <f t="shared" si="91"/>
        <v>76.40000000000002</v>
      </c>
      <c r="AT41" s="14">
        <f t="shared" si="91"/>
        <v>8.1000000000000014</v>
      </c>
      <c r="AU41" s="14">
        <f t="shared" si="91"/>
        <v>0</v>
      </c>
      <c r="AV41" s="14">
        <f t="shared" si="91"/>
        <v>0</v>
      </c>
      <c r="AW41" s="385">
        <f t="shared" si="74"/>
        <v>511.10000000000008</v>
      </c>
      <c r="AX41">
        <f t="shared" si="85"/>
        <v>2016</v>
      </c>
      <c r="AY41" s="14">
        <f t="shared" si="92"/>
        <v>0</v>
      </c>
      <c r="AZ41" s="14">
        <f t="shared" si="92"/>
        <v>0</v>
      </c>
      <c r="BA41" s="14">
        <f t="shared" si="92"/>
        <v>0</v>
      </c>
      <c r="BB41" s="14">
        <f t="shared" si="92"/>
        <v>0.80000000000000071</v>
      </c>
      <c r="BC41" s="14">
        <f t="shared" si="92"/>
        <v>47.699999999999989</v>
      </c>
      <c r="BD41" s="14">
        <f t="shared" si="92"/>
        <v>110.1</v>
      </c>
      <c r="BE41" s="14">
        <f t="shared" si="92"/>
        <v>214.50000000000003</v>
      </c>
      <c r="BF41" s="14">
        <f t="shared" si="92"/>
        <v>239.79999999999998</v>
      </c>
      <c r="BG41" s="14">
        <f t="shared" si="92"/>
        <v>124.7</v>
      </c>
      <c r="BH41" s="14">
        <f t="shared" si="92"/>
        <v>24.799999999999997</v>
      </c>
      <c r="BI41" s="14">
        <f t="shared" si="92"/>
        <v>0</v>
      </c>
      <c r="BJ41" s="14">
        <f t="shared" si="92"/>
        <v>0</v>
      </c>
      <c r="BL41">
        <f t="shared" si="86"/>
        <v>2016</v>
      </c>
      <c r="BM41" s="14">
        <f t="shared" si="93"/>
        <v>0</v>
      </c>
      <c r="BN41" s="14">
        <f t="shared" si="93"/>
        <v>0</v>
      </c>
      <c r="BO41" s="14">
        <f t="shared" si="93"/>
        <v>0</v>
      </c>
      <c r="BP41" s="14">
        <f t="shared" si="93"/>
        <v>2.8000000000000007</v>
      </c>
      <c r="BQ41" s="14">
        <f t="shared" si="93"/>
        <v>70.599999999999994</v>
      </c>
      <c r="BR41" s="14">
        <f t="shared" si="93"/>
        <v>163.6</v>
      </c>
      <c r="BS41" s="14">
        <f t="shared" si="93"/>
        <v>276.5</v>
      </c>
      <c r="BT41" s="14">
        <f t="shared" si="93"/>
        <v>301.80000000000007</v>
      </c>
      <c r="BU41" s="14">
        <f t="shared" si="93"/>
        <v>181</v>
      </c>
      <c r="BV41" s="14">
        <f t="shared" si="93"/>
        <v>52.699999999999989</v>
      </c>
      <c r="BW41" s="14">
        <f t="shared" si="93"/>
        <v>1.9000000000000004</v>
      </c>
      <c r="BX41" s="14">
        <f t="shared" si="93"/>
        <v>0</v>
      </c>
      <c r="BZ41">
        <f t="shared" si="87"/>
        <v>2016</v>
      </c>
      <c r="CA41" s="14">
        <f t="shared" si="80"/>
        <v>0</v>
      </c>
      <c r="CB41" s="14">
        <f t="shared" si="77"/>
        <v>0</v>
      </c>
      <c r="CC41" s="14">
        <f t="shared" si="77"/>
        <v>1.8000000000000007</v>
      </c>
      <c r="CD41" s="14">
        <f t="shared" si="77"/>
        <v>5.9</v>
      </c>
      <c r="CE41" s="14">
        <f t="shared" si="77"/>
        <v>99.899999999999991</v>
      </c>
      <c r="CF41" s="14">
        <f t="shared" si="77"/>
        <v>221.60000000000002</v>
      </c>
      <c r="CG41" s="14">
        <f t="shared" si="77"/>
        <v>338.49999999999994</v>
      </c>
      <c r="CH41" s="14">
        <f t="shared" si="77"/>
        <v>363.80000000000007</v>
      </c>
      <c r="CI41" s="14">
        <f t="shared" si="77"/>
        <v>240.9</v>
      </c>
      <c r="CJ41" s="14">
        <f t="shared" si="77"/>
        <v>87.600000000000009</v>
      </c>
      <c r="CK41" s="14">
        <f t="shared" si="77"/>
        <v>8.3999999999999986</v>
      </c>
      <c r="CL41" s="14">
        <f t="shared" si="77"/>
        <v>0</v>
      </c>
      <c r="CN41">
        <f t="shared" si="88"/>
        <v>2016</v>
      </c>
      <c r="CO41" s="14">
        <f t="shared" si="81"/>
        <v>0</v>
      </c>
      <c r="CP41" s="14">
        <f t="shared" si="81"/>
        <v>0.19999999999999929</v>
      </c>
      <c r="CQ41" s="14">
        <f t="shared" si="81"/>
        <v>5.3000000000000007</v>
      </c>
      <c r="CR41" s="14">
        <f t="shared" si="81"/>
        <v>11.700000000000001</v>
      </c>
      <c r="CS41" s="14">
        <f t="shared" si="81"/>
        <v>137.30000000000001</v>
      </c>
      <c r="CT41" s="14">
        <f t="shared" si="81"/>
        <v>281.60000000000008</v>
      </c>
      <c r="CU41" s="14">
        <f t="shared" si="81"/>
        <v>400.49999999999983</v>
      </c>
      <c r="CV41" s="14">
        <f t="shared" si="81"/>
        <v>425.80000000000007</v>
      </c>
      <c r="CW41" s="14">
        <f t="shared" si="81"/>
        <v>300.89999999999992</v>
      </c>
      <c r="CX41" s="14">
        <f t="shared" si="81"/>
        <v>126.10000000000001</v>
      </c>
      <c r="CY41" s="14">
        <f t="shared" si="81"/>
        <v>23.099999999999998</v>
      </c>
      <c r="CZ41" s="14">
        <f t="shared" si="81"/>
        <v>0</v>
      </c>
      <c r="DB41">
        <f t="shared" si="89"/>
        <v>2016</v>
      </c>
      <c r="DC41" s="14">
        <f t="shared" si="82"/>
        <v>0</v>
      </c>
      <c r="DD41" s="14">
        <f t="shared" si="82"/>
        <v>2.8999999999999986</v>
      </c>
      <c r="DE41" s="14">
        <f t="shared" si="82"/>
        <v>13.100000000000001</v>
      </c>
      <c r="DF41" s="14">
        <f t="shared" si="82"/>
        <v>22.700000000000003</v>
      </c>
      <c r="DG41" s="14">
        <f t="shared" si="82"/>
        <v>186.50000000000003</v>
      </c>
      <c r="DH41" s="14">
        <f t="shared" si="82"/>
        <v>341.6</v>
      </c>
      <c r="DI41" s="14">
        <f t="shared" si="82"/>
        <v>462.49999999999989</v>
      </c>
      <c r="DJ41" s="14">
        <f t="shared" si="82"/>
        <v>487.80000000000007</v>
      </c>
      <c r="DK41" s="14">
        <f t="shared" si="82"/>
        <v>360.89999999999992</v>
      </c>
      <c r="DL41" s="14">
        <f t="shared" si="82"/>
        <v>172.3</v>
      </c>
      <c r="DM41" s="14">
        <f t="shared" si="82"/>
        <v>52.900000000000006</v>
      </c>
      <c r="DN41" s="14">
        <f t="shared" si="82"/>
        <v>0</v>
      </c>
      <c r="EE41" t="s">
        <v>165</v>
      </c>
    </row>
    <row r="42" spans="1:139" x14ac:dyDescent="0.2">
      <c r="A42" s="9">
        <v>37377</v>
      </c>
      <c r="B42">
        <v>2002</v>
      </c>
      <c r="C42">
        <v>5</v>
      </c>
      <c r="D42" s="14">
        <v>10.848387096774193</v>
      </c>
      <c r="E42" s="14">
        <v>285.59999999999997</v>
      </c>
      <c r="F42" s="14">
        <v>1.8999999999999986</v>
      </c>
      <c r="G42" s="14">
        <v>227.70000000000005</v>
      </c>
      <c r="H42" s="14">
        <v>6</v>
      </c>
      <c r="I42" s="14">
        <v>171.70000000000007</v>
      </c>
      <c r="J42" s="14">
        <v>12</v>
      </c>
      <c r="K42" s="14">
        <v>117.00000000000001</v>
      </c>
      <c r="L42" s="14">
        <v>19.299999999999997</v>
      </c>
      <c r="M42" s="14">
        <v>74.200000000000017</v>
      </c>
      <c r="N42" s="14">
        <v>38.5</v>
      </c>
      <c r="O42" s="14">
        <v>40.599999999999994</v>
      </c>
      <c r="P42" s="14">
        <v>66.900000000000006</v>
      </c>
      <c r="Q42" s="14">
        <v>13.5</v>
      </c>
      <c r="R42" s="14">
        <v>101.80000000000001</v>
      </c>
      <c r="U42">
        <f t="shared" si="83"/>
        <v>2017</v>
      </c>
      <c r="V42" s="14">
        <f t="shared" si="90"/>
        <v>0</v>
      </c>
      <c r="W42" s="14">
        <f t="shared" si="90"/>
        <v>0</v>
      </c>
      <c r="X42" s="14">
        <f t="shared" si="90"/>
        <v>0</v>
      </c>
      <c r="Y42" s="14">
        <f t="shared" si="90"/>
        <v>0</v>
      </c>
      <c r="Z42" s="14">
        <f t="shared" si="90"/>
        <v>3.8999999999999986</v>
      </c>
      <c r="AA42" s="14">
        <f t="shared" si="90"/>
        <v>36.5</v>
      </c>
      <c r="AB42" s="14">
        <f t="shared" si="90"/>
        <v>56.9</v>
      </c>
      <c r="AC42" s="14">
        <f t="shared" si="90"/>
        <v>42.8</v>
      </c>
      <c r="AD42" s="14">
        <f t="shared" si="90"/>
        <v>30.500000000000004</v>
      </c>
      <c r="AE42" s="14">
        <f t="shared" si="90"/>
        <v>2.1999999999999993</v>
      </c>
      <c r="AF42" s="14">
        <f t="shared" si="90"/>
        <v>0</v>
      </c>
      <c r="AG42" s="14">
        <f t="shared" si="90"/>
        <v>0</v>
      </c>
      <c r="AJ42">
        <f t="shared" si="84"/>
        <v>2017</v>
      </c>
      <c r="AK42" s="14">
        <f t="shared" si="91"/>
        <v>0</v>
      </c>
      <c r="AL42" s="14">
        <f t="shared" si="91"/>
        <v>0</v>
      </c>
      <c r="AM42" s="14">
        <f t="shared" si="91"/>
        <v>0</v>
      </c>
      <c r="AN42" s="14">
        <f t="shared" si="91"/>
        <v>0</v>
      </c>
      <c r="AO42" s="14">
        <f t="shared" si="91"/>
        <v>7.7999999999999972</v>
      </c>
      <c r="AP42" s="14">
        <f t="shared" si="91"/>
        <v>68.399999999999991</v>
      </c>
      <c r="AQ42" s="14">
        <f t="shared" si="91"/>
        <v>113.49999999999997</v>
      </c>
      <c r="AR42" s="14">
        <f t="shared" si="91"/>
        <v>85.4</v>
      </c>
      <c r="AS42" s="14">
        <f t="shared" si="91"/>
        <v>60</v>
      </c>
      <c r="AT42" s="14">
        <f t="shared" si="91"/>
        <v>9.6999999999999993</v>
      </c>
      <c r="AU42" s="14">
        <f t="shared" si="91"/>
        <v>0</v>
      </c>
      <c r="AV42" s="14">
        <f t="shared" si="91"/>
        <v>0</v>
      </c>
      <c r="AW42" s="385">
        <f t="shared" si="74"/>
        <v>344.79999999999995</v>
      </c>
      <c r="AX42">
        <f t="shared" si="85"/>
        <v>2017</v>
      </c>
      <c r="AY42" s="14">
        <f t="shared" si="92"/>
        <v>0</v>
      </c>
      <c r="AZ42" s="14">
        <f t="shared" si="92"/>
        <v>0</v>
      </c>
      <c r="BA42" s="14">
        <f t="shared" si="92"/>
        <v>0</v>
      </c>
      <c r="BB42" s="14">
        <f t="shared" si="92"/>
        <v>0.89999999999999858</v>
      </c>
      <c r="BC42" s="14">
        <f t="shared" si="92"/>
        <v>17.299999999999997</v>
      </c>
      <c r="BD42" s="14">
        <f t="shared" si="92"/>
        <v>107.99999999999999</v>
      </c>
      <c r="BE42" s="14">
        <f t="shared" si="92"/>
        <v>175.5</v>
      </c>
      <c r="BF42" s="14">
        <f t="shared" si="92"/>
        <v>140.19999999999999</v>
      </c>
      <c r="BG42" s="14">
        <f t="shared" si="92"/>
        <v>96.9</v>
      </c>
      <c r="BH42" s="14">
        <f t="shared" si="92"/>
        <v>33.599999999999994</v>
      </c>
      <c r="BI42" s="14">
        <f t="shared" si="92"/>
        <v>0</v>
      </c>
      <c r="BJ42" s="14">
        <f t="shared" si="92"/>
        <v>0</v>
      </c>
      <c r="BL42">
        <f t="shared" si="86"/>
        <v>2017</v>
      </c>
      <c r="BM42" s="14">
        <f t="shared" si="93"/>
        <v>0</v>
      </c>
      <c r="BN42" s="14">
        <f t="shared" si="93"/>
        <v>0</v>
      </c>
      <c r="BO42" s="14">
        <f t="shared" si="93"/>
        <v>0</v>
      </c>
      <c r="BP42" s="14">
        <f t="shared" si="93"/>
        <v>4.6999999999999993</v>
      </c>
      <c r="BQ42" s="14">
        <f t="shared" si="93"/>
        <v>29.9</v>
      </c>
      <c r="BR42" s="14">
        <f t="shared" si="93"/>
        <v>159.10000000000002</v>
      </c>
      <c r="BS42" s="14">
        <f t="shared" si="93"/>
        <v>237.5</v>
      </c>
      <c r="BT42" s="14">
        <f t="shared" si="93"/>
        <v>202.19999999999996</v>
      </c>
      <c r="BU42" s="14">
        <f t="shared" si="93"/>
        <v>142.4</v>
      </c>
      <c r="BV42" s="14">
        <f t="shared" si="93"/>
        <v>67.900000000000006</v>
      </c>
      <c r="BW42" s="14">
        <f t="shared" si="93"/>
        <v>0</v>
      </c>
      <c r="BX42" s="14">
        <f t="shared" si="93"/>
        <v>0</v>
      </c>
      <c r="BZ42">
        <f t="shared" si="87"/>
        <v>2017</v>
      </c>
      <c r="CA42" s="14">
        <f t="shared" si="80"/>
        <v>0</v>
      </c>
      <c r="CB42" s="14">
        <f t="shared" si="77"/>
        <v>0</v>
      </c>
      <c r="CC42" s="14">
        <f t="shared" si="77"/>
        <v>0</v>
      </c>
      <c r="CD42" s="14">
        <f t="shared" si="77"/>
        <v>15</v>
      </c>
      <c r="CE42" s="14">
        <f t="shared" si="77"/>
        <v>51.199999999999996</v>
      </c>
      <c r="CF42" s="14">
        <f t="shared" si="77"/>
        <v>219.10000000000002</v>
      </c>
      <c r="CG42" s="14">
        <f t="shared" si="77"/>
        <v>299.50000000000006</v>
      </c>
      <c r="CH42" s="14">
        <f t="shared" si="77"/>
        <v>264.2</v>
      </c>
      <c r="CI42" s="14">
        <f t="shared" si="77"/>
        <v>199.29999999999998</v>
      </c>
      <c r="CJ42" s="14">
        <f t="shared" si="77"/>
        <v>108.7</v>
      </c>
      <c r="CK42" s="14">
        <f t="shared" si="77"/>
        <v>0.19999999999999929</v>
      </c>
      <c r="CL42" s="14">
        <f t="shared" si="77"/>
        <v>0</v>
      </c>
      <c r="CN42">
        <f t="shared" si="88"/>
        <v>2017</v>
      </c>
      <c r="CO42" s="14">
        <f t="shared" si="81"/>
        <v>0</v>
      </c>
      <c r="CP42" s="14">
        <f t="shared" si="81"/>
        <v>0.5</v>
      </c>
      <c r="CQ42" s="14">
        <f t="shared" si="81"/>
        <v>0.19999999999999929</v>
      </c>
      <c r="CR42" s="14">
        <f t="shared" si="81"/>
        <v>33.700000000000003</v>
      </c>
      <c r="CS42" s="14">
        <f t="shared" si="81"/>
        <v>81</v>
      </c>
      <c r="CT42" s="14">
        <f t="shared" si="81"/>
        <v>279.10000000000002</v>
      </c>
      <c r="CU42" s="14">
        <f t="shared" si="81"/>
        <v>361.50000000000011</v>
      </c>
      <c r="CV42" s="14">
        <f t="shared" si="81"/>
        <v>326.2</v>
      </c>
      <c r="CW42" s="14">
        <f t="shared" si="81"/>
        <v>258.29999999999995</v>
      </c>
      <c r="CX42" s="14">
        <f t="shared" si="81"/>
        <v>156.69999999999996</v>
      </c>
      <c r="CY42" s="14">
        <f t="shared" si="81"/>
        <v>3.8999999999999986</v>
      </c>
      <c r="CZ42" s="14">
        <f t="shared" si="81"/>
        <v>0</v>
      </c>
      <c r="DB42">
        <f t="shared" si="89"/>
        <v>2017</v>
      </c>
      <c r="DC42" s="14">
        <f t="shared" si="82"/>
        <v>0</v>
      </c>
      <c r="DD42" s="14">
        <f t="shared" si="82"/>
        <v>2.5999999999999996</v>
      </c>
      <c r="DE42" s="14">
        <f t="shared" si="82"/>
        <v>3.4999999999999982</v>
      </c>
      <c r="DF42" s="14">
        <f t="shared" si="82"/>
        <v>57.4</v>
      </c>
      <c r="DG42" s="14">
        <f t="shared" si="82"/>
        <v>124.1</v>
      </c>
      <c r="DH42" s="14">
        <f t="shared" si="82"/>
        <v>339.09999999999997</v>
      </c>
      <c r="DI42" s="14">
        <f t="shared" si="82"/>
        <v>423.50000000000011</v>
      </c>
      <c r="DJ42" s="14">
        <f t="shared" si="82"/>
        <v>388.2</v>
      </c>
      <c r="DK42" s="14">
        <f t="shared" si="82"/>
        <v>318.3</v>
      </c>
      <c r="DL42" s="14">
        <f t="shared" si="82"/>
        <v>208.49999999999994</v>
      </c>
      <c r="DM42" s="14">
        <f t="shared" si="82"/>
        <v>11.099999999999998</v>
      </c>
      <c r="DN42" s="14">
        <f t="shared" si="82"/>
        <v>0</v>
      </c>
      <c r="EE42" t="s">
        <v>75</v>
      </c>
      <c r="EF42">
        <v>37609716338601.5</v>
      </c>
      <c r="EG42" t="s">
        <v>76</v>
      </c>
      <c r="EH42">
        <v>566966.10744963796</v>
      </c>
    </row>
    <row r="43" spans="1:139" x14ac:dyDescent="0.2">
      <c r="A43" s="9">
        <v>37408</v>
      </c>
      <c r="B43">
        <v>2002</v>
      </c>
      <c r="C43">
        <v>6</v>
      </c>
      <c r="D43" s="14">
        <v>18.54333333333334</v>
      </c>
      <c r="E43" s="14">
        <v>81.000000000000014</v>
      </c>
      <c r="F43" s="14">
        <v>37.300000000000004</v>
      </c>
      <c r="G43" s="14">
        <v>47.499999999999993</v>
      </c>
      <c r="H43" s="14">
        <v>63.800000000000004</v>
      </c>
      <c r="I43" s="14">
        <v>22.1</v>
      </c>
      <c r="J43" s="14">
        <v>98.4</v>
      </c>
      <c r="K43" s="14">
        <v>9.8999999999999986</v>
      </c>
      <c r="L43" s="14">
        <v>146.19999999999999</v>
      </c>
      <c r="M43" s="14">
        <v>3.6999999999999993</v>
      </c>
      <c r="N43" s="14">
        <v>199.99999999999997</v>
      </c>
      <c r="O43" s="14">
        <v>0.19999999999999929</v>
      </c>
      <c r="P43" s="14">
        <v>256.49999999999994</v>
      </c>
      <c r="Q43" s="14">
        <v>0</v>
      </c>
      <c r="R43" s="14">
        <v>316.3</v>
      </c>
      <c r="U43">
        <f t="shared" si="83"/>
        <v>2018</v>
      </c>
      <c r="V43" s="14">
        <f t="shared" si="90"/>
        <v>0</v>
      </c>
      <c r="W43" s="14">
        <f t="shared" si="90"/>
        <v>0</v>
      </c>
      <c r="X43" s="14">
        <f t="shared" si="90"/>
        <v>0</v>
      </c>
      <c r="Y43" s="14">
        <f t="shared" si="90"/>
        <v>0</v>
      </c>
      <c r="Z43" s="14">
        <f t="shared" si="90"/>
        <v>12.3</v>
      </c>
      <c r="AA43" s="14">
        <f t="shared" si="90"/>
        <v>35.5</v>
      </c>
      <c r="AB43" s="14">
        <f t="shared" si="90"/>
        <v>102.69999999999999</v>
      </c>
      <c r="AC43" s="14">
        <f t="shared" si="90"/>
        <v>107.60000000000002</v>
      </c>
      <c r="AD43" s="14">
        <f t="shared" si="90"/>
        <v>40.599999999999994</v>
      </c>
      <c r="AE43" s="14">
        <f t="shared" si="90"/>
        <v>5.5</v>
      </c>
      <c r="AF43" s="14">
        <f t="shared" si="90"/>
        <v>0</v>
      </c>
      <c r="AG43" s="14">
        <f t="shared" si="90"/>
        <v>0</v>
      </c>
      <c r="AJ43">
        <f t="shared" si="84"/>
        <v>2018</v>
      </c>
      <c r="AK43" s="14">
        <f t="shared" si="91"/>
        <v>0</v>
      </c>
      <c r="AL43" s="14">
        <f t="shared" si="91"/>
        <v>0</v>
      </c>
      <c r="AM43" s="14">
        <f t="shared" si="91"/>
        <v>0</v>
      </c>
      <c r="AN43" s="14">
        <f t="shared" si="91"/>
        <v>0</v>
      </c>
      <c r="AO43" s="14">
        <f t="shared" si="91"/>
        <v>28.2</v>
      </c>
      <c r="AP43" s="14">
        <f t="shared" si="91"/>
        <v>57.800000000000004</v>
      </c>
      <c r="AQ43" s="14">
        <f t="shared" si="91"/>
        <v>164.19999999999996</v>
      </c>
      <c r="AR43" s="14">
        <f t="shared" si="91"/>
        <v>165.10000000000002</v>
      </c>
      <c r="AS43" s="14">
        <f t="shared" si="91"/>
        <v>71.199999999999989</v>
      </c>
      <c r="AT43" s="14">
        <f t="shared" si="91"/>
        <v>9.5</v>
      </c>
      <c r="AU43" s="14">
        <f t="shared" si="91"/>
        <v>0</v>
      </c>
      <c r="AV43" s="14">
        <f t="shared" si="91"/>
        <v>0</v>
      </c>
      <c r="AW43" s="385">
        <f t="shared" si="74"/>
        <v>495.99999999999994</v>
      </c>
      <c r="AX43">
        <f t="shared" si="85"/>
        <v>2018</v>
      </c>
      <c r="AY43" s="14">
        <f t="shared" si="92"/>
        <v>0</v>
      </c>
      <c r="AZ43" s="14">
        <f t="shared" si="92"/>
        <v>0</v>
      </c>
      <c r="BA43" s="14">
        <f t="shared" si="92"/>
        <v>0</v>
      </c>
      <c r="BB43" s="14">
        <f t="shared" si="92"/>
        <v>0</v>
      </c>
      <c r="BC43" s="14">
        <f t="shared" si="92"/>
        <v>48.5</v>
      </c>
      <c r="BD43" s="14">
        <f t="shared" si="92"/>
        <v>95.899999999999977</v>
      </c>
      <c r="BE43" s="14">
        <f t="shared" si="92"/>
        <v>226.19999999999996</v>
      </c>
      <c r="BF43" s="14">
        <f t="shared" si="92"/>
        <v>225.8</v>
      </c>
      <c r="BG43" s="14">
        <f t="shared" si="92"/>
        <v>114.70000000000003</v>
      </c>
      <c r="BH43" s="14">
        <f t="shared" si="92"/>
        <v>16.2</v>
      </c>
      <c r="BI43" s="14">
        <f t="shared" si="92"/>
        <v>0</v>
      </c>
      <c r="BJ43" s="14">
        <f t="shared" si="92"/>
        <v>0</v>
      </c>
      <c r="BL43">
        <f t="shared" si="86"/>
        <v>2018</v>
      </c>
      <c r="BM43" s="14">
        <f t="shared" si="93"/>
        <v>0</v>
      </c>
      <c r="BN43" s="14">
        <f t="shared" si="93"/>
        <v>0</v>
      </c>
      <c r="BO43" s="14">
        <f t="shared" si="93"/>
        <v>0</v>
      </c>
      <c r="BP43" s="14">
        <f t="shared" si="93"/>
        <v>0</v>
      </c>
      <c r="BQ43" s="14">
        <f t="shared" si="93"/>
        <v>74.999999999999986</v>
      </c>
      <c r="BR43" s="14">
        <f t="shared" si="93"/>
        <v>151.49999999999997</v>
      </c>
      <c r="BS43" s="14">
        <f t="shared" si="93"/>
        <v>288.2</v>
      </c>
      <c r="BT43" s="14">
        <f t="shared" si="93"/>
        <v>287.79999999999995</v>
      </c>
      <c r="BU43" s="14">
        <f t="shared" si="93"/>
        <v>165.40000000000003</v>
      </c>
      <c r="BV43" s="14">
        <f t="shared" si="93"/>
        <v>28.7</v>
      </c>
      <c r="BW43" s="14">
        <f t="shared" si="93"/>
        <v>0</v>
      </c>
      <c r="BX43" s="14">
        <f t="shared" si="93"/>
        <v>0</v>
      </c>
      <c r="BZ43">
        <f t="shared" si="87"/>
        <v>2018</v>
      </c>
      <c r="CA43" s="14">
        <f t="shared" si="80"/>
        <v>0</v>
      </c>
      <c r="CB43" s="14">
        <f t="shared" si="77"/>
        <v>0</v>
      </c>
      <c r="CC43" s="14">
        <f t="shared" si="77"/>
        <v>0</v>
      </c>
      <c r="CD43" s="14">
        <f t="shared" si="77"/>
        <v>0</v>
      </c>
      <c r="CE43" s="14">
        <f t="shared" si="77"/>
        <v>111.69999999999997</v>
      </c>
      <c r="CF43" s="14">
        <f t="shared" si="77"/>
        <v>210.90000000000006</v>
      </c>
      <c r="CG43" s="14">
        <f t="shared" si="77"/>
        <v>350.2</v>
      </c>
      <c r="CH43" s="14">
        <f t="shared" si="77"/>
        <v>349.79999999999995</v>
      </c>
      <c r="CI43" s="14">
        <f t="shared" si="77"/>
        <v>223.39999999999998</v>
      </c>
      <c r="CJ43" s="14">
        <f t="shared" si="77"/>
        <v>46.2</v>
      </c>
      <c r="CK43" s="14">
        <f t="shared" si="77"/>
        <v>0</v>
      </c>
      <c r="CL43" s="14">
        <f t="shared" si="77"/>
        <v>0</v>
      </c>
      <c r="CN43">
        <f t="shared" si="88"/>
        <v>2018</v>
      </c>
      <c r="CO43" s="14">
        <f t="shared" si="81"/>
        <v>0.19999999999999929</v>
      </c>
      <c r="CP43" s="14">
        <f t="shared" si="81"/>
        <v>0.40000000000000036</v>
      </c>
      <c r="CQ43" s="14">
        <f t="shared" si="81"/>
        <v>0</v>
      </c>
      <c r="CR43" s="14">
        <f t="shared" si="81"/>
        <v>1.5</v>
      </c>
      <c r="CS43" s="14">
        <f t="shared" si="81"/>
        <v>155.39999999999998</v>
      </c>
      <c r="CT43" s="14">
        <f t="shared" si="81"/>
        <v>270.90000000000009</v>
      </c>
      <c r="CU43" s="14">
        <f t="shared" si="81"/>
        <v>412.20000000000005</v>
      </c>
      <c r="CV43" s="14">
        <f t="shared" si="81"/>
        <v>411.7999999999999</v>
      </c>
      <c r="CW43" s="14">
        <f t="shared" si="81"/>
        <v>283.39999999999998</v>
      </c>
      <c r="CX43" s="14">
        <f t="shared" si="81"/>
        <v>70.2</v>
      </c>
      <c r="CY43" s="14">
        <f t="shared" si="81"/>
        <v>1.6999999999999993</v>
      </c>
      <c r="CZ43" s="14">
        <f t="shared" si="81"/>
        <v>0</v>
      </c>
      <c r="DB43">
        <f t="shared" si="89"/>
        <v>2018</v>
      </c>
      <c r="DC43" s="14">
        <f t="shared" si="82"/>
        <v>2.1999999999999993</v>
      </c>
      <c r="DD43" s="14">
        <f t="shared" si="82"/>
        <v>3.4000000000000004</v>
      </c>
      <c r="DE43" s="14">
        <f t="shared" si="82"/>
        <v>0</v>
      </c>
      <c r="DF43" s="14">
        <f t="shared" si="82"/>
        <v>8.1999999999999993</v>
      </c>
      <c r="DG43" s="14">
        <f t="shared" si="82"/>
        <v>211.20000000000002</v>
      </c>
      <c r="DH43" s="14">
        <f t="shared" si="82"/>
        <v>330.90000000000009</v>
      </c>
      <c r="DI43" s="14">
        <f t="shared" si="82"/>
        <v>474.2000000000001</v>
      </c>
      <c r="DJ43" s="14">
        <f t="shared" si="82"/>
        <v>473.7999999999999</v>
      </c>
      <c r="DK43" s="14">
        <f t="shared" si="82"/>
        <v>343.39999999999992</v>
      </c>
      <c r="DL43" s="14">
        <f t="shared" si="82"/>
        <v>102.60000000000001</v>
      </c>
      <c r="DM43" s="14">
        <f t="shared" si="82"/>
        <v>5.5</v>
      </c>
      <c r="DN43" s="14">
        <f t="shared" si="82"/>
        <v>0</v>
      </c>
      <c r="EE43" t="s">
        <v>77</v>
      </c>
      <c r="EF43">
        <v>0.75590344737563298</v>
      </c>
      <c r="EG43" t="s">
        <v>78</v>
      </c>
      <c r="EH43">
        <v>0.75173085673248097</v>
      </c>
    </row>
    <row r="44" spans="1:139" x14ac:dyDescent="0.2">
      <c r="A44" s="9">
        <v>37438</v>
      </c>
      <c r="B44">
        <v>2002</v>
      </c>
      <c r="C44">
        <v>7</v>
      </c>
      <c r="D44" s="14">
        <v>23.748387096774191</v>
      </c>
      <c r="E44" s="14">
        <v>6.1000000000000014</v>
      </c>
      <c r="F44" s="14">
        <v>122.29999999999998</v>
      </c>
      <c r="G44" s="14">
        <v>1</v>
      </c>
      <c r="H44" s="14">
        <v>179.20000000000005</v>
      </c>
      <c r="I44" s="14">
        <v>0</v>
      </c>
      <c r="J44" s="14">
        <v>240.20000000000005</v>
      </c>
      <c r="K44" s="14">
        <v>0</v>
      </c>
      <c r="L44" s="14">
        <v>302.20000000000005</v>
      </c>
      <c r="M44" s="14">
        <v>0</v>
      </c>
      <c r="N44" s="14">
        <v>364.19999999999993</v>
      </c>
      <c r="O44" s="14">
        <v>0</v>
      </c>
      <c r="P44" s="14">
        <v>426.2</v>
      </c>
      <c r="Q44" s="14">
        <v>0</v>
      </c>
      <c r="R44" s="14">
        <v>488.20000000000005</v>
      </c>
      <c r="U44">
        <f t="shared" si="83"/>
        <v>2019</v>
      </c>
      <c r="V44" s="14">
        <f t="shared" si="90"/>
        <v>0</v>
      </c>
      <c r="W44" s="14">
        <f t="shared" si="90"/>
        <v>0</v>
      </c>
      <c r="X44" s="14">
        <f t="shared" si="90"/>
        <v>0</v>
      </c>
      <c r="Y44" s="14">
        <f t="shared" si="90"/>
        <v>0</v>
      </c>
      <c r="Z44" s="14">
        <f t="shared" si="90"/>
        <v>0</v>
      </c>
      <c r="AA44" s="14">
        <f t="shared" si="90"/>
        <v>16.100000000000001</v>
      </c>
      <c r="AB44" s="14">
        <f t="shared" si="90"/>
        <v>92</v>
      </c>
      <c r="AC44" s="14">
        <f t="shared" si="90"/>
        <v>50</v>
      </c>
      <c r="AD44" s="14">
        <f t="shared" si="90"/>
        <v>11.599999999999994</v>
      </c>
      <c r="AE44" s="14">
        <f t="shared" si="90"/>
        <v>2.8999999999999986</v>
      </c>
      <c r="AF44" s="14">
        <f t="shared" si="90"/>
        <v>0</v>
      </c>
      <c r="AG44" s="14">
        <f t="shared" si="90"/>
        <v>0</v>
      </c>
      <c r="AJ44">
        <f t="shared" si="84"/>
        <v>2019</v>
      </c>
      <c r="AK44" s="14">
        <f t="shared" si="91"/>
        <v>0</v>
      </c>
      <c r="AL44" s="14">
        <f t="shared" si="91"/>
        <v>0</v>
      </c>
      <c r="AM44" s="14">
        <f t="shared" si="91"/>
        <v>0</v>
      </c>
      <c r="AN44" s="14">
        <f t="shared" si="91"/>
        <v>0</v>
      </c>
      <c r="AO44" s="14">
        <f t="shared" si="91"/>
        <v>0.39999999999999858</v>
      </c>
      <c r="AP44" s="14">
        <f t="shared" si="91"/>
        <v>34.1</v>
      </c>
      <c r="AQ44" s="14">
        <f t="shared" si="91"/>
        <v>152.6</v>
      </c>
      <c r="AR44" s="14">
        <f t="shared" si="91"/>
        <v>102.69999999999999</v>
      </c>
      <c r="AS44" s="14">
        <f t="shared" si="91"/>
        <v>35.4</v>
      </c>
      <c r="AT44" s="14">
        <f t="shared" si="91"/>
        <v>4.8999999999999986</v>
      </c>
      <c r="AU44" s="14">
        <f t="shared" si="91"/>
        <v>0</v>
      </c>
      <c r="AV44" s="14">
        <f t="shared" si="91"/>
        <v>0</v>
      </c>
      <c r="AW44" s="385">
        <f t="shared" si="74"/>
        <v>330.09999999999991</v>
      </c>
      <c r="AX44">
        <f t="shared" si="85"/>
        <v>2019</v>
      </c>
      <c r="AY44" s="14">
        <f t="shared" si="92"/>
        <v>0</v>
      </c>
      <c r="AZ44" s="14">
        <f t="shared" si="92"/>
        <v>0</v>
      </c>
      <c r="BA44" s="14">
        <f t="shared" si="92"/>
        <v>0</v>
      </c>
      <c r="BB44" s="14">
        <f t="shared" si="92"/>
        <v>0</v>
      </c>
      <c r="BC44" s="14">
        <f t="shared" si="92"/>
        <v>4.5999999999999979</v>
      </c>
      <c r="BD44" s="14">
        <f t="shared" si="92"/>
        <v>61.2</v>
      </c>
      <c r="BE44" s="14">
        <f t="shared" si="92"/>
        <v>214.60000000000002</v>
      </c>
      <c r="BF44" s="14">
        <f t="shared" si="92"/>
        <v>163.29999999999998</v>
      </c>
      <c r="BG44" s="14">
        <f t="shared" si="92"/>
        <v>78.7</v>
      </c>
      <c r="BH44" s="14">
        <f t="shared" si="92"/>
        <v>8.3999999999999986</v>
      </c>
      <c r="BI44" s="14">
        <f t="shared" si="92"/>
        <v>0</v>
      </c>
      <c r="BJ44" s="14">
        <f t="shared" si="92"/>
        <v>0</v>
      </c>
      <c r="BL44">
        <f t="shared" si="86"/>
        <v>2019</v>
      </c>
      <c r="BM44" s="14">
        <f t="shared" si="93"/>
        <v>0</v>
      </c>
      <c r="BN44" s="14">
        <f t="shared" si="93"/>
        <v>0</v>
      </c>
      <c r="BO44" s="14">
        <f t="shared" si="93"/>
        <v>0</v>
      </c>
      <c r="BP44" s="14">
        <f t="shared" si="93"/>
        <v>0</v>
      </c>
      <c r="BQ44" s="14">
        <f t="shared" si="93"/>
        <v>14.6</v>
      </c>
      <c r="BR44" s="14">
        <f t="shared" si="93"/>
        <v>103.60000000000002</v>
      </c>
      <c r="BS44" s="14">
        <f t="shared" si="93"/>
        <v>276.59999999999997</v>
      </c>
      <c r="BT44" s="14">
        <f t="shared" si="93"/>
        <v>225.29999999999998</v>
      </c>
      <c r="BU44" s="14">
        <f t="shared" si="93"/>
        <v>133.90000000000003</v>
      </c>
      <c r="BV44" s="14">
        <f t="shared" si="93"/>
        <v>15.999999999999998</v>
      </c>
      <c r="BW44" s="14">
        <f t="shared" si="93"/>
        <v>0</v>
      </c>
      <c r="BX44" s="14">
        <f t="shared" si="93"/>
        <v>0</v>
      </c>
      <c r="BZ44">
        <f t="shared" si="87"/>
        <v>2019</v>
      </c>
      <c r="CA44" s="14">
        <f t="shared" si="80"/>
        <v>0</v>
      </c>
      <c r="CB44" s="14">
        <f t="shared" si="77"/>
        <v>0</v>
      </c>
      <c r="CC44" s="14">
        <f t="shared" si="77"/>
        <v>0</v>
      </c>
      <c r="CD44" s="14">
        <f t="shared" si="77"/>
        <v>1.4000000000000004</v>
      </c>
      <c r="CE44" s="14">
        <f t="shared" si="77"/>
        <v>34.299999999999997</v>
      </c>
      <c r="CF44" s="14">
        <f t="shared" si="77"/>
        <v>159.4</v>
      </c>
      <c r="CG44" s="14">
        <f t="shared" si="77"/>
        <v>338.59999999999997</v>
      </c>
      <c r="CH44" s="14">
        <f t="shared" si="77"/>
        <v>287.3</v>
      </c>
      <c r="CI44" s="14">
        <f t="shared" si="77"/>
        <v>193.6</v>
      </c>
      <c r="CJ44" s="14">
        <f t="shared" si="77"/>
        <v>35.9</v>
      </c>
      <c r="CK44" s="14">
        <f t="shared" si="77"/>
        <v>0</v>
      </c>
      <c r="CL44" s="14">
        <f t="shared" si="77"/>
        <v>0</v>
      </c>
      <c r="CN44">
        <f t="shared" si="88"/>
        <v>2019</v>
      </c>
      <c r="CO44" s="14">
        <f t="shared" si="81"/>
        <v>0</v>
      </c>
      <c r="CP44" s="14">
        <f t="shared" si="81"/>
        <v>0</v>
      </c>
      <c r="CQ44" s="14">
        <f t="shared" si="81"/>
        <v>0</v>
      </c>
      <c r="CR44" s="14">
        <f t="shared" si="81"/>
        <v>4.8000000000000007</v>
      </c>
      <c r="CS44" s="14">
        <f t="shared" si="81"/>
        <v>65.899999999999991</v>
      </c>
      <c r="CT44" s="14">
        <f t="shared" si="81"/>
        <v>219.2</v>
      </c>
      <c r="CU44" s="14">
        <f t="shared" si="81"/>
        <v>400.59999999999997</v>
      </c>
      <c r="CV44" s="14">
        <f t="shared" si="81"/>
        <v>349.3</v>
      </c>
      <c r="CW44" s="14">
        <f t="shared" si="81"/>
        <v>253.59999999999997</v>
      </c>
      <c r="CX44" s="14">
        <f t="shared" si="81"/>
        <v>76.299999999999983</v>
      </c>
      <c r="CY44" s="14">
        <f t="shared" si="81"/>
        <v>0</v>
      </c>
      <c r="CZ44" s="14">
        <f t="shared" si="81"/>
        <v>0</v>
      </c>
      <c r="DB44">
        <f t="shared" si="89"/>
        <v>2019</v>
      </c>
      <c r="DC44" s="14">
        <f t="shared" si="82"/>
        <v>0</v>
      </c>
      <c r="DD44" s="14">
        <f t="shared" si="82"/>
        <v>2</v>
      </c>
      <c r="DE44" s="14">
        <f t="shared" si="82"/>
        <v>9.9999999999999645E-2</v>
      </c>
      <c r="DF44" s="14">
        <f t="shared" si="82"/>
        <v>19.5</v>
      </c>
      <c r="DG44" s="14">
        <f t="shared" si="82"/>
        <v>108.19999999999997</v>
      </c>
      <c r="DH44" s="14">
        <f t="shared" si="82"/>
        <v>279.2</v>
      </c>
      <c r="DI44" s="14">
        <f t="shared" si="82"/>
        <v>462.59999999999997</v>
      </c>
      <c r="DJ44" s="14">
        <f t="shared" si="82"/>
        <v>411.29999999999995</v>
      </c>
      <c r="DK44" s="14">
        <f t="shared" si="82"/>
        <v>313.59999999999997</v>
      </c>
      <c r="DL44" s="14">
        <f t="shared" si="82"/>
        <v>128.19999999999999</v>
      </c>
      <c r="DM44" s="14">
        <f t="shared" si="82"/>
        <v>1.8000000000000007</v>
      </c>
      <c r="DN44" s="14">
        <f t="shared" si="82"/>
        <v>0</v>
      </c>
      <c r="EE44" t="s">
        <v>533</v>
      </c>
      <c r="EF44">
        <v>194.32735560227101</v>
      </c>
      <c r="EG44" t="s">
        <v>79</v>
      </c>
      <c r="EH44" s="32">
        <v>6.5074452518582404E-38</v>
      </c>
    </row>
    <row r="45" spans="1:139" x14ac:dyDescent="0.2">
      <c r="A45" s="9">
        <v>37469</v>
      </c>
      <c r="B45">
        <v>2002</v>
      </c>
      <c r="C45">
        <v>8</v>
      </c>
      <c r="D45" s="14">
        <v>22.351612903225806</v>
      </c>
      <c r="E45" s="14">
        <v>10.199999999999999</v>
      </c>
      <c r="F45" s="14">
        <v>83.1</v>
      </c>
      <c r="G45" s="14">
        <v>0</v>
      </c>
      <c r="H45" s="14">
        <v>134.89999999999998</v>
      </c>
      <c r="I45" s="14">
        <v>0</v>
      </c>
      <c r="J45" s="14">
        <v>196.90000000000003</v>
      </c>
      <c r="K45" s="14">
        <v>0</v>
      </c>
      <c r="L45" s="14">
        <v>258.89999999999998</v>
      </c>
      <c r="M45" s="14">
        <v>0</v>
      </c>
      <c r="N45" s="14">
        <v>320.90000000000003</v>
      </c>
      <c r="O45" s="14">
        <v>0</v>
      </c>
      <c r="P45" s="14">
        <v>382.90000000000003</v>
      </c>
      <c r="Q45" s="14">
        <v>0</v>
      </c>
      <c r="R45" s="14">
        <v>444.90000000000009</v>
      </c>
      <c r="U45">
        <f t="shared" si="83"/>
        <v>2020</v>
      </c>
      <c r="V45" s="14">
        <f t="shared" si="90"/>
        <v>0</v>
      </c>
      <c r="W45" s="14">
        <f t="shared" si="90"/>
        <v>0</v>
      </c>
      <c r="X45" s="14">
        <f t="shared" si="90"/>
        <v>0</v>
      </c>
      <c r="Y45" s="14">
        <f t="shared" si="90"/>
        <v>0</v>
      </c>
      <c r="Z45" s="14">
        <f t="shared" si="90"/>
        <v>3.3999999999999986</v>
      </c>
      <c r="AA45" s="14">
        <f t="shared" si="90"/>
        <v>47.300000000000018</v>
      </c>
      <c r="AB45" s="14">
        <f t="shared" si="90"/>
        <v>140.9</v>
      </c>
      <c r="AC45" s="14">
        <f t="shared" si="90"/>
        <v>68.650000000000006</v>
      </c>
      <c r="AD45" s="14">
        <f t="shared" si="90"/>
        <v>13.999999999999996</v>
      </c>
      <c r="AE45" s="14">
        <f t="shared" si="90"/>
        <v>0</v>
      </c>
      <c r="AF45" s="14">
        <f t="shared" si="90"/>
        <v>0</v>
      </c>
      <c r="AG45" s="14">
        <f t="shared" si="90"/>
        <v>0</v>
      </c>
      <c r="AJ45">
        <f t="shared" si="84"/>
        <v>2020</v>
      </c>
      <c r="AK45" s="14">
        <f t="shared" si="91"/>
        <v>0</v>
      </c>
      <c r="AL45" s="14">
        <f t="shared" si="91"/>
        <v>0</v>
      </c>
      <c r="AM45" s="14">
        <f t="shared" si="91"/>
        <v>0</v>
      </c>
      <c r="AN45" s="14">
        <f t="shared" si="91"/>
        <v>0</v>
      </c>
      <c r="AO45" s="14">
        <f t="shared" si="91"/>
        <v>9.9999999999999964</v>
      </c>
      <c r="AP45" s="14">
        <f t="shared" si="91"/>
        <v>86.100000000000023</v>
      </c>
      <c r="AQ45" s="14">
        <f t="shared" si="91"/>
        <v>202.5</v>
      </c>
      <c r="AR45" s="14">
        <f t="shared" si="91"/>
        <v>121.55</v>
      </c>
      <c r="AS45" s="14">
        <f t="shared" si="91"/>
        <v>34.199999999999989</v>
      </c>
      <c r="AT45" s="14">
        <f t="shared" si="91"/>
        <v>0</v>
      </c>
      <c r="AU45" s="14">
        <f t="shared" si="91"/>
        <v>0</v>
      </c>
      <c r="AV45" s="14">
        <f t="shared" si="91"/>
        <v>0</v>
      </c>
      <c r="AW45" s="385">
        <f t="shared" si="74"/>
        <v>454.35</v>
      </c>
      <c r="AX45">
        <f t="shared" si="85"/>
        <v>2020</v>
      </c>
      <c r="AY45" s="14">
        <f t="shared" si="92"/>
        <v>0</v>
      </c>
      <c r="AZ45" s="14">
        <f t="shared" si="92"/>
        <v>0</v>
      </c>
      <c r="BA45" s="14">
        <f t="shared" si="92"/>
        <v>0</v>
      </c>
      <c r="BB45" s="14">
        <f t="shared" si="92"/>
        <v>0</v>
      </c>
      <c r="BC45" s="14">
        <f t="shared" si="92"/>
        <v>19.299999999999997</v>
      </c>
      <c r="BD45" s="14">
        <f t="shared" si="92"/>
        <v>131</v>
      </c>
      <c r="BE45" s="14">
        <f t="shared" si="92"/>
        <v>264.5</v>
      </c>
      <c r="BF45" s="14">
        <f t="shared" si="92"/>
        <v>183.54999999999998</v>
      </c>
      <c r="BG45" s="14">
        <f t="shared" si="92"/>
        <v>64.699999999999989</v>
      </c>
      <c r="BH45" s="14">
        <f t="shared" si="92"/>
        <v>1.3000000000000007</v>
      </c>
      <c r="BI45" s="14">
        <f t="shared" si="92"/>
        <v>0.69999999999999929</v>
      </c>
      <c r="BJ45" s="14">
        <f t="shared" si="92"/>
        <v>0</v>
      </c>
      <c r="BL45">
        <f t="shared" si="86"/>
        <v>2020</v>
      </c>
      <c r="BM45" s="14">
        <f t="shared" si="93"/>
        <v>0</v>
      </c>
      <c r="BN45" s="14">
        <f t="shared" si="93"/>
        <v>0</v>
      </c>
      <c r="BO45" s="14">
        <f t="shared" si="93"/>
        <v>0</v>
      </c>
      <c r="BP45" s="14">
        <f t="shared" si="93"/>
        <v>0</v>
      </c>
      <c r="BQ45" s="14">
        <f t="shared" si="93"/>
        <v>35.1</v>
      </c>
      <c r="BR45" s="14">
        <f t="shared" si="93"/>
        <v>182.39999999999995</v>
      </c>
      <c r="BS45" s="14">
        <f t="shared" si="93"/>
        <v>326.5</v>
      </c>
      <c r="BT45" s="14">
        <f t="shared" si="93"/>
        <v>245.54999999999998</v>
      </c>
      <c r="BU45" s="14">
        <f t="shared" si="93"/>
        <v>108.09999999999998</v>
      </c>
      <c r="BV45" s="14">
        <f t="shared" si="93"/>
        <v>7.6999999999999993</v>
      </c>
      <c r="BW45" s="14">
        <f t="shared" si="93"/>
        <v>8.6999999999999993</v>
      </c>
      <c r="BX45" s="14">
        <f t="shared" si="93"/>
        <v>0</v>
      </c>
      <c r="BZ45">
        <f t="shared" si="87"/>
        <v>2020</v>
      </c>
      <c r="CA45" s="14">
        <f t="shared" si="80"/>
        <v>0</v>
      </c>
      <c r="CB45" s="14">
        <f t="shared" si="80"/>
        <v>0</v>
      </c>
      <c r="CC45" s="14">
        <f t="shared" si="80"/>
        <v>0</v>
      </c>
      <c r="CD45" s="14">
        <f t="shared" si="80"/>
        <v>0</v>
      </c>
      <c r="CE45" s="14">
        <f t="shared" si="80"/>
        <v>57.7</v>
      </c>
      <c r="CF45" s="14">
        <f t="shared" si="80"/>
        <v>239.29999999999998</v>
      </c>
      <c r="CG45" s="14">
        <f t="shared" si="80"/>
        <v>388.5</v>
      </c>
      <c r="CH45" s="14">
        <f t="shared" si="80"/>
        <v>307.55</v>
      </c>
      <c r="CI45" s="14">
        <f t="shared" si="80"/>
        <v>162.9</v>
      </c>
      <c r="CJ45" s="14">
        <f t="shared" si="80"/>
        <v>25.5</v>
      </c>
      <c r="CK45" s="14">
        <f t="shared" si="80"/>
        <v>21.099999999999998</v>
      </c>
      <c r="CL45" s="14">
        <f t="shared" si="80"/>
        <v>0</v>
      </c>
      <c r="CN45">
        <f t="shared" si="88"/>
        <v>2020</v>
      </c>
      <c r="CO45" s="14">
        <f t="shared" si="81"/>
        <v>0</v>
      </c>
      <c r="CP45" s="14">
        <f t="shared" si="81"/>
        <v>0</v>
      </c>
      <c r="CQ45" s="14">
        <f t="shared" si="81"/>
        <v>3.3000000000000007</v>
      </c>
      <c r="CR45" s="14">
        <f t="shared" si="81"/>
        <v>0.19999999999999929</v>
      </c>
      <c r="CS45" s="14">
        <f t="shared" si="81"/>
        <v>84.9</v>
      </c>
      <c r="CT45" s="14">
        <f t="shared" si="81"/>
        <v>299.29999999999995</v>
      </c>
      <c r="CU45" s="14">
        <f t="shared" si="81"/>
        <v>450.49999999999994</v>
      </c>
      <c r="CV45" s="14">
        <f t="shared" si="81"/>
        <v>369.55</v>
      </c>
      <c r="CW45" s="14">
        <f t="shared" si="81"/>
        <v>221.3</v>
      </c>
      <c r="CX45" s="14">
        <f t="shared" si="81"/>
        <v>54.499999999999986</v>
      </c>
      <c r="CY45" s="14">
        <f t="shared" si="81"/>
        <v>39.799999999999997</v>
      </c>
      <c r="CZ45" s="14">
        <f t="shared" si="81"/>
        <v>0</v>
      </c>
      <c r="DB45">
        <f t="shared" si="89"/>
        <v>2020</v>
      </c>
      <c r="DC45" s="14">
        <f t="shared" si="82"/>
        <v>9.9999999999999645E-2</v>
      </c>
      <c r="DD45" s="14">
        <f t="shared" si="82"/>
        <v>0</v>
      </c>
      <c r="DE45" s="14">
        <f t="shared" si="82"/>
        <v>8.1000000000000014</v>
      </c>
      <c r="DF45" s="14">
        <f t="shared" si="82"/>
        <v>6.3999999999999986</v>
      </c>
      <c r="DG45" s="14">
        <f t="shared" si="82"/>
        <v>122.19999999999999</v>
      </c>
      <c r="DH45" s="14">
        <f t="shared" si="82"/>
        <v>359.29999999999995</v>
      </c>
      <c r="DI45" s="14">
        <f t="shared" si="82"/>
        <v>512.5</v>
      </c>
      <c r="DJ45" s="14">
        <f t="shared" si="82"/>
        <v>431.55</v>
      </c>
      <c r="DK45" s="14">
        <f t="shared" si="82"/>
        <v>281.3</v>
      </c>
      <c r="DL45" s="14">
        <f t="shared" si="82"/>
        <v>93.3</v>
      </c>
      <c r="DM45" s="14">
        <f t="shared" si="82"/>
        <v>62.600000000000009</v>
      </c>
      <c r="DN45" s="14">
        <f t="shared" si="82"/>
        <v>0.19999999999999929</v>
      </c>
      <c r="EE45" t="s">
        <v>80</v>
      </c>
      <c r="EF45">
        <v>-0.30619788286266902</v>
      </c>
      <c r="EG45" t="s">
        <v>81</v>
      </c>
      <c r="EH45">
        <v>2.58077899339788</v>
      </c>
    </row>
    <row r="46" spans="1:139" x14ac:dyDescent="0.2">
      <c r="A46" s="9">
        <v>37500</v>
      </c>
      <c r="B46">
        <v>2002</v>
      </c>
      <c r="C46">
        <v>9</v>
      </c>
      <c r="D46" s="14">
        <v>20.413333333333338</v>
      </c>
      <c r="E46" s="14">
        <v>34.300000000000004</v>
      </c>
      <c r="F46" s="14">
        <v>46.7</v>
      </c>
      <c r="G46" s="14">
        <v>13.799999999999999</v>
      </c>
      <c r="H46" s="14">
        <v>86.199999999999989</v>
      </c>
      <c r="I46" s="14">
        <v>2.4000000000000004</v>
      </c>
      <c r="J46" s="14">
        <v>134.79999999999998</v>
      </c>
      <c r="K46" s="14">
        <v>0</v>
      </c>
      <c r="L46" s="14">
        <v>192.4</v>
      </c>
      <c r="M46" s="14">
        <v>0</v>
      </c>
      <c r="N46" s="14">
        <v>252.40000000000003</v>
      </c>
      <c r="O46" s="14">
        <v>0</v>
      </c>
      <c r="P46" s="14">
        <v>312.40000000000003</v>
      </c>
      <c r="Q46" s="14">
        <v>0</v>
      </c>
      <c r="R46" s="14">
        <v>372.40000000000009</v>
      </c>
      <c r="U46">
        <f t="shared" si="83"/>
        <v>2021</v>
      </c>
      <c r="V46" s="14">
        <f t="shared" si="90"/>
        <v>0</v>
      </c>
      <c r="W46" s="14">
        <f t="shared" si="90"/>
        <v>0</v>
      </c>
      <c r="X46" s="14">
        <f t="shared" si="90"/>
        <v>0</v>
      </c>
      <c r="Y46" s="14">
        <f t="shared" si="90"/>
        <v>0</v>
      </c>
      <c r="Z46" s="14">
        <f t="shared" si="90"/>
        <v>7.5</v>
      </c>
      <c r="AA46" s="14">
        <f t="shared" si="90"/>
        <v>58.1</v>
      </c>
      <c r="AB46" s="14">
        <f t="shared" si="90"/>
        <v>63.5</v>
      </c>
      <c r="AC46" s="14">
        <f t="shared" si="90"/>
        <v>115.5</v>
      </c>
      <c r="AD46" s="14">
        <f t="shared" si="90"/>
        <v>8.7000000000000028</v>
      </c>
      <c r="AE46" s="14">
        <f t="shared" si="90"/>
        <v>2.3000000000000007</v>
      </c>
      <c r="AF46" s="14">
        <f t="shared" si="90"/>
        <v>0</v>
      </c>
      <c r="AG46" s="14">
        <f t="shared" si="90"/>
        <v>0</v>
      </c>
      <c r="AJ46">
        <f t="shared" si="84"/>
        <v>2021</v>
      </c>
      <c r="AK46" s="14">
        <f t="shared" si="91"/>
        <v>0</v>
      </c>
      <c r="AL46" s="14">
        <f t="shared" si="91"/>
        <v>0</v>
      </c>
      <c r="AM46" s="14">
        <f t="shared" si="91"/>
        <v>0</v>
      </c>
      <c r="AN46" s="14">
        <f t="shared" si="91"/>
        <v>0</v>
      </c>
      <c r="AO46" s="14">
        <f t="shared" si="91"/>
        <v>16.600000000000001</v>
      </c>
      <c r="AP46" s="14">
        <f t="shared" si="91"/>
        <v>97.200000000000017</v>
      </c>
      <c r="AQ46" s="14">
        <f t="shared" si="91"/>
        <v>111.20000000000002</v>
      </c>
      <c r="AR46" s="14">
        <f t="shared" si="91"/>
        <v>175.2</v>
      </c>
      <c r="AS46" s="14">
        <f t="shared" si="91"/>
        <v>33.300000000000004</v>
      </c>
      <c r="AT46" s="14">
        <f t="shared" si="91"/>
        <v>12.5</v>
      </c>
      <c r="AU46" s="14">
        <f t="shared" si="91"/>
        <v>0</v>
      </c>
      <c r="AV46" s="14">
        <f t="shared" si="91"/>
        <v>0</v>
      </c>
      <c r="AW46" s="385">
        <f t="shared" si="74"/>
        <v>446.00000000000006</v>
      </c>
      <c r="AX46">
        <f t="shared" si="85"/>
        <v>2021</v>
      </c>
      <c r="AY46" s="14">
        <f t="shared" si="92"/>
        <v>0</v>
      </c>
      <c r="AZ46" s="14">
        <f t="shared" si="92"/>
        <v>0</v>
      </c>
      <c r="BA46" s="14">
        <f t="shared" si="92"/>
        <v>0</v>
      </c>
      <c r="BB46" s="14">
        <f t="shared" si="92"/>
        <v>0</v>
      </c>
      <c r="BC46" s="14">
        <f t="shared" si="92"/>
        <v>31.900000000000002</v>
      </c>
      <c r="BD46" s="14">
        <f t="shared" si="92"/>
        <v>150.79999999999998</v>
      </c>
      <c r="BE46" s="14">
        <f t="shared" si="92"/>
        <v>172.5</v>
      </c>
      <c r="BF46" s="14">
        <f t="shared" si="92"/>
        <v>237.20000000000002</v>
      </c>
      <c r="BG46" s="14">
        <f t="shared" si="92"/>
        <v>75.200000000000017</v>
      </c>
      <c r="BH46" s="14">
        <f t="shared" si="92"/>
        <v>33.900000000000006</v>
      </c>
      <c r="BI46" s="14">
        <f t="shared" si="92"/>
        <v>0</v>
      </c>
      <c r="BJ46" s="14">
        <f t="shared" si="92"/>
        <v>0</v>
      </c>
      <c r="BL46">
        <f t="shared" si="86"/>
        <v>2021</v>
      </c>
      <c r="BM46" s="14">
        <f t="shared" si="93"/>
        <v>0</v>
      </c>
      <c r="BN46" s="14">
        <f t="shared" si="93"/>
        <v>0</v>
      </c>
      <c r="BO46" s="14">
        <f t="shared" si="93"/>
        <v>0</v>
      </c>
      <c r="BP46" s="14">
        <f t="shared" si="93"/>
        <v>0</v>
      </c>
      <c r="BQ46" s="14">
        <f t="shared" si="93"/>
        <v>53.6</v>
      </c>
      <c r="BR46" s="14">
        <f t="shared" si="93"/>
        <v>209.39999999999995</v>
      </c>
      <c r="BS46" s="14">
        <f t="shared" si="93"/>
        <v>234.5</v>
      </c>
      <c r="BT46" s="14">
        <f t="shared" si="93"/>
        <v>299.2</v>
      </c>
      <c r="BU46" s="14">
        <f t="shared" si="93"/>
        <v>131.20000000000002</v>
      </c>
      <c r="BV46" s="14">
        <f t="shared" si="93"/>
        <v>66.099999999999994</v>
      </c>
      <c r="BW46" s="14">
        <f t="shared" si="93"/>
        <v>0</v>
      </c>
      <c r="BX46" s="14">
        <f t="shared" si="93"/>
        <v>0</v>
      </c>
      <c r="BZ46">
        <f t="shared" si="87"/>
        <v>2021</v>
      </c>
      <c r="CA46" s="14">
        <f t="shared" si="80"/>
        <v>0</v>
      </c>
      <c r="CB46" s="14">
        <f t="shared" si="80"/>
        <v>0</v>
      </c>
      <c r="CC46" s="14">
        <f t="shared" si="80"/>
        <v>1.5</v>
      </c>
      <c r="CD46" s="14">
        <f t="shared" si="80"/>
        <v>0.19999999999999929</v>
      </c>
      <c r="CE46" s="14">
        <f t="shared" si="80"/>
        <v>82.100000000000023</v>
      </c>
      <c r="CF46" s="14">
        <f t="shared" si="80"/>
        <v>269.39999999999998</v>
      </c>
      <c r="CG46" s="14">
        <f t="shared" si="80"/>
        <v>296.5</v>
      </c>
      <c r="CH46" s="14">
        <f t="shared" si="80"/>
        <v>361.20000000000005</v>
      </c>
      <c r="CI46" s="14">
        <f t="shared" si="80"/>
        <v>190.50000000000003</v>
      </c>
      <c r="CJ46" s="14">
        <f t="shared" si="80"/>
        <v>104.39999999999999</v>
      </c>
      <c r="CK46" s="14">
        <f t="shared" si="80"/>
        <v>1.4000000000000004</v>
      </c>
      <c r="CL46" s="14">
        <f t="shared" si="80"/>
        <v>0</v>
      </c>
      <c r="CN46">
        <f t="shared" si="88"/>
        <v>2021</v>
      </c>
      <c r="CO46" s="14">
        <f t="shared" si="81"/>
        <v>0</v>
      </c>
      <c r="CP46" s="14">
        <f t="shared" si="81"/>
        <v>0</v>
      </c>
      <c r="CQ46" s="14">
        <f t="shared" si="81"/>
        <v>6.8000000000000007</v>
      </c>
      <c r="CR46" s="14">
        <f t="shared" si="81"/>
        <v>3.6999999999999993</v>
      </c>
      <c r="CS46" s="14">
        <f t="shared" si="81"/>
        <v>117.50000000000003</v>
      </c>
      <c r="CT46" s="14">
        <f t="shared" si="81"/>
        <v>329.39999999999992</v>
      </c>
      <c r="CU46" s="14">
        <f t="shared" si="81"/>
        <v>358.50000000000006</v>
      </c>
      <c r="CV46" s="14">
        <f t="shared" si="81"/>
        <v>423.20000000000005</v>
      </c>
      <c r="CW46" s="14">
        <f t="shared" si="81"/>
        <v>250.49999999999997</v>
      </c>
      <c r="CX46" s="14">
        <f t="shared" si="81"/>
        <v>150.99999999999997</v>
      </c>
      <c r="CY46" s="14">
        <f t="shared" si="81"/>
        <v>9.0000000000000018</v>
      </c>
      <c r="CZ46" s="14">
        <f t="shared" si="81"/>
        <v>1.4000000000000004</v>
      </c>
      <c r="DB46">
        <f t="shared" si="89"/>
        <v>2021</v>
      </c>
      <c r="DC46" s="14">
        <f t="shared" si="82"/>
        <v>0</v>
      </c>
      <c r="DD46" s="14">
        <f t="shared" si="82"/>
        <v>0</v>
      </c>
      <c r="DE46" s="14">
        <f t="shared" si="82"/>
        <v>15.8</v>
      </c>
      <c r="DF46" s="14">
        <f t="shared" si="82"/>
        <v>14.8</v>
      </c>
      <c r="DG46" s="14">
        <f t="shared" si="82"/>
        <v>164.00000000000003</v>
      </c>
      <c r="DH46" s="14">
        <f t="shared" si="82"/>
        <v>389.40000000000003</v>
      </c>
      <c r="DI46" s="14">
        <f t="shared" si="82"/>
        <v>420.5</v>
      </c>
      <c r="DJ46" s="14">
        <f t="shared" si="82"/>
        <v>485.20000000000005</v>
      </c>
      <c r="DK46" s="14">
        <f t="shared" si="82"/>
        <v>310.49999999999994</v>
      </c>
      <c r="DL46" s="14">
        <f t="shared" si="82"/>
        <v>204.9</v>
      </c>
      <c r="DM46" s="14">
        <f t="shared" si="82"/>
        <v>23.4</v>
      </c>
      <c r="DN46" s="14">
        <f t="shared" si="82"/>
        <v>6.1000000000000014</v>
      </c>
    </row>
    <row r="47" spans="1:139" x14ac:dyDescent="0.2">
      <c r="A47" s="9">
        <v>37530</v>
      </c>
      <c r="B47">
        <v>2002</v>
      </c>
      <c r="C47">
        <v>10</v>
      </c>
      <c r="D47" s="14">
        <v>10.429032258064519</v>
      </c>
      <c r="E47" s="14">
        <v>302.3</v>
      </c>
      <c r="F47" s="14">
        <v>5.6000000000000014</v>
      </c>
      <c r="G47" s="14">
        <v>246.29999999999998</v>
      </c>
      <c r="H47" s="14">
        <v>11.600000000000001</v>
      </c>
      <c r="I47" s="14">
        <v>190.3</v>
      </c>
      <c r="J47" s="14">
        <v>17.600000000000001</v>
      </c>
      <c r="K47" s="14">
        <v>140.5</v>
      </c>
      <c r="L47" s="14">
        <v>29.800000000000004</v>
      </c>
      <c r="M47" s="14">
        <v>98.100000000000009</v>
      </c>
      <c r="N47" s="14">
        <v>49.400000000000013</v>
      </c>
      <c r="O47" s="14">
        <v>62</v>
      </c>
      <c r="P47" s="14">
        <v>75.300000000000011</v>
      </c>
      <c r="Q47" s="14">
        <v>31.999999999999996</v>
      </c>
      <c r="R47" s="14">
        <v>107.3</v>
      </c>
      <c r="U47">
        <f t="shared" si="83"/>
        <v>2022</v>
      </c>
      <c r="V47" s="14">
        <f t="shared" si="90"/>
        <v>0</v>
      </c>
      <c r="W47" s="14">
        <f t="shared" si="90"/>
        <v>0</v>
      </c>
      <c r="X47" s="14">
        <f t="shared" si="90"/>
        <v>0</v>
      </c>
      <c r="Y47" s="14">
        <f t="shared" si="90"/>
        <v>0</v>
      </c>
      <c r="Z47" s="14">
        <f t="shared" si="90"/>
        <v>9.600000000000005</v>
      </c>
      <c r="AA47" s="14">
        <f t="shared" si="90"/>
        <v>23.1</v>
      </c>
      <c r="AB47" s="14">
        <f t="shared" si="90"/>
        <v>79.699999999999989</v>
      </c>
      <c r="AC47" s="14">
        <f t="shared" si="90"/>
        <v>72.599999999999994</v>
      </c>
      <c r="AD47" s="14">
        <f t="shared" si="90"/>
        <v>21.3</v>
      </c>
      <c r="AE47" s="14">
        <f t="shared" si="90"/>
        <v>0</v>
      </c>
      <c r="AF47" s="14">
        <f t="shared" si="90"/>
        <v>0.39999999999999858</v>
      </c>
      <c r="AG47" s="14">
        <f t="shared" si="90"/>
        <v>0</v>
      </c>
      <c r="AJ47">
        <f t="shared" si="84"/>
        <v>2022</v>
      </c>
      <c r="AK47" s="14">
        <f t="shared" si="91"/>
        <v>0</v>
      </c>
      <c r="AL47" s="14">
        <f t="shared" si="91"/>
        <v>0</v>
      </c>
      <c r="AM47" s="14">
        <f t="shared" si="91"/>
        <v>0</v>
      </c>
      <c r="AN47" s="14">
        <f t="shared" si="91"/>
        <v>0</v>
      </c>
      <c r="AO47" s="14">
        <f t="shared" si="91"/>
        <v>21.800000000000004</v>
      </c>
      <c r="AP47" s="14">
        <f t="shared" si="91"/>
        <v>49.8</v>
      </c>
      <c r="AQ47" s="14">
        <f t="shared" si="91"/>
        <v>137</v>
      </c>
      <c r="AR47" s="14">
        <f t="shared" si="91"/>
        <v>132.5</v>
      </c>
      <c r="AS47" s="14">
        <f t="shared" si="91"/>
        <v>52.900000000000006</v>
      </c>
      <c r="AT47" s="14">
        <f t="shared" si="91"/>
        <v>0.79999999999999716</v>
      </c>
      <c r="AU47" s="14">
        <f t="shared" si="91"/>
        <v>2.3999999999999986</v>
      </c>
      <c r="AV47" s="14">
        <f t="shared" si="91"/>
        <v>0</v>
      </c>
      <c r="AW47" s="385">
        <f t="shared" si="74"/>
        <v>397.2</v>
      </c>
      <c r="AX47">
        <f t="shared" si="85"/>
        <v>2022</v>
      </c>
      <c r="AY47" s="14">
        <f t="shared" si="92"/>
        <v>0</v>
      </c>
      <c r="AZ47" s="14">
        <f t="shared" si="92"/>
        <v>0</v>
      </c>
      <c r="BA47" s="14">
        <f t="shared" si="92"/>
        <v>0</v>
      </c>
      <c r="BB47" s="14">
        <f t="shared" si="92"/>
        <v>0</v>
      </c>
      <c r="BC47" s="14">
        <f t="shared" si="92"/>
        <v>38.100000000000009</v>
      </c>
      <c r="BD47" s="14">
        <f t="shared" si="92"/>
        <v>97.3</v>
      </c>
      <c r="BE47" s="14">
        <f t="shared" si="92"/>
        <v>198.70000000000002</v>
      </c>
      <c r="BF47" s="14">
        <f t="shared" si="92"/>
        <v>194.5</v>
      </c>
      <c r="BG47" s="14">
        <f t="shared" si="92"/>
        <v>93.100000000000009</v>
      </c>
      <c r="BH47" s="14">
        <f t="shared" si="92"/>
        <v>4.7999999999999972</v>
      </c>
      <c r="BI47" s="14">
        <f t="shared" si="92"/>
        <v>4.5</v>
      </c>
      <c r="BJ47" s="14">
        <f t="shared" si="92"/>
        <v>0</v>
      </c>
      <c r="BL47">
        <f t="shared" si="86"/>
        <v>2022</v>
      </c>
      <c r="BM47" s="14">
        <f t="shared" si="93"/>
        <v>0</v>
      </c>
      <c r="BN47" s="14">
        <f t="shared" si="93"/>
        <v>0</v>
      </c>
      <c r="BO47" s="14">
        <f t="shared" si="93"/>
        <v>0</v>
      </c>
      <c r="BP47" s="14">
        <f t="shared" si="93"/>
        <v>0</v>
      </c>
      <c r="BQ47" s="14">
        <f t="shared" si="93"/>
        <v>60.3</v>
      </c>
      <c r="BR47" s="14">
        <f t="shared" si="93"/>
        <v>154.49999999999994</v>
      </c>
      <c r="BS47" s="14">
        <f t="shared" si="93"/>
        <v>260.7</v>
      </c>
      <c r="BT47" s="14">
        <f t="shared" si="93"/>
        <v>256.5</v>
      </c>
      <c r="BU47" s="14">
        <f t="shared" si="93"/>
        <v>136.20000000000002</v>
      </c>
      <c r="BV47" s="14">
        <f t="shared" si="93"/>
        <v>12.299999999999999</v>
      </c>
      <c r="BW47" s="14">
        <f t="shared" si="93"/>
        <v>9.6</v>
      </c>
      <c r="BX47" s="14">
        <f t="shared" si="93"/>
        <v>0</v>
      </c>
      <c r="BZ47">
        <f t="shared" si="87"/>
        <v>2022</v>
      </c>
      <c r="CA47" s="14">
        <f t="shared" si="80"/>
        <v>0</v>
      </c>
      <c r="CB47" s="14">
        <f t="shared" si="80"/>
        <v>0</v>
      </c>
      <c r="CC47" s="14">
        <f t="shared" si="80"/>
        <v>0</v>
      </c>
      <c r="CD47" s="14">
        <f t="shared" si="80"/>
        <v>0</v>
      </c>
      <c r="CE47" s="14">
        <f t="shared" si="80"/>
        <v>90.000000000000014</v>
      </c>
      <c r="CF47" s="14">
        <f t="shared" si="80"/>
        <v>214.49999999999997</v>
      </c>
      <c r="CG47" s="14">
        <f t="shared" si="80"/>
        <v>322.7</v>
      </c>
      <c r="CH47" s="14">
        <f t="shared" si="80"/>
        <v>318.5</v>
      </c>
      <c r="CI47" s="14">
        <f t="shared" si="80"/>
        <v>188.3</v>
      </c>
      <c r="CJ47" s="14">
        <f t="shared" si="80"/>
        <v>25.1</v>
      </c>
      <c r="CK47" s="14">
        <f t="shared" si="80"/>
        <v>20.799999999999997</v>
      </c>
      <c r="CL47" s="14">
        <f t="shared" si="80"/>
        <v>0</v>
      </c>
      <c r="CN47">
        <f t="shared" si="88"/>
        <v>2022</v>
      </c>
      <c r="CO47" s="14">
        <f t="shared" si="81"/>
        <v>0</v>
      </c>
      <c r="CP47" s="14">
        <f t="shared" si="81"/>
        <v>0</v>
      </c>
      <c r="CQ47" s="14">
        <f t="shared" si="81"/>
        <v>0.19999999999999929</v>
      </c>
      <c r="CR47" s="14">
        <f t="shared" si="81"/>
        <v>2.7999999999999989</v>
      </c>
      <c r="CS47" s="14">
        <f t="shared" si="81"/>
        <v>129.50000000000003</v>
      </c>
      <c r="CT47" s="14">
        <f t="shared" si="81"/>
        <v>274.5</v>
      </c>
      <c r="CU47" s="14">
        <f t="shared" si="81"/>
        <v>384.70000000000005</v>
      </c>
      <c r="CV47" s="14">
        <f t="shared" si="81"/>
        <v>380.5</v>
      </c>
      <c r="CW47" s="14">
        <f t="shared" si="81"/>
        <v>248</v>
      </c>
      <c r="CX47" s="14">
        <f t="shared" si="81"/>
        <v>50.899999999999991</v>
      </c>
      <c r="CY47" s="14">
        <f t="shared" si="81"/>
        <v>32.799999999999997</v>
      </c>
      <c r="CZ47" s="14">
        <f t="shared" si="81"/>
        <v>0.80000000000000071</v>
      </c>
      <c r="DB47">
        <f t="shared" si="89"/>
        <v>2022</v>
      </c>
      <c r="DC47" s="14">
        <f t="shared" si="82"/>
        <v>0</v>
      </c>
      <c r="DD47" s="14">
        <f t="shared" si="82"/>
        <v>0</v>
      </c>
      <c r="DE47" s="14">
        <f t="shared" si="82"/>
        <v>3.1999999999999993</v>
      </c>
      <c r="DF47" s="14">
        <f t="shared" si="82"/>
        <v>15.299999999999999</v>
      </c>
      <c r="DG47" s="14">
        <f t="shared" si="82"/>
        <v>179.5</v>
      </c>
      <c r="DH47" s="14">
        <f t="shared" si="82"/>
        <v>334.49999999999994</v>
      </c>
      <c r="DI47" s="14">
        <f t="shared" si="82"/>
        <v>446.70000000000005</v>
      </c>
      <c r="DJ47" s="14">
        <f t="shared" si="82"/>
        <v>442.5</v>
      </c>
      <c r="DK47" s="14">
        <f t="shared" si="82"/>
        <v>308</v>
      </c>
      <c r="DL47" s="14">
        <f t="shared" si="82"/>
        <v>92.5</v>
      </c>
      <c r="DM47" s="14">
        <f t="shared" si="82"/>
        <v>50.599999999999994</v>
      </c>
      <c r="DN47" s="14">
        <f t="shared" si="82"/>
        <v>2.8000000000000007</v>
      </c>
      <c r="EE47" t="s">
        <v>462</v>
      </c>
    </row>
    <row r="48" spans="1:139" x14ac:dyDescent="0.2">
      <c r="A48" s="9">
        <v>37561</v>
      </c>
      <c r="B48">
        <v>2002</v>
      </c>
      <c r="C48">
        <v>11</v>
      </c>
      <c r="D48" s="14">
        <v>4.6800000000000006</v>
      </c>
      <c r="E48" s="14">
        <v>459.6</v>
      </c>
      <c r="F48" s="14">
        <v>0</v>
      </c>
      <c r="G48" s="14">
        <v>399.6</v>
      </c>
      <c r="H48" s="14">
        <v>0</v>
      </c>
      <c r="I48" s="14">
        <v>339.60000000000008</v>
      </c>
      <c r="J48" s="14">
        <v>0</v>
      </c>
      <c r="K48" s="14">
        <v>280.70000000000005</v>
      </c>
      <c r="L48" s="14">
        <v>1.0999999999999996</v>
      </c>
      <c r="M48" s="14">
        <v>225.1</v>
      </c>
      <c r="N48" s="14">
        <v>5.5</v>
      </c>
      <c r="O48" s="14">
        <v>172.39999999999998</v>
      </c>
      <c r="P48" s="14">
        <v>12.8</v>
      </c>
      <c r="Q48" s="14">
        <v>122</v>
      </c>
      <c r="R48" s="14">
        <v>22.4</v>
      </c>
      <c r="U48">
        <f t="shared" si="83"/>
        <v>2023</v>
      </c>
      <c r="V48" s="14">
        <f t="shared" si="90"/>
        <v>0</v>
      </c>
      <c r="W48" s="14">
        <f t="shared" si="90"/>
        <v>0</v>
      </c>
      <c r="X48" s="14">
        <f t="shared" si="90"/>
        <v>0</v>
      </c>
      <c r="Y48" s="14">
        <f t="shared" si="90"/>
        <v>1</v>
      </c>
      <c r="Z48" s="14">
        <f t="shared" si="90"/>
        <v>4.4999999999999964</v>
      </c>
      <c r="AA48" s="14">
        <f t="shared" si="90"/>
        <v>13.8</v>
      </c>
      <c r="AB48" s="14">
        <f t="shared" si="90"/>
        <v>83.600000000000023</v>
      </c>
      <c r="AC48" s="14">
        <f t="shared" si="90"/>
        <v>32.400000000000006</v>
      </c>
      <c r="AD48" s="14">
        <f t="shared" si="90"/>
        <v>26.900000000000002</v>
      </c>
      <c r="AE48" s="14">
        <f t="shared" si="90"/>
        <v>7.4000000000000021</v>
      </c>
      <c r="AF48" s="14">
        <f t="shared" si="90"/>
        <v>0</v>
      </c>
      <c r="AG48" s="14">
        <f t="shared" si="90"/>
        <v>0</v>
      </c>
      <c r="AJ48">
        <f t="shared" si="84"/>
        <v>2023</v>
      </c>
      <c r="AK48" s="14">
        <f t="shared" si="91"/>
        <v>0</v>
      </c>
      <c r="AL48" s="14">
        <f t="shared" si="91"/>
        <v>0</v>
      </c>
      <c r="AM48" s="14">
        <f t="shared" si="91"/>
        <v>0</v>
      </c>
      <c r="AN48" s="14">
        <f t="shared" si="91"/>
        <v>4.6000000000000014</v>
      </c>
      <c r="AO48" s="14">
        <f t="shared" si="91"/>
        <v>10.499999999999996</v>
      </c>
      <c r="AP48" s="14">
        <f t="shared" si="91"/>
        <v>44.5</v>
      </c>
      <c r="AQ48" s="14">
        <f t="shared" si="91"/>
        <v>145.49999999999997</v>
      </c>
      <c r="AR48" s="14">
        <f t="shared" si="91"/>
        <v>75.7</v>
      </c>
      <c r="AS48" s="14">
        <f t="shared" si="91"/>
        <v>42.8</v>
      </c>
      <c r="AT48" s="14">
        <f t="shared" si="91"/>
        <v>17.900000000000002</v>
      </c>
      <c r="AU48" s="14">
        <f t="shared" si="91"/>
        <v>0</v>
      </c>
      <c r="AV48" s="14">
        <f t="shared" si="91"/>
        <v>0</v>
      </c>
      <c r="AW48" s="385">
        <f>SUM(AK48:AV48)</f>
        <v>341.49999999999994</v>
      </c>
      <c r="AX48">
        <f t="shared" si="85"/>
        <v>2023</v>
      </c>
      <c r="AY48" s="14">
        <f t="shared" si="92"/>
        <v>0</v>
      </c>
      <c r="AZ48" s="14">
        <f t="shared" si="92"/>
        <v>0</v>
      </c>
      <c r="BA48" s="14">
        <f t="shared" si="92"/>
        <v>0</v>
      </c>
      <c r="BB48" s="14">
        <f t="shared" si="92"/>
        <v>8.8000000000000007</v>
      </c>
      <c r="BC48" s="14">
        <f t="shared" si="92"/>
        <v>23.8</v>
      </c>
      <c r="BD48" s="14">
        <f t="shared" si="92"/>
        <v>94</v>
      </c>
      <c r="BE48" s="14">
        <f t="shared" si="92"/>
        <v>207.49999999999997</v>
      </c>
      <c r="BF48" s="14">
        <f t="shared" si="92"/>
        <v>131.80000000000004</v>
      </c>
      <c r="BG48" s="14">
        <f t="shared" si="92"/>
        <v>81.3</v>
      </c>
      <c r="BH48" s="14">
        <f t="shared" si="92"/>
        <v>35.6</v>
      </c>
      <c r="BI48" s="14">
        <f t="shared" si="92"/>
        <v>0</v>
      </c>
      <c r="BJ48" s="14">
        <f t="shared" si="92"/>
        <v>0</v>
      </c>
      <c r="BL48">
        <f t="shared" si="86"/>
        <v>2023</v>
      </c>
      <c r="BM48" s="14">
        <f t="shared" si="93"/>
        <v>0</v>
      </c>
      <c r="BN48" s="14">
        <f t="shared" si="93"/>
        <v>0</v>
      </c>
      <c r="BO48" s="14">
        <f t="shared" si="93"/>
        <v>0</v>
      </c>
      <c r="BP48" s="14">
        <f t="shared" si="93"/>
        <v>16.100000000000001</v>
      </c>
      <c r="BQ48" s="14">
        <f t="shared" si="93"/>
        <v>45.999999999999993</v>
      </c>
      <c r="BR48" s="14">
        <f t="shared" si="93"/>
        <v>153.99999999999994</v>
      </c>
      <c r="BS48" s="14">
        <f t="shared" si="93"/>
        <v>269.50000000000006</v>
      </c>
      <c r="BT48" s="14">
        <f t="shared" si="93"/>
        <v>193.8</v>
      </c>
      <c r="BU48" s="14">
        <f t="shared" si="93"/>
        <v>140.60000000000002</v>
      </c>
      <c r="BV48" s="14">
        <f t="shared" si="93"/>
        <v>55.400000000000006</v>
      </c>
      <c r="BW48" s="14">
        <f t="shared" si="93"/>
        <v>0</v>
      </c>
      <c r="BX48" s="14">
        <f t="shared" si="93"/>
        <v>0</v>
      </c>
      <c r="BZ48">
        <f t="shared" si="87"/>
        <v>2023</v>
      </c>
      <c r="CA48" s="14">
        <f t="shared" si="80"/>
        <v>0</v>
      </c>
      <c r="CB48" s="14">
        <f t="shared" si="80"/>
        <v>0</v>
      </c>
      <c r="CC48" s="14">
        <f t="shared" si="80"/>
        <v>0</v>
      </c>
      <c r="CD48" s="14">
        <f t="shared" si="80"/>
        <v>26.1</v>
      </c>
      <c r="CE48" s="14">
        <f t="shared" si="80"/>
        <v>75.799999999999983</v>
      </c>
      <c r="CF48" s="14">
        <f t="shared" si="80"/>
        <v>213.99999999999997</v>
      </c>
      <c r="CG48" s="14">
        <f t="shared" si="80"/>
        <v>331.50000000000006</v>
      </c>
      <c r="CH48" s="14">
        <f t="shared" si="80"/>
        <v>255.8</v>
      </c>
      <c r="CI48" s="14">
        <f t="shared" si="80"/>
        <v>200.6</v>
      </c>
      <c r="CJ48" s="14">
        <f t="shared" si="80"/>
        <v>80.5</v>
      </c>
      <c r="CK48" s="14">
        <f t="shared" si="80"/>
        <v>0</v>
      </c>
      <c r="CL48" s="14">
        <f t="shared" si="80"/>
        <v>0</v>
      </c>
      <c r="CN48">
        <f t="shared" si="88"/>
        <v>2023</v>
      </c>
      <c r="CO48" s="14">
        <f t="shared" si="81"/>
        <v>0</v>
      </c>
      <c r="CP48" s="14">
        <f t="shared" si="81"/>
        <v>0</v>
      </c>
      <c r="CQ48" s="14">
        <f t="shared" si="81"/>
        <v>0</v>
      </c>
      <c r="CR48" s="14">
        <f t="shared" si="81"/>
        <v>40.699999999999996</v>
      </c>
      <c r="CS48" s="14">
        <f t="shared" si="81"/>
        <v>117.19999999999999</v>
      </c>
      <c r="CT48" s="14">
        <f t="shared" si="81"/>
        <v>274</v>
      </c>
      <c r="CU48" s="14">
        <f t="shared" si="81"/>
        <v>393.50000000000006</v>
      </c>
      <c r="CV48" s="14">
        <f t="shared" si="81"/>
        <v>317.8</v>
      </c>
      <c r="CW48" s="14">
        <f t="shared" si="81"/>
        <v>260.60000000000002</v>
      </c>
      <c r="CX48" s="14">
        <f t="shared" si="81"/>
        <v>119.89999999999998</v>
      </c>
      <c r="CY48" s="14">
        <f t="shared" si="81"/>
        <v>3.8000000000000007</v>
      </c>
      <c r="CZ48" s="14">
        <f t="shared" si="81"/>
        <v>0</v>
      </c>
      <c r="DB48">
        <f t="shared" si="89"/>
        <v>2023</v>
      </c>
      <c r="DC48" s="14">
        <f t="shared" si="82"/>
        <v>0</v>
      </c>
      <c r="DD48" s="14">
        <f t="shared" si="82"/>
        <v>1.3000000000000007</v>
      </c>
      <c r="DE48" s="14">
        <f t="shared" si="82"/>
        <v>0</v>
      </c>
      <c r="DF48" s="14">
        <f t="shared" si="82"/>
        <v>63.100000000000009</v>
      </c>
      <c r="DG48" s="14">
        <f t="shared" si="82"/>
        <v>165.10000000000005</v>
      </c>
      <c r="DH48" s="14">
        <f t="shared" si="82"/>
        <v>334</v>
      </c>
      <c r="DI48" s="14">
        <f t="shared" si="82"/>
        <v>455.50000000000006</v>
      </c>
      <c r="DJ48" s="14">
        <f t="shared" si="82"/>
        <v>379.80000000000007</v>
      </c>
      <c r="DK48" s="14">
        <f t="shared" si="82"/>
        <v>320.59999999999991</v>
      </c>
      <c r="DL48" s="14">
        <f t="shared" ref="DC48:DN49" si="94">SUMIFS($R:$R,$B:$B,$DB48,$C:$C,DL$2)</f>
        <v>171.9</v>
      </c>
      <c r="DM48" s="14">
        <f t="shared" si="94"/>
        <v>15.700000000000001</v>
      </c>
      <c r="DN48" s="14">
        <f t="shared" si="94"/>
        <v>1.6999999999999993</v>
      </c>
      <c r="EE48" t="s">
        <v>73</v>
      </c>
      <c r="EF48">
        <v>14756065.612770099</v>
      </c>
      <c r="EG48" t="s">
        <v>74</v>
      </c>
      <c r="EH48">
        <v>1137774.8181764199</v>
      </c>
    </row>
    <row r="49" spans="1:139" x14ac:dyDescent="0.2">
      <c r="A49" s="9">
        <v>37591</v>
      </c>
      <c r="B49">
        <v>2002</v>
      </c>
      <c r="C49">
        <v>12</v>
      </c>
      <c r="D49" s="14">
        <v>-0.36774193548387102</v>
      </c>
      <c r="E49" s="14">
        <v>631.4</v>
      </c>
      <c r="F49" s="14">
        <v>0</v>
      </c>
      <c r="G49" s="14">
        <v>569.39999999999986</v>
      </c>
      <c r="H49" s="14">
        <v>0</v>
      </c>
      <c r="I49" s="14">
        <v>507.39999999999992</v>
      </c>
      <c r="J49" s="14">
        <v>0</v>
      </c>
      <c r="K49" s="14">
        <v>445.4</v>
      </c>
      <c r="L49" s="14">
        <v>0</v>
      </c>
      <c r="M49" s="14">
        <v>383.39999999999992</v>
      </c>
      <c r="N49" s="14">
        <v>0</v>
      </c>
      <c r="O49" s="14">
        <v>321.39999999999998</v>
      </c>
      <c r="P49" s="14">
        <v>0</v>
      </c>
      <c r="Q49" s="14">
        <v>259.39999999999998</v>
      </c>
      <c r="R49" s="14">
        <v>0</v>
      </c>
      <c r="U49">
        <f t="shared" si="83"/>
        <v>2024</v>
      </c>
      <c r="V49" s="14">
        <f t="shared" si="90"/>
        <v>0</v>
      </c>
      <c r="W49" s="14">
        <f t="shared" si="90"/>
        <v>0</v>
      </c>
      <c r="X49" s="14">
        <f t="shared" si="90"/>
        <v>0</v>
      </c>
      <c r="Y49" s="14">
        <f t="shared" si="90"/>
        <v>0</v>
      </c>
      <c r="Z49" s="14">
        <f t="shared" si="90"/>
        <v>7.3000000000000043</v>
      </c>
      <c r="AA49" s="14">
        <f t="shared" si="90"/>
        <v>37.799999999999997</v>
      </c>
      <c r="AB49" s="14">
        <f t="shared" si="90"/>
        <v>81</v>
      </c>
      <c r="AC49" s="14">
        <f t="shared" si="90"/>
        <v>66.3</v>
      </c>
      <c r="AD49" s="14">
        <f t="shared" si="90"/>
        <v>5.2000000000000028</v>
      </c>
      <c r="AE49" s="14">
        <f t="shared" si="90"/>
        <v>1</v>
      </c>
      <c r="AF49" s="14">
        <f t="shared" si="90"/>
        <v>0.60000000000000142</v>
      </c>
      <c r="AG49" s="14">
        <f t="shared" si="90"/>
        <v>0</v>
      </c>
      <c r="AJ49">
        <f t="shared" si="84"/>
        <v>2024</v>
      </c>
      <c r="AK49" s="14">
        <f t="shared" si="91"/>
        <v>0</v>
      </c>
      <c r="AL49" s="14">
        <f t="shared" si="91"/>
        <v>0</v>
      </c>
      <c r="AM49" s="14">
        <f t="shared" si="91"/>
        <v>0</v>
      </c>
      <c r="AN49" s="14">
        <f t="shared" si="91"/>
        <v>0</v>
      </c>
      <c r="AO49" s="14">
        <f t="shared" si="91"/>
        <v>19.600000000000005</v>
      </c>
      <c r="AP49" s="14">
        <f t="shared" si="91"/>
        <v>67.8</v>
      </c>
      <c r="AQ49" s="14">
        <f t="shared" si="91"/>
        <v>138.70000000000002</v>
      </c>
      <c r="AR49" s="14">
        <f t="shared" si="91"/>
        <v>120.49999999999997</v>
      </c>
      <c r="AS49" s="14">
        <f t="shared" si="91"/>
        <v>38.6</v>
      </c>
      <c r="AT49" s="14">
        <f t="shared" si="91"/>
        <v>10</v>
      </c>
      <c r="AU49" s="14">
        <f t="shared" si="91"/>
        <v>2.6000000000000014</v>
      </c>
      <c r="AV49" s="14">
        <f t="shared" si="91"/>
        <v>0</v>
      </c>
      <c r="AW49" s="385">
        <f t="shared" ref="AW49:AW51" si="95">SUM(AK49:AV49)</f>
        <v>397.80000000000007</v>
      </c>
      <c r="AX49">
        <f t="shared" si="85"/>
        <v>2024</v>
      </c>
      <c r="AY49" s="14">
        <f t="shared" si="92"/>
        <v>0</v>
      </c>
      <c r="AZ49" s="14">
        <f t="shared" si="92"/>
        <v>0</v>
      </c>
      <c r="BA49" s="14">
        <f t="shared" si="92"/>
        <v>0</v>
      </c>
      <c r="BB49" s="14">
        <f t="shared" si="92"/>
        <v>0</v>
      </c>
      <c r="BC49" s="14">
        <f t="shared" si="92"/>
        <v>35.000000000000014</v>
      </c>
      <c r="BD49" s="14">
        <f t="shared" si="92"/>
        <v>108.49999999999999</v>
      </c>
      <c r="BE49" s="14">
        <f t="shared" si="92"/>
        <v>199.79999999999998</v>
      </c>
      <c r="BF49" s="14">
        <f t="shared" si="92"/>
        <v>178.5</v>
      </c>
      <c r="BG49" s="14">
        <f t="shared" si="92"/>
        <v>91.699999999999989</v>
      </c>
      <c r="BH49" s="14">
        <f t="shared" si="92"/>
        <v>24.2</v>
      </c>
      <c r="BI49" s="14">
        <f t="shared" si="92"/>
        <v>5.9000000000000021</v>
      </c>
      <c r="BJ49" s="14">
        <f t="shared" si="92"/>
        <v>0</v>
      </c>
      <c r="BL49">
        <f t="shared" si="86"/>
        <v>2024</v>
      </c>
      <c r="BM49" s="14">
        <f t="shared" si="93"/>
        <v>0</v>
      </c>
      <c r="BN49" s="14">
        <f t="shared" si="93"/>
        <v>0</v>
      </c>
      <c r="BO49" s="14">
        <f t="shared" si="93"/>
        <v>0</v>
      </c>
      <c r="BP49" s="14">
        <f t="shared" si="93"/>
        <v>1.0999999999999996</v>
      </c>
      <c r="BQ49" s="14">
        <f t="shared" si="93"/>
        <v>59</v>
      </c>
      <c r="BR49" s="14">
        <f t="shared" si="93"/>
        <v>164.40000000000006</v>
      </c>
      <c r="BS49" s="14">
        <f t="shared" si="93"/>
        <v>261.8</v>
      </c>
      <c r="BT49" s="14">
        <f t="shared" si="93"/>
        <v>240.3</v>
      </c>
      <c r="BU49" s="14">
        <f t="shared" si="93"/>
        <v>148.19999999999999</v>
      </c>
      <c r="BV49" s="14">
        <f t="shared" si="93"/>
        <v>47.400000000000006</v>
      </c>
      <c r="BW49" s="14">
        <f t="shared" si="93"/>
        <v>9.9000000000000021</v>
      </c>
      <c r="BX49" s="14">
        <f t="shared" si="93"/>
        <v>0</v>
      </c>
      <c r="BZ49">
        <f t="shared" si="87"/>
        <v>2024</v>
      </c>
      <c r="CA49" s="14">
        <f t="shared" si="80"/>
        <v>0</v>
      </c>
      <c r="CB49" s="14">
        <f t="shared" si="80"/>
        <v>0</v>
      </c>
      <c r="CC49" s="14">
        <f t="shared" si="80"/>
        <v>1.4000000000000004</v>
      </c>
      <c r="CD49" s="14">
        <f t="shared" si="80"/>
        <v>5.7000000000000011</v>
      </c>
      <c r="CE49" s="14">
        <f t="shared" si="80"/>
        <v>99.1</v>
      </c>
      <c r="CF49" s="14">
        <f t="shared" si="80"/>
        <v>224.40000000000006</v>
      </c>
      <c r="CG49" s="14">
        <f t="shared" si="80"/>
        <v>323.8</v>
      </c>
      <c r="CH49" s="14">
        <f t="shared" si="80"/>
        <v>302.30000000000007</v>
      </c>
      <c r="CI49" s="14">
        <f t="shared" si="80"/>
        <v>207.79999999999995</v>
      </c>
      <c r="CJ49" s="14">
        <f t="shared" si="80"/>
        <v>82.100000000000009</v>
      </c>
      <c r="CK49" s="14">
        <f t="shared" si="80"/>
        <v>16</v>
      </c>
      <c r="CL49" s="14">
        <f t="shared" si="80"/>
        <v>0</v>
      </c>
      <c r="CN49">
        <f t="shared" si="88"/>
        <v>2024</v>
      </c>
      <c r="CO49" s="14">
        <f t="shared" si="81"/>
        <v>0</v>
      </c>
      <c r="CP49" s="14">
        <f t="shared" si="81"/>
        <v>0</v>
      </c>
      <c r="CQ49" s="14">
        <f t="shared" si="81"/>
        <v>3.5</v>
      </c>
      <c r="CR49" s="14">
        <f t="shared" si="81"/>
        <v>16</v>
      </c>
      <c r="CS49" s="14">
        <f t="shared" si="81"/>
        <v>154.80000000000001</v>
      </c>
      <c r="CT49" s="14">
        <f t="shared" si="81"/>
        <v>284.40000000000003</v>
      </c>
      <c r="CU49" s="14">
        <f t="shared" si="81"/>
        <v>385.8</v>
      </c>
      <c r="CV49" s="14">
        <f t="shared" si="81"/>
        <v>364.30000000000007</v>
      </c>
      <c r="CW49" s="14">
        <f t="shared" si="81"/>
        <v>267.79999999999995</v>
      </c>
      <c r="CX49" s="14">
        <f t="shared" ref="CX49:CZ49" si="96">SUMIFS($P:$P,$B:$B,$CN49,$C:$C,CX$2)</f>
        <v>124.80000000000001</v>
      </c>
      <c r="CY49" s="14">
        <f t="shared" si="96"/>
        <v>26.4</v>
      </c>
      <c r="CZ49" s="14">
        <f t="shared" si="96"/>
        <v>0</v>
      </c>
      <c r="DB49">
        <f t="shared" si="89"/>
        <v>2024</v>
      </c>
      <c r="DC49" s="14">
        <f t="shared" si="94"/>
        <v>0</v>
      </c>
      <c r="DD49" s="14">
        <f t="shared" si="94"/>
        <v>0.30000000000000071</v>
      </c>
      <c r="DE49" s="14">
        <f t="shared" si="94"/>
        <v>7.5</v>
      </c>
      <c r="DF49" s="14">
        <f t="shared" si="94"/>
        <v>38</v>
      </c>
      <c r="DG49" s="14">
        <f t="shared" si="94"/>
        <v>215</v>
      </c>
      <c r="DH49" s="14">
        <f t="shared" si="94"/>
        <v>344.40000000000003</v>
      </c>
      <c r="DI49" s="14">
        <f t="shared" si="94"/>
        <v>447.8</v>
      </c>
      <c r="DJ49" s="14">
        <f t="shared" si="94"/>
        <v>426.30000000000007</v>
      </c>
      <c r="DK49" s="14">
        <f t="shared" si="94"/>
        <v>327.8</v>
      </c>
      <c r="DL49" s="14">
        <f t="shared" si="94"/>
        <v>178.5</v>
      </c>
      <c r="DM49" s="14">
        <f t="shared" si="94"/>
        <v>45.800000000000011</v>
      </c>
      <c r="DN49" s="14">
        <f t="shared" si="94"/>
        <v>0.40000000000000036</v>
      </c>
    </row>
    <row r="50" spans="1:139" ht="15" x14ac:dyDescent="0.25">
      <c r="A50" s="9">
        <v>37622</v>
      </c>
      <c r="B50">
        <v>2003</v>
      </c>
      <c r="C50">
        <v>1</v>
      </c>
      <c r="D50" s="14">
        <v>-6.5483870967741939</v>
      </c>
      <c r="E50" s="14">
        <v>823</v>
      </c>
      <c r="F50" s="14">
        <v>0</v>
      </c>
      <c r="G50" s="14">
        <v>761</v>
      </c>
      <c r="H50" s="14">
        <v>0</v>
      </c>
      <c r="I50" s="14">
        <v>699.00000000000011</v>
      </c>
      <c r="J50" s="14">
        <v>0</v>
      </c>
      <c r="K50" s="14">
        <v>637</v>
      </c>
      <c r="L50" s="14">
        <v>0</v>
      </c>
      <c r="M50" s="14">
        <v>575</v>
      </c>
      <c r="N50" s="14">
        <v>0</v>
      </c>
      <c r="O50" s="14">
        <v>513</v>
      </c>
      <c r="P50" s="14">
        <v>0</v>
      </c>
      <c r="Q50" s="14">
        <v>451</v>
      </c>
      <c r="R50" s="14">
        <v>0</v>
      </c>
      <c r="U50" s="78">
        <f t="shared" si="83"/>
        <v>2025</v>
      </c>
      <c r="V50" s="40">
        <f>AVERAGE(V40:V49)</f>
        <v>0</v>
      </c>
      <c r="W50" s="40">
        <f t="shared" ref="W50" si="97">AVERAGE(W40:W49)</f>
        <v>0</v>
      </c>
      <c r="X50" s="40">
        <f>AVERAGE(X40:X49)</f>
        <v>0</v>
      </c>
      <c r="Y50" s="40">
        <f t="shared" ref="Y50:AG50" si="98">AVERAGE(Y40:Y49)</f>
        <v>0.1</v>
      </c>
      <c r="Z50" s="40">
        <f t="shared" si="98"/>
        <v>6.8200000000000021</v>
      </c>
      <c r="AA50" s="40">
        <f t="shared" si="98"/>
        <v>31.080000000000002</v>
      </c>
      <c r="AB50" s="40">
        <f t="shared" si="98"/>
        <v>87.26</v>
      </c>
      <c r="AC50" s="40">
        <f t="shared" si="98"/>
        <v>71.685000000000002</v>
      </c>
      <c r="AD50" s="40">
        <f t="shared" si="98"/>
        <v>25.260000000000009</v>
      </c>
      <c r="AE50" s="40">
        <f t="shared" si="98"/>
        <v>2.3099999999999996</v>
      </c>
      <c r="AF50" s="40">
        <f t="shared" si="98"/>
        <v>0.1</v>
      </c>
      <c r="AG50" s="40">
        <f t="shared" si="98"/>
        <v>0</v>
      </c>
      <c r="AJ50" s="78">
        <f t="shared" si="84"/>
        <v>2025</v>
      </c>
      <c r="AK50" s="40">
        <f>AVERAGE(AK40:AK49)</f>
        <v>0</v>
      </c>
      <c r="AL50" s="40">
        <f t="shared" ref="AL50" si="99">AVERAGE(AL40:AL49)</f>
        <v>0</v>
      </c>
      <c r="AM50" s="40">
        <f>AVERAGE(AM40:AM49)</f>
        <v>0</v>
      </c>
      <c r="AN50" s="40">
        <f t="shared" ref="AN50:AV50" si="100">AVERAGE(AN40:AN49)</f>
        <v>0.46000000000000013</v>
      </c>
      <c r="AO50" s="40">
        <f t="shared" si="100"/>
        <v>15.95</v>
      </c>
      <c r="AP50" s="40">
        <f t="shared" si="100"/>
        <v>60.17</v>
      </c>
      <c r="AQ50" s="40">
        <f t="shared" si="100"/>
        <v>144.31</v>
      </c>
      <c r="AR50" s="40">
        <f t="shared" si="100"/>
        <v>124.495</v>
      </c>
      <c r="AS50" s="40">
        <f t="shared" si="100"/>
        <v>52.83</v>
      </c>
      <c r="AT50" s="40">
        <f t="shared" si="100"/>
        <v>7.4599999999999991</v>
      </c>
      <c r="AU50" s="40">
        <f t="shared" si="100"/>
        <v>0.5</v>
      </c>
      <c r="AV50" s="40">
        <f t="shared" si="100"/>
        <v>0</v>
      </c>
      <c r="AW50" s="385">
        <f t="shared" si="95"/>
        <v>406.17499999999995</v>
      </c>
      <c r="AX50" s="78">
        <f t="shared" si="85"/>
        <v>2025</v>
      </c>
      <c r="AY50" s="40">
        <f>AVERAGE(AY40:AY49)</f>
        <v>0</v>
      </c>
      <c r="AZ50" s="40">
        <f t="shared" ref="AZ50" si="101">AVERAGE(AZ40:AZ49)</f>
        <v>0</v>
      </c>
      <c r="BA50" s="40">
        <f>AVERAGE(BA40:BA49)</f>
        <v>0</v>
      </c>
      <c r="BB50" s="40">
        <f t="shared" ref="BB50:BJ50" si="102">AVERAGE(BB40:BB49)</f>
        <v>1.05</v>
      </c>
      <c r="BC50" s="40">
        <f t="shared" si="102"/>
        <v>30.129999999999995</v>
      </c>
      <c r="BD50" s="40">
        <f t="shared" si="102"/>
        <v>101.30999999999999</v>
      </c>
      <c r="BE50" s="40">
        <f t="shared" si="102"/>
        <v>205.67000000000002</v>
      </c>
      <c r="BF50" s="40">
        <f t="shared" si="102"/>
        <v>184.33499999999998</v>
      </c>
      <c r="BG50" s="40">
        <f t="shared" si="102"/>
        <v>94.910000000000011</v>
      </c>
      <c r="BH50" s="40">
        <f t="shared" si="102"/>
        <v>18.709999999999997</v>
      </c>
      <c r="BI50" s="40">
        <f t="shared" si="102"/>
        <v>1.1200000000000003</v>
      </c>
      <c r="BJ50" s="40">
        <f t="shared" si="102"/>
        <v>0</v>
      </c>
      <c r="BL50" s="78">
        <f t="shared" si="86"/>
        <v>2025</v>
      </c>
      <c r="BM50" s="40">
        <f>AVERAGE(BM40:BM49)</f>
        <v>0</v>
      </c>
      <c r="BN50" s="40">
        <f t="shared" ref="BN50" si="103">AVERAGE(BN40:BN49)</f>
        <v>0</v>
      </c>
      <c r="BO50" s="40">
        <f>AVERAGE(BO40:BO49)</f>
        <v>0</v>
      </c>
      <c r="BP50" s="40">
        <f t="shared" ref="BP50:BX50" si="104">AVERAGE(BP40:BP49)</f>
        <v>2.6300000000000003</v>
      </c>
      <c r="BQ50" s="40">
        <f t="shared" si="104"/>
        <v>50.489999999999995</v>
      </c>
      <c r="BR50" s="40">
        <f t="shared" si="104"/>
        <v>154.05000000000001</v>
      </c>
      <c r="BS50" s="40">
        <f t="shared" si="104"/>
        <v>267.66999999999996</v>
      </c>
      <c r="BT50" s="40">
        <f t="shared" si="104"/>
        <v>246.315</v>
      </c>
      <c r="BU50" s="40">
        <f t="shared" si="104"/>
        <v>146.80000000000001</v>
      </c>
      <c r="BV50" s="40">
        <f t="shared" si="104"/>
        <v>36.859999999999992</v>
      </c>
      <c r="BW50" s="40">
        <f t="shared" si="104"/>
        <v>3.410000000000001</v>
      </c>
      <c r="BX50" s="40">
        <f t="shared" si="104"/>
        <v>0</v>
      </c>
      <c r="BZ50" s="78">
        <f t="shared" si="87"/>
        <v>2025</v>
      </c>
      <c r="CA50" s="40">
        <f>AVERAGE(CA40:CA49)</f>
        <v>0</v>
      </c>
      <c r="CB50" s="40">
        <f t="shared" ref="CB50" si="105">AVERAGE(CB40:CB49)</f>
        <v>0</v>
      </c>
      <c r="CC50" s="40">
        <f>AVERAGE(CC40:CC49)</f>
        <v>0.47000000000000008</v>
      </c>
      <c r="CD50" s="40">
        <f t="shared" ref="CD50:CL50" si="106">AVERAGE(CD40:CD49)</f>
        <v>6.2100000000000009</v>
      </c>
      <c r="CE50" s="40">
        <f t="shared" si="106"/>
        <v>79.86999999999999</v>
      </c>
      <c r="CF50" s="40">
        <f t="shared" si="106"/>
        <v>212.27000000000004</v>
      </c>
      <c r="CG50" s="40">
        <f t="shared" si="106"/>
        <v>329.66999999999996</v>
      </c>
      <c r="CH50" s="40">
        <f t="shared" si="106"/>
        <v>308.31500000000005</v>
      </c>
      <c r="CI50" s="40">
        <f t="shared" si="106"/>
        <v>204.82</v>
      </c>
      <c r="CJ50" s="40">
        <f t="shared" si="106"/>
        <v>63.5</v>
      </c>
      <c r="CK50" s="40">
        <f t="shared" si="106"/>
        <v>7.9799999999999986</v>
      </c>
      <c r="CL50" s="40">
        <f t="shared" si="106"/>
        <v>0</v>
      </c>
      <c r="CN50" s="78">
        <f t="shared" si="88"/>
        <v>2025</v>
      </c>
      <c r="CO50" s="40">
        <f>AVERAGE(CO40:CO49)</f>
        <v>1.9999999999999928E-2</v>
      </c>
      <c r="CP50" s="40">
        <f t="shared" ref="CP50" si="107">AVERAGE(CP40:CP49)</f>
        <v>0.10999999999999996</v>
      </c>
      <c r="CQ50" s="40">
        <f>AVERAGE(CQ40:CQ49)</f>
        <v>1.9300000000000002</v>
      </c>
      <c r="CR50" s="40">
        <f t="shared" ref="CR50:CZ50" si="108">AVERAGE(CR40:CR49)</f>
        <v>13.569999999999999</v>
      </c>
      <c r="CS50" s="40">
        <f t="shared" si="108"/>
        <v>118.86999999999998</v>
      </c>
      <c r="CT50" s="40">
        <f t="shared" si="108"/>
        <v>271.90000000000003</v>
      </c>
      <c r="CU50" s="40">
        <f t="shared" si="108"/>
        <v>391.66999999999996</v>
      </c>
      <c r="CV50" s="40">
        <f t="shared" si="108"/>
        <v>370.31500000000005</v>
      </c>
      <c r="CW50" s="40">
        <f t="shared" si="108"/>
        <v>264.52999999999992</v>
      </c>
      <c r="CX50" s="40">
        <f t="shared" si="108"/>
        <v>100.65</v>
      </c>
      <c r="CY50" s="40">
        <f t="shared" si="108"/>
        <v>16.96</v>
      </c>
      <c r="CZ50" s="40">
        <f t="shared" si="108"/>
        <v>0.37000000000000011</v>
      </c>
      <c r="DB50" s="78">
        <f t="shared" si="89"/>
        <v>2025</v>
      </c>
      <c r="DC50" s="40">
        <f>AVERAGE(DC40:DC49)</f>
        <v>0.2299999999999999</v>
      </c>
      <c r="DD50" s="40">
        <f t="shared" ref="DD50" si="109">AVERAGE(DD40:DD49)</f>
        <v>1.25</v>
      </c>
      <c r="DE50" s="40">
        <f>AVERAGE(DE40:DE49)</f>
        <v>5.1300000000000008</v>
      </c>
      <c r="DF50" s="40">
        <f t="shared" ref="DF50:DN50" si="110">AVERAGE(DF40:DF49)</f>
        <v>28.520000000000003</v>
      </c>
      <c r="DG50" s="40">
        <f t="shared" si="110"/>
        <v>167.89000000000001</v>
      </c>
      <c r="DH50" s="40">
        <f t="shared" si="110"/>
        <v>331.9</v>
      </c>
      <c r="DI50" s="40">
        <f t="shared" si="110"/>
        <v>453.67000000000007</v>
      </c>
      <c r="DJ50" s="40">
        <f t="shared" si="110"/>
        <v>432.31500000000005</v>
      </c>
      <c r="DK50" s="40">
        <f t="shared" si="110"/>
        <v>324.52999999999997</v>
      </c>
      <c r="DL50" s="40">
        <f t="shared" si="110"/>
        <v>147.52000000000001</v>
      </c>
      <c r="DM50" s="40">
        <f t="shared" si="110"/>
        <v>32.510000000000005</v>
      </c>
      <c r="DN50" s="40">
        <f t="shared" si="110"/>
        <v>2.3600000000000003</v>
      </c>
    </row>
    <row r="51" spans="1:139" ht="15" x14ac:dyDescent="0.25">
      <c r="A51" s="9">
        <v>37653</v>
      </c>
      <c r="B51">
        <v>2003</v>
      </c>
      <c r="C51">
        <v>2</v>
      </c>
      <c r="D51" s="14">
        <v>-5.2142857142857153</v>
      </c>
      <c r="E51" s="14">
        <v>705.99999999999989</v>
      </c>
      <c r="F51" s="14">
        <v>0</v>
      </c>
      <c r="G51" s="14">
        <v>649.99999999999989</v>
      </c>
      <c r="H51" s="14">
        <v>0</v>
      </c>
      <c r="I51" s="14">
        <v>594</v>
      </c>
      <c r="J51" s="14">
        <v>0</v>
      </c>
      <c r="K51" s="14">
        <v>538</v>
      </c>
      <c r="L51" s="14">
        <v>0</v>
      </c>
      <c r="M51" s="14">
        <v>482</v>
      </c>
      <c r="N51" s="14">
        <v>0</v>
      </c>
      <c r="O51" s="14">
        <v>426</v>
      </c>
      <c r="P51" s="14">
        <v>0</v>
      </c>
      <c r="Q51" s="14">
        <v>370</v>
      </c>
      <c r="R51" s="14">
        <v>0</v>
      </c>
      <c r="U51" s="78">
        <f t="shared" si="83"/>
        <v>2026</v>
      </c>
      <c r="V51" s="40">
        <f>V50</f>
        <v>0</v>
      </c>
      <c r="W51" s="40">
        <f t="shared" ref="W51:AG51" si="111">W50</f>
        <v>0</v>
      </c>
      <c r="X51" s="40">
        <f t="shared" si="111"/>
        <v>0</v>
      </c>
      <c r="Y51" s="40">
        <f t="shared" si="111"/>
        <v>0.1</v>
      </c>
      <c r="Z51" s="40">
        <f t="shared" si="111"/>
        <v>6.8200000000000021</v>
      </c>
      <c r="AA51" s="40">
        <f t="shared" si="111"/>
        <v>31.080000000000002</v>
      </c>
      <c r="AB51" s="40">
        <f t="shared" si="111"/>
        <v>87.26</v>
      </c>
      <c r="AC51" s="40">
        <f t="shared" si="111"/>
        <v>71.685000000000002</v>
      </c>
      <c r="AD51" s="40">
        <f t="shared" si="111"/>
        <v>25.260000000000009</v>
      </c>
      <c r="AE51" s="40">
        <f t="shared" si="111"/>
        <v>2.3099999999999996</v>
      </c>
      <c r="AF51" s="40">
        <f t="shared" si="111"/>
        <v>0.1</v>
      </c>
      <c r="AG51" s="40">
        <f t="shared" si="111"/>
        <v>0</v>
      </c>
      <c r="AJ51" s="78">
        <f t="shared" si="84"/>
        <v>2026</v>
      </c>
      <c r="AK51" s="40">
        <f>AK50</f>
        <v>0</v>
      </c>
      <c r="AL51" s="40">
        <f t="shared" ref="AL51:AV51" si="112">AL50</f>
        <v>0</v>
      </c>
      <c r="AM51" s="40">
        <f t="shared" si="112"/>
        <v>0</v>
      </c>
      <c r="AN51" s="40">
        <f t="shared" si="112"/>
        <v>0.46000000000000013</v>
      </c>
      <c r="AO51" s="40">
        <f t="shared" si="112"/>
        <v>15.95</v>
      </c>
      <c r="AP51" s="40">
        <f t="shared" si="112"/>
        <v>60.17</v>
      </c>
      <c r="AQ51" s="40">
        <f t="shared" si="112"/>
        <v>144.31</v>
      </c>
      <c r="AR51" s="40">
        <f t="shared" si="112"/>
        <v>124.495</v>
      </c>
      <c r="AS51" s="40">
        <f t="shared" si="112"/>
        <v>52.83</v>
      </c>
      <c r="AT51" s="40">
        <f t="shared" si="112"/>
        <v>7.4599999999999991</v>
      </c>
      <c r="AU51" s="40">
        <f t="shared" si="112"/>
        <v>0.5</v>
      </c>
      <c r="AV51" s="40">
        <f t="shared" si="112"/>
        <v>0</v>
      </c>
      <c r="AW51" s="385">
        <f t="shared" si="95"/>
        <v>406.17499999999995</v>
      </c>
      <c r="AX51" s="78">
        <f t="shared" si="85"/>
        <v>2026</v>
      </c>
      <c r="AY51" s="40">
        <f>AY50</f>
        <v>0</v>
      </c>
      <c r="AZ51" s="40">
        <f t="shared" ref="AZ51:BJ51" si="113">AZ50</f>
        <v>0</v>
      </c>
      <c r="BA51" s="40">
        <f t="shared" si="113"/>
        <v>0</v>
      </c>
      <c r="BB51" s="40">
        <f t="shared" si="113"/>
        <v>1.05</v>
      </c>
      <c r="BC51" s="40">
        <f t="shared" si="113"/>
        <v>30.129999999999995</v>
      </c>
      <c r="BD51" s="40">
        <f t="shared" si="113"/>
        <v>101.30999999999999</v>
      </c>
      <c r="BE51" s="40">
        <f t="shared" si="113"/>
        <v>205.67000000000002</v>
      </c>
      <c r="BF51" s="40">
        <f t="shared" si="113"/>
        <v>184.33499999999998</v>
      </c>
      <c r="BG51" s="40">
        <f t="shared" si="113"/>
        <v>94.910000000000011</v>
      </c>
      <c r="BH51" s="40">
        <f t="shared" si="113"/>
        <v>18.709999999999997</v>
      </c>
      <c r="BI51" s="40">
        <f t="shared" si="113"/>
        <v>1.1200000000000003</v>
      </c>
      <c r="BJ51" s="40">
        <f t="shared" si="113"/>
        <v>0</v>
      </c>
      <c r="BL51" s="78">
        <f t="shared" si="86"/>
        <v>2026</v>
      </c>
      <c r="BM51" s="40">
        <f>BM50</f>
        <v>0</v>
      </c>
      <c r="BN51" s="40">
        <f t="shared" ref="BN51:BX51" si="114">BN50</f>
        <v>0</v>
      </c>
      <c r="BO51" s="40">
        <f t="shared" si="114"/>
        <v>0</v>
      </c>
      <c r="BP51" s="40">
        <f t="shared" si="114"/>
        <v>2.6300000000000003</v>
      </c>
      <c r="BQ51" s="40">
        <f t="shared" si="114"/>
        <v>50.489999999999995</v>
      </c>
      <c r="BR51" s="40">
        <f t="shared" si="114"/>
        <v>154.05000000000001</v>
      </c>
      <c r="BS51" s="40">
        <f t="shared" si="114"/>
        <v>267.66999999999996</v>
      </c>
      <c r="BT51" s="40">
        <f t="shared" si="114"/>
        <v>246.315</v>
      </c>
      <c r="BU51" s="40">
        <f t="shared" si="114"/>
        <v>146.80000000000001</v>
      </c>
      <c r="BV51" s="40">
        <f t="shared" si="114"/>
        <v>36.859999999999992</v>
      </c>
      <c r="BW51" s="40">
        <f t="shared" si="114"/>
        <v>3.410000000000001</v>
      </c>
      <c r="BX51" s="40">
        <f t="shared" si="114"/>
        <v>0</v>
      </c>
      <c r="BZ51" s="78">
        <f t="shared" si="87"/>
        <v>2026</v>
      </c>
      <c r="CA51" s="40">
        <f>CA50</f>
        <v>0</v>
      </c>
      <c r="CB51" s="40">
        <f t="shared" ref="CB51:CL51" si="115">CB50</f>
        <v>0</v>
      </c>
      <c r="CC51" s="40">
        <f t="shared" si="115"/>
        <v>0.47000000000000008</v>
      </c>
      <c r="CD51" s="40">
        <f t="shared" si="115"/>
        <v>6.2100000000000009</v>
      </c>
      <c r="CE51" s="40">
        <f t="shared" si="115"/>
        <v>79.86999999999999</v>
      </c>
      <c r="CF51" s="40">
        <f t="shared" si="115"/>
        <v>212.27000000000004</v>
      </c>
      <c r="CG51" s="40">
        <f t="shared" si="115"/>
        <v>329.66999999999996</v>
      </c>
      <c r="CH51" s="40">
        <f t="shared" si="115"/>
        <v>308.31500000000005</v>
      </c>
      <c r="CI51" s="40">
        <f t="shared" si="115"/>
        <v>204.82</v>
      </c>
      <c r="CJ51" s="40">
        <f t="shared" si="115"/>
        <v>63.5</v>
      </c>
      <c r="CK51" s="40">
        <f t="shared" si="115"/>
        <v>7.9799999999999986</v>
      </c>
      <c r="CL51" s="40">
        <f t="shared" si="115"/>
        <v>0</v>
      </c>
      <c r="CN51" s="78">
        <f t="shared" si="88"/>
        <v>2026</v>
      </c>
      <c r="CO51" s="40">
        <f>CO50</f>
        <v>1.9999999999999928E-2</v>
      </c>
      <c r="CP51" s="40">
        <f t="shared" ref="CP51:CZ51" si="116">CP50</f>
        <v>0.10999999999999996</v>
      </c>
      <c r="CQ51" s="40">
        <f t="shared" si="116"/>
        <v>1.9300000000000002</v>
      </c>
      <c r="CR51" s="40">
        <f t="shared" si="116"/>
        <v>13.569999999999999</v>
      </c>
      <c r="CS51" s="40">
        <f t="shared" si="116"/>
        <v>118.86999999999998</v>
      </c>
      <c r="CT51" s="40">
        <f t="shared" si="116"/>
        <v>271.90000000000003</v>
      </c>
      <c r="CU51" s="40">
        <f t="shared" si="116"/>
        <v>391.66999999999996</v>
      </c>
      <c r="CV51" s="40">
        <f t="shared" si="116"/>
        <v>370.31500000000005</v>
      </c>
      <c r="CW51" s="40">
        <f t="shared" si="116"/>
        <v>264.52999999999992</v>
      </c>
      <c r="CX51" s="40">
        <f t="shared" si="116"/>
        <v>100.65</v>
      </c>
      <c r="CY51" s="40">
        <f t="shared" si="116"/>
        <v>16.96</v>
      </c>
      <c r="CZ51" s="40">
        <f t="shared" si="116"/>
        <v>0.37000000000000011</v>
      </c>
      <c r="DB51" s="78">
        <f t="shared" si="89"/>
        <v>2026</v>
      </c>
      <c r="DC51" s="40">
        <f>DC50</f>
        <v>0.2299999999999999</v>
      </c>
      <c r="DD51" s="40">
        <f t="shared" ref="DD51:DN51" si="117">DD50</f>
        <v>1.25</v>
      </c>
      <c r="DE51" s="40">
        <f t="shared" si="117"/>
        <v>5.1300000000000008</v>
      </c>
      <c r="DF51" s="40">
        <f t="shared" si="117"/>
        <v>28.520000000000003</v>
      </c>
      <c r="DG51" s="40">
        <f t="shared" si="117"/>
        <v>167.89000000000001</v>
      </c>
      <c r="DH51" s="40">
        <f t="shared" si="117"/>
        <v>331.9</v>
      </c>
      <c r="DI51" s="40">
        <f t="shared" si="117"/>
        <v>453.67000000000007</v>
      </c>
      <c r="DJ51" s="40">
        <f t="shared" si="117"/>
        <v>432.31500000000005</v>
      </c>
      <c r="DK51" s="40">
        <f t="shared" si="117"/>
        <v>324.52999999999997</v>
      </c>
      <c r="DL51" s="40">
        <f t="shared" si="117"/>
        <v>147.52000000000001</v>
      </c>
      <c r="DM51" s="40">
        <f t="shared" si="117"/>
        <v>32.510000000000005</v>
      </c>
      <c r="DN51" s="40">
        <f t="shared" si="117"/>
        <v>2.3600000000000003</v>
      </c>
    </row>
    <row r="52" spans="1:139" x14ac:dyDescent="0.2">
      <c r="A52" s="9">
        <v>37681</v>
      </c>
      <c r="B52">
        <v>2003</v>
      </c>
      <c r="C52">
        <v>3</v>
      </c>
      <c r="D52" s="14">
        <v>-0.20322580645161345</v>
      </c>
      <c r="E52" s="14">
        <v>626.29999999999973</v>
      </c>
      <c r="F52" s="14">
        <v>0</v>
      </c>
      <c r="G52" s="14">
        <v>564.29999999999995</v>
      </c>
      <c r="H52" s="14">
        <v>0</v>
      </c>
      <c r="I52" s="14">
        <v>502.29999999999984</v>
      </c>
      <c r="J52" s="14">
        <v>0</v>
      </c>
      <c r="K52" s="14">
        <v>440.29999999999984</v>
      </c>
      <c r="L52" s="14">
        <v>0</v>
      </c>
      <c r="M52" s="14">
        <v>378.29999999999984</v>
      </c>
      <c r="N52" s="14">
        <v>0</v>
      </c>
      <c r="O52" s="14">
        <v>316.29999999999984</v>
      </c>
      <c r="P52" s="14">
        <v>0</v>
      </c>
      <c r="Q52" s="14">
        <v>258.09999999999991</v>
      </c>
      <c r="R52" s="14">
        <v>3.7999999999999989</v>
      </c>
    </row>
    <row r="53" spans="1:139" x14ac:dyDescent="0.2">
      <c r="A53" s="9">
        <v>37712</v>
      </c>
      <c r="B53">
        <v>2003</v>
      </c>
      <c r="C53">
        <v>4</v>
      </c>
      <c r="D53" s="14">
        <v>5.2900000000000009</v>
      </c>
      <c r="E53" s="14">
        <v>441.29999999999995</v>
      </c>
      <c r="F53" s="14">
        <v>0</v>
      </c>
      <c r="G53" s="14">
        <v>382.8</v>
      </c>
      <c r="H53" s="14">
        <v>1.5</v>
      </c>
      <c r="I53" s="14">
        <v>326.2</v>
      </c>
      <c r="J53" s="14">
        <v>4.8999999999999986</v>
      </c>
      <c r="K53" s="14">
        <v>270.70000000000005</v>
      </c>
      <c r="L53" s="14">
        <v>9.3999999999999986</v>
      </c>
      <c r="M53" s="14">
        <v>216.7</v>
      </c>
      <c r="N53" s="14">
        <v>15.399999999999999</v>
      </c>
      <c r="O53" s="14">
        <v>163.89999999999998</v>
      </c>
      <c r="P53" s="14">
        <v>22.599999999999994</v>
      </c>
      <c r="Q53" s="14">
        <v>118.2</v>
      </c>
      <c r="R53" s="14">
        <v>36.9</v>
      </c>
      <c r="AW53" s="385"/>
    </row>
    <row r="54" spans="1:139" ht="15" x14ac:dyDescent="0.25">
      <c r="A54" s="9">
        <v>37742</v>
      </c>
      <c r="B54">
        <v>2003</v>
      </c>
      <c r="C54">
        <v>5</v>
      </c>
      <c r="D54" s="14">
        <v>10.567741935483873</v>
      </c>
      <c r="E54" s="14">
        <v>292.39999999999992</v>
      </c>
      <c r="F54" s="14">
        <v>0</v>
      </c>
      <c r="G54" s="14">
        <v>230.39999999999998</v>
      </c>
      <c r="H54" s="14">
        <v>0</v>
      </c>
      <c r="I54" s="14">
        <v>169.39999999999995</v>
      </c>
      <c r="J54" s="14">
        <v>1</v>
      </c>
      <c r="K54" s="14">
        <v>110.4</v>
      </c>
      <c r="L54" s="14">
        <v>4</v>
      </c>
      <c r="M54" s="14">
        <v>61.2</v>
      </c>
      <c r="N54" s="14">
        <v>16.8</v>
      </c>
      <c r="O54" s="14">
        <v>24.099999999999994</v>
      </c>
      <c r="P54" s="14">
        <v>41.7</v>
      </c>
      <c r="Q54" s="14">
        <v>6.2999999999999989</v>
      </c>
      <c r="R54" s="14">
        <v>85.9</v>
      </c>
      <c r="U54"/>
      <c r="Y54" s="38" t="s">
        <v>95</v>
      </c>
      <c r="AN54" s="38" t="s">
        <v>95</v>
      </c>
      <c r="AS54" s="38"/>
      <c r="BB54" s="38" t="s">
        <v>95</v>
      </c>
      <c r="BG54" s="38"/>
      <c r="BP54" s="38" t="s">
        <v>95</v>
      </c>
      <c r="BU54" s="38"/>
      <c r="CD54" s="38" t="s">
        <v>95</v>
      </c>
      <c r="CI54" s="38"/>
      <c r="CR54" s="38" t="s">
        <v>95</v>
      </c>
      <c r="CW54" s="38"/>
      <c r="DF54" s="38" t="s">
        <v>95</v>
      </c>
    </row>
    <row r="55" spans="1:139" x14ac:dyDescent="0.2">
      <c r="A55" s="9">
        <v>37773</v>
      </c>
      <c r="B55">
        <v>2003</v>
      </c>
      <c r="C55">
        <v>6</v>
      </c>
      <c r="D55" s="14">
        <v>17.506666666666668</v>
      </c>
      <c r="E55" s="14">
        <v>106.30000000000001</v>
      </c>
      <c r="F55" s="14">
        <v>31.500000000000004</v>
      </c>
      <c r="G55" s="14">
        <v>68.099999999999994</v>
      </c>
      <c r="H55" s="14">
        <v>53.300000000000004</v>
      </c>
      <c r="I55" s="14">
        <v>37.799999999999997</v>
      </c>
      <c r="J55" s="14">
        <v>83</v>
      </c>
      <c r="K55" s="14">
        <v>18.799999999999997</v>
      </c>
      <c r="L55" s="14">
        <v>124</v>
      </c>
      <c r="M55" s="14">
        <v>4.9000000000000004</v>
      </c>
      <c r="N55" s="14">
        <v>170.09999999999997</v>
      </c>
      <c r="O55" s="14">
        <v>0.80000000000000071</v>
      </c>
      <c r="P55" s="14">
        <v>225.99999999999994</v>
      </c>
      <c r="Q55" s="14">
        <v>0</v>
      </c>
      <c r="R55" s="14">
        <v>285.20000000000005</v>
      </c>
      <c r="U55" s="1"/>
      <c r="V55" s="14"/>
      <c r="AA55" s="39" t="str">
        <f>U3</f>
        <v>HDD20</v>
      </c>
      <c r="AB55" s="39" t="str">
        <f>U28</f>
        <v>CDD20</v>
      </c>
      <c r="AP55" s="39" t="s">
        <v>31</v>
      </c>
      <c r="AQ55" s="39" t="s">
        <v>32</v>
      </c>
      <c r="BD55" s="39" t="str">
        <f>AX3</f>
        <v>HDD16</v>
      </c>
      <c r="BE55" s="39" t="str">
        <f>AX28</f>
        <v>CDD16</v>
      </c>
      <c r="BR55" s="39" t="str">
        <f>BL3</f>
        <v>HDD14</v>
      </c>
      <c r="BS55" s="39" t="str">
        <f>BL28</f>
        <v>CDD14</v>
      </c>
      <c r="CF55" s="39" t="str">
        <f>BZ3</f>
        <v>HDD12</v>
      </c>
      <c r="CG55" s="39" t="str">
        <f>BZ28</f>
        <v>CDD12</v>
      </c>
      <c r="CT55" s="39" t="str">
        <f>CN3</f>
        <v>HDD10</v>
      </c>
      <c r="CU55" s="39" t="str">
        <f>CN28</f>
        <v>CDD10</v>
      </c>
      <c r="DH55" s="39" t="str">
        <f>DB3</f>
        <v>HDD8</v>
      </c>
      <c r="DI55" s="39" t="str">
        <f>DB28</f>
        <v>CDD8</v>
      </c>
      <c r="DK55" s="14"/>
      <c r="DL55" s="14"/>
      <c r="DM55" s="14"/>
      <c r="DN55" s="14"/>
      <c r="EE55" t="s">
        <v>536</v>
      </c>
    </row>
    <row r="56" spans="1:139" x14ac:dyDescent="0.2">
      <c r="A56" s="9">
        <v>37803</v>
      </c>
      <c r="B56">
        <v>2003</v>
      </c>
      <c r="C56">
        <v>7</v>
      </c>
      <c r="D56" s="14">
        <v>20.709677419354836</v>
      </c>
      <c r="E56" s="14">
        <v>20.6</v>
      </c>
      <c r="F56" s="14">
        <v>42.599999999999994</v>
      </c>
      <c r="G56" s="14">
        <v>3.4000000000000021</v>
      </c>
      <c r="H56" s="14">
        <v>87.4</v>
      </c>
      <c r="I56" s="14">
        <v>0</v>
      </c>
      <c r="J56" s="14">
        <v>146.00000000000003</v>
      </c>
      <c r="K56" s="14">
        <v>0</v>
      </c>
      <c r="L56" s="14">
        <v>208</v>
      </c>
      <c r="M56" s="14">
        <v>0</v>
      </c>
      <c r="N56" s="14">
        <v>270</v>
      </c>
      <c r="O56" s="14">
        <v>0</v>
      </c>
      <c r="P56" s="14">
        <v>332</v>
      </c>
      <c r="Q56" s="14">
        <v>0</v>
      </c>
      <c r="R56" s="14">
        <v>394</v>
      </c>
      <c r="U56"/>
      <c r="Y56" t="s">
        <v>104</v>
      </c>
      <c r="Z56" t="s">
        <v>96</v>
      </c>
      <c r="AA56" s="13">
        <f t="shared" ref="AA56:AA67" ca="1" si="118">OFFSET(V$26,0,(ROW()-ROW(AA$56)))</f>
        <v>694.54</v>
      </c>
      <c r="AB56" s="13">
        <f t="shared" ref="AB56:AB67" ca="1" si="119">OFFSET(V$51,0,(ROW()-ROW(AB$56)))</f>
        <v>0</v>
      </c>
      <c r="AN56" t="s">
        <v>104</v>
      </c>
      <c r="AO56" t="s">
        <v>96</v>
      </c>
      <c r="AP56" s="13">
        <f t="shared" ref="AP56:AP67" ca="1" si="120">OFFSET($AK$26,0,(ROW()-ROW(AP$56)))</f>
        <v>632.53999999999985</v>
      </c>
      <c r="AQ56" s="13">
        <f t="shared" ref="AQ56:AQ67" ca="1" si="121">OFFSET($AK$51,0,(ROW()-ROW(AQ$56)))</f>
        <v>0</v>
      </c>
      <c r="AU56" s="13"/>
      <c r="AV56" s="13"/>
      <c r="BB56" t="s">
        <v>104</v>
      </c>
      <c r="BC56" t="s">
        <v>96</v>
      </c>
      <c r="BD56" s="13">
        <f t="shared" ref="BD56:BD67" ca="1" si="122">OFFSET(AY$26,0,(ROW()-ROW(BD$56)))</f>
        <v>570.54</v>
      </c>
      <c r="BE56" s="13">
        <f t="shared" ref="BE56:BE67" ca="1" si="123">OFFSET(AY$51,0,(ROW()-ROW(BE$56)))</f>
        <v>0</v>
      </c>
      <c r="BI56" s="13"/>
      <c r="BJ56" s="13"/>
      <c r="BP56" t="s">
        <v>104</v>
      </c>
      <c r="BQ56" t="s">
        <v>96</v>
      </c>
      <c r="BR56" s="13">
        <f t="shared" ref="BR56:BR67" ca="1" si="124">OFFSET(BM$26,0,(ROW()-ROW(BR$56)))</f>
        <v>508.54000000000008</v>
      </c>
      <c r="BS56" s="13">
        <f t="shared" ref="BS56:BS67" ca="1" si="125">OFFSET(BM$51,0,(ROW()-ROW(BS$56)))</f>
        <v>0</v>
      </c>
      <c r="BW56" s="13"/>
      <c r="BX56" s="13"/>
      <c r="CD56" t="s">
        <v>104</v>
      </c>
      <c r="CE56" t="s">
        <v>96</v>
      </c>
      <c r="CF56" s="13">
        <f ca="1">OFFSET(CA$26,0,(ROW()-ROW(CF$56)))</f>
        <v>446.53999999999996</v>
      </c>
      <c r="CG56" s="13">
        <f t="shared" ref="CG56:CG67" ca="1" si="126">OFFSET(CA$51,0,(ROW()-ROW(CG$56)))</f>
        <v>0</v>
      </c>
      <c r="CK56" s="13"/>
      <c r="CL56" s="13"/>
      <c r="CR56" t="s">
        <v>104</v>
      </c>
      <c r="CS56" t="s">
        <v>96</v>
      </c>
      <c r="CT56" s="13">
        <f ca="1">OFFSET(CO$26,0,(ROW()-ROW(CT$56)))</f>
        <v>384.56000000000006</v>
      </c>
      <c r="CU56" s="13">
        <f t="shared" ref="CU56:CU67" ca="1" si="127">OFFSET(CO$51,0,(ROW()-ROW(CU$56)))</f>
        <v>1.9999999999999928E-2</v>
      </c>
      <c r="CY56" s="13"/>
      <c r="CZ56" s="13"/>
      <c r="DF56" t="s">
        <v>104</v>
      </c>
      <c r="DG56" t="s">
        <v>96</v>
      </c>
      <c r="DH56" s="13">
        <f t="shared" ref="DH56:DH67" ca="1" si="128">OFFSET(DC$26,0,(ROW()-ROW(DH$56)))</f>
        <v>322.77</v>
      </c>
      <c r="DI56" s="13">
        <f t="shared" ref="DI56:DI67" ca="1" si="129">OFFSET(DC$51,0,(ROW()-ROW(DI$56)))</f>
        <v>0.2299999999999999</v>
      </c>
      <c r="EE56" t="s">
        <v>198</v>
      </c>
    </row>
    <row r="57" spans="1:139" x14ac:dyDescent="0.2">
      <c r="A57" s="9">
        <v>37834</v>
      </c>
      <c r="B57">
        <v>2003</v>
      </c>
      <c r="C57">
        <v>8</v>
      </c>
      <c r="D57" s="14">
        <v>21.793548387096774</v>
      </c>
      <c r="E57" s="14">
        <v>13.200000000000003</v>
      </c>
      <c r="F57" s="14">
        <v>68.800000000000011</v>
      </c>
      <c r="G57" s="14">
        <v>1.4000000000000021</v>
      </c>
      <c r="H57" s="14">
        <v>119.00000000000003</v>
      </c>
      <c r="I57" s="14">
        <v>0</v>
      </c>
      <c r="J57" s="14">
        <v>179.60000000000005</v>
      </c>
      <c r="K57" s="14">
        <v>0</v>
      </c>
      <c r="L57" s="14">
        <v>241.60000000000002</v>
      </c>
      <c r="M57" s="14">
        <v>0</v>
      </c>
      <c r="N57" s="14">
        <v>303.60000000000002</v>
      </c>
      <c r="O57" s="14">
        <v>0</v>
      </c>
      <c r="P57" s="14">
        <v>365.59999999999997</v>
      </c>
      <c r="Q57" s="14">
        <v>0</v>
      </c>
      <c r="R57" s="14">
        <v>427.59999999999997</v>
      </c>
      <c r="U57"/>
      <c r="Y57" t="s">
        <v>104</v>
      </c>
      <c r="Z57" t="s">
        <v>97</v>
      </c>
      <c r="AA57" s="13">
        <f t="shared" ca="1" si="118"/>
        <v>620.91000000000008</v>
      </c>
      <c r="AB57" s="13">
        <f t="shared" ca="1" si="119"/>
        <v>0</v>
      </c>
      <c r="AN57" t="s">
        <v>104</v>
      </c>
      <c r="AO57" t="s">
        <v>97</v>
      </c>
      <c r="AP57" s="13">
        <f t="shared" ca="1" si="120"/>
        <v>564.30999999999995</v>
      </c>
      <c r="AQ57" s="13">
        <f t="shared" ca="1" si="121"/>
        <v>0</v>
      </c>
      <c r="AU57" s="13"/>
      <c r="AV57" s="13"/>
      <c r="BB57" t="s">
        <v>104</v>
      </c>
      <c r="BC57" t="s">
        <v>97</v>
      </c>
      <c r="BD57" s="13">
        <f t="shared" ca="1" si="122"/>
        <v>507.70999999999992</v>
      </c>
      <c r="BE57" s="13">
        <f t="shared" ca="1" si="123"/>
        <v>0</v>
      </c>
      <c r="BI57" s="13"/>
      <c r="BJ57" s="13"/>
      <c r="BP57" t="s">
        <v>104</v>
      </c>
      <c r="BQ57" t="s">
        <v>97</v>
      </c>
      <c r="BR57" s="13">
        <f t="shared" ca="1" si="124"/>
        <v>451.10999999999996</v>
      </c>
      <c r="BS57" s="13">
        <f t="shared" ca="1" si="125"/>
        <v>0</v>
      </c>
      <c r="BW57" s="13"/>
      <c r="BX57" s="13"/>
      <c r="CD57" t="s">
        <v>104</v>
      </c>
      <c r="CE57" t="s">
        <v>97</v>
      </c>
      <c r="CF57" s="13">
        <f t="shared" ref="CF57:CF67" ca="1" si="130">OFFSET(CA$26,0,(ROW()-ROW(CF$56)))</f>
        <v>394.51</v>
      </c>
      <c r="CG57" s="13">
        <f t="shared" ca="1" si="126"/>
        <v>0</v>
      </c>
      <c r="CK57" s="13"/>
      <c r="CL57" s="13"/>
      <c r="CR57" t="s">
        <v>104</v>
      </c>
      <c r="CS57" t="s">
        <v>97</v>
      </c>
      <c r="CT57" s="13">
        <f t="shared" ref="CT57:CT67" ca="1" si="131">OFFSET(CO$26,0,(ROW()-ROW(CT$56)))</f>
        <v>338.02</v>
      </c>
      <c r="CU57" s="13">
        <f t="shared" ca="1" si="127"/>
        <v>0.10999999999999996</v>
      </c>
      <c r="CY57" s="13"/>
      <c r="CZ57" s="13"/>
      <c r="DF57" t="s">
        <v>104</v>
      </c>
      <c r="DG57" t="s">
        <v>97</v>
      </c>
      <c r="DH57" s="13">
        <f t="shared" ca="1" si="128"/>
        <v>282.56000000000006</v>
      </c>
      <c r="DI57" s="13">
        <f t="shared" ca="1" si="129"/>
        <v>1.25</v>
      </c>
      <c r="EE57" t="s">
        <v>537</v>
      </c>
    </row>
    <row r="58" spans="1:139" x14ac:dyDescent="0.2">
      <c r="A58" s="9">
        <v>37865</v>
      </c>
      <c r="B58">
        <v>2003</v>
      </c>
      <c r="C58">
        <v>9</v>
      </c>
      <c r="D58" s="14">
        <v>17.27333333333333</v>
      </c>
      <c r="E58" s="14">
        <v>84.9</v>
      </c>
      <c r="F58" s="14">
        <v>3.1000000000000014</v>
      </c>
      <c r="G58" s="14">
        <v>36.300000000000011</v>
      </c>
      <c r="H58" s="14">
        <v>14.500000000000007</v>
      </c>
      <c r="I58" s="14">
        <v>15.099999999999998</v>
      </c>
      <c r="J58" s="14">
        <v>53.300000000000004</v>
      </c>
      <c r="K58" s="14">
        <v>6.3999999999999986</v>
      </c>
      <c r="L58" s="14">
        <v>104.6</v>
      </c>
      <c r="M58" s="14">
        <v>1.7999999999999989</v>
      </c>
      <c r="N58" s="14">
        <v>160.00000000000003</v>
      </c>
      <c r="O58" s="14">
        <v>0</v>
      </c>
      <c r="P58" s="14">
        <v>218.20000000000007</v>
      </c>
      <c r="Q58" s="14">
        <v>0</v>
      </c>
      <c r="R58" s="14">
        <v>278.2</v>
      </c>
      <c r="Y58" t="s">
        <v>104</v>
      </c>
      <c r="Z58" t="s">
        <v>98</v>
      </c>
      <c r="AA58" s="13">
        <f t="shared" ca="1" si="118"/>
        <v>560.74</v>
      </c>
      <c r="AB58" s="13">
        <f t="shared" ca="1" si="119"/>
        <v>0</v>
      </c>
      <c r="AN58" t="s">
        <v>104</v>
      </c>
      <c r="AO58" t="s">
        <v>98</v>
      </c>
      <c r="AP58" s="13">
        <f t="shared" ca="1" si="120"/>
        <v>498.73999999999995</v>
      </c>
      <c r="AQ58" s="13">
        <f t="shared" ca="1" si="121"/>
        <v>0</v>
      </c>
      <c r="AU58" s="13"/>
      <c r="AV58" s="13"/>
      <c r="BB58" t="s">
        <v>104</v>
      </c>
      <c r="BC58" t="s">
        <v>98</v>
      </c>
      <c r="BD58" s="13">
        <f t="shared" ca="1" si="122"/>
        <v>436.74000000000007</v>
      </c>
      <c r="BE58" s="13">
        <f t="shared" ca="1" si="123"/>
        <v>0</v>
      </c>
      <c r="BI58" s="13"/>
      <c r="BJ58" s="13"/>
      <c r="BP58" t="s">
        <v>104</v>
      </c>
      <c r="BQ58" t="s">
        <v>98</v>
      </c>
      <c r="BR58" s="13">
        <f t="shared" ca="1" si="124"/>
        <v>374.74</v>
      </c>
      <c r="BS58" s="13">
        <f t="shared" ca="1" si="125"/>
        <v>0</v>
      </c>
      <c r="BW58" s="13"/>
      <c r="BX58" s="13"/>
      <c r="CD58" t="s">
        <v>104</v>
      </c>
      <c r="CE58" t="s">
        <v>98</v>
      </c>
      <c r="CF58" s="13">
        <f t="shared" ca="1" si="130"/>
        <v>313.20999999999998</v>
      </c>
      <c r="CG58" s="13">
        <f t="shared" ca="1" si="126"/>
        <v>0.47000000000000008</v>
      </c>
      <c r="CK58" s="13"/>
      <c r="CL58" s="13"/>
      <c r="CR58" t="s">
        <v>104</v>
      </c>
      <c r="CS58" t="s">
        <v>98</v>
      </c>
      <c r="CT58" s="13">
        <f t="shared" ca="1" si="131"/>
        <v>252.67</v>
      </c>
      <c r="CU58" s="13">
        <f t="shared" ca="1" si="127"/>
        <v>1.9300000000000002</v>
      </c>
      <c r="CY58" s="13"/>
      <c r="CZ58" s="13"/>
      <c r="DF58" t="s">
        <v>104</v>
      </c>
      <c r="DG58" t="s">
        <v>98</v>
      </c>
      <c r="DH58" s="13">
        <f t="shared" ca="1" si="128"/>
        <v>193.87</v>
      </c>
      <c r="DI58" s="13">
        <f t="shared" ca="1" si="129"/>
        <v>5.1300000000000008</v>
      </c>
    </row>
    <row r="59" spans="1:139" x14ac:dyDescent="0.2">
      <c r="A59" s="9">
        <v>37895</v>
      </c>
      <c r="B59">
        <v>2003</v>
      </c>
      <c r="C59">
        <v>10</v>
      </c>
      <c r="D59" s="14">
        <v>9.1032258064516132</v>
      </c>
      <c r="E59" s="14">
        <v>337.80000000000007</v>
      </c>
      <c r="F59" s="14">
        <v>0</v>
      </c>
      <c r="G59" s="14">
        <v>275.8</v>
      </c>
      <c r="H59" s="14">
        <v>0</v>
      </c>
      <c r="I59" s="14">
        <v>213.8</v>
      </c>
      <c r="J59" s="14">
        <v>0</v>
      </c>
      <c r="K59" s="14">
        <v>152.99999999999997</v>
      </c>
      <c r="L59" s="14">
        <v>1.1999999999999993</v>
      </c>
      <c r="M59" s="14">
        <v>99.199999999999989</v>
      </c>
      <c r="N59" s="14">
        <v>9.3999999999999986</v>
      </c>
      <c r="O59" s="14">
        <v>54</v>
      </c>
      <c r="P59" s="14">
        <v>26.199999999999996</v>
      </c>
      <c r="Q59" s="14">
        <v>20.6</v>
      </c>
      <c r="R59" s="14">
        <v>54.800000000000004</v>
      </c>
      <c r="Y59" t="s">
        <v>104</v>
      </c>
      <c r="Z59" t="s">
        <v>99</v>
      </c>
      <c r="AA59" s="13">
        <f t="shared" ca="1" si="118"/>
        <v>398.59999999999997</v>
      </c>
      <c r="AB59" s="13">
        <f t="shared" ca="1" si="119"/>
        <v>0.1</v>
      </c>
      <c r="AN59" t="s">
        <v>104</v>
      </c>
      <c r="AO59" t="s">
        <v>99</v>
      </c>
      <c r="AP59" s="13">
        <f t="shared" ca="1" si="120"/>
        <v>338.95999999999992</v>
      </c>
      <c r="AQ59" s="13">
        <f t="shared" ca="1" si="121"/>
        <v>0.46000000000000013</v>
      </c>
      <c r="AU59" s="13"/>
      <c r="AV59" s="13"/>
      <c r="BB59" t="s">
        <v>104</v>
      </c>
      <c r="BC59" t="s">
        <v>99</v>
      </c>
      <c r="BD59" s="13">
        <f t="shared" ca="1" si="122"/>
        <v>279.5499999999999</v>
      </c>
      <c r="BE59" s="13">
        <f t="shared" ca="1" si="123"/>
        <v>1.05</v>
      </c>
      <c r="BI59" s="13"/>
      <c r="BJ59" s="13"/>
      <c r="BP59" t="s">
        <v>104</v>
      </c>
      <c r="BQ59" t="s">
        <v>99</v>
      </c>
      <c r="BR59" s="13">
        <f t="shared" ca="1" si="124"/>
        <v>221.12999999999997</v>
      </c>
      <c r="BS59" s="13">
        <f t="shared" ca="1" si="125"/>
        <v>2.6300000000000003</v>
      </c>
      <c r="BW59" s="13"/>
      <c r="BX59" s="13"/>
      <c r="CD59" t="s">
        <v>104</v>
      </c>
      <c r="CE59" t="s">
        <v>99</v>
      </c>
      <c r="CF59" s="13">
        <f t="shared" ca="1" si="130"/>
        <v>164.71</v>
      </c>
      <c r="CG59" s="13">
        <f t="shared" ca="1" si="126"/>
        <v>6.2100000000000009</v>
      </c>
      <c r="CK59" s="13"/>
      <c r="CL59" s="13"/>
      <c r="CR59" t="s">
        <v>104</v>
      </c>
      <c r="CS59" t="s">
        <v>99</v>
      </c>
      <c r="CT59" s="13">
        <f t="shared" ca="1" si="131"/>
        <v>112.07000000000001</v>
      </c>
      <c r="CU59" s="13">
        <f t="shared" ca="1" si="127"/>
        <v>13.569999999999999</v>
      </c>
      <c r="CY59" s="13"/>
      <c r="CZ59" s="13"/>
      <c r="DF59" t="s">
        <v>104</v>
      </c>
      <c r="DG59" t="s">
        <v>99</v>
      </c>
      <c r="DH59" s="13">
        <f t="shared" ca="1" si="128"/>
        <v>67.02000000000001</v>
      </c>
      <c r="DI59" s="13">
        <f t="shared" ca="1" si="129"/>
        <v>28.520000000000003</v>
      </c>
      <c r="EF59" t="s">
        <v>68</v>
      </c>
      <c r="EG59" t="s">
        <v>69</v>
      </c>
      <c r="EH59" t="s">
        <v>70</v>
      </c>
      <c r="EI59" t="s">
        <v>71</v>
      </c>
    </row>
    <row r="60" spans="1:139" x14ac:dyDescent="0.2">
      <c r="A60" s="9">
        <v>37926</v>
      </c>
      <c r="B60">
        <v>2003</v>
      </c>
      <c r="C60">
        <v>11</v>
      </c>
      <c r="D60" s="14">
        <v>6.1</v>
      </c>
      <c r="E60" s="14">
        <v>417</v>
      </c>
      <c r="F60" s="14">
        <v>0</v>
      </c>
      <c r="G60" s="14">
        <v>357.00000000000006</v>
      </c>
      <c r="H60" s="14">
        <v>0</v>
      </c>
      <c r="I60" s="14">
        <v>297</v>
      </c>
      <c r="J60" s="14">
        <v>0</v>
      </c>
      <c r="K60" s="14">
        <v>237</v>
      </c>
      <c r="L60" s="14">
        <v>0</v>
      </c>
      <c r="M60" s="14">
        <v>178.20000000000002</v>
      </c>
      <c r="N60" s="14">
        <v>1.1999999999999993</v>
      </c>
      <c r="O60" s="14">
        <v>121.49999999999999</v>
      </c>
      <c r="P60" s="14">
        <v>4.4999999999999982</v>
      </c>
      <c r="Q60" s="14">
        <v>72.7</v>
      </c>
      <c r="R60" s="14">
        <v>15.699999999999998</v>
      </c>
      <c r="Y60" t="s">
        <v>104</v>
      </c>
      <c r="Z60" t="s">
        <v>54</v>
      </c>
      <c r="AA60" s="13">
        <f t="shared" ca="1" si="118"/>
        <v>217.13000000000002</v>
      </c>
      <c r="AB60" s="13">
        <f t="shared" ca="1" si="119"/>
        <v>6.8200000000000021</v>
      </c>
      <c r="AN60" t="s">
        <v>104</v>
      </c>
      <c r="AO60" t="s">
        <v>54</v>
      </c>
      <c r="AP60" s="13">
        <f t="shared" ca="1" si="120"/>
        <v>164.26</v>
      </c>
      <c r="AQ60" s="13">
        <f t="shared" ca="1" si="121"/>
        <v>15.95</v>
      </c>
      <c r="AU60" s="13"/>
      <c r="AV60" s="13"/>
      <c r="BB60" t="s">
        <v>104</v>
      </c>
      <c r="BC60" t="s">
        <v>54</v>
      </c>
      <c r="BD60" s="13">
        <f t="shared" ca="1" si="122"/>
        <v>116.44000000000001</v>
      </c>
      <c r="BE60" s="13">
        <f t="shared" ca="1" si="123"/>
        <v>30.129999999999995</v>
      </c>
      <c r="BI60" s="13"/>
      <c r="BJ60" s="13"/>
      <c r="BP60" t="s">
        <v>104</v>
      </c>
      <c r="BQ60" t="s">
        <v>54</v>
      </c>
      <c r="BR60" s="13">
        <f t="shared" ca="1" si="124"/>
        <v>74.8</v>
      </c>
      <c r="BS60" s="13">
        <f t="shared" ca="1" si="125"/>
        <v>50.489999999999995</v>
      </c>
      <c r="BW60" s="13"/>
      <c r="BX60" s="13"/>
      <c r="CD60" t="s">
        <v>104</v>
      </c>
      <c r="CE60" t="s">
        <v>54</v>
      </c>
      <c r="CF60" s="13">
        <f t="shared" ca="1" si="130"/>
        <v>42.18</v>
      </c>
      <c r="CG60" s="13">
        <f t="shared" ca="1" si="126"/>
        <v>79.86999999999999</v>
      </c>
      <c r="CK60" s="13"/>
      <c r="CL60" s="13"/>
      <c r="CR60" t="s">
        <v>104</v>
      </c>
      <c r="CS60" t="s">
        <v>54</v>
      </c>
      <c r="CT60" s="13">
        <f t="shared" ca="1" si="131"/>
        <v>19.18</v>
      </c>
      <c r="CU60" s="13">
        <f t="shared" ca="1" si="127"/>
        <v>118.86999999999998</v>
      </c>
      <c r="CY60" s="13"/>
      <c r="CZ60" s="13"/>
      <c r="DF60" t="s">
        <v>104</v>
      </c>
      <c r="DG60" t="s">
        <v>54</v>
      </c>
      <c r="DH60" s="13">
        <f t="shared" ca="1" si="128"/>
        <v>6.2</v>
      </c>
      <c r="DI60" s="13">
        <f t="shared" ca="1" si="129"/>
        <v>167.89000000000001</v>
      </c>
      <c r="EE60" t="s">
        <v>72</v>
      </c>
      <c r="EF60">
        <v>66646817.550756402</v>
      </c>
      <c r="EG60">
        <v>863357.94706119294</v>
      </c>
      <c r="EH60">
        <v>77.194885131499902</v>
      </c>
      <c r="EI60" s="32">
        <v>3.2968034448738601E-102</v>
      </c>
    </row>
    <row r="61" spans="1:139" x14ac:dyDescent="0.2">
      <c r="A61" s="9">
        <v>37956</v>
      </c>
      <c r="B61">
        <v>2003</v>
      </c>
      <c r="C61">
        <v>12</v>
      </c>
      <c r="D61" s="14">
        <v>1.3612903225806452</v>
      </c>
      <c r="E61" s="14">
        <v>577.79999999999995</v>
      </c>
      <c r="F61" s="14">
        <v>0</v>
      </c>
      <c r="G61" s="14">
        <v>515.79999999999995</v>
      </c>
      <c r="H61" s="14">
        <v>0</v>
      </c>
      <c r="I61" s="14">
        <v>453.8</v>
      </c>
      <c r="J61" s="14">
        <v>0</v>
      </c>
      <c r="K61" s="14">
        <v>391.8</v>
      </c>
      <c r="L61" s="14">
        <v>0</v>
      </c>
      <c r="M61" s="14">
        <v>329.8</v>
      </c>
      <c r="N61" s="14">
        <v>0</v>
      </c>
      <c r="O61" s="14">
        <v>267.8</v>
      </c>
      <c r="P61" s="14">
        <v>0</v>
      </c>
      <c r="Q61" s="14">
        <v>206.00000000000006</v>
      </c>
      <c r="R61" s="14">
        <v>0.19999999999999929</v>
      </c>
      <c r="Y61" t="s">
        <v>104</v>
      </c>
      <c r="Z61" t="s">
        <v>92</v>
      </c>
      <c r="AA61" s="13">
        <f t="shared" ca="1" si="118"/>
        <v>59.179999999999993</v>
      </c>
      <c r="AB61" s="13">
        <f t="shared" ca="1" si="119"/>
        <v>31.080000000000002</v>
      </c>
      <c r="AN61" t="s">
        <v>104</v>
      </c>
      <c r="AO61" t="s">
        <v>92</v>
      </c>
      <c r="AP61" s="13">
        <f t="shared" ca="1" si="120"/>
        <v>28.27</v>
      </c>
      <c r="AQ61" s="13">
        <f t="shared" ca="1" si="121"/>
        <v>60.17</v>
      </c>
      <c r="AU61" s="13"/>
      <c r="AV61" s="13"/>
      <c r="BB61" t="s">
        <v>104</v>
      </c>
      <c r="BC61" t="s">
        <v>92</v>
      </c>
      <c r="BD61" s="13">
        <f t="shared" ca="1" si="122"/>
        <v>9.41</v>
      </c>
      <c r="BE61" s="13">
        <f t="shared" ca="1" si="123"/>
        <v>101.30999999999999</v>
      </c>
      <c r="BI61" s="13"/>
      <c r="BJ61" s="13"/>
      <c r="BP61" t="s">
        <v>104</v>
      </c>
      <c r="BQ61" t="s">
        <v>92</v>
      </c>
      <c r="BR61" s="13">
        <f t="shared" ca="1" si="124"/>
        <v>2.15</v>
      </c>
      <c r="BS61" s="13">
        <f t="shared" ca="1" si="125"/>
        <v>154.05000000000001</v>
      </c>
      <c r="BW61" s="13"/>
      <c r="BX61" s="13"/>
      <c r="CD61" t="s">
        <v>104</v>
      </c>
      <c r="CE61" t="s">
        <v>92</v>
      </c>
      <c r="CF61" s="13">
        <f t="shared" ca="1" si="130"/>
        <v>0.36999999999999994</v>
      </c>
      <c r="CG61" s="13">
        <f t="shared" ca="1" si="126"/>
        <v>212.27000000000004</v>
      </c>
      <c r="CK61" s="13"/>
      <c r="CL61" s="13"/>
      <c r="CR61" t="s">
        <v>104</v>
      </c>
      <c r="CS61" t="s">
        <v>92</v>
      </c>
      <c r="CT61" s="13">
        <f t="shared" ca="1" si="131"/>
        <v>0</v>
      </c>
      <c r="CU61" s="13">
        <f t="shared" ca="1" si="127"/>
        <v>271.90000000000003</v>
      </c>
      <c r="CY61" s="13"/>
      <c r="CZ61" s="13"/>
      <c r="DF61" t="s">
        <v>104</v>
      </c>
      <c r="DG61" t="s">
        <v>92</v>
      </c>
      <c r="DH61" s="13">
        <f t="shared" ca="1" si="128"/>
        <v>0</v>
      </c>
      <c r="DI61" s="13">
        <f t="shared" ca="1" si="129"/>
        <v>331.9</v>
      </c>
      <c r="EE61" t="s">
        <v>153</v>
      </c>
      <c r="EF61">
        <v>18240.419871577898</v>
      </c>
      <c r="EG61">
        <v>2875.2603108767898</v>
      </c>
      <c r="EH61">
        <v>6.3439194714219402</v>
      </c>
      <c r="EI61" s="32">
        <v>4.38418390850035E-9</v>
      </c>
    </row>
    <row r="62" spans="1:139" x14ac:dyDescent="0.2">
      <c r="A62" s="9">
        <v>37987</v>
      </c>
      <c r="B62">
        <v>2004</v>
      </c>
      <c r="C62">
        <v>1</v>
      </c>
      <c r="D62" s="14">
        <v>-7.2935483870967754</v>
      </c>
      <c r="E62" s="14">
        <v>846.09999999999991</v>
      </c>
      <c r="F62" s="14">
        <v>0</v>
      </c>
      <c r="G62" s="14">
        <v>784.09999999999991</v>
      </c>
      <c r="H62" s="14">
        <v>0</v>
      </c>
      <c r="I62" s="14">
        <v>722.09999999999991</v>
      </c>
      <c r="J62" s="14">
        <v>0</v>
      </c>
      <c r="K62" s="14">
        <v>660.09999999999991</v>
      </c>
      <c r="L62" s="14">
        <v>0</v>
      </c>
      <c r="M62" s="14">
        <v>598.09999999999991</v>
      </c>
      <c r="N62" s="14">
        <v>0</v>
      </c>
      <c r="O62" s="14">
        <v>536.1</v>
      </c>
      <c r="P62" s="14">
        <v>0</v>
      </c>
      <c r="Q62" s="14">
        <v>475.5</v>
      </c>
      <c r="R62" s="14">
        <v>1.4000000000000004</v>
      </c>
      <c r="Y62" t="s">
        <v>104</v>
      </c>
      <c r="Z62" t="s">
        <v>93</v>
      </c>
      <c r="AA62" s="13">
        <f t="shared" ca="1" si="118"/>
        <v>5.59</v>
      </c>
      <c r="AB62" s="13">
        <f t="shared" ca="1" si="119"/>
        <v>87.26</v>
      </c>
      <c r="AN62" t="s">
        <v>104</v>
      </c>
      <c r="AO62" t="s">
        <v>93</v>
      </c>
      <c r="AP62" s="13">
        <f t="shared" ca="1" si="120"/>
        <v>0.6400000000000009</v>
      </c>
      <c r="AQ62" s="13">
        <f t="shared" ca="1" si="121"/>
        <v>144.31</v>
      </c>
      <c r="AU62" s="13"/>
      <c r="AV62" s="13"/>
      <c r="BB62" t="s">
        <v>104</v>
      </c>
      <c r="BC62" t="s">
        <v>93</v>
      </c>
      <c r="BD62" s="13">
        <f t="shared" ca="1" si="122"/>
        <v>0</v>
      </c>
      <c r="BE62" s="13">
        <f t="shared" ca="1" si="123"/>
        <v>205.67000000000002</v>
      </c>
      <c r="BI62" s="13"/>
      <c r="BJ62" s="13"/>
      <c r="BP62" t="s">
        <v>104</v>
      </c>
      <c r="BQ62" t="s">
        <v>93</v>
      </c>
      <c r="BR62" s="13">
        <f t="shared" ca="1" si="124"/>
        <v>0</v>
      </c>
      <c r="BS62" s="13">
        <f t="shared" ca="1" si="125"/>
        <v>267.66999999999996</v>
      </c>
      <c r="BW62" s="13"/>
      <c r="BX62" s="13"/>
      <c r="CD62" t="s">
        <v>104</v>
      </c>
      <c r="CE62" t="s">
        <v>93</v>
      </c>
      <c r="CF62" s="13">
        <f t="shared" ca="1" si="130"/>
        <v>0</v>
      </c>
      <c r="CG62" s="13">
        <f t="shared" ca="1" si="126"/>
        <v>329.66999999999996</v>
      </c>
      <c r="CK62" s="13"/>
      <c r="CL62" s="13"/>
      <c r="CR62" t="s">
        <v>104</v>
      </c>
      <c r="CS62" t="s">
        <v>93</v>
      </c>
      <c r="CT62" s="13">
        <f t="shared" ca="1" si="131"/>
        <v>0</v>
      </c>
      <c r="CU62" s="13">
        <f t="shared" ca="1" si="127"/>
        <v>391.66999999999996</v>
      </c>
      <c r="CY62" s="13"/>
      <c r="CZ62" s="13"/>
      <c r="DF62" t="s">
        <v>104</v>
      </c>
      <c r="DG62" t="s">
        <v>93</v>
      </c>
      <c r="DH62" s="13">
        <f t="shared" ca="1" si="128"/>
        <v>0</v>
      </c>
      <c r="DI62" s="13">
        <f t="shared" ca="1" si="129"/>
        <v>453.67000000000007</v>
      </c>
      <c r="EE62" t="s">
        <v>36</v>
      </c>
      <c r="EF62">
        <v>50112.476175636599</v>
      </c>
      <c r="EG62">
        <v>4177.3657791715405</v>
      </c>
      <c r="EH62">
        <v>11.9961906198157</v>
      </c>
      <c r="EI62" s="32">
        <v>4.1448027234876699E-22</v>
      </c>
    </row>
    <row r="63" spans="1:139" x14ac:dyDescent="0.2">
      <c r="A63" s="9">
        <v>38018</v>
      </c>
      <c r="B63">
        <v>2004</v>
      </c>
      <c r="C63">
        <v>2</v>
      </c>
      <c r="D63" s="14">
        <v>-1.824137931034483</v>
      </c>
      <c r="E63" s="14">
        <v>632.90000000000009</v>
      </c>
      <c r="F63" s="14">
        <v>0</v>
      </c>
      <c r="G63" s="14">
        <v>574.9</v>
      </c>
      <c r="H63" s="14">
        <v>0</v>
      </c>
      <c r="I63" s="14">
        <v>516.90000000000009</v>
      </c>
      <c r="J63" s="14">
        <v>0</v>
      </c>
      <c r="K63" s="14">
        <v>458.90000000000003</v>
      </c>
      <c r="L63" s="14">
        <v>0</v>
      </c>
      <c r="M63" s="14">
        <v>400.90000000000003</v>
      </c>
      <c r="N63" s="14">
        <v>0</v>
      </c>
      <c r="O63" s="14">
        <v>342.90000000000003</v>
      </c>
      <c r="P63" s="14">
        <v>0</v>
      </c>
      <c r="Q63" s="14">
        <v>284.89999999999998</v>
      </c>
      <c r="R63" s="14">
        <v>0</v>
      </c>
      <c r="Y63" t="s">
        <v>104</v>
      </c>
      <c r="Z63" t="s">
        <v>94</v>
      </c>
      <c r="AA63" s="13">
        <f t="shared" ca="1" si="118"/>
        <v>11.37</v>
      </c>
      <c r="AB63" s="13">
        <f t="shared" ca="1" si="119"/>
        <v>71.685000000000002</v>
      </c>
      <c r="AN63" t="s">
        <v>104</v>
      </c>
      <c r="AO63" t="s">
        <v>94</v>
      </c>
      <c r="AP63" s="13">
        <f t="shared" ca="1" si="120"/>
        <v>2.1800000000000002</v>
      </c>
      <c r="AQ63" s="13">
        <f t="shared" ca="1" si="121"/>
        <v>124.495</v>
      </c>
      <c r="AU63" s="13"/>
      <c r="AV63" s="13"/>
      <c r="BB63" t="s">
        <v>104</v>
      </c>
      <c r="BC63" t="s">
        <v>94</v>
      </c>
      <c r="BD63" s="13">
        <f t="shared" ca="1" si="122"/>
        <v>1.9999999999999928E-2</v>
      </c>
      <c r="BE63" s="13">
        <f t="shared" ca="1" si="123"/>
        <v>184.33499999999998</v>
      </c>
      <c r="BI63" s="13"/>
      <c r="BJ63" s="13"/>
      <c r="BP63" t="s">
        <v>104</v>
      </c>
      <c r="BQ63" t="s">
        <v>94</v>
      </c>
      <c r="BR63" s="13">
        <f t="shared" ca="1" si="124"/>
        <v>0</v>
      </c>
      <c r="BS63" s="13">
        <f t="shared" ca="1" si="125"/>
        <v>246.315</v>
      </c>
      <c r="BW63" s="13"/>
      <c r="BX63" s="13"/>
      <c r="CD63" t="s">
        <v>104</v>
      </c>
      <c r="CE63" t="s">
        <v>94</v>
      </c>
      <c r="CF63" s="13">
        <f t="shared" ca="1" si="130"/>
        <v>0</v>
      </c>
      <c r="CG63" s="13">
        <f t="shared" ca="1" si="126"/>
        <v>308.31500000000005</v>
      </c>
      <c r="CK63" s="13"/>
      <c r="CL63" s="13"/>
      <c r="CR63" t="s">
        <v>104</v>
      </c>
      <c r="CS63" t="s">
        <v>94</v>
      </c>
      <c r="CT63" s="13">
        <f t="shared" ca="1" si="131"/>
        <v>0</v>
      </c>
      <c r="CU63" s="13">
        <f t="shared" ca="1" si="127"/>
        <v>370.31500000000005</v>
      </c>
      <c r="CY63" s="13"/>
      <c r="CZ63" s="13"/>
      <c r="DF63" t="s">
        <v>104</v>
      </c>
      <c r="DG63" t="s">
        <v>94</v>
      </c>
      <c r="DH63" s="13">
        <f t="shared" ca="1" si="128"/>
        <v>0</v>
      </c>
      <c r="DI63" s="13">
        <f t="shared" ca="1" si="129"/>
        <v>432.31500000000005</v>
      </c>
    </row>
    <row r="64" spans="1:139" x14ac:dyDescent="0.2">
      <c r="A64" s="9">
        <v>38047</v>
      </c>
      <c r="B64">
        <v>2004</v>
      </c>
      <c r="C64">
        <v>3</v>
      </c>
      <c r="D64" s="14">
        <v>2.6419354838709674</v>
      </c>
      <c r="E64" s="14">
        <v>538.1</v>
      </c>
      <c r="F64" s="14">
        <v>0</v>
      </c>
      <c r="G64" s="14">
        <v>476.09999999999997</v>
      </c>
      <c r="H64" s="14">
        <v>0</v>
      </c>
      <c r="I64" s="14">
        <v>414.09999999999997</v>
      </c>
      <c r="J64" s="14">
        <v>0</v>
      </c>
      <c r="K64" s="14">
        <v>352.09999999999991</v>
      </c>
      <c r="L64" s="14">
        <v>0</v>
      </c>
      <c r="M64" s="14">
        <v>292.09999999999991</v>
      </c>
      <c r="N64" s="14">
        <v>2</v>
      </c>
      <c r="O64" s="14">
        <v>233.7</v>
      </c>
      <c r="P64" s="14">
        <v>5.6</v>
      </c>
      <c r="Q64" s="14">
        <v>177.8</v>
      </c>
      <c r="R64" s="14">
        <v>11.7</v>
      </c>
      <c r="Y64" t="s">
        <v>104</v>
      </c>
      <c r="Z64" t="s">
        <v>100</v>
      </c>
      <c r="AA64" s="13">
        <f t="shared" ca="1" si="118"/>
        <v>60.73</v>
      </c>
      <c r="AB64" s="13">
        <f t="shared" ca="1" si="119"/>
        <v>25.260000000000009</v>
      </c>
      <c r="AN64" t="s">
        <v>104</v>
      </c>
      <c r="AO64" t="s">
        <v>100</v>
      </c>
      <c r="AP64" s="13">
        <f t="shared" ca="1" si="120"/>
        <v>28.300000000000004</v>
      </c>
      <c r="AQ64" s="13">
        <f t="shared" ca="1" si="121"/>
        <v>52.83</v>
      </c>
      <c r="AU64" s="13"/>
      <c r="AV64" s="13"/>
      <c r="BB64" t="s">
        <v>104</v>
      </c>
      <c r="BC64" t="s">
        <v>100</v>
      </c>
      <c r="BD64" s="13">
        <f t="shared" ca="1" si="122"/>
        <v>10.380000000000003</v>
      </c>
      <c r="BE64" s="13">
        <f t="shared" ca="1" si="123"/>
        <v>94.910000000000011</v>
      </c>
      <c r="BI64" s="13"/>
      <c r="BJ64" s="13"/>
      <c r="BP64" t="s">
        <v>104</v>
      </c>
      <c r="BQ64" t="s">
        <v>100</v>
      </c>
      <c r="BR64" s="13">
        <f t="shared" ca="1" si="124"/>
        <v>2.2699999999999996</v>
      </c>
      <c r="BS64" s="13">
        <f t="shared" ca="1" si="125"/>
        <v>146.80000000000001</v>
      </c>
      <c r="BW64" s="13"/>
      <c r="BX64" s="13"/>
      <c r="CD64" t="s">
        <v>104</v>
      </c>
      <c r="CE64" t="s">
        <v>100</v>
      </c>
      <c r="CF64" s="13">
        <f t="shared" ca="1" si="130"/>
        <v>0.28999999999999987</v>
      </c>
      <c r="CG64" s="13">
        <f t="shared" ca="1" si="126"/>
        <v>204.82</v>
      </c>
      <c r="CK64" s="13"/>
      <c r="CL64" s="13"/>
      <c r="CR64" t="s">
        <v>104</v>
      </c>
      <c r="CS64" t="s">
        <v>100</v>
      </c>
      <c r="CT64" s="13">
        <f t="shared" ca="1" si="131"/>
        <v>0</v>
      </c>
      <c r="CU64" s="13">
        <f t="shared" ca="1" si="127"/>
        <v>264.52999999999992</v>
      </c>
      <c r="CY64" s="13"/>
      <c r="CZ64" s="13"/>
      <c r="DF64" t="s">
        <v>104</v>
      </c>
      <c r="DG64" t="s">
        <v>100</v>
      </c>
      <c r="DH64" s="13">
        <f t="shared" ca="1" si="128"/>
        <v>0</v>
      </c>
      <c r="DI64" s="13">
        <f t="shared" ca="1" si="129"/>
        <v>324.52999999999997</v>
      </c>
      <c r="EE64" t="s">
        <v>165</v>
      </c>
    </row>
    <row r="65" spans="1:138" x14ac:dyDescent="0.2">
      <c r="A65" s="9">
        <v>38078</v>
      </c>
      <c r="B65">
        <v>2004</v>
      </c>
      <c r="C65">
        <v>4</v>
      </c>
      <c r="D65" s="14">
        <v>6.9366666666666665</v>
      </c>
      <c r="E65" s="14">
        <v>391.90000000000015</v>
      </c>
      <c r="F65" s="14">
        <v>0</v>
      </c>
      <c r="G65" s="14">
        <v>332.60000000000008</v>
      </c>
      <c r="H65" s="14">
        <v>0.69999999999999929</v>
      </c>
      <c r="I65" s="14">
        <v>275.00000000000006</v>
      </c>
      <c r="J65" s="14">
        <v>3.0999999999999979</v>
      </c>
      <c r="K65" s="14">
        <v>219.20000000000005</v>
      </c>
      <c r="L65" s="14">
        <v>7.2999999999999972</v>
      </c>
      <c r="M65" s="14">
        <v>166.10000000000002</v>
      </c>
      <c r="N65" s="14">
        <v>14.199999999999996</v>
      </c>
      <c r="O65" s="14">
        <v>119.79999999999998</v>
      </c>
      <c r="P65" s="14">
        <v>27.899999999999995</v>
      </c>
      <c r="Q65" s="14">
        <v>75.999999999999986</v>
      </c>
      <c r="R65" s="14">
        <v>44.099999999999994</v>
      </c>
      <c r="Y65" t="s">
        <v>104</v>
      </c>
      <c r="Z65" t="s">
        <v>101</v>
      </c>
      <c r="AA65" s="13">
        <f t="shared" ca="1" si="118"/>
        <v>235.25</v>
      </c>
      <c r="AB65" s="13">
        <f t="shared" ca="1" si="119"/>
        <v>2.3099999999999996</v>
      </c>
      <c r="AN65" t="s">
        <v>104</v>
      </c>
      <c r="AO65" t="s">
        <v>101</v>
      </c>
      <c r="AP65" s="13">
        <f t="shared" ca="1" si="120"/>
        <v>178.40000000000003</v>
      </c>
      <c r="AQ65" s="13">
        <f t="shared" ca="1" si="121"/>
        <v>7.4599999999999991</v>
      </c>
      <c r="AU65" s="13"/>
      <c r="AV65" s="13"/>
      <c r="BB65" t="s">
        <v>104</v>
      </c>
      <c r="BC65" t="s">
        <v>101</v>
      </c>
      <c r="BD65" s="13">
        <f t="shared" ca="1" si="122"/>
        <v>127.64999999999998</v>
      </c>
      <c r="BE65" s="13">
        <f t="shared" ca="1" si="123"/>
        <v>18.709999999999997</v>
      </c>
      <c r="BI65" s="13"/>
      <c r="BJ65" s="13"/>
      <c r="BP65" t="s">
        <v>104</v>
      </c>
      <c r="BQ65" t="s">
        <v>101</v>
      </c>
      <c r="BR65" s="13">
        <f t="shared" ca="1" si="124"/>
        <v>83.800000000000011</v>
      </c>
      <c r="BS65" s="13">
        <f t="shared" ca="1" si="125"/>
        <v>36.859999999999992</v>
      </c>
      <c r="BW65" s="13"/>
      <c r="BX65" s="13"/>
      <c r="CD65" t="s">
        <v>104</v>
      </c>
      <c r="CE65" t="s">
        <v>101</v>
      </c>
      <c r="CF65" s="13">
        <f t="shared" ca="1" si="130"/>
        <v>48.440000000000005</v>
      </c>
      <c r="CG65" s="13">
        <f t="shared" ca="1" si="126"/>
        <v>63.5</v>
      </c>
      <c r="CK65" s="13"/>
      <c r="CL65" s="13"/>
      <c r="CR65" t="s">
        <v>104</v>
      </c>
      <c r="CS65" t="s">
        <v>101</v>
      </c>
      <c r="CT65" s="13">
        <f t="shared" ca="1" si="131"/>
        <v>23.589999999999996</v>
      </c>
      <c r="CU65" s="13">
        <f t="shared" ca="1" si="127"/>
        <v>100.65</v>
      </c>
      <c r="CY65" s="13"/>
      <c r="CZ65" s="13"/>
      <c r="DF65" t="s">
        <v>104</v>
      </c>
      <c r="DG65" t="s">
        <v>101</v>
      </c>
      <c r="DH65" s="13">
        <f t="shared" ca="1" si="128"/>
        <v>8.4599999999999973</v>
      </c>
      <c r="DI65" s="13">
        <f t="shared" ca="1" si="129"/>
        <v>147.52000000000001</v>
      </c>
      <c r="EE65" t="s">
        <v>75</v>
      </c>
      <c r="EF65" s="32">
        <v>949869455100496</v>
      </c>
      <c r="EG65" t="s">
        <v>76</v>
      </c>
      <c r="EH65">
        <v>2849305.5910671102</v>
      </c>
    </row>
    <row r="66" spans="1:138" x14ac:dyDescent="0.2">
      <c r="A66" s="9">
        <v>38108</v>
      </c>
      <c r="B66">
        <v>2004</v>
      </c>
      <c r="C66">
        <v>5</v>
      </c>
      <c r="D66" s="14">
        <v>12.43225806451613</v>
      </c>
      <c r="E66" s="14">
        <v>234.59999999999997</v>
      </c>
      <c r="F66" s="14">
        <v>0</v>
      </c>
      <c r="G66" s="14">
        <v>173.50000000000003</v>
      </c>
      <c r="H66" s="14">
        <v>0.89999999999999858</v>
      </c>
      <c r="I66" s="14">
        <v>115.69999999999999</v>
      </c>
      <c r="J66" s="14">
        <v>5.0999999999999979</v>
      </c>
      <c r="K66" s="14">
        <v>68.999999999999986</v>
      </c>
      <c r="L66" s="14">
        <v>20.399999999999999</v>
      </c>
      <c r="M66" s="14">
        <v>34.800000000000004</v>
      </c>
      <c r="N66" s="14">
        <v>48.200000000000017</v>
      </c>
      <c r="O66" s="14">
        <v>16</v>
      </c>
      <c r="P66" s="14">
        <v>91.399999999999991</v>
      </c>
      <c r="Q66" s="14">
        <v>5.6</v>
      </c>
      <c r="R66" s="14">
        <v>142.99999999999994</v>
      </c>
      <c r="Y66" t="s">
        <v>104</v>
      </c>
      <c r="Z66" t="s">
        <v>102</v>
      </c>
      <c r="AA66" s="13">
        <f t="shared" ca="1" si="118"/>
        <v>417.39</v>
      </c>
      <c r="AB66" s="13">
        <f t="shared" ca="1" si="119"/>
        <v>0.1</v>
      </c>
      <c r="AN66" t="s">
        <v>104</v>
      </c>
      <c r="AO66" t="s">
        <v>102</v>
      </c>
      <c r="AP66" s="13">
        <f t="shared" ca="1" si="120"/>
        <v>357.79</v>
      </c>
      <c r="AQ66" s="13">
        <f t="shared" ca="1" si="121"/>
        <v>0.5</v>
      </c>
      <c r="AU66" s="13"/>
      <c r="AV66" s="13"/>
      <c r="BB66" t="s">
        <v>104</v>
      </c>
      <c r="BC66" t="s">
        <v>102</v>
      </c>
      <c r="BD66" s="13">
        <f t="shared" ca="1" si="122"/>
        <v>298.40999999999997</v>
      </c>
      <c r="BE66" s="13">
        <f t="shared" ca="1" si="123"/>
        <v>1.1200000000000003</v>
      </c>
      <c r="BI66" s="13"/>
      <c r="BJ66" s="13"/>
      <c r="BP66" t="s">
        <v>104</v>
      </c>
      <c r="BQ66" t="s">
        <v>102</v>
      </c>
      <c r="BR66" s="13">
        <f t="shared" ca="1" si="124"/>
        <v>240.7</v>
      </c>
      <c r="BS66" s="13">
        <f t="shared" ca="1" si="125"/>
        <v>3.410000000000001</v>
      </c>
      <c r="BW66" s="13"/>
      <c r="BX66" s="13"/>
      <c r="CD66" t="s">
        <v>104</v>
      </c>
      <c r="CE66" t="s">
        <v>102</v>
      </c>
      <c r="CF66" s="13">
        <f t="shared" ca="1" si="130"/>
        <v>185.27</v>
      </c>
      <c r="CG66" s="13">
        <f t="shared" ca="1" si="126"/>
        <v>7.9799999999999986</v>
      </c>
      <c r="CK66" s="13"/>
      <c r="CL66" s="13"/>
      <c r="CR66" t="s">
        <v>104</v>
      </c>
      <c r="CS66" t="s">
        <v>102</v>
      </c>
      <c r="CT66" s="13">
        <f t="shared" ca="1" si="131"/>
        <v>134.25000000000003</v>
      </c>
      <c r="CU66" s="13">
        <f t="shared" ca="1" si="127"/>
        <v>16.96</v>
      </c>
      <c r="CY66" s="13"/>
      <c r="CZ66" s="13"/>
      <c r="DF66" t="s">
        <v>104</v>
      </c>
      <c r="DG66" t="s">
        <v>102</v>
      </c>
      <c r="DH66" s="13">
        <f t="shared" ca="1" si="128"/>
        <v>89.800000000000011</v>
      </c>
      <c r="DI66" s="13">
        <f t="shared" ca="1" si="129"/>
        <v>32.510000000000005</v>
      </c>
      <c r="EE66" t="s">
        <v>77</v>
      </c>
      <c r="EF66">
        <v>0.71091321357401704</v>
      </c>
      <c r="EG66" t="s">
        <v>78</v>
      </c>
      <c r="EH66">
        <v>0.70597155910519704</v>
      </c>
    </row>
    <row r="67" spans="1:138" x14ac:dyDescent="0.2">
      <c r="A67" s="9">
        <v>38139</v>
      </c>
      <c r="B67">
        <v>2004</v>
      </c>
      <c r="C67">
        <v>6</v>
      </c>
      <c r="D67" s="14">
        <v>17.466666666666665</v>
      </c>
      <c r="E67" s="14">
        <v>90.699999999999989</v>
      </c>
      <c r="F67" s="14">
        <v>14.699999999999996</v>
      </c>
      <c r="G67" s="14">
        <v>47.599999999999994</v>
      </c>
      <c r="H67" s="14">
        <v>31.599999999999998</v>
      </c>
      <c r="I67" s="14">
        <v>20</v>
      </c>
      <c r="J67" s="14">
        <v>64.000000000000014</v>
      </c>
      <c r="K67" s="14">
        <v>5.4</v>
      </c>
      <c r="L67" s="14">
        <v>109.39999999999998</v>
      </c>
      <c r="M67" s="14">
        <v>0.80000000000000071</v>
      </c>
      <c r="N67" s="14">
        <v>164.79999999999998</v>
      </c>
      <c r="O67" s="14">
        <v>0</v>
      </c>
      <c r="P67" s="14">
        <v>224</v>
      </c>
      <c r="Q67" s="14">
        <v>0</v>
      </c>
      <c r="R67" s="14">
        <v>284</v>
      </c>
      <c r="Y67" t="s">
        <v>104</v>
      </c>
      <c r="Z67" t="s">
        <v>103</v>
      </c>
      <c r="AA67" s="13">
        <f t="shared" ca="1" si="118"/>
        <v>572.62000000000012</v>
      </c>
      <c r="AB67" s="13">
        <f t="shared" ca="1" si="119"/>
        <v>0</v>
      </c>
      <c r="AN67" t="s">
        <v>104</v>
      </c>
      <c r="AO67" t="s">
        <v>103</v>
      </c>
      <c r="AP67" s="13">
        <f t="shared" ca="1" si="120"/>
        <v>510.62000000000006</v>
      </c>
      <c r="AQ67" s="13">
        <f t="shared" ca="1" si="121"/>
        <v>0</v>
      </c>
      <c r="AU67" s="13"/>
      <c r="AV67" s="13"/>
      <c r="BB67" t="s">
        <v>104</v>
      </c>
      <c r="BC67" t="s">
        <v>103</v>
      </c>
      <c r="BD67" s="13">
        <f t="shared" ca="1" si="122"/>
        <v>448.62</v>
      </c>
      <c r="BE67" s="13">
        <f t="shared" ca="1" si="123"/>
        <v>0</v>
      </c>
      <c r="BI67" s="13"/>
      <c r="BJ67" s="13"/>
      <c r="BP67" t="s">
        <v>104</v>
      </c>
      <c r="BQ67" t="s">
        <v>103</v>
      </c>
      <c r="BR67" s="13">
        <f t="shared" ca="1" si="124"/>
        <v>386.61999999999995</v>
      </c>
      <c r="BS67" s="13">
        <f t="shared" ca="1" si="125"/>
        <v>0</v>
      </c>
      <c r="BW67" s="13"/>
      <c r="BX67" s="13"/>
      <c r="CD67" t="s">
        <v>104</v>
      </c>
      <c r="CE67" t="s">
        <v>103</v>
      </c>
      <c r="CF67" s="13">
        <f t="shared" ca="1" si="130"/>
        <v>324.61999999999995</v>
      </c>
      <c r="CG67" s="13">
        <f t="shared" ca="1" si="126"/>
        <v>0</v>
      </c>
      <c r="CK67" s="13"/>
      <c r="CL67" s="13"/>
      <c r="CR67" t="s">
        <v>104</v>
      </c>
      <c r="CS67" t="s">
        <v>103</v>
      </c>
      <c r="CT67" s="13">
        <f t="shared" ca="1" si="131"/>
        <v>262.99</v>
      </c>
      <c r="CU67" s="13">
        <f t="shared" ca="1" si="127"/>
        <v>0.37000000000000011</v>
      </c>
      <c r="CY67" s="13"/>
      <c r="CZ67" s="13"/>
      <c r="DF67" t="s">
        <v>104</v>
      </c>
      <c r="DG67" t="s">
        <v>103</v>
      </c>
      <c r="DH67" s="13">
        <f t="shared" ca="1" si="128"/>
        <v>202.98</v>
      </c>
      <c r="DI67" s="13">
        <f t="shared" ca="1" si="129"/>
        <v>2.3600000000000003</v>
      </c>
      <c r="EE67" t="s">
        <v>533</v>
      </c>
      <c r="EF67">
        <v>146.23614044795499</v>
      </c>
      <c r="EG67" t="s">
        <v>79</v>
      </c>
      <c r="EH67" s="32">
        <v>1.49189828351732E-32</v>
      </c>
    </row>
    <row r="68" spans="1:138" x14ac:dyDescent="0.2">
      <c r="A68" s="9">
        <v>38169</v>
      </c>
      <c r="B68">
        <v>2004</v>
      </c>
      <c r="C68">
        <v>7</v>
      </c>
      <c r="D68" s="14">
        <v>20.29032258064516</v>
      </c>
      <c r="E68" s="14">
        <v>24.400000000000002</v>
      </c>
      <c r="F68" s="14">
        <v>33.400000000000006</v>
      </c>
      <c r="G68" s="14">
        <v>4</v>
      </c>
      <c r="H68" s="14">
        <v>75</v>
      </c>
      <c r="I68" s="14">
        <v>0</v>
      </c>
      <c r="J68" s="14">
        <v>133.00000000000003</v>
      </c>
      <c r="K68" s="14">
        <v>0</v>
      </c>
      <c r="L68" s="14">
        <v>194.99999999999997</v>
      </c>
      <c r="M68" s="14">
        <v>0</v>
      </c>
      <c r="N68" s="14">
        <v>257</v>
      </c>
      <c r="O68" s="14">
        <v>0</v>
      </c>
      <c r="P68" s="14">
        <v>319</v>
      </c>
      <c r="Q68" s="14">
        <v>0</v>
      </c>
      <c r="R68" s="14">
        <v>381</v>
      </c>
      <c r="EE68" t="s">
        <v>80</v>
      </c>
      <c r="EF68">
        <v>-0.40886961170615899</v>
      </c>
      <c r="EG68" t="s">
        <v>81</v>
      </c>
      <c r="EH68">
        <v>2.8040990861518398</v>
      </c>
    </row>
    <row r="69" spans="1:138" x14ac:dyDescent="0.2">
      <c r="A69" s="9">
        <v>38200</v>
      </c>
      <c r="B69">
        <v>2004</v>
      </c>
      <c r="C69">
        <v>8</v>
      </c>
      <c r="D69" s="14">
        <v>19.929032258064517</v>
      </c>
      <c r="E69" s="14">
        <v>30.3</v>
      </c>
      <c r="F69" s="14">
        <v>28.1</v>
      </c>
      <c r="G69" s="14">
        <v>6.1999999999999957</v>
      </c>
      <c r="H69" s="14">
        <v>66</v>
      </c>
      <c r="I69" s="14">
        <v>1.1999999999999993</v>
      </c>
      <c r="J69" s="14">
        <v>123.00000000000001</v>
      </c>
      <c r="K69" s="14">
        <v>0</v>
      </c>
      <c r="L69" s="14">
        <v>183.79999999999998</v>
      </c>
      <c r="M69" s="14">
        <v>0</v>
      </c>
      <c r="N69" s="14">
        <v>245.79999999999998</v>
      </c>
      <c r="O69" s="14">
        <v>0</v>
      </c>
      <c r="P69" s="14">
        <v>307.8</v>
      </c>
      <c r="Q69" s="14">
        <v>0</v>
      </c>
      <c r="R69" s="14">
        <v>369.8</v>
      </c>
    </row>
    <row r="70" spans="1:138" x14ac:dyDescent="0.2">
      <c r="A70" s="9">
        <v>38231</v>
      </c>
      <c r="B70">
        <v>2004</v>
      </c>
      <c r="C70">
        <v>9</v>
      </c>
      <c r="D70" s="14">
        <v>19.080000000000002</v>
      </c>
      <c r="E70" s="14">
        <v>50.1</v>
      </c>
      <c r="F70" s="14">
        <v>22.5</v>
      </c>
      <c r="G70" s="14">
        <v>22.799999999999997</v>
      </c>
      <c r="H70" s="14">
        <v>55.199999999999989</v>
      </c>
      <c r="I70" s="14">
        <v>9</v>
      </c>
      <c r="J70" s="14">
        <v>101.4</v>
      </c>
      <c r="K70" s="14">
        <v>1.4000000000000004</v>
      </c>
      <c r="L70" s="14">
        <v>153.79999999999995</v>
      </c>
      <c r="M70" s="14">
        <v>0</v>
      </c>
      <c r="N70" s="14">
        <v>212.39999999999998</v>
      </c>
      <c r="O70" s="14">
        <v>0</v>
      </c>
      <c r="P70" s="14">
        <v>272.40000000000003</v>
      </c>
      <c r="Q70" s="14">
        <v>0</v>
      </c>
      <c r="R70" s="14">
        <v>332.40000000000003</v>
      </c>
      <c r="X70" s="33"/>
      <c r="EE70" t="s">
        <v>462</v>
      </c>
    </row>
    <row r="71" spans="1:138" x14ac:dyDescent="0.2">
      <c r="A71" s="9">
        <v>38261</v>
      </c>
      <c r="B71">
        <v>2004</v>
      </c>
      <c r="C71">
        <v>10</v>
      </c>
      <c r="D71" s="14">
        <v>10.993548387096773</v>
      </c>
      <c r="E71" s="14">
        <v>279.20000000000005</v>
      </c>
      <c r="F71" s="14">
        <v>0</v>
      </c>
      <c r="G71" s="14">
        <v>218.40000000000003</v>
      </c>
      <c r="H71" s="14">
        <v>1.1999999999999993</v>
      </c>
      <c r="I71" s="14">
        <v>161.10000000000002</v>
      </c>
      <c r="J71" s="14">
        <v>5.8999999999999986</v>
      </c>
      <c r="K71" s="14">
        <v>111.3</v>
      </c>
      <c r="L71" s="14">
        <v>18.100000000000001</v>
      </c>
      <c r="M71" s="14">
        <v>66.399999999999991</v>
      </c>
      <c r="N71" s="14">
        <v>35.200000000000003</v>
      </c>
      <c r="O71" s="14">
        <v>29.6</v>
      </c>
      <c r="P71" s="14">
        <v>60.399999999999991</v>
      </c>
      <c r="Q71" s="14">
        <v>7.6999999999999993</v>
      </c>
      <c r="R71" s="14">
        <v>100.5</v>
      </c>
      <c r="X71" s="33"/>
      <c r="EE71" t="s">
        <v>73</v>
      </c>
      <c r="EF71">
        <v>72738785.226792097</v>
      </c>
      <c r="EG71" t="s">
        <v>74</v>
      </c>
      <c r="EH71">
        <v>5253811.1036303798</v>
      </c>
    </row>
    <row r="72" spans="1:138" x14ac:dyDescent="0.2">
      <c r="A72" s="9">
        <v>38292</v>
      </c>
      <c r="B72">
        <v>2004</v>
      </c>
      <c r="C72">
        <v>11</v>
      </c>
      <c r="D72" s="14">
        <v>6.5666666666666664</v>
      </c>
      <c r="E72" s="14">
        <v>403</v>
      </c>
      <c r="F72" s="14">
        <v>0</v>
      </c>
      <c r="G72" s="14">
        <v>343</v>
      </c>
      <c r="H72" s="14">
        <v>0</v>
      </c>
      <c r="I72" s="14">
        <v>283.00000000000006</v>
      </c>
      <c r="J72" s="14">
        <v>0</v>
      </c>
      <c r="K72" s="14">
        <v>223</v>
      </c>
      <c r="L72" s="14">
        <v>0</v>
      </c>
      <c r="M72" s="14">
        <v>163.00000000000003</v>
      </c>
      <c r="N72" s="14">
        <v>0</v>
      </c>
      <c r="O72" s="14">
        <v>106.10000000000001</v>
      </c>
      <c r="P72" s="14">
        <v>3.0999999999999996</v>
      </c>
      <c r="Q72" s="14">
        <v>58.7</v>
      </c>
      <c r="R72" s="14">
        <v>15.7</v>
      </c>
      <c r="X72" s="33"/>
      <c r="CO72" s="13"/>
      <c r="CP72" s="13"/>
      <c r="CY72" s="13"/>
      <c r="CZ72" s="13"/>
    </row>
    <row r="73" spans="1:138" x14ac:dyDescent="0.2">
      <c r="A73" s="9">
        <v>38322</v>
      </c>
      <c r="B73">
        <v>2004</v>
      </c>
      <c r="C73">
        <v>12</v>
      </c>
      <c r="D73" s="14">
        <v>-0.71935483870967787</v>
      </c>
      <c r="E73" s="14">
        <v>642.30000000000007</v>
      </c>
      <c r="F73" s="14">
        <v>0</v>
      </c>
      <c r="G73" s="14">
        <v>580.30000000000007</v>
      </c>
      <c r="H73" s="14">
        <v>0</v>
      </c>
      <c r="I73" s="14">
        <v>518.30000000000007</v>
      </c>
      <c r="J73" s="14">
        <v>0</v>
      </c>
      <c r="K73" s="14">
        <v>456.3</v>
      </c>
      <c r="L73" s="14">
        <v>0</v>
      </c>
      <c r="M73" s="14">
        <v>394.3</v>
      </c>
      <c r="N73" s="14">
        <v>0</v>
      </c>
      <c r="O73" s="14">
        <v>332.3</v>
      </c>
      <c r="P73" s="14">
        <v>0</v>
      </c>
      <c r="Q73" s="14">
        <v>270.59999999999997</v>
      </c>
      <c r="R73" s="14">
        <v>0.30000000000000071</v>
      </c>
      <c r="X73" s="33"/>
      <c r="CN73" s="13"/>
      <c r="CO73" s="33"/>
      <c r="CP73" s="33"/>
      <c r="CQ73" s="33"/>
      <c r="CR73" s="33"/>
      <c r="CS73" s="33"/>
      <c r="CT73" s="33"/>
      <c r="CU73" s="33"/>
      <c r="CV73" s="33"/>
      <c r="CW73" s="33"/>
      <c r="CX73" s="33"/>
      <c r="CY73" s="33"/>
      <c r="CZ73" s="33"/>
      <c r="DA73" s="33"/>
      <c r="DB73" s="33"/>
      <c r="DO73" s="31"/>
      <c r="DP73" s="31"/>
    </row>
    <row r="74" spans="1:138" x14ac:dyDescent="0.2">
      <c r="A74" s="9">
        <v>38353</v>
      </c>
      <c r="B74">
        <v>2005</v>
      </c>
      <c r="C74">
        <v>1</v>
      </c>
      <c r="D74" s="14">
        <v>-4.8516129032258046</v>
      </c>
      <c r="E74" s="14">
        <v>770.40000000000009</v>
      </c>
      <c r="F74" s="14">
        <v>0</v>
      </c>
      <c r="G74" s="14">
        <v>708.4000000000002</v>
      </c>
      <c r="H74" s="14">
        <v>0</v>
      </c>
      <c r="I74" s="14">
        <v>646.4000000000002</v>
      </c>
      <c r="J74" s="14">
        <v>0</v>
      </c>
      <c r="K74" s="14">
        <v>584.40000000000009</v>
      </c>
      <c r="L74" s="14">
        <v>0</v>
      </c>
      <c r="M74" s="14">
        <v>522.40000000000009</v>
      </c>
      <c r="N74" s="14">
        <v>0</v>
      </c>
      <c r="O74" s="14">
        <v>460.40000000000003</v>
      </c>
      <c r="P74" s="14">
        <v>0</v>
      </c>
      <c r="Q74" s="14">
        <v>400.1</v>
      </c>
      <c r="R74" s="14">
        <v>1.6999999999999993</v>
      </c>
      <c r="X74" s="33"/>
      <c r="CN74" s="13"/>
      <c r="CO74" s="33"/>
      <c r="CP74" s="33"/>
      <c r="CQ74" s="33"/>
      <c r="CR74" s="33"/>
      <c r="CS74" s="33"/>
      <c r="CT74" s="33"/>
      <c r="CU74" s="33"/>
      <c r="CV74" s="33"/>
      <c r="CW74" s="33"/>
      <c r="CX74" s="33"/>
      <c r="CY74" s="33"/>
      <c r="CZ74" s="33"/>
      <c r="DA74" s="33"/>
      <c r="DB74" s="33"/>
    </row>
    <row r="75" spans="1:138" x14ac:dyDescent="0.2">
      <c r="A75" s="9">
        <v>38384</v>
      </c>
      <c r="B75">
        <v>2005</v>
      </c>
      <c r="C75">
        <v>2</v>
      </c>
      <c r="D75" s="14">
        <v>-2.7857142857142856</v>
      </c>
      <c r="E75" s="14">
        <v>638</v>
      </c>
      <c r="F75" s="14">
        <v>0</v>
      </c>
      <c r="G75" s="14">
        <v>582</v>
      </c>
      <c r="H75" s="14">
        <v>0</v>
      </c>
      <c r="I75" s="14">
        <v>526</v>
      </c>
      <c r="J75" s="14">
        <v>0</v>
      </c>
      <c r="K75" s="14">
        <v>470.00000000000006</v>
      </c>
      <c r="L75" s="14">
        <v>0</v>
      </c>
      <c r="M75" s="14">
        <v>414.00000000000006</v>
      </c>
      <c r="N75" s="14">
        <v>0</v>
      </c>
      <c r="O75" s="14">
        <v>358</v>
      </c>
      <c r="P75" s="14">
        <v>0</v>
      </c>
      <c r="Q75" s="14">
        <v>302.00000000000006</v>
      </c>
      <c r="R75" s="14">
        <v>0</v>
      </c>
      <c r="X75" s="33"/>
      <c r="CN75" s="13"/>
      <c r="CO75" s="33"/>
      <c r="CP75" s="33"/>
      <c r="CQ75" s="33"/>
      <c r="CR75" s="33"/>
      <c r="CS75" s="33"/>
      <c r="CT75" s="33"/>
      <c r="CU75" s="33"/>
      <c r="CV75" s="33"/>
      <c r="CW75" s="33"/>
      <c r="CX75" s="33"/>
      <c r="CY75" s="33"/>
      <c r="CZ75" s="33"/>
      <c r="DA75" s="33"/>
      <c r="DB75" s="33"/>
    </row>
    <row r="76" spans="1:138" x14ac:dyDescent="0.2">
      <c r="A76" s="9">
        <v>38412</v>
      </c>
      <c r="B76">
        <v>2005</v>
      </c>
      <c r="C76">
        <v>3</v>
      </c>
      <c r="D76" s="14">
        <v>-0.96129032258064462</v>
      </c>
      <c r="E76" s="14">
        <v>649.79999999999984</v>
      </c>
      <c r="F76" s="14">
        <v>0</v>
      </c>
      <c r="G76" s="14">
        <v>587.79999999999984</v>
      </c>
      <c r="H76" s="14">
        <v>0</v>
      </c>
      <c r="I76" s="14">
        <v>525.79999999999995</v>
      </c>
      <c r="J76" s="14">
        <v>0</v>
      </c>
      <c r="K76" s="14">
        <v>463.8</v>
      </c>
      <c r="L76" s="14">
        <v>0</v>
      </c>
      <c r="M76" s="14">
        <v>401.8</v>
      </c>
      <c r="N76" s="14">
        <v>0</v>
      </c>
      <c r="O76" s="14">
        <v>339.79999999999995</v>
      </c>
      <c r="P76" s="14">
        <v>0</v>
      </c>
      <c r="Q76" s="14">
        <v>279.40000000000009</v>
      </c>
      <c r="R76" s="14">
        <v>1.5999999999999996</v>
      </c>
      <c r="X76" s="33"/>
      <c r="CN76" s="13"/>
      <c r="CO76" s="33"/>
      <c r="CP76" s="33"/>
      <c r="CQ76" s="33"/>
      <c r="CR76" s="33"/>
      <c r="CS76" s="33"/>
      <c r="CT76" s="33"/>
      <c r="CU76" s="33"/>
      <c r="CV76" s="33"/>
      <c r="CW76" s="33"/>
      <c r="CX76" s="33"/>
      <c r="CY76" s="33"/>
      <c r="CZ76" s="33"/>
      <c r="DA76" s="33"/>
      <c r="DB76" s="33"/>
    </row>
    <row r="77" spans="1:138" x14ac:dyDescent="0.2">
      <c r="A77" s="9">
        <v>38443</v>
      </c>
      <c r="B77">
        <v>2005</v>
      </c>
      <c r="C77">
        <v>4</v>
      </c>
      <c r="D77" s="14">
        <v>7.1566666666666663</v>
      </c>
      <c r="E77" s="14">
        <v>385.29999999999995</v>
      </c>
      <c r="F77" s="14">
        <v>0</v>
      </c>
      <c r="G77" s="14">
        <v>325.3</v>
      </c>
      <c r="H77" s="14">
        <v>0</v>
      </c>
      <c r="I77" s="14">
        <v>265.3</v>
      </c>
      <c r="J77" s="14">
        <v>0</v>
      </c>
      <c r="K77" s="14">
        <v>206.70000000000002</v>
      </c>
      <c r="L77" s="14">
        <v>1.4000000000000004</v>
      </c>
      <c r="M77" s="14">
        <v>149.30000000000004</v>
      </c>
      <c r="N77" s="14">
        <v>4</v>
      </c>
      <c r="O77" s="14">
        <v>97.8</v>
      </c>
      <c r="P77" s="14">
        <v>12.5</v>
      </c>
      <c r="Q77" s="14">
        <v>51.400000000000006</v>
      </c>
      <c r="R77" s="14">
        <v>26.099999999999998</v>
      </c>
      <c r="X77" s="33"/>
      <c r="CN77" s="13"/>
      <c r="CO77" s="33"/>
      <c r="CP77" s="33"/>
      <c r="CQ77" s="33"/>
      <c r="CR77" s="33"/>
      <c r="CS77" s="33"/>
      <c r="CT77" s="33"/>
      <c r="CU77" s="33"/>
      <c r="CV77" s="33"/>
      <c r="CW77" s="33"/>
      <c r="CX77" s="33"/>
      <c r="CY77" s="33"/>
      <c r="CZ77" s="33"/>
      <c r="DA77" s="33"/>
      <c r="DB77" s="33"/>
    </row>
    <row r="78" spans="1:138" x14ac:dyDescent="0.2">
      <c r="A78" s="9">
        <v>38473</v>
      </c>
      <c r="B78">
        <v>2005</v>
      </c>
      <c r="C78">
        <v>5</v>
      </c>
      <c r="D78" s="14">
        <v>11.245161290322583</v>
      </c>
      <c r="E78" s="14">
        <v>271.39999999999998</v>
      </c>
      <c r="F78" s="14">
        <v>0</v>
      </c>
      <c r="G78" s="14">
        <v>209.39999999999998</v>
      </c>
      <c r="H78" s="14">
        <v>0</v>
      </c>
      <c r="I78" s="14">
        <v>151.29999999999995</v>
      </c>
      <c r="J78" s="14">
        <v>3.9000000000000021</v>
      </c>
      <c r="K78" s="14">
        <v>102.60000000000001</v>
      </c>
      <c r="L78" s="14">
        <v>17.200000000000003</v>
      </c>
      <c r="M78" s="14">
        <v>61.399999999999991</v>
      </c>
      <c r="N78" s="14">
        <v>38</v>
      </c>
      <c r="O78" s="14">
        <v>29.5</v>
      </c>
      <c r="P78" s="14">
        <v>68.099999999999994</v>
      </c>
      <c r="Q78" s="14">
        <v>11.599999999999998</v>
      </c>
      <c r="R78" s="14">
        <v>112.19999999999999</v>
      </c>
      <c r="X78" s="33"/>
      <c r="AB78" s="18"/>
      <c r="AC78" s="18"/>
      <c r="AD78" s="18"/>
      <c r="AE78" s="18"/>
      <c r="AF78" s="18"/>
      <c r="AG78" s="18"/>
      <c r="AI78" s="18"/>
      <c r="AJ78" s="18"/>
      <c r="AK78" s="18"/>
      <c r="AL78" s="18"/>
      <c r="AM78" s="18"/>
      <c r="AN78" s="18"/>
      <c r="AO78" s="18"/>
      <c r="AP78" s="18"/>
      <c r="AQ78" s="18"/>
      <c r="AR78" s="18"/>
      <c r="AS78" s="18"/>
      <c r="AT78" s="18"/>
      <c r="AU78" s="18"/>
      <c r="AV78" s="18"/>
      <c r="AW78" s="18"/>
      <c r="AX78" s="18"/>
      <c r="AY78" s="18"/>
      <c r="CN78" s="13"/>
      <c r="CO78" s="33"/>
      <c r="CP78" s="33"/>
      <c r="CQ78" s="33"/>
      <c r="CR78" s="33"/>
      <c r="CS78" s="33"/>
      <c r="CT78" s="33"/>
      <c r="CU78" s="33"/>
      <c r="CV78" s="33"/>
      <c r="CW78" s="33"/>
      <c r="CX78" s="33"/>
      <c r="CY78" s="33"/>
      <c r="CZ78" s="33"/>
      <c r="DA78" s="33"/>
      <c r="DB78" s="33"/>
    </row>
    <row r="79" spans="1:138" x14ac:dyDescent="0.2">
      <c r="A79" s="9">
        <v>38504</v>
      </c>
      <c r="B79">
        <v>2005</v>
      </c>
      <c r="C79">
        <v>6</v>
      </c>
      <c r="D79" s="14">
        <v>21.339999999999993</v>
      </c>
      <c r="E79" s="14">
        <v>33.500000000000007</v>
      </c>
      <c r="F79" s="14">
        <v>73.699999999999989</v>
      </c>
      <c r="G79" s="14">
        <v>13.600000000000001</v>
      </c>
      <c r="H79" s="14">
        <v>113.8</v>
      </c>
      <c r="I79" s="14">
        <v>1.6999999999999993</v>
      </c>
      <c r="J79" s="14">
        <v>161.90000000000003</v>
      </c>
      <c r="K79" s="14">
        <v>0</v>
      </c>
      <c r="L79" s="14">
        <v>220.2</v>
      </c>
      <c r="M79" s="14">
        <v>0</v>
      </c>
      <c r="N79" s="14">
        <v>280.20000000000005</v>
      </c>
      <c r="O79" s="14">
        <v>0</v>
      </c>
      <c r="P79" s="14">
        <v>340.20000000000005</v>
      </c>
      <c r="Q79" s="14">
        <v>0</v>
      </c>
      <c r="R79" s="14">
        <v>400.2</v>
      </c>
      <c r="X79" s="33"/>
      <c r="AB79" s="18"/>
      <c r="AC79" s="18"/>
      <c r="AD79" s="18"/>
      <c r="AE79" s="18"/>
      <c r="AF79" s="18"/>
      <c r="AG79" s="18"/>
      <c r="AI79" s="18"/>
      <c r="AJ79" s="18"/>
      <c r="AK79" s="18"/>
      <c r="AL79" s="18"/>
      <c r="AM79" s="18"/>
      <c r="AN79" s="18"/>
      <c r="AO79" s="18"/>
      <c r="AP79" s="18"/>
      <c r="AQ79" s="18"/>
      <c r="AR79" s="18"/>
      <c r="AS79" s="18"/>
      <c r="AT79" s="18"/>
      <c r="AU79" s="18"/>
      <c r="AV79" s="18"/>
      <c r="AW79" s="18"/>
      <c r="AX79" s="18"/>
      <c r="AY79" s="18"/>
      <c r="CN79" s="13"/>
      <c r="CO79" s="33"/>
      <c r="CP79" s="33"/>
      <c r="CQ79" s="33"/>
      <c r="CR79" s="33"/>
      <c r="CS79" s="33"/>
      <c r="CT79" s="33"/>
      <c r="CU79" s="33"/>
      <c r="CV79" s="33"/>
      <c r="CW79" s="33"/>
      <c r="CX79" s="33"/>
      <c r="CY79" s="33"/>
      <c r="CZ79" s="33"/>
      <c r="DA79" s="33"/>
      <c r="DB79" s="33"/>
    </row>
    <row r="80" spans="1:138" x14ac:dyDescent="0.2">
      <c r="A80" s="9">
        <v>38534</v>
      </c>
      <c r="B80">
        <v>2005</v>
      </c>
      <c r="C80">
        <v>7</v>
      </c>
      <c r="D80" s="14">
        <v>23.461290322580652</v>
      </c>
      <c r="E80" s="14">
        <v>5.6999999999999993</v>
      </c>
      <c r="F80" s="14">
        <v>113</v>
      </c>
      <c r="G80" s="14">
        <v>1.5</v>
      </c>
      <c r="H80" s="14">
        <v>170.79999999999998</v>
      </c>
      <c r="I80" s="14">
        <v>0</v>
      </c>
      <c r="J80" s="14">
        <v>231.29999999999998</v>
      </c>
      <c r="K80" s="14">
        <v>0</v>
      </c>
      <c r="L80" s="14">
        <v>293.3</v>
      </c>
      <c r="M80" s="14">
        <v>0</v>
      </c>
      <c r="N80" s="14">
        <v>355.3</v>
      </c>
      <c r="O80" s="14">
        <v>0</v>
      </c>
      <c r="P80" s="14">
        <v>417.3</v>
      </c>
      <c r="Q80" s="14">
        <v>0</v>
      </c>
      <c r="R80" s="14">
        <v>479.3</v>
      </c>
      <c r="X80" s="33"/>
      <c r="CN80" s="13"/>
      <c r="CO80" s="33"/>
      <c r="CP80" s="33"/>
      <c r="CQ80" s="33"/>
      <c r="CR80" s="33"/>
      <c r="CS80" s="33"/>
      <c r="CT80" s="33"/>
      <c r="CU80" s="33"/>
      <c r="CV80" s="33"/>
      <c r="CW80" s="33"/>
      <c r="CX80" s="33"/>
      <c r="CY80" s="33"/>
      <c r="CZ80" s="33"/>
      <c r="DA80" s="33"/>
      <c r="DB80" s="33"/>
    </row>
    <row r="81" spans="1:111" x14ac:dyDescent="0.2">
      <c r="A81" s="9">
        <v>38565</v>
      </c>
      <c r="B81">
        <v>2005</v>
      </c>
      <c r="C81">
        <v>8</v>
      </c>
      <c r="D81" s="14">
        <v>22.896774193548392</v>
      </c>
      <c r="E81" s="14">
        <v>3.1000000000000014</v>
      </c>
      <c r="F81" s="14">
        <v>92.899999999999991</v>
      </c>
      <c r="G81" s="14">
        <v>0</v>
      </c>
      <c r="H81" s="14">
        <v>151.79999999999998</v>
      </c>
      <c r="I81" s="14">
        <v>0</v>
      </c>
      <c r="J81" s="14">
        <v>213.79999999999993</v>
      </c>
      <c r="K81" s="14">
        <v>0</v>
      </c>
      <c r="L81" s="14">
        <v>275.79999999999995</v>
      </c>
      <c r="M81" s="14">
        <v>0</v>
      </c>
      <c r="N81" s="14">
        <v>337.8</v>
      </c>
      <c r="O81" s="14">
        <v>0</v>
      </c>
      <c r="P81" s="14">
        <v>399.8</v>
      </c>
      <c r="Q81" s="14">
        <v>0</v>
      </c>
      <c r="R81" s="14">
        <v>461.8</v>
      </c>
      <c r="X81" s="33"/>
      <c r="CN81" s="13"/>
      <c r="CO81" s="33"/>
      <c r="CP81" s="33"/>
      <c r="CQ81" s="33"/>
      <c r="CR81" s="33"/>
      <c r="CS81" s="33"/>
      <c r="CT81" s="33"/>
      <c r="CU81" s="33"/>
      <c r="CV81" s="33"/>
      <c r="CW81" s="33"/>
      <c r="CX81" s="33"/>
      <c r="CY81" s="33"/>
      <c r="CZ81" s="33"/>
      <c r="DA81" s="33"/>
      <c r="DB81" s="33"/>
    </row>
    <row r="82" spans="1:111" x14ac:dyDescent="0.2">
      <c r="A82" s="9">
        <v>38596</v>
      </c>
      <c r="B82">
        <v>2005</v>
      </c>
      <c r="C82">
        <v>9</v>
      </c>
      <c r="D82" s="14">
        <v>20.153333333333332</v>
      </c>
      <c r="E82" s="14">
        <v>28.300000000000004</v>
      </c>
      <c r="F82" s="14">
        <v>32.9</v>
      </c>
      <c r="G82" s="14">
        <v>10.000000000000002</v>
      </c>
      <c r="H82" s="14">
        <v>74.599999999999994</v>
      </c>
      <c r="I82" s="14">
        <v>2.0999999999999996</v>
      </c>
      <c r="J82" s="14">
        <v>126.7</v>
      </c>
      <c r="K82" s="14">
        <v>0</v>
      </c>
      <c r="L82" s="14">
        <v>184.6</v>
      </c>
      <c r="M82" s="14">
        <v>0</v>
      </c>
      <c r="N82" s="14">
        <v>244.6</v>
      </c>
      <c r="O82" s="14">
        <v>0</v>
      </c>
      <c r="P82" s="14">
        <v>304.59999999999997</v>
      </c>
      <c r="Q82" s="14">
        <v>0</v>
      </c>
      <c r="R82" s="14">
        <v>364.59999999999991</v>
      </c>
      <c r="X82" s="33"/>
      <c r="CN82" s="13"/>
      <c r="CO82" s="33"/>
      <c r="CP82" s="33"/>
      <c r="CQ82" s="33"/>
      <c r="CR82" s="33"/>
      <c r="CS82" s="33"/>
      <c r="CT82" s="33"/>
      <c r="CU82" s="33"/>
      <c r="CV82" s="33"/>
      <c r="CW82" s="33"/>
      <c r="CX82" s="33"/>
      <c r="CY82" s="33"/>
      <c r="CZ82" s="33"/>
      <c r="DA82" s="33"/>
      <c r="DB82" s="33"/>
    </row>
    <row r="83" spans="1:111" x14ac:dyDescent="0.2">
      <c r="A83" s="9">
        <v>38626</v>
      </c>
      <c r="B83">
        <v>2005</v>
      </c>
      <c r="C83">
        <v>10</v>
      </c>
      <c r="D83" s="14">
        <v>11.67741935483871</v>
      </c>
      <c r="E83" s="14">
        <v>259.10000000000002</v>
      </c>
      <c r="F83" s="14">
        <v>1.1000000000000014</v>
      </c>
      <c r="G83" s="14">
        <v>199.79999999999998</v>
      </c>
      <c r="H83" s="14">
        <v>3.8000000000000007</v>
      </c>
      <c r="I83" s="14">
        <v>145.79999999999998</v>
      </c>
      <c r="J83" s="14">
        <v>11.8</v>
      </c>
      <c r="K83" s="14">
        <v>93.9</v>
      </c>
      <c r="L83" s="14">
        <v>21.900000000000002</v>
      </c>
      <c r="M83" s="14">
        <v>51.999999999999993</v>
      </c>
      <c r="N83" s="14">
        <v>42.000000000000014</v>
      </c>
      <c r="O83" s="14">
        <v>27.099999999999998</v>
      </c>
      <c r="P83" s="14">
        <v>79.100000000000009</v>
      </c>
      <c r="Q83" s="14">
        <v>9.1</v>
      </c>
      <c r="R83" s="14">
        <v>123.09999999999998</v>
      </c>
      <c r="X83" s="33"/>
      <c r="CN83" s="13"/>
      <c r="CO83" s="33"/>
      <c r="CP83" s="33"/>
      <c r="CQ83" s="33"/>
      <c r="CR83" s="33"/>
      <c r="CS83" s="33"/>
      <c r="CT83" s="33"/>
      <c r="CU83" s="33"/>
      <c r="CV83" s="33"/>
      <c r="CW83" s="33"/>
      <c r="CX83" s="33"/>
      <c r="CY83" s="33"/>
      <c r="CZ83" s="33"/>
      <c r="DA83" s="33"/>
      <c r="DB83" s="33"/>
    </row>
    <row r="84" spans="1:111" x14ac:dyDescent="0.2">
      <c r="A84" s="9">
        <v>38657</v>
      </c>
      <c r="B84">
        <v>2005</v>
      </c>
      <c r="C84">
        <v>11</v>
      </c>
      <c r="D84" s="14">
        <v>6.7866666666666653</v>
      </c>
      <c r="E84" s="14">
        <v>396.40000000000003</v>
      </c>
      <c r="F84" s="14">
        <v>0</v>
      </c>
      <c r="G84" s="14">
        <v>336.40000000000003</v>
      </c>
      <c r="H84" s="14">
        <v>0</v>
      </c>
      <c r="I84" s="14">
        <v>276.39999999999998</v>
      </c>
      <c r="J84" s="14">
        <v>0</v>
      </c>
      <c r="K84" s="14">
        <v>216.70000000000002</v>
      </c>
      <c r="L84" s="14">
        <v>0.29999999999999893</v>
      </c>
      <c r="M84" s="14">
        <v>164.1</v>
      </c>
      <c r="N84" s="14">
        <v>7.6999999999999993</v>
      </c>
      <c r="O84" s="14">
        <v>119.90000000000002</v>
      </c>
      <c r="P84" s="14">
        <v>23.5</v>
      </c>
      <c r="Q84" s="14">
        <v>87.3</v>
      </c>
      <c r="R84" s="14">
        <v>50.9</v>
      </c>
      <c r="X84" s="33"/>
      <c r="CN84" s="13"/>
      <c r="CO84" s="33"/>
      <c r="CP84" s="33"/>
      <c r="CQ84" s="33"/>
      <c r="CR84" s="33"/>
      <c r="CS84" s="33"/>
      <c r="CT84" s="33"/>
      <c r="CU84" s="33"/>
      <c r="CV84" s="33"/>
      <c r="CW84" s="33"/>
      <c r="CX84" s="33"/>
      <c r="CY84" s="33"/>
      <c r="CZ84" s="33"/>
      <c r="DA84" s="33"/>
      <c r="DB84" s="33"/>
    </row>
    <row r="85" spans="1:111" x14ac:dyDescent="0.2">
      <c r="A85" s="9">
        <v>38687</v>
      </c>
      <c r="B85">
        <v>2005</v>
      </c>
      <c r="C85">
        <v>12</v>
      </c>
      <c r="D85" s="14">
        <v>-1.9741935483870956</v>
      </c>
      <c r="E85" s="14">
        <v>681.20000000000016</v>
      </c>
      <c r="F85" s="14">
        <v>0</v>
      </c>
      <c r="G85" s="14">
        <v>619.20000000000016</v>
      </c>
      <c r="H85" s="14">
        <v>0</v>
      </c>
      <c r="I85" s="14">
        <v>557.20000000000027</v>
      </c>
      <c r="J85" s="14">
        <v>0</v>
      </c>
      <c r="K85" s="14">
        <v>495.20000000000022</v>
      </c>
      <c r="L85" s="14">
        <v>0</v>
      </c>
      <c r="M85" s="14">
        <v>433.20000000000022</v>
      </c>
      <c r="N85" s="14">
        <v>0</v>
      </c>
      <c r="O85" s="14">
        <v>371.20000000000022</v>
      </c>
      <c r="P85" s="14">
        <v>0</v>
      </c>
      <c r="Q85" s="14">
        <v>309.20000000000016</v>
      </c>
      <c r="R85" s="14">
        <v>0</v>
      </c>
      <c r="X85" s="33"/>
      <c r="CO85" s="13"/>
      <c r="CP85" s="13"/>
    </row>
    <row r="86" spans="1:111" x14ac:dyDescent="0.2">
      <c r="A86" s="9">
        <v>38718</v>
      </c>
      <c r="B86">
        <v>2006</v>
      </c>
      <c r="C86">
        <v>1</v>
      </c>
      <c r="D86" s="14">
        <v>1.6419354838709674</v>
      </c>
      <c r="E86" s="14">
        <v>569.09999999999991</v>
      </c>
      <c r="F86" s="14">
        <v>0</v>
      </c>
      <c r="G86" s="14">
        <v>507.09999999999997</v>
      </c>
      <c r="H86" s="14">
        <v>0</v>
      </c>
      <c r="I86" s="14">
        <v>445.09999999999991</v>
      </c>
      <c r="J86" s="14">
        <v>0</v>
      </c>
      <c r="K86" s="14">
        <v>383.09999999999991</v>
      </c>
      <c r="L86" s="14">
        <v>0</v>
      </c>
      <c r="M86" s="14">
        <v>321.09999999999997</v>
      </c>
      <c r="N86" s="14">
        <v>0</v>
      </c>
      <c r="O86" s="14">
        <v>259.09999999999991</v>
      </c>
      <c r="P86" s="14">
        <v>0</v>
      </c>
      <c r="Q86" s="14">
        <v>197.09999999999997</v>
      </c>
      <c r="R86" s="14">
        <v>0</v>
      </c>
      <c r="X86" s="33"/>
    </row>
    <row r="87" spans="1:111" x14ac:dyDescent="0.2">
      <c r="A87" s="9">
        <v>38749</v>
      </c>
      <c r="B87">
        <v>2006</v>
      </c>
      <c r="C87">
        <v>2</v>
      </c>
      <c r="D87" s="14">
        <v>-1.7714285714285718</v>
      </c>
      <c r="E87" s="14">
        <v>609.59999999999991</v>
      </c>
      <c r="F87" s="14">
        <v>0</v>
      </c>
      <c r="G87" s="14">
        <v>553.6</v>
      </c>
      <c r="H87" s="14">
        <v>0</v>
      </c>
      <c r="I87" s="14">
        <v>497.6</v>
      </c>
      <c r="J87" s="14">
        <v>0</v>
      </c>
      <c r="K87" s="14">
        <v>441.6</v>
      </c>
      <c r="L87" s="14">
        <v>0</v>
      </c>
      <c r="M87" s="14">
        <v>385.6</v>
      </c>
      <c r="N87" s="14">
        <v>0</v>
      </c>
      <c r="O87" s="14">
        <v>329.6</v>
      </c>
      <c r="P87" s="14">
        <v>0</v>
      </c>
      <c r="Q87" s="14">
        <v>273.60000000000002</v>
      </c>
      <c r="R87" s="14">
        <v>0</v>
      </c>
    </row>
    <row r="88" spans="1:111" x14ac:dyDescent="0.2">
      <c r="A88" s="9">
        <v>38777</v>
      </c>
      <c r="B88">
        <v>2006</v>
      </c>
      <c r="C88">
        <v>3</v>
      </c>
      <c r="D88" s="14">
        <v>2.2612903225806451</v>
      </c>
      <c r="E88" s="14">
        <v>549.90000000000009</v>
      </c>
      <c r="F88" s="14">
        <v>0</v>
      </c>
      <c r="G88" s="14">
        <v>487.90000000000003</v>
      </c>
      <c r="H88" s="14">
        <v>0</v>
      </c>
      <c r="I88" s="14">
        <v>425.90000000000003</v>
      </c>
      <c r="J88" s="14">
        <v>0</v>
      </c>
      <c r="K88" s="14">
        <v>363.90000000000003</v>
      </c>
      <c r="L88" s="14">
        <v>0</v>
      </c>
      <c r="M88" s="14">
        <v>301.90000000000003</v>
      </c>
      <c r="N88" s="14">
        <v>0</v>
      </c>
      <c r="O88" s="14">
        <v>241.89999999999998</v>
      </c>
      <c r="P88" s="14">
        <v>2</v>
      </c>
      <c r="Q88" s="14">
        <v>184.89999999999998</v>
      </c>
      <c r="R88" s="14">
        <v>7</v>
      </c>
    </row>
    <row r="89" spans="1:111" x14ac:dyDescent="0.2">
      <c r="A89" s="9">
        <v>38808</v>
      </c>
      <c r="B89">
        <v>2006</v>
      </c>
      <c r="C89">
        <v>4</v>
      </c>
      <c r="D89" s="14">
        <v>7.61</v>
      </c>
      <c r="E89" s="14">
        <v>371.69999999999993</v>
      </c>
      <c r="F89" s="14">
        <v>0</v>
      </c>
      <c r="G89" s="14">
        <v>311.69999999999993</v>
      </c>
      <c r="H89" s="14">
        <v>0</v>
      </c>
      <c r="I89" s="14">
        <v>251.69999999999996</v>
      </c>
      <c r="J89" s="14">
        <v>0</v>
      </c>
      <c r="K89" s="14">
        <v>191.79999999999998</v>
      </c>
      <c r="L89" s="14">
        <v>9.9999999999999645E-2</v>
      </c>
      <c r="M89" s="14">
        <v>134.10000000000002</v>
      </c>
      <c r="N89" s="14">
        <v>2.4000000000000004</v>
      </c>
      <c r="O89" s="14">
        <v>82.500000000000014</v>
      </c>
      <c r="P89" s="14">
        <v>10.8</v>
      </c>
      <c r="Q89" s="14">
        <v>40.000000000000007</v>
      </c>
      <c r="R89" s="14">
        <v>28.299999999999997</v>
      </c>
    </row>
    <row r="90" spans="1:111" x14ac:dyDescent="0.2">
      <c r="A90" s="9">
        <v>38838</v>
      </c>
      <c r="B90">
        <v>2006</v>
      </c>
      <c r="C90">
        <v>5</v>
      </c>
      <c r="D90" s="14">
        <v>13.451612903225806</v>
      </c>
      <c r="E90" s="14">
        <v>216</v>
      </c>
      <c r="F90" s="14">
        <v>13</v>
      </c>
      <c r="G90" s="14">
        <v>160.00000000000003</v>
      </c>
      <c r="H90" s="14">
        <v>19</v>
      </c>
      <c r="I90" s="14">
        <v>105.89999999999999</v>
      </c>
      <c r="J90" s="14">
        <v>26.900000000000002</v>
      </c>
      <c r="K90" s="14">
        <v>62.000000000000007</v>
      </c>
      <c r="L90" s="14">
        <v>45</v>
      </c>
      <c r="M90" s="14">
        <v>26</v>
      </c>
      <c r="N90" s="14">
        <v>71</v>
      </c>
      <c r="O90" s="14">
        <v>6.5000000000000009</v>
      </c>
      <c r="P90" s="14">
        <v>113.49999999999999</v>
      </c>
      <c r="Q90" s="14">
        <v>1.2999999999999998</v>
      </c>
      <c r="R90" s="14">
        <v>170.30000000000004</v>
      </c>
    </row>
    <row r="91" spans="1:111" x14ac:dyDescent="0.2">
      <c r="A91" s="9">
        <v>38869</v>
      </c>
      <c r="B91">
        <v>2006</v>
      </c>
      <c r="C91">
        <v>6</v>
      </c>
      <c r="D91" s="14">
        <v>19.483333333333338</v>
      </c>
      <c r="E91" s="14">
        <v>48.400000000000006</v>
      </c>
      <c r="F91" s="14">
        <v>32.9</v>
      </c>
      <c r="G91" s="14">
        <v>19.199999999999996</v>
      </c>
      <c r="H91" s="14">
        <v>63.699999999999989</v>
      </c>
      <c r="I91" s="14">
        <v>6.6</v>
      </c>
      <c r="J91" s="14">
        <v>111.10000000000001</v>
      </c>
      <c r="K91" s="14">
        <v>0.69999999999999929</v>
      </c>
      <c r="L91" s="14">
        <v>165.2</v>
      </c>
      <c r="M91" s="14">
        <v>0</v>
      </c>
      <c r="N91" s="14">
        <v>224.49999999999997</v>
      </c>
      <c r="O91" s="14">
        <v>0</v>
      </c>
      <c r="P91" s="14">
        <v>284.49999999999994</v>
      </c>
      <c r="Q91" s="14">
        <v>0</v>
      </c>
      <c r="R91" s="14">
        <v>344.49999999999994</v>
      </c>
      <c r="X91" s="33"/>
      <c r="CS91" s="13"/>
      <c r="CT91" s="13"/>
      <c r="CU91" s="13"/>
      <c r="DD91" s="13"/>
      <c r="DE91" s="13"/>
    </row>
    <row r="92" spans="1:111" x14ac:dyDescent="0.2">
      <c r="A92" s="9">
        <v>38899</v>
      </c>
      <c r="B92">
        <v>2006</v>
      </c>
      <c r="C92">
        <v>7</v>
      </c>
      <c r="D92" s="14">
        <v>22.838709677419356</v>
      </c>
      <c r="E92" s="14">
        <v>9.6000000000000014</v>
      </c>
      <c r="F92" s="14">
        <v>97.6</v>
      </c>
      <c r="G92" s="14">
        <v>0.80000000000000071</v>
      </c>
      <c r="H92" s="14">
        <v>150.79999999999998</v>
      </c>
      <c r="I92" s="14">
        <v>0</v>
      </c>
      <c r="J92" s="14">
        <v>212</v>
      </c>
      <c r="K92" s="14">
        <v>0</v>
      </c>
      <c r="L92" s="14">
        <v>274</v>
      </c>
      <c r="M92" s="14">
        <v>0</v>
      </c>
      <c r="N92" s="14">
        <v>335.99999999999994</v>
      </c>
      <c r="O92" s="14">
        <v>0</v>
      </c>
      <c r="P92" s="14">
        <v>397.99999999999994</v>
      </c>
      <c r="Q92" s="14">
        <v>0</v>
      </c>
      <c r="R92" s="14">
        <v>459.99999999999994</v>
      </c>
      <c r="X92" s="33"/>
      <c r="CS92" s="13"/>
      <c r="CT92" s="33"/>
      <c r="CU92" s="33"/>
      <c r="CV92" s="33"/>
      <c r="CW92" s="33"/>
      <c r="CX92" s="33"/>
      <c r="CY92" s="33"/>
      <c r="CZ92" s="33"/>
      <c r="DA92" s="33"/>
      <c r="DB92" s="33"/>
      <c r="DC92" s="33"/>
      <c r="DD92" s="33"/>
      <c r="DE92" s="33"/>
      <c r="DF92" s="33"/>
      <c r="DG92" s="33"/>
    </row>
    <row r="93" spans="1:111" x14ac:dyDescent="0.2">
      <c r="A93" s="9">
        <v>38930</v>
      </c>
      <c r="B93">
        <v>2006</v>
      </c>
      <c r="C93">
        <v>8</v>
      </c>
      <c r="D93" s="14">
        <v>21.367741935483863</v>
      </c>
      <c r="E93" s="14">
        <v>14.399999999999999</v>
      </c>
      <c r="F93" s="14">
        <v>56.8</v>
      </c>
      <c r="G93" s="14">
        <v>1.8999999999999986</v>
      </c>
      <c r="H93" s="14">
        <v>106.29999999999998</v>
      </c>
      <c r="I93" s="14">
        <v>0</v>
      </c>
      <c r="J93" s="14">
        <v>166.40000000000003</v>
      </c>
      <c r="K93" s="14">
        <v>0</v>
      </c>
      <c r="L93" s="14">
        <v>228.40000000000003</v>
      </c>
      <c r="M93" s="14">
        <v>0</v>
      </c>
      <c r="N93" s="14">
        <v>290.40000000000003</v>
      </c>
      <c r="O93" s="14">
        <v>0</v>
      </c>
      <c r="P93" s="14">
        <v>352.40000000000003</v>
      </c>
      <c r="Q93" s="14">
        <v>0</v>
      </c>
      <c r="R93" s="14">
        <v>414.4</v>
      </c>
      <c r="X93" s="33"/>
      <c r="CS93" s="13"/>
      <c r="CT93" s="33"/>
      <c r="CU93" s="33"/>
      <c r="CV93" s="33"/>
      <c r="CW93" s="33"/>
      <c r="CX93" s="33"/>
      <c r="CY93" s="33"/>
      <c r="CZ93" s="33"/>
      <c r="DA93" s="33"/>
      <c r="DB93" s="33"/>
      <c r="DC93" s="33"/>
      <c r="DD93" s="33"/>
      <c r="DE93" s="33"/>
      <c r="DF93" s="33"/>
      <c r="DG93" s="33"/>
    </row>
    <row r="94" spans="1:111" x14ac:dyDescent="0.2">
      <c r="A94" s="9">
        <v>38961</v>
      </c>
      <c r="B94">
        <v>2006</v>
      </c>
      <c r="C94">
        <v>9</v>
      </c>
      <c r="D94" s="14">
        <v>16.483333333333334</v>
      </c>
      <c r="E94" s="14">
        <v>107.99999999999999</v>
      </c>
      <c r="F94" s="14">
        <v>2.5</v>
      </c>
      <c r="G94" s="14">
        <v>59.099999999999994</v>
      </c>
      <c r="H94" s="14">
        <v>13.600000000000001</v>
      </c>
      <c r="I94" s="14">
        <v>26.400000000000002</v>
      </c>
      <c r="J94" s="14">
        <v>40.900000000000006</v>
      </c>
      <c r="K94" s="14">
        <v>9.3000000000000007</v>
      </c>
      <c r="L94" s="14">
        <v>83.799999999999983</v>
      </c>
      <c r="M94" s="14">
        <v>1.5</v>
      </c>
      <c r="N94" s="14">
        <v>135.99999999999997</v>
      </c>
      <c r="O94" s="14">
        <v>0</v>
      </c>
      <c r="P94" s="14">
        <v>194.49999999999997</v>
      </c>
      <c r="Q94" s="14">
        <v>0</v>
      </c>
      <c r="R94" s="14">
        <v>254.5</v>
      </c>
      <c r="X94" s="33"/>
      <c r="CS94" s="13"/>
      <c r="CT94" s="33"/>
      <c r="CU94" s="33"/>
      <c r="CV94" s="33"/>
      <c r="CW94" s="33"/>
      <c r="CX94" s="33"/>
      <c r="CY94" s="33"/>
      <c r="CZ94" s="33"/>
      <c r="DA94" s="33"/>
      <c r="DB94" s="33"/>
      <c r="DC94" s="33"/>
      <c r="DD94" s="33"/>
      <c r="DE94" s="33"/>
      <c r="DF94" s="33"/>
      <c r="DG94" s="33"/>
    </row>
    <row r="95" spans="1:111" x14ac:dyDescent="0.2">
      <c r="A95" s="9">
        <v>38991</v>
      </c>
      <c r="B95">
        <v>2006</v>
      </c>
      <c r="C95">
        <v>10</v>
      </c>
      <c r="D95" s="14">
        <v>9.9612903225806431</v>
      </c>
      <c r="E95" s="14">
        <v>311.20000000000005</v>
      </c>
      <c r="F95" s="14">
        <v>0</v>
      </c>
      <c r="G95" s="14">
        <v>249.2</v>
      </c>
      <c r="H95" s="14">
        <v>0</v>
      </c>
      <c r="I95" s="14">
        <v>188.70000000000002</v>
      </c>
      <c r="J95" s="14">
        <v>1.5</v>
      </c>
      <c r="K95" s="14">
        <v>134.5</v>
      </c>
      <c r="L95" s="14">
        <v>9.3000000000000007</v>
      </c>
      <c r="M95" s="14">
        <v>89.500000000000014</v>
      </c>
      <c r="N95" s="14">
        <v>26.3</v>
      </c>
      <c r="O95" s="14">
        <v>51.199999999999996</v>
      </c>
      <c r="P95" s="14">
        <v>50.000000000000014</v>
      </c>
      <c r="Q95" s="14">
        <v>21.799999999999997</v>
      </c>
      <c r="R95" s="14">
        <v>82.6</v>
      </c>
      <c r="X95" s="33"/>
      <c r="CS95" s="13"/>
      <c r="CT95" s="33"/>
      <c r="CU95" s="33"/>
      <c r="CV95" s="33"/>
      <c r="CW95" s="33"/>
      <c r="CX95" s="33"/>
      <c r="CY95" s="33"/>
      <c r="CZ95" s="33"/>
      <c r="DA95" s="33"/>
      <c r="DB95" s="33"/>
      <c r="DC95" s="33"/>
      <c r="DD95" s="33"/>
      <c r="DE95" s="33"/>
      <c r="DF95" s="33"/>
      <c r="DG95" s="33"/>
    </row>
    <row r="96" spans="1:111" x14ac:dyDescent="0.2">
      <c r="A96" s="9">
        <v>39022</v>
      </c>
      <c r="B96">
        <v>2006</v>
      </c>
      <c r="C96">
        <v>11</v>
      </c>
      <c r="D96" s="14">
        <v>5.9599999999999982</v>
      </c>
      <c r="E96" s="14">
        <v>421.19999999999993</v>
      </c>
      <c r="F96" s="14">
        <v>0</v>
      </c>
      <c r="G96" s="14">
        <v>361.19999999999993</v>
      </c>
      <c r="H96" s="14">
        <v>0</v>
      </c>
      <c r="I96" s="14">
        <v>301.2</v>
      </c>
      <c r="J96" s="14">
        <v>0</v>
      </c>
      <c r="K96" s="14">
        <v>241.20000000000007</v>
      </c>
      <c r="L96" s="14">
        <v>0</v>
      </c>
      <c r="M96" s="14">
        <v>181.20000000000002</v>
      </c>
      <c r="N96" s="14">
        <v>0</v>
      </c>
      <c r="O96" s="14">
        <v>124.20000000000002</v>
      </c>
      <c r="P96" s="14">
        <v>3</v>
      </c>
      <c r="Q96" s="14">
        <v>76.100000000000009</v>
      </c>
      <c r="R96" s="14">
        <v>14.899999999999999</v>
      </c>
      <c r="X96" s="33"/>
      <c r="CS96" s="13"/>
      <c r="CT96" s="33"/>
      <c r="CU96" s="33"/>
      <c r="CV96" s="33"/>
      <c r="CW96" s="33"/>
      <c r="CX96" s="33"/>
      <c r="CY96" s="33"/>
      <c r="CZ96" s="33"/>
      <c r="DA96" s="33"/>
      <c r="DB96" s="33"/>
      <c r="DC96" s="33"/>
      <c r="DD96" s="33"/>
      <c r="DE96" s="33"/>
      <c r="DF96" s="33"/>
      <c r="DG96" s="33"/>
    </row>
    <row r="97" spans="1:111" x14ac:dyDescent="0.2">
      <c r="A97" s="9">
        <v>39052</v>
      </c>
      <c r="B97">
        <v>2006</v>
      </c>
      <c r="C97">
        <v>12</v>
      </c>
      <c r="D97" s="14">
        <v>3.2645161290322577</v>
      </c>
      <c r="E97" s="14">
        <v>518.79999999999995</v>
      </c>
      <c r="F97" s="14">
        <v>0</v>
      </c>
      <c r="G97" s="14">
        <v>456.79999999999995</v>
      </c>
      <c r="H97" s="14">
        <v>0</v>
      </c>
      <c r="I97" s="14">
        <v>394.79999999999995</v>
      </c>
      <c r="J97" s="14">
        <v>0</v>
      </c>
      <c r="K97" s="14">
        <v>332.79999999999995</v>
      </c>
      <c r="L97" s="14">
        <v>0</v>
      </c>
      <c r="M97" s="14">
        <v>270.8</v>
      </c>
      <c r="N97" s="14">
        <v>0</v>
      </c>
      <c r="O97" s="14">
        <v>208.8</v>
      </c>
      <c r="P97" s="14">
        <v>0</v>
      </c>
      <c r="Q97" s="14">
        <v>148.30000000000004</v>
      </c>
      <c r="R97" s="14">
        <v>1.4999999999999982</v>
      </c>
      <c r="CS97" s="13"/>
      <c r="CT97" s="33"/>
      <c r="CU97" s="33"/>
      <c r="CV97" s="33"/>
      <c r="CW97" s="33"/>
      <c r="CX97" s="33"/>
      <c r="CY97" s="33"/>
      <c r="CZ97" s="33"/>
      <c r="DA97" s="33"/>
      <c r="DB97" s="33"/>
      <c r="DC97" s="33"/>
      <c r="DD97" s="33"/>
      <c r="DE97" s="33"/>
      <c r="DF97" s="33"/>
      <c r="DG97" s="33"/>
    </row>
    <row r="98" spans="1:111" x14ac:dyDescent="0.2">
      <c r="A98" s="9">
        <v>39083</v>
      </c>
      <c r="B98">
        <v>2007</v>
      </c>
      <c r="C98">
        <v>1</v>
      </c>
      <c r="D98" s="14">
        <v>-1.3516129032258068</v>
      </c>
      <c r="E98" s="14">
        <v>661.90000000000009</v>
      </c>
      <c r="F98" s="14">
        <v>0</v>
      </c>
      <c r="G98" s="14">
        <v>599.90000000000009</v>
      </c>
      <c r="H98" s="14">
        <v>0</v>
      </c>
      <c r="I98" s="14">
        <v>537.90000000000009</v>
      </c>
      <c r="J98" s="14">
        <v>0</v>
      </c>
      <c r="K98" s="14">
        <v>475.90000000000003</v>
      </c>
      <c r="L98" s="14">
        <v>0</v>
      </c>
      <c r="M98" s="14">
        <v>413.90000000000009</v>
      </c>
      <c r="N98" s="14">
        <v>0</v>
      </c>
      <c r="O98" s="14">
        <v>351.90000000000009</v>
      </c>
      <c r="P98" s="14">
        <v>0</v>
      </c>
      <c r="Q98" s="14">
        <v>291.20000000000005</v>
      </c>
      <c r="R98" s="14">
        <v>1.2999999999999989</v>
      </c>
      <c r="CS98" s="13"/>
      <c r="CT98" s="33"/>
      <c r="CU98" s="33"/>
      <c r="CV98" s="33"/>
      <c r="CW98" s="33"/>
      <c r="CX98" s="33"/>
      <c r="CY98" s="33"/>
      <c r="CZ98" s="33"/>
      <c r="DA98" s="33"/>
      <c r="DB98" s="33"/>
      <c r="DC98" s="33"/>
      <c r="DD98" s="33"/>
      <c r="DE98" s="33"/>
      <c r="DF98" s="33"/>
      <c r="DG98" s="33"/>
    </row>
    <row r="99" spans="1:111" x14ac:dyDescent="0.2">
      <c r="A99" s="9">
        <v>39114</v>
      </c>
      <c r="B99">
        <v>2007</v>
      </c>
      <c r="C99">
        <v>2</v>
      </c>
      <c r="D99" s="14">
        <v>-6.760714285714287</v>
      </c>
      <c r="E99" s="14">
        <v>749.3</v>
      </c>
      <c r="F99" s="14">
        <v>0</v>
      </c>
      <c r="G99" s="14">
        <v>693.3</v>
      </c>
      <c r="H99" s="14">
        <v>0</v>
      </c>
      <c r="I99" s="14">
        <v>637.29999999999995</v>
      </c>
      <c r="J99" s="14">
        <v>0</v>
      </c>
      <c r="K99" s="14">
        <v>581.29999999999984</v>
      </c>
      <c r="L99" s="14">
        <v>0</v>
      </c>
      <c r="M99" s="14">
        <v>525.29999999999995</v>
      </c>
      <c r="N99" s="14">
        <v>0</v>
      </c>
      <c r="O99" s="14">
        <v>469.2999999999999</v>
      </c>
      <c r="P99" s="14">
        <v>0</v>
      </c>
      <c r="Q99" s="14">
        <v>413.2999999999999</v>
      </c>
      <c r="R99" s="14">
        <v>0</v>
      </c>
      <c r="CS99" s="13"/>
      <c r="CT99" s="33"/>
      <c r="CU99" s="33"/>
      <c r="CV99" s="33"/>
      <c r="CW99" s="33"/>
      <c r="CX99" s="33"/>
      <c r="CY99" s="33"/>
      <c r="CZ99" s="33"/>
      <c r="DA99" s="33"/>
      <c r="DB99" s="33"/>
      <c r="DC99" s="33"/>
      <c r="DD99" s="33"/>
      <c r="DE99" s="33"/>
      <c r="DF99" s="33"/>
      <c r="DG99" s="33"/>
    </row>
    <row r="100" spans="1:111" x14ac:dyDescent="0.2">
      <c r="A100" s="9">
        <v>39142</v>
      </c>
      <c r="B100">
        <v>2007</v>
      </c>
      <c r="C100">
        <v>3</v>
      </c>
      <c r="D100" s="14">
        <v>1.1548387096774191</v>
      </c>
      <c r="E100" s="14">
        <v>584.20000000000005</v>
      </c>
      <c r="F100" s="14">
        <v>0</v>
      </c>
      <c r="G100" s="14">
        <v>522.20000000000005</v>
      </c>
      <c r="H100" s="14">
        <v>0</v>
      </c>
      <c r="I100" s="14">
        <v>460.20000000000005</v>
      </c>
      <c r="J100" s="14">
        <v>0</v>
      </c>
      <c r="K100" s="14">
        <v>398.20000000000005</v>
      </c>
      <c r="L100" s="14">
        <v>0</v>
      </c>
      <c r="M100" s="14">
        <v>336.2</v>
      </c>
      <c r="N100" s="14">
        <v>0</v>
      </c>
      <c r="O100" s="14">
        <v>275.5</v>
      </c>
      <c r="P100" s="14">
        <v>1.3000000000000007</v>
      </c>
      <c r="Q100" s="14">
        <v>218.70000000000005</v>
      </c>
      <c r="R100" s="14">
        <v>6.5000000000000018</v>
      </c>
      <c r="CS100" s="13"/>
      <c r="CT100" s="33"/>
      <c r="CU100" s="33"/>
      <c r="CV100" s="33"/>
      <c r="CW100" s="33"/>
      <c r="CX100" s="33"/>
      <c r="CY100" s="33"/>
      <c r="CZ100" s="33"/>
      <c r="DA100" s="33"/>
      <c r="DB100" s="33"/>
      <c r="DC100" s="33"/>
      <c r="DD100" s="33"/>
      <c r="DE100" s="33"/>
      <c r="DF100" s="33"/>
      <c r="DG100" s="33"/>
    </row>
    <row r="101" spans="1:111" x14ac:dyDescent="0.2">
      <c r="A101" s="9">
        <v>39173</v>
      </c>
      <c r="B101">
        <v>2007</v>
      </c>
      <c r="C101">
        <v>4</v>
      </c>
      <c r="D101" s="14">
        <v>6.0633333333333335</v>
      </c>
      <c r="E101" s="14">
        <v>418.09999999999997</v>
      </c>
      <c r="F101" s="14">
        <v>0</v>
      </c>
      <c r="G101" s="14">
        <v>358.09999999999997</v>
      </c>
      <c r="H101" s="14">
        <v>0</v>
      </c>
      <c r="I101" s="14">
        <v>299.7</v>
      </c>
      <c r="J101" s="14">
        <v>1.6000000000000014</v>
      </c>
      <c r="K101" s="14">
        <v>244</v>
      </c>
      <c r="L101" s="14">
        <v>5.9000000000000021</v>
      </c>
      <c r="M101" s="14">
        <v>191.8</v>
      </c>
      <c r="N101" s="14">
        <v>13.700000000000003</v>
      </c>
      <c r="O101" s="14">
        <v>144.30000000000001</v>
      </c>
      <c r="P101" s="14">
        <v>26.200000000000003</v>
      </c>
      <c r="Q101" s="14">
        <v>102.69999999999999</v>
      </c>
      <c r="R101" s="14">
        <v>44.599999999999994</v>
      </c>
      <c r="CS101" s="13"/>
      <c r="CT101" s="33"/>
      <c r="CU101" s="33"/>
      <c r="CV101" s="33"/>
      <c r="CW101" s="33"/>
      <c r="CX101" s="33"/>
      <c r="CY101" s="33"/>
      <c r="CZ101" s="33"/>
      <c r="DA101" s="33"/>
      <c r="DB101" s="33"/>
      <c r="DC101" s="33"/>
      <c r="DD101" s="33"/>
      <c r="DE101" s="33"/>
      <c r="DF101" s="33"/>
      <c r="DG101" s="33"/>
    </row>
    <row r="102" spans="1:111" x14ac:dyDescent="0.2">
      <c r="A102" s="9">
        <v>39203</v>
      </c>
      <c r="B102">
        <v>2007</v>
      </c>
      <c r="C102">
        <v>5</v>
      </c>
      <c r="D102" s="14">
        <v>13.348387096774195</v>
      </c>
      <c r="E102" s="14">
        <v>212.39999999999998</v>
      </c>
      <c r="F102" s="14">
        <v>6.1999999999999993</v>
      </c>
      <c r="G102" s="14">
        <v>158.79999999999998</v>
      </c>
      <c r="H102" s="14">
        <v>14.599999999999998</v>
      </c>
      <c r="I102" s="14">
        <v>110.09999999999998</v>
      </c>
      <c r="J102" s="14">
        <v>27.9</v>
      </c>
      <c r="K102" s="14">
        <v>69.5</v>
      </c>
      <c r="L102" s="14">
        <v>49.29999999999999</v>
      </c>
      <c r="M102" s="14">
        <v>36</v>
      </c>
      <c r="N102" s="14">
        <v>77.800000000000011</v>
      </c>
      <c r="O102" s="14">
        <v>11.499999999999998</v>
      </c>
      <c r="P102" s="14">
        <v>115.30000000000001</v>
      </c>
      <c r="Q102" s="14">
        <v>1.0999999999999996</v>
      </c>
      <c r="R102" s="14">
        <v>166.89999999999998</v>
      </c>
      <c r="CS102" s="13"/>
      <c r="CT102" s="33"/>
      <c r="CU102" s="33"/>
      <c r="CV102" s="33"/>
      <c r="CW102" s="33"/>
      <c r="CX102" s="33"/>
      <c r="CY102" s="33"/>
      <c r="CZ102" s="33"/>
      <c r="DA102" s="33"/>
      <c r="DB102" s="33"/>
      <c r="DC102" s="33"/>
      <c r="DD102" s="33"/>
      <c r="DE102" s="33"/>
      <c r="DF102" s="33"/>
      <c r="DG102" s="33"/>
    </row>
    <row r="103" spans="1:111" x14ac:dyDescent="0.2">
      <c r="A103" s="9">
        <v>39234</v>
      </c>
      <c r="B103">
        <v>2007</v>
      </c>
      <c r="C103">
        <v>6</v>
      </c>
      <c r="D103" s="14">
        <v>20.683333333333334</v>
      </c>
      <c r="E103" s="14">
        <v>33.200000000000003</v>
      </c>
      <c r="F103" s="14">
        <v>53.7</v>
      </c>
      <c r="G103" s="14">
        <v>13.600000000000001</v>
      </c>
      <c r="H103" s="14">
        <v>94.1</v>
      </c>
      <c r="I103" s="14">
        <v>3.5</v>
      </c>
      <c r="J103" s="14">
        <v>144</v>
      </c>
      <c r="K103" s="14">
        <v>0</v>
      </c>
      <c r="L103" s="14">
        <v>200.50000000000003</v>
      </c>
      <c r="M103" s="14">
        <v>0</v>
      </c>
      <c r="N103" s="14">
        <v>260.5</v>
      </c>
      <c r="O103" s="14">
        <v>0</v>
      </c>
      <c r="P103" s="14">
        <v>320.5</v>
      </c>
      <c r="Q103" s="14">
        <v>0</v>
      </c>
      <c r="R103" s="14">
        <v>380.49999999999994</v>
      </c>
      <c r="CS103" s="13"/>
      <c r="CT103" s="33"/>
      <c r="CU103" s="33"/>
      <c r="CV103" s="33"/>
      <c r="CW103" s="33"/>
      <c r="CX103" s="33"/>
      <c r="CY103" s="33"/>
      <c r="CZ103" s="33"/>
      <c r="DA103" s="33"/>
      <c r="DB103" s="33"/>
      <c r="DC103" s="33"/>
      <c r="DD103" s="33"/>
      <c r="DE103" s="33"/>
      <c r="DF103" s="33"/>
      <c r="DG103" s="33"/>
    </row>
    <row r="104" spans="1:111" x14ac:dyDescent="0.2">
      <c r="A104" s="9">
        <v>39264</v>
      </c>
      <c r="B104">
        <v>2007</v>
      </c>
      <c r="C104">
        <v>7</v>
      </c>
      <c r="D104" s="14">
        <v>20.712903225806453</v>
      </c>
      <c r="E104" s="14">
        <v>17.900000000000002</v>
      </c>
      <c r="F104" s="14">
        <v>40</v>
      </c>
      <c r="G104" s="14">
        <v>1.6000000000000014</v>
      </c>
      <c r="H104" s="14">
        <v>85.700000000000017</v>
      </c>
      <c r="I104" s="14">
        <v>0</v>
      </c>
      <c r="J104" s="14">
        <v>146.1</v>
      </c>
      <c r="K104" s="14">
        <v>0</v>
      </c>
      <c r="L104" s="14">
        <v>208.09999999999997</v>
      </c>
      <c r="M104" s="14">
        <v>0</v>
      </c>
      <c r="N104" s="14">
        <v>270.09999999999997</v>
      </c>
      <c r="O104" s="14">
        <v>0</v>
      </c>
      <c r="P104" s="14">
        <v>332.09999999999997</v>
      </c>
      <c r="Q104" s="14">
        <v>0</v>
      </c>
      <c r="R104" s="14">
        <v>394.09999999999997</v>
      </c>
    </row>
    <row r="105" spans="1:111" x14ac:dyDescent="0.2">
      <c r="A105" s="9">
        <v>39295</v>
      </c>
      <c r="B105">
        <v>2007</v>
      </c>
      <c r="C105">
        <v>8</v>
      </c>
      <c r="D105" s="14">
        <v>22.177419354838705</v>
      </c>
      <c r="E105" s="14">
        <v>13.8</v>
      </c>
      <c r="F105" s="14">
        <v>81.3</v>
      </c>
      <c r="G105" s="14">
        <v>2.600000000000005</v>
      </c>
      <c r="H105" s="14">
        <v>132.1</v>
      </c>
      <c r="I105" s="14">
        <v>0</v>
      </c>
      <c r="J105" s="14">
        <v>191.50000000000003</v>
      </c>
      <c r="K105" s="14">
        <v>0</v>
      </c>
      <c r="L105" s="14">
        <v>253.50000000000006</v>
      </c>
      <c r="M105" s="14">
        <v>0</v>
      </c>
      <c r="N105" s="14">
        <v>315.50000000000011</v>
      </c>
      <c r="O105" s="14">
        <v>0</v>
      </c>
      <c r="P105" s="14">
        <v>377.5</v>
      </c>
      <c r="Q105" s="14">
        <v>0</v>
      </c>
      <c r="R105" s="14">
        <v>439.5</v>
      </c>
    </row>
    <row r="106" spans="1:111" x14ac:dyDescent="0.2">
      <c r="A106" s="9">
        <v>39326</v>
      </c>
      <c r="B106">
        <v>2007</v>
      </c>
      <c r="C106">
        <v>9</v>
      </c>
      <c r="D106" s="14">
        <v>18.79666666666667</v>
      </c>
      <c r="E106" s="14">
        <v>61.800000000000004</v>
      </c>
      <c r="F106" s="14">
        <v>25.700000000000003</v>
      </c>
      <c r="G106" s="14">
        <v>29.100000000000005</v>
      </c>
      <c r="H106" s="14">
        <v>53.000000000000007</v>
      </c>
      <c r="I106" s="14">
        <v>10.299999999999999</v>
      </c>
      <c r="J106" s="14">
        <v>94.199999999999989</v>
      </c>
      <c r="K106" s="14">
        <v>3.2999999999999989</v>
      </c>
      <c r="L106" s="14">
        <v>147.19999999999999</v>
      </c>
      <c r="M106" s="14">
        <v>0.69999999999999929</v>
      </c>
      <c r="N106" s="14">
        <v>204.6</v>
      </c>
      <c r="O106" s="14">
        <v>0</v>
      </c>
      <c r="P106" s="14">
        <v>263.89999999999998</v>
      </c>
      <c r="Q106" s="14">
        <v>0</v>
      </c>
      <c r="R106" s="14">
        <v>323.89999999999998</v>
      </c>
    </row>
    <row r="107" spans="1:111" x14ac:dyDescent="0.2">
      <c r="A107" s="9">
        <v>39356</v>
      </c>
      <c r="B107">
        <v>2007</v>
      </c>
      <c r="C107">
        <v>10</v>
      </c>
      <c r="D107" s="14">
        <v>14.890322580645163</v>
      </c>
      <c r="E107" s="14">
        <v>165.89999999999998</v>
      </c>
      <c r="F107" s="14">
        <v>7.4999999999999964</v>
      </c>
      <c r="G107" s="14">
        <v>118.5</v>
      </c>
      <c r="H107" s="14">
        <v>22.1</v>
      </c>
      <c r="I107" s="14">
        <v>77.500000000000028</v>
      </c>
      <c r="J107" s="14">
        <v>43.100000000000009</v>
      </c>
      <c r="K107" s="14">
        <v>41.3</v>
      </c>
      <c r="L107" s="14">
        <v>68.900000000000006</v>
      </c>
      <c r="M107" s="14">
        <v>16.599999999999998</v>
      </c>
      <c r="N107" s="14">
        <v>106.19999999999999</v>
      </c>
      <c r="O107" s="14">
        <v>4.8</v>
      </c>
      <c r="P107" s="14">
        <v>156.39999999999995</v>
      </c>
      <c r="Q107" s="14">
        <v>1.2000000000000002</v>
      </c>
      <c r="R107" s="14">
        <v>214.79999999999995</v>
      </c>
    </row>
    <row r="108" spans="1:111" x14ac:dyDescent="0.2">
      <c r="A108" s="9">
        <v>39387</v>
      </c>
      <c r="B108">
        <v>2007</v>
      </c>
      <c r="C108">
        <v>11</v>
      </c>
      <c r="D108" s="14">
        <v>4.6066666666666665</v>
      </c>
      <c r="E108" s="14">
        <v>461.8</v>
      </c>
      <c r="F108" s="14">
        <v>0</v>
      </c>
      <c r="G108" s="14">
        <v>401.8</v>
      </c>
      <c r="H108" s="14">
        <v>0</v>
      </c>
      <c r="I108" s="14">
        <v>341.8</v>
      </c>
      <c r="J108" s="14">
        <v>0</v>
      </c>
      <c r="K108" s="14">
        <v>281.80000000000007</v>
      </c>
      <c r="L108" s="14">
        <v>0</v>
      </c>
      <c r="M108" s="14">
        <v>223.20000000000005</v>
      </c>
      <c r="N108" s="14">
        <v>1.4000000000000004</v>
      </c>
      <c r="O108" s="14">
        <v>165.5</v>
      </c>
      <c r="P108" s="14">
        <v>3.6999999999999993</v>
      </c>
      <c r="Q108" s="14">
        <v>114.1</v>
      </c>
      <c r="R108" s="14">
        <v>12.299999999999999</v>
      </c>
    </row>
    <row r="109" spans="1:111" x14ac:dyDescent="0.2">
      <c r="A109" s="9">
        <v>39417</v>
      </c>
      <c r="B109">
        <v>2007</v>
      </c>
      <c r="C109">
        <v>12</v>
      </c>
      <c r="D109" s="14">
        <v>-0.61612903225806426</v>
      </c>
      <c r="E109" s="14">
        <v>639.09999999999991</v>
      </c>
      <c r="F109" s="14">
        <v>0</v>
      </c>
      <c r="G109" s="14">
        <v>577.0999999999998</v>
      </c>
      <c r="H109" s="14">
        <v>0</v>
      </c>
      <c r="I109" s="14">
        <v>515.0999999999998</v>
      </c>
      <c r="J109" s="14">
        <v>0</v>
      </c>
      <c r="K109" s="14">
        <v>453.09999999999991</v>
      </c>
      <c r="L109" s="14">
        <v>0</v>
      </c>
      <c r="M109" s="14">
        <v>391.09999999999991</v>
      </c>
      <c r="N109" s="14">
        <v>0</v>
      </c>
      <c r="O109" s="14">
        <v>329.09999999999997</v>
      </c>
      <c r="P109" s="14">
        <v>0</v>
      </c>
      <c r="Q109" s="14">
        <v>267.10000000000002</v>
      </c>
      <c r="R109" s="14">
        <v>0</v>
      </c>
    </row>
    <row r="110" spans="1:111" x14ac:dyDescent="0.2">
      <c r="A110" s="9">
        <v>39448</v>
      </c>
      <c r="B110">
        <v>2008</v>
      </c>
      <c r="C110">
        <v>1</v>
      </c>
      <c r="D110" s="14">
        <v>-0.34838709677419355</v>
      </c>
      <c r="E110" s="14">
        <v>630.79999999999995</v>
      </c>
      <c r="F110" s="14">
        <v>0</v>
      </c>
      <c r="G110" s="14">
        <v>568.79999999999995</v>
      </c>
      <c r="H110" s="14">
        <v>0</v>
      </c>
      <c r="I110" s="14">
        <v>506.8</v>
      </c>
      <c r="J110" s="14">
        <v>0</v>
      </c>
      <c r="K110" s="14">
        <v>444.8</v>
      </c>
      <c r="L110" s="14">
        <v>0</v>
      </c>
      <c r="M110" s="14">
        <v>385.59999999999997</v>
      </c>
      <c r="N110" s="14">
        <v>2.8000000000000007</v>
      </c>
      <c r="O110" s="14">
        <v>327.60000000000002</v>
      </c>
      <c r="P110" s="14">
        <v>6.8000000000000007</v>
      </c>
      <c r="Q110" s="14">
        <v>269.60000000000002</v>
      </c>
      <c r="R110" s="14">
        <v>10.8</v>
      </c>
    </row>
    <row r="111" spans="1:111" x14ac:dyDescent="0.2">
      <c r="A111" s="9">
        <v>39479</v>
      </c>
      <c r="B111">
        <v>2008</v>
      </c>
      <c r="C111">
        <v>2</v>
      </c>
      <c r="D111" s="14">
        <v>-3.3103448275862064</v>
      </c>
      <c r="E111" s="14">
        <v>675.99999999999989</v>
      </c>
      <c r="F111" s="14">
        <v>0</v>
      </c>
      <c r="G111" s="14">
        <v>617.99999999999989</v>
      </c>
      <c r="H111" s="14">
        <v>0</v>
      </c>
      <c r="I111" s="14">
        <v>559.99999999999989</v>
      </c>
      <c r="J111" s="14">
        <v>0</v>
      </c>
      <c r="K111" s="14">
        <v>502.00000000000006</v>
      </c>
      <c r="L111" s="14">
        <v>0</v>
      </c>
      <c r="M111" s="14">
        <v>444</v>
      </c>
      <c r="N111" s="14">
        <v>0</v>
      </c>
      <c r="O111" s="14">
        <v>386.00000000000006</v>
      </c>
      <c r="P111" s="14">
        <v>0</v>
      </c>
      <c r="Q111" s="14">
        <v>328.00000000000006</v>
      </c>
      <c r="R111" s="14">
        <v>0</v>
      </c>
    </row>
    <row r="112" spans="1:111" x14ac:dyDescent="0.2">
      <c r="A112" s="9">
        <v>39508</v>
      </c>
      <c r="B112">
        <v>2008</v>
      </c>
      <c r="C112">
        <v>3</v>
      </c>
      <c r="D112" s="14">
        <v>-0.29032258064516142</v>
      </c>
      <c r="E112" s="14">
        <v>629.00000000000011</v>
      </c>
      <c r="F112" s="14">
        <v>0</v>
      </c>
      <c r="G112" s="14">
        <v>567.00000000000011</v>
      </c>
      <c r="H112" s="14">
        <v>0</v>
      </c>
      <c r="I112" s="14">
        <v>505.00000000000011</v>
      </c>
      <c r="J112" s="14">
        <v>0</v>
      </c>
      <c r="K112" s="14">
        <v>443.00000000000011</v>
      </c>
      <c r="L112" s="14">
        <v>0</v>
      </c>
      <c r="M112" s="14">
        <v>381.00000000000006</v>
      </c>
      <c r="N112" s="14">
        <v>0</v>
      </c>
      <c r="O112" s="14">
        <v>319.00000000000006</v>
      </c>
      <c r="P112" s="14">
        <v>0</v>
      </c>
      <c r="Q112" s="14">
        <v>257</v>
      </c>
      <c r="R112" s="14">
        <v>0</v>
      </c>
    </row>
    <row r="113" spans="1:24" x14ac:dyDescent="0.2">
      <c r="A113" s="9">
        <v>39539</v>
      </c>
      <c r="B113">
        <v>2008</v>
      </c>
      <c r="C113">
        <v>4</v>
      </c>
      <c r="D113" s="14">
        <v>7.85</v>
      </c>
      <c r="E113" s="14">
        <v>364.5</v>
      </c>
      <c r="F113" s="14">
        <v>0</v>
      </c>
      <c r="G113" s="14">
        <v>304.5</v>
      </c>
      <c r="H113" s="14">
        <v>0</v>
      </c>
      <c r="I113" s="14">
        <v>244.49999999999997</v>
      </c>
      <c r="J113" s="14">
        <v>0</v>
      </c>
      <c r="K113" s="14">
        <v>184.49999999999997</v>
      </c>
      <c r="L113" s="14">
        <v>0</v>
      </c>
      <c r="M113" s="14">
        <v>129</v>
      </c>
      <c r="N113" s="14">
        <v>4.5</v>
      </c>
      <c r="O113" s="14">
        <v>81.600000000000023</v>
      </c>
      <c r="P113" s="14">
        <v>17.100000000000001</v>
      </c>
      <c r="Q113" s="14">
        <v>45.000000000000007</v>
      </c>
      <c r="R113" s="14">
        <v>40.499999999999993</v>
      </c>
    </row>
    <row r="114" spans="1:24" x14ac:dyDescent="0.2">
      <c r="A114" s="9">
        <v>39569</v>
      </c>
      <c r="B114">
        <v>2008</v>
      </c>
      <c r="C114">
        <v>5</v>
      </c>
      <c r="D114" s="14">
        <v>11.938709677419356</v>
      </c>
      <c r="E114" s="14">
        <v>249.9</v>
      </c>
      <c r="F114" s="14">
        <v>0</v>
      </c>
      <c r="G114" s="14">
        <v>190.39999999999995</v>
      </c>
      <c r="H114" s="14">
        <v>2.5</v>
      </c>
      <c r="I114" s="14">
        <v>132.9</v>
      </c>
      <c r="J114" s="14">
        <v>7</v>
      </c>
      <c r="K114" s="14">
        <v>80.100000000000009</v>
      </c>
      <c r="L114" s="14">
        <v>16.200000000000003</v>
      </c>
      <c r="M114" s="14">
        <v>40.200000000000003</v>
      </c>
      <c r="N114" s="14">
        <v>38.299999999999997</v>
      </c>
      <c r="O114" s="14">
        <v>14.600000000000001</v>
      </c>
      <c r="P114" s="14">
        <v>74.7</v>
      </c>
      <c r="Q114" s="14">
        <v>4.5999999999999996</v>
      </c>
      <c r="R114" s="14">
        <v>126.69999999999999</v>
      </c>
    </row>
    <row r="115" spans="1:24" x14ac:dyDescent="0.2">
      <c r="A115" s="9">
        <v>39600</v>
      </c>
      <c r="B115">
        <v>2008</v>
      </c>
      <c r="C115">
        <v>6</v>
      </c>
      <c r="D115" s="14">
        <v>19.183333333333334</v>
      </c>
      <c r="E115" s="14">
        <v>57.199999999999989</v>
      </c>
      <c r="F115" s="14">
        <v>32.700000000000003</v>
      </c>
      <c r="G115" s="14">
        <v>32.199999999999996</v>
      </c>
      <c r="H115" s="14">
        <v>67.7</v>
      </c>
      <c r="I115" s="14">
        <v>14.3</v>
      </c>
      <c r="J115" s="14">
        <v>109.80000000000001</v>
      </c>
      <c r="K115" s="14">
        <v>2.1999999999999993</v>
      </c>
      <c r="L115" s="14">
        <v>157.69999999999999</v>
      </c>
      <c r="M115" s="14">
        <v>0</v>
      </c>
      <c r="N115" s="14">
        <v>215.5</v>
      </c>
      <c r="O115" s="14">
        <v>0</v>
      </c>
      <c r="P115" s="14">
        <v>275.5</v>
      </c>
      <c r="Q115" s="14">
        <v>0</v>
      </c>
      <c r="R115" s="14">
        <v>335.5</v>
      </c>
    </row>
    <row r="116" spans="1:24" x14ac:dyDescent="0.2">
      <c r="A116" s="9">
        <v>39630</v>
      </c>
      <c r="B116">
        <v>2008</v>
      </c>
      <c r="C116">
        <v>7</v>
      </c>
      <c r="D116" s="14">
        <v>21.625806451612902</v>
      </c>
      <c r="E116" s="14">
        <v>13.200000000000003</v>
      </c>
      <c r="F116" s="14">
        <v>63.599999999999994</v>
      </c>
      <c r="G116" s="14">
        <v>2.3000000000000007</v>
      </c>
      <c r="H116" s="14">
        <v>114.70000000000002</v>
      </c>
      <c r="I116" s="14">
        <v>0</v>
      </c>
      <c r="J116" s="14">
        <v>174.4</v>
      </c>
      <c r="K116" s="14">
        <v>0</v>
      </c>
      <c r="L116" s="14">
        <v>236.4</v>
      </c>
      <c r="M116" s="14">
        <v>0</v>
      </c>
      <c r="N116" s="14">
        <v>298.40000000000003</v>
      </c>
      <c r="O116" s="14">
        <v>0</v>
      </c>
      <c r="P116" s="14">
        <v>360.40000000000003</v>
      </c>
      <c r="Q116" s="14">
        <v>0</v>
      </c>
      <c r="R116" s="14">
        <v>422.40000000000003</v>
      </c>
    </row>
    <row r="117" spans="1:24" x14ac:dyDescent="0.2">
      <c r="A117" s="9">
        <v>39661</v>
      </c>
      <c r="B117">
        <v>2008</v>
      </c>
      <c r="C117">
        <v>8</v>
      </c>
      <c r="D117" s="14">
        <v>20.038709677419352</v>
      </c>
      <c r="E117" s="14">
        <v>30.900000000000006</v>
      </c>
      <c r="F117" s="14">
        <v>32.099999999999994</v>
      </c>
      <c r="G117" s="14">
        <v>8.1000000000000014</v>
      </c>
      <c r="H117" s="14">
        <v>71.3</v>
      </c>
      <c r="I117" s="14">
        <v>1</v>
      </c>
      <c r="J117" s="14">
        <v>126.19999999999997</v>
      </c>
      <c r="K117" s="14">
        <v>0</v>
      </c>
      <c r="L117" s="14">
        <v>187.2</v>
      </c>
      <c r="M117" s="14">
        <v>0</v>
      </c>
      <c r="N117" s="14">
        <v>249.2</v>
      </c>
      <c r="O117" s="14">
        <v>0</v>
      </c>
      <c r="P117" s="14">
        <v>311.20000000000005</v>
      </c>
      <c r="Q117" s="14">
        <v>0</v>
      </c>
      <c r="R117" s="14">
        <v>373.2</v>
      </c>
    </row>
    <row r="118" spans="1:24" x14ac:dyDescent="0.2">
      <c r="A118" s="9">
        <v>39692</v>
      </c>
      <c r="B118">
        <v>2008</v>
      </c>
      <c r="C118">
        <v>9</v>
      </c>
      <c r="D118" s="14">
        <v>17.933333333333334</v>
      </c>
      <c r="E118" s="14">
        <v>77.8</v>
      </c>
      <c r="F118" s="14">
        <v>15.800000000000004</v>
      </c>
      <c r="G118" s="14">
        <v>36.599999999999994</v>
      </c>
      <c r="H118" s="14">
        <v>34.6</v>
      </c>
      <c r="I118" s="14">
        <v>8.6999999999999993</v>
      </c>
      <c r="J118" s="14">
        <v>66.7</v>
      </c>
      <c r="K118" s="14">
        <v>0</v>
      </c>
      <c r="L118" s="14">
        <v>117.99999999999996</v>
      </c>
      <c r="M118" s="14">
        <v>0</v>
      </c>
      <c r="N118" s="14">
        <v>178</v>
      </c>
      <c r="O118" s="14">
        <v>0</v>
      </c>
      <c r="P118" s="14">
        <v>238.00000000000003</v>
      </c>
      <c r="Q118" s="14">
        <v>0</v>
      </c>
      <c r="R118" s="14">
        <v>298</v>
      </c>
    </row>
    <row r="119" spans="1:24" x14ac:dyDescent="0.2">
      <c r="A119" s="9">
        <v>39722</v>
      </c>
      <c r="B119">
        <v>2008</v>
      </c>
      <c r="C119">
        <v>10</v>
      </c>
      <c r="D119" s="14">
        <v>10.567741935483873</v>
      </c>
      <c r="E119" s="14">
        <v>292.39999999999998</v>
      </c>
      <c r="F119" s="14">
        <v>0</v>
      </c>
      <c r="G119" s="14">
        <v>231.50000000000003</v>
      </c>
      <c r="H119" s="14">
        <v>1.1000000000000014</v>
      </c>
      <c r="I119" s="14">
        <v>171.60000000000002</v>
      </c>
      <c r="J119" s="14">
        <v>3.2000000000000028</v>
      </c>
      <c r="K119" s="14">
        <v>114.9</v>
      </c>
      <c r="L119" s="14">
        <v>8.5000000000000036</v>
      </c>
      <c r="M119" s="14">
        <v>68.2</v>
      </c>
      <c r="N119" s="14">
        <v>23.800000000000004</v>
      </c>
      <c r="O119" s="14">
        <v>35.1</v>
      </c>
      <c r="P119" s="14">
        <v>52.70000000000001</v>
      </c>
      <c r="Q119" s="14">
        <v>17.200000000000003</v>
      </c>
      <c r="R119" s="14">
        <v>96.799999999999983</v>
      </c>
    </row>
    <row r="120" spans="1:24" x14ac:dyDescent="0.2">
      <c r="A120" s="9">
        <v>39753</v>
      </c>
      <c r="B120">
        <v>2008</v>
      </c>
      <c r="C120">
        <v>11</v>
      </c>
      <c r="D120" s="14">
        <v>4.206666666666667</v>
      </c>
      <c r="E120" s="14">
        <v>473.8</v>
      </c>
      <c r="F120" s="14">
        <v>0</v>
      </c>
      <c r="G120" s="14">
        <v>413.80000000000007</v>
      </c>
      <c r="H120" s="14">
        <v>0</v>
      </c>
      <c r="I120" s="14">
        <v>353.80000000000007</v>
      </c>
      <c r="J120" s="14">
        <v>0</v>
      </c>
      <c r="K120" s="14">
        <v>295.10000000000008</v>
      </c>
      <c r="L120" s="14">
        <v>1.3000000000000007</v>
      </c>
      <c r="M120" s="14">
        <v>237.10000000000005</v>
      </c>
      <c r="N120" s="14">
        <v>3.3000000000000007</v>
      </c>
      <c r="O120" s="14">
        <v>184.70000000000005</v>
      </c>
      <c r="P120" s="14">
        <v>10.9</v>
      </c>
      <c r="Q120" s="14">
        <v>136.5</v>
      </c>
      <c r="R120" s="14">
        <v>22.699999999999996</v>
      </c>
    </row>
    <row r="121" spans="1:24" x14ac:dyDescent="0.2">
      <c r="A121" s="9">
        <v>39783</v>
      </c>
      <c r="B121">
        <v>2008</v>
      </c>
      <c r="C121">
        <v>12</v>
      </c>
      <c r="D121" s="14">
        <v>-1.3129032258064515</v>
      </c>
      <c r="E121" s="14">
        <v>660.69999999999993</v>
      </c>
      <c r="F121" s="14">
        <v>0</v>
      </c>
      <c r="G121" s="14">
        <v>598.69999999999993</v>
      </c>
      <c r="H121" s="14">
        <v>0</v>
      </c>
      <c r="I121" s="14">
        <v>536.69999999999982</v>
      </c>
      <c r="J121" s="14">
        <v>0</v>
      </c>
      <c r="K121" s="14">
        <v>474.7</v>
      </c>
      <c r="L121" s="14">
        <v>0</v>
      </c>
      <c r="M121" s="14">
        <v>412.69999999999993</v>
      </c>
      <c r="N121" s="14">
        <v>0</v>
      </c>
      <c r="O121" s="14">
        <v>350.69999999999993</v>
      </c>
      <c r="P121" s="14">
        <v>0</v>
      </c>
      <c r="Q121" s="14">
        <v>290.2</v>
      </c>
      <c r="R121" s="14">
        <v>1.5</v>
      </c>
      <c r="V121" s="30"/>
      <c r="W121" s="8"/>
      <c r="X121" s="8"/>
    </row>
    <row r="122" spans="1:24" x14ac:dyDescent="0.2">
      <c r="A122" s="9">
        <v>39814</v>
      </c>
      <c r="B122">
        <v>2009</v>
      </c>
      <c r="C122">
        <v>1</v>
      </c>
      <c r="D122" s="14">
        <v>-6.7387096774193553</v>
      </c>
      <c r="E122" s="13">
        <v>828.9</v>
      </c>
      <c r="F122" s="13">
        <v>0</v>
      </c>
      <c r="G122" s="14">
        <v>766.90000000000009</v>
      </c>
      <c r="H122" s="14">
        <v>0</v>
      </c>
      <c r="I122" s="14">
        <v>704.9</v>
      </c>
      <c r="J122" s="14">
        <v>0</v>
      </c>
      <c r="K122" s="14">
        <v>642.9</v>
      </c>
      <c r="L122" s="14">
        <v>0</v>
      </c>
      <c r="M122" s="14">
        <v>580.9</v>
      </c>
      <c r="N122" s="14">
        <v>0</v>
      </c>
      <c r="O122" s="14">
        <v>518.9</v>
      </c>
      <c r="P122" s="14">
        <v>0</v>
      </c>
      <c r="Q122" s="14">
        <v>456.9</v>
      </c>
      <c r="R122" s="14">
        <v>0</v>
      </c>
      <c r="V122" s="30"/>
      <c r="W122" s="8"/>
      <c r="X122" s="8"/>
    </row>
    <row r="123" spans="1:24" x14ac:dyDescent="0.2">
      <c r="A123" s="9">
        <v>39845</v>
      </c>
      <c r="B123">
        <v>2009</v>
      </c>
      <c r="C123">
        <v>2</v>
      </c>
      <c r="D123" s="14">
        <v>-2.0749999999999997</v>
      </c>
      <c r="E123" s="13">
        <v>618.09999999999991</v>
      </c>
      <c r="F123" s="13">
        <v>0</v>
      </c>
      <c r="G123" s="14">
        <v>562.09999999999991</v>
      </c>
      <c r="H123" s="14">
        <v>0</v>
      </c>
      <c r="I123" s="14">
        <v>506.1</v>
      </c>
      <c r="J123" s="14">
        <v>0</v>
      </c>
      <c r="K123" s="14">
        <v>450.1</v>
      </c>
      <c r="L123" s="14">
        <v>0</v>
      </c>
      <c r="M123" s="14">
        <v>394.10000000000008</v>
      </c>
      <c r="N123" s="14">
        <v>0</v>
      </c>
      <c r="O123" s="14">
        <v>338.1</v>
      </c>
      <c r="P123" s="14">
        <v>0</v>
      </c>
      <c r="Q123" s="14">
        <v>282.10000000000008</v>
      </c>
      <c r="R123" s="14">
        <v>0</v>
      </c>
      <c r="V123" s="30"/>
      <c r="W123" s="8"/>
      <c r="X123" s="8"/>
    </row>
    <row r="124" spans="1:24" x14ac:dyDescent="0.2">
      <c r="A124" s="9">
        <v>39873</v>
      </c>
      <c r="B124">
        <v>2009</v>
      </c>
      <c r="C124">
        <v>3</v>
      </c>
      <c r="D124" s="14">
        <v>1.532258064516129</v>
      </c>
      <c r="E124" s="13">
        <v>572.5</v>
      </c>
      <c r="F124" s="13">
        <v>0</v>
      </c>
      <c r="G124" s="14">
        <v>510.5</v>
      </c>
      <c r="H124" s="14">
        <v>0</v>
      </c>
      <c r="I124" s="14">
        <v>448.50000000000006</v>
      </c>
      <c r="J124" s="14">
        <v>0</v>
      </c>
      <c r="K124" s="14">
        <v>386.50000000000006</v>
      </c>
      <c r="L124" s="14">
        <v>0</v>
      </c>
      <c r="M124" s="14">
        <v>324.5</v>
      </c>
      <c r="N124" s="14">
        <v>0</v>
      </c>
      <c r="O124" s="14">
        <v>263.40000000000003</v>
      </c>
      <c r="P124" s="14">
        <v>0.90000000000000036</v>
      </c>
      <c r="Q124" s="14">
        <v>205</v>
      </c>
      <c r="R124" s="14">
        <v>4.5</v>
      </c>
      <c r="V124" s="30"/>
      <c r="W124" s="8"/>
      <c r="X124" s="8"/>
    </row>
    <row r="125" spans="1:24" x14ac:dyDescent="0.2">
      <c r="A125" s="9">
        <v>39904</v>
      </c>
      <c r="B125">
        <v>2009</v>
      </c>
      <c r="C125">
        <v>4</v>
      </c>
      <c r="D125" s="14">
        <v>7.31</v>
      </c>
      <c r="E125" s="13">
        <v>380.70000000000005</v>
      </c>
      <c r="F125" s="13">
        <v>0</v>
      </c>
      <c r="G125" s="14">
        <v>320.7000000000001</v>
      </c>
      <c r="H125" s="14">
        <v>0</v>
      </c>
      <c r="I125" s="14">
        <v>261.80000000000007</v>
      </c>
      <c r="J125" s="14">
        <v>1.1000000000000014</v>
      </c>
      <c r="K125" s="14">
        <v>205.70000000000002</v>
      </c>
      <c r="L125" s="14">
        <v>5.0000000000000018</v>
      </c>
      <c r="M125" s="14">
        <v>152.60000000000002</v>
      </c>
      <c r="N125" s="14">
        <v>11.9</v>
      </c>
      <c r="O125" s="14">
        <v>105.4</v>
      </c>
      <c r="P125" s="14">
        <v>24.700000000000003</v>
      </c>
      <c r="Q125" s="14">
        <v>60.199999999999996</v>
      </c>
      <c r="R125" s="14">
        <v>39.5</v>
      </c>
      <c r="V125" s="30"/>
      <c r="W125" s="8"/>
      <c r="X125" s="8"/>
    </row>
    <row r="126" spans="1:24" x14ac:dyDescent="0.2">
      <c r="A126" s="9">
        <v>39934</v>
      </c>
      <c r="B126">
        <v>2009</v>
      </c>
      <c r="C126">
        <v>5</v>
      </c>
      <c r="D126" s="14">
        <v>12.75483870967742</v>
      </c>
      <c r="E126" s="13">
        <v>225.9</v>
      </c>
      <c r="F126" s="13">
        <v>1.3000000000000007</v>
      </c>
      <c r="G126" s="14">
        <v>168.00000000000003</v>
      </c>
      <c r="H126" s="14">
        <v>5.4000000000000021</v>
      </c>
      <c r="I126" s="14">
        <v>113.30000000000001</v>
      </c>
      <c r="J126" s="14">
        <v>12.700000000000003</v>
      </c>
      <c r="K126" s="14">
        <v>64.599999999999994</v>
      </c>
      <c r="L126" s="14">
        <v>26.000000000000004</v>
      </c>
      <c r="M126" s="14">
        <v>30.300000000000008</v>
      </c>
      <c r="N126" s="14">
        <v>53.7</v>
      </c>
      <c r="O126" s="14">
        <v>7.1000000000000014</v>
      </c>
      <c r="P126" s="14">
        <v>92.499999999999986</v>
      </c>
      <c r="Q126" s="14">
        <v>0</v>
      </c>
      <c r="R126" s="14">
        <v>147.39999999999995</v>
      </c>
      <c r="V126" s="30"/>
      <c r="W126" s="8"/>
      <c r="X126" s="8"/>
    </row>
    <row r="127" spans="1:24" x14ac:dyDescent="0.2">
      <c r="A127" s="9">
        <v>39965</v>
      </c>
      <c r="B127">
        <v>2009</v>
      </c>
      <c r="C127">
        <v>6</v>
      </c>
      <c r="D127" s="14">
        <v>17.443333333333332</v>
      </c>
      <c r="E127" s="13">
        <v>96.300000000000011</v>
      </c>
      <c r="F127" s="13">
        <v>19.599999999999994</v>
      </c>
      <c r="G127" s="14">
        <v>59.2</v>
      </c>
      <c r="H127" s="14">
        <v>42.5</v>
      </c>
      <c r="I127" s="14">
        <v>29.499999999999996</v>
      </c>
      <c r="J127" s="14">
        <v>72.800000000000011</v>
      </c>
      <c r="K127" s="14">
        <v>9.3000000000000007</v>
      </c>
      <c r="L127" s="14">
        <v>112.60000000000002</v>
      </c>
      <c r="M127" s="14">
        <v>0.90000000000000036</v>
      </c>
      <c r="N127" s="14">
        <v>164.20000000000002</v>
      </c>
      <c r="O127" s="14">
        <v>0</v>
      </c>
      <c r="P127" s="14">
        <v>223.3</v>
      </c>
      <c r="Q127" s="14">
        <v>0</v>
      </c>
      <c r="R127" s="14">
        <v>283.29999999999995</v>
      </c>
      <c r="V127" s="30"/>
      <c r="W127" s="8"/>
      <c r="X127" s="8"/>
    </row>
    <row r="128" spans="1:24" x14ac:dyDescent="0.2">
      <c r="A128" s="9">
        <v>39995</v>
      </c>
      <c r="B128">
        <v>2009</v>
      </c>
      <c r="C128">
        <v>7</v>
      </c>
      <c r="D128" s="14">
        <v>19.235483870967741</v>
      </c>
      <c r="E128" s="13">
        <v>40.300000000000004</v>
      </c>
      <c r="F128" s="13">
        <v>16.600000000000001</v>
      </c>
      <c r="G128" s="14">
        <v>9.4999999999999982</v>
      </c>
      <c r="H128" s="14">
        <v>47.8</v>
      </c>
      <c r="I128" s="14">
        <v>9.9999999999999645E-2</v>
      </c>
      <c r="J128" s="14">
        <v>100.39999999999998</v>
      </c>
      <c r="K128" s="14">
        <v>0</v>
      </c>
      <c r="L128" s="14">
        <v>162.30000000000004</v>
      </c>
      <c r="M128" s="14">
        <v>0</v>
      </c>
      <c r="N128" s="14">
        <v>224.3</v>
      </c>
      <c r="O128" s="14">
        <v>0</v>
      </c>
      <c r="P128" s="14">
        <v>286.3</v>
      </c>
      <c r="Q128" s="14">
        <v>0</v>
      </c>
      <c r="R128" s="14">
        <v>348.3</v>
      </c>
      <c r="V128" s="30"/>
      <c r="W128" s="8"/>
      <c r="X128" s="8"/>
    </row>
    <row r="129" spans="1:122" x14ac:dyDescent="0.2">
      <c r="A129" s="9">
        <v>40026</v>
      </c>
      <c r="B129">
        <v>2009</v>
      </c>
      <c r="C129">
        <v>8</v>
      </c>
      <c r="D129" s="14">
        <v>21.296774193548387</v>
      </c>
      <c r="E129" s="13">
        <v>19.299999999999997</v>
      </c>
      <c r="F129" s="13">
        <v>59.500000000000007</v>
      </c>
      <c r="G129" s="14">
        <v>4.7999999999999972</v>
      </c>
      <c r="H129" s="14">
        <v>107</v>
      </c>
      <c r="I129" s="14">
        <v>0</v>
      </c>
      <c r="J129" s="14">
        <v>164.2</v>
      </c>
      <c r="K129" s="14">
        <v>0</v>
      </c>
      <c r="L129" s="14">
        <v>226.19999999999996</v>
      </c>
      <c r="M129" s="14">
        <v>0</v>
      </c>
      <c r="N129" s="14">
        <v>288.2</v>
      </c>
      <c r="O129" s="14">
        <v>0</v>
      </c>
      <c r="P129" s="14">
        <v>350.20000000000005</v>
      </c>
      <c r="Q129" s="14">
        <v>0</v>
      </c>
      <c r="R129" s="14">
        <v>412.20000000000005</v>
      </c>
      <c r="V129" s="30"/>
      <c r="W129" s="8"/>
      <c r="X129" s="8"/>
    </row>
    <row r="130" spans="1:122" x14ac:dyDescent="0.2">
      <c r="A130" s="9">
        <v>40057</v>
      </c>
      <c r="B130">
        <v>2009</v>
      </c>
      <c r="C130">
        <v>9</v>
      </c>
      <c r="D130" s="14">
        <v>17.513333333333332</v>
      </c>
      <c r="E130" s="13">
        <v>81.099999999999994</v>
      </c>
      <c r="F130" s="13">
        <v>6.4999999999999964</v>
      </c>
      <c r="G130" s="14">
        <v>40.499999999999993</v>
      </c>
      <c r="H130" s="14">
        <v>25.9</v>
      </c>
      <c r="I130" s="14">
        <v>17</v>
      </c>
      <c r="J130" s="14">
        <v>62.400000000000006</v>
      </c>
      <c r="K130" s="14">
        <v>5.8000000000000007</v>
      </c>
      <c r="L130" s="14">
        <v>111.20000000000003</v>
      </c>
      <c r="M130" s="14">
        <v>2.4000000000000004</v>
      </c>
      <c r="N130" s="14">
        <v>167.79999999999995</v>
      </c>
      <c r="O130" s="14">
        <v>0.40000000000000036</v>
      </c>
      <c r="P130" s="14">
        <v>225.79999999999995</v>
      </c>
      <c r="Q130" s="14">
        <v>0</v>
      </c>
      <c r="R130" s="14">
        <v>285.39999999999998</v>
      </c>
      <c r="V130" s="30"/>
      <c r="W130" s="8"/>
      <c r="X130" s="8"/>
    </row>
    <row r="131" spans="1:122" x14ac:dyDescent="0.2">
      <c r="A131" s="9">
        <v>40087</v>
      </c>
      <c r="B131">
        <v>2009</v>
      </c>
      <c r="C131">
        <v>10</v>
      </c>
      <c r="D131" s="14">
        <v>9.6516129032258053</v>
      </c>
      <c r="E131" s="13">
        <v>320.80000000000007</v>
      </c>
      <c r="F131" s="13">
        <v>0</v>
      </c>
      <c r="G131" s="14">
        <v>258.79999999999995</v>
      </c>
      <c r="H131" s="14">
        <v>0</v>
      </c>
      <c r="I131" s="14">
        <v>196.79999999999998</v>
      </c>
      <c r="J131" s="14">
        <v>0</v>
      </c>
      <c r="K131" s="14">
        <v>135.69999999999999</v>
      </c>
      <c r="L131" s="14">
        <v>0.89999999999999858</v>
      </c>
      <c r="M131" s="14">
        <v>82.4</v>
      </c>
      <c r="N131" s="14">
        <v>9.5999999999999979</v>
      </c>
      <c r="O131" s="14">
        <v>46.400000000000006</v>
      </c>
      <c r="P131" s="14">
        <v>35.600000000000009</v>
      </c>
      <c r="Q131" s="14">
        <v>25.599999999999998</v>
      </c>
      <c r="R131" s="14">
        <v>76.8</v>
      </c>
      <c r="V131" s="30"/>
      <c r="W131" s="8"/>
      <c r="X131" s="8"/>
    </row>
    <row r="132" spans="1:122" x14ac:dyDescent="0.2">
      <c r="A132" s="9">
        <v>40118</v>
      </c>
      <c r="B132">
        <v>2009</v>
      </c>
      <c r="C132">
        <v>11</v>
      </c>
      <c r="D132" s="14">
        <v>7.1466666666666665</v>
      </c>
      <c r="E132" s="13">
        <v>385.60000000000008</v>
      </c>
      <c r="F132" s="13">
        <v>0</v>
      </c>
      <c r="G132" s="14">
        <v>325.60000000000002</v>
      </c>
      <c r="H132" s="14">
        <v>0</v>
      </c>
      <c r="I132" s="14">
        <v>265.60000000000002</v>
      </c>
      <c r="J132" s="14">
        <v>0</v>
      </c>
      <c r="K132" s="14">
        <v>205.6</v>
      </c>
      <c r="L132" s="14">
        <v>0</v>
      </c>
      <c r="M132" s="14">
        <v>147.1</v>
      </c>
      <c r="N132" s="14">
        <v>1.5</v>
      </c>
      <c r="O132" s="14">
        <v>90.999999999999986</v>
      </c>
      <c r="P132" s="14">
        <v>5.4</v>
      </c>
      <c r="Q132" s="14">
        <v>42</v>
      </c>
      <c r="R132" s="14">
        <v>16.399999999999999</v>
      </c>
      <c r="V132" s="30"/>
      <c r="W132" s="8"/>
      <c r="X132" s="8"/>
    </row>
    <row r="133" spans="1:122" x14ac:dyDescent="0.2">
      <c r="A133" s="9">
        <v>40148</v>
      </c>
      <c r="B133">
        <v>2009</v>
      </c>
      <c r="C133">
        <v>12</v>
      </c>
      <c r="D133" s="14">
        <v>-0.71612903225806457</v>
      </c>
      <c r="E133" s="13">
        <v>642.20000000000005</v>
      </c>
      <c r="F133" s="13">
        <v>0</v>
      </c>
      <c r="G133" s="14">
        <v>580.20000000000016</v>
      </c>
      <c r="H133" s="14">
        <v>0</v>
      </c>
      <c r="I133" s="14">
        <v>518.20000000000016</v>
      </c>
      <c r="J133" s="14">
        <v>0</v>
      </c>
      <c r="K133" s="14">
        <v>456.20000000000016</v>
      </c>
      <c r="L133" s="14">
        <v>0</v>
      </c>
      <c r="M133" s="14">
        <v>394.20000000000005</v>
      </c>
      <c r="N133" s="14">
        <v>0</v>
      </c>
      <c r="O133" s="14">
        <v>332.2000000000001</v>
      </c>
      <c r="P133" s="14">
        <v>0</v>
      </c>
      <c r="Q133" s="14">
        <v>270.50000000000006</v>
      </c>
      <c r="R133" s="14">
        <v>0.30000000000000071</v>
      </c>
      <c r="V133" s="30"/>
      <c r="W133" s="8"/>
      <c r="X133" s="8"/>
    </row>
    <row r="134" spans="1:122" x14ac:dyDescent="0.2">
      <c r="A134" s="9">
        <v>40179</v>
      </c>
      <c r="B134">
        <v>2010</v>
      </c>
      <c r="C134">
        <v>1</v>
      </c>
      <c r="D134" s="14">
        <v>-3.5870967741935478</v>
      </c>
      <c r="E134" s="13">
        <v>731.2</v>
      </c>
      <c r="F134" s="13">
        <v>0</v>
      </c>
      <c r="G134" s="14">
        <v>669.2</v>
      </c>
      <c r="H134" s="14">
        <v>0</v>
      </c>
      <c r="I134" s="14">
        <v>607.20000000000005</v>
      </c>
      <c r="J134" s="14">
        <v>0</v>
      </c>
      <c r="K134" s="14">
        <v>545.20000000000005</v>
      </c>
      <c r="L134" s="14">
        <v>0</v>
      </c>
      <c r="M134" s="14">
        <v>483.20000000000005</v>
      </c>
      <c r="N134" s="14">
        <v>0</v>
      </c>
      <c r="O134" s="14">
        <v>421.2</v>
      </c>
      <c r="P134" s="14">
        <v>0</v>
      </c>
      <c r="Q134" s="14">
        <v>359.19999999999993</v>
      </c>
      <c r="R134" s="14">
        <v>0</v>
      </c>
      <c r="S134" s="30"/>
      <c r="V134" s="30"/>
      <c r="W134" s="8"/>
      <c r="X134" s="8"/>
      <c r="AG134" s="14"/>
      <c r="DP134" s="18"/>
      <c r="DQ134" s="18"/>
      <c r="DR134" s="18"/>
    </row>
    <row r="135" spans="1:122" x14ac:dyDescent="0.2">
      <c r="A135" s="9">
        <v>40210</v>
      </c>
      <c r="B135">
        <v>2010</v>
      </c>
      <c r="C135">
        <v>2</v>
      </c>
      <c r="D135" s="14">
        <v>-2.0214285714285714</v>
      </c>
      <c r="E135" s="13">
        <v>616.6</v>
      </c>
      <c r="F135" s="13">
        <v>0</v>
      </c>
      <c r="G135" s="14">
        <v>560.60000000000014</v>
      </c>
      <c r="H135" s="14">
        <v>0</v>
      </c>
      <c r="I135" s="14">
        <v>504.6</v>
      </c>
      <c r="J135" s="14">
        <v>0</v>
      </c>
      <c r="K135" s="14">
        <v>448.6</v>
      </c>
      <c r="L135" s="14">
        <v>0</v>
      </c>
      <c r="M135" s="14">
        <v>392.59999999999997</v>
      </c>
      <c r="N135" s="14">
        <v>0</v>
      </c>
      <c r="O135" s="14">
        <v>336.6</v>
      </c>
      <c r="P135" s="14">
        <v>0</v>
      </c>
      <c r="Q135" s="14">
        <v>280.59999999999997</v>
      </c>
      <c r="R135" s="14">
        <v>0</v>
      </c>
      <c r="S135" s="30"/>
      <c r="T135" s="30"/>
      <c r="V135" s="30"/>
      <c r="W135" s="8"/>
      <c r="X135" s="8"/>
      <c r="AG135" s="14"/>
      <c r="DP135" s="18"/>
      <c r="DQ135" s="18"/>
      <c r="DR135" s="18"/>
    </row>
    <row r="136" spans="1:122" x14ac:dyDescent="0.2">
      <c r="A136" s="9">
        <v>40238</v>
      </c>
      <c r="B136">
        <v>2010</v>
      </c>
      <c r="C136">
        <v>3</v>
      </c>
      <c r="D136" s="14">
        <v>4.5032258064516126</v>
      </c>
      <c r="E136" s="13">
        <v>480.40000000000003</v>
      </c>
      <c r="F136" s="13">
        <v>0</v>
      </c>
      <c r="G136" s="14">
        <v>418.40000000000009</v>
      </c>
      <c r="H136" s="14">
        <v>0</v>
      </c>
      <c r="I136" s="14">
        <v>356.40000000000009</v>
      </c>
      <c r="J136" s="14">
        <v>0</v>
      </c>
      <c r="K136" s="14">
        <v>294.40000000000003</v>
      </c>
      <c r="L136" s="14">
        <v>0</v>
      </c>
      <c r="M136" s="14">
        <v>232.39999999999995</v>
      </c>
      <c r="N136" s="14">
        <v>0</v>
      </c>
      <c r="O136" s="14">
        <v>172.69999999999996</v>
      </c>
      <c r="P136" s="14">
        <v>2.3000000000000007</v>
      </c>
      <c r="Q136" s="14">
        <v>118.89999999999998</v>
      </c>
      <c r="R136" s="14">
        <v>10.5</v>
      </c>
      <c r="S136" s="30"/>
      <c r="T136" s="30"/>
      <c r="V136" s="30"/>
      <c r="W136" s="8"/>
      <c r="X136" s="8"/>
      <c r="AG136" s="14"/>
      <c r="DP136" s="18"/>
      <c r="DQ136" s="18"/>
      <c r="DR136" s="18"/>
    </row>
    <row r="137" spans="1:122" x14ac:dyDescent="0.2">
      <c r="A137" s="9">
        <v>40269</v>
      </c>
      <c r="B137">
        <v>2010</v>
      </c>
      <c r="C137">
        <v>4</v>
      </c>
      <c r="D137" s="14">
        <v>9.7033333333333349</v>
      </c>
      <c r="E137" s="13">
        <v>308.89999999999998</v>
      </c>
      <c r="F137" s="13">
        <v>0</v>
      </c>
      <c r="G137" s="14">
        <v>248.9</v>
      </c>
      <c r="H137" s="14">
        <v>0</v>
      </c>
      <c r="I137" s="14">
        <v>188.90000000000003</v>
      </c>
      <c r="J137" s="14">
        <v>0</v>
      </c>
      <c r="K137" s="14">
        <v>130.30000000000001</v>
      </c>
      <c r="L137" s="14">
        <v>1.4000000000000004</v>
      </c>
      <c r="M137" s="14">
        <v>78.500000000000014</v>
      </c>
      <c r="N137" s="14">
        <v>9.6</v>
      </c>
      <c r="O137" s="14">
        <v>39.800000000000004</v>
      </c>
      <c r="P137" s="14">
        <v>30.900000000000006</v>
      </c>
      <c r="Q137" s="14">
        <v>11.4</v>
      </c>
      <c r="R137" s="14">
        <v>62.500000000000007</v>
      </c>
      <c r="S137" s="30"/>
      <c r="T137" s="30"/>
      <c r="V137" s="30"/>
      <c r="W137" s="8"/>
      <c r="X137" s="8"/>
      <c r="AG137" s="14"/>
      <c r="DP137" s="18"/>
      <c r="DQ137" s="18"/>
      <c r="DR137" s="18"/>
    </row>
    <row r="138" spans="1:122" x14ac:dyDescent="0.2">
      <c r="A138" s="9">
        <v>40299</v>
      </c>
      <c r="B138">
        <v>2010</v>
      </c>
      <c r="C138">
        <v>5</v>
      </c>
      <c r="D138" s="14">
        <v>14.548387096774196</v>
      </c>
      <c r="E138" s="13">
        <v>178.60000000000002</v>
      </c>
      <c r="F138" s="13">
        <v>9.600000000000005</v>
      </c>
      <c r="G138" s="14">
        <v>131.80000000000001</v>
      </c>
      <c r="H138" s="14">
        <v>24.800000000000004</v>
      </c>
      <c r="I138" s="14">
        <v>91.8</v>
      </c>
      <c r="J138" s="14">
        <v>46.8</v>
      </c>
      <c r="K138" s="14">
        <v>59.900000000000006</v>
      </c>
      <c r="L138" s="14">
        <v>76.900000000000006</v>
      </c>
      <c r="M138" s="14">
        <v>36.5</v>
      </c>
      <c r="N138" s="14">
        <v>115.5</v>
      </c>
      <c r="O138" s="14">
        <v>20</v>
      </c>
      <c r="P138" s="14">
        <v>161</v>
      </c>
      <c r="Q138" s="14">
        <v>6.0000000000000009</v>
      </c>
      <c r="R138" s="14">
        <v>209</v>
      </c>
      <c r="S138" s="30"/>
      <c r="T138" s="30"/>
      <c r="V138" s="30"/>
      <c r="W138" s="8"/>
      <c r="X138" s="8"/>
      <c r="AG138" s="14"/>
      <c r="DP138" s="18"/>
      <c r="DQ138" s="18"/>
      <c r="DR138" s="18"/>
    </row>
    <row r="139" spans="1:122" x14ac:dyDescent="0.2">
      <c r="A139" s="9">
        <v>40330</v>
      </c>
      <c r="B139">
        <v>2010</v>
      </c>
      <c r="C139">
        <v>6</v>
      </c>
      <c r="D139" s="14">
        <v>19.37</v>
      </c>
      <c r="E139" s="13">
        <v>47.6</v>
      </c>
      <c r="F139" s="13">
        <v>28.699999999999996</v>
      </c>
      <c r="G139" s="14">
        <v>20.300000000000004</v>
      </c>
      <c r="H139" s="14">
        <v>61.399999999999991</v>
      </c>
      <c r="I139" s="14">
        <v>3.9000000000000004</v>
      </c>
      <c r="J139" s="14">
        <v>105</v>
      </c>
      <c r="K139" s="14">
        <v>0</v>
      </c>
      <c r="L139" s="14">
        <v>161.1</v>
      </c>
      <c r="M139" s="14">
        <v>0</v>
      </c>
      <c r="N139" s="14">
        <v>221.10000000000002</v>
      </c>
      <c r="O139" s="14">
        <v>0</v>
      </c>
      <c r="P139" s="14">
        <v>281.09999999999997</v>
      </c>
      <c r="Q139" s="14">
        <v>0</v>
      </c>
      <c r="R139" s="14">
        <v>341.09999999999997</v>
      </c>
      <c r="S139" s="30"/>
      <c r="T139" s="30"/>
      <c r="V139" s="30"/>
      <c r="W139" s="8"/>
      <c r="X139" s="8"/>
      <c r="AG139" s="14"/>
      <c r="DP139" s="18"/>
      <c r="DQ139" s="18"/>
      <c r="DR139" s="18"/>
    </row>
    <row r="140" spans="1:122" x14ac:dyDescent="0.2">
      <c r="A140" s="9">
        <v>40360</v>
      </c>
      <c r="B140">
        <v>2010</v>
      </c>
      <c r="C140">
        <v>7</v>
      </c>
      <c r="D140" s="14">
        <v>23.412903225806449</v>
      </c>
      <c r="E140" s="13">
        <v>6.2000000000000028</v>
      </c>
      <c r="F140" s="13">
        <v>112</v>
      </c>
      <c r="G140" s="14">
        <v>0.60000000000000142</v>
      </c>
      <c r="H140" s="14">
        <v>168.40000000000003</v>
      </c>
      <c r="I140" s="14">
        <v>0</v>
      </c>
      <c r="J140" s="14">
        <v>229.8</v>
      </c>
      <c r="K140" s="14">
        <v>0</v>
      </c>
      <c r="L140" s="14">
        <v>291.7999999999999</v>
      </c>
      <c r="M140" s="14">
        <v>0</v>
      </c>
      <c r="N140" s="14">
        <v>353.7999999999999</v>
      </c>
      <c r="O140" s="14">
        <v>0</v>
      </c>
      <c r="P140" s="14">
        <v>415.7999999999999</v>
      </c>
      <c r="Q140" s="14">
        <v>0</v>
      </c>
      <c r="R140" s="14">
        <v>477.7999999999999</v>
      </c>
      <c r="S140" s="30"/>
      <c r="T140" s="30"/>
      <c r="V140" s="30"/>
      <c r="W140" s="8"/>
      <c r="X140" s="8"/>
      <c r="AG140" s="14"/>
      <c r="DP140" s="18"/>
      <c r="DQ140" s="18"/>
      <c r="DR140" s="18"/>
    </row>
    <row r="141" spans="1:122" x14ac:dyDescent="0.2">
      <c r="A141" s="9">
        <v>40391</v>
      </c>
      <c r="B141">
        <v>2010</v>
      </c>
      <c r="C141">
        <v>8</v>
      </c>
      <c r="D141" s="14">
        <v>22.700000000000003</v>
      </c>
      <c r="E141" s="13">
        <v>6.1000000000000014</v>
      </c>
      <c r="F141" s="13">
        <v>89.800000000000011</v>
      </c>
      <c r="G141" s="14">
        <v>0</v>
      </c>
      <c r="H141" s="14">
        <v>145.69999999999996</v>
      </c>
      <c r="I141" s="14">
        <v>0</v>
      </c>
      <c r="J141" s="14">
        <v>207.7</v>
      </c>
      <c r="K141" s="14">
        <v>0</v>
      </c>
      <c r="L141" s="14">
        <v>269.7</v>
      </c>
      <c r="M141" s="14">
        <v>0</v>
      </c>
      <c r="N141" s="14">
        <v>331.7</v>
      </c>
      <c r="O141" s="14">
        <v>0</v>
      </c>
      <c r="P141" s="14">
        <v>393.70000000000005</v>
      </c>
      <c r="Q141" s="14">
        <v>0</v>
      </c>
      <c r="R141" s="14">
        <v>455.7</v>
      </c>
      <c r="S141" s="30"/>
      <c r="T141" s="30"/>
      <c r="V141" s="30"/>
      <c r="W141" s="8"/>
      <c r="X141" s="8"/>
      <c r="AG141" s="14"/>
      <c r="DP141" s="18"/>
      <c r="DQ141" s="18"/>
      <c r="DR141" s="18"/>
    </row>
    <row r="142" spans="1:122" x14ac:dyDescent="0.2">
      <c r="A142" s="9">
        <v>40422</v>
      </c>
      <c r="B142">
        <v>2010</v>
      </c>
      <c r="C142">
        <v>9</v>
      </c>
      <c r="D142" s="14">
        <v>16.953333333333333</v>
      </c>
      <c r="E142" s="13">
        <v>113.9</v>
      </c>
      <c r="F142" s="13">
        <v>22.5</v>
      </c>
      <c r="G142" s="14">
        <v>67.499999999999986</v>
      </c>
      <c r="H142" s="14">
        <v>36.1</v>
      </c>
      <c r="I142" s="14">
        <v>28.200000000000003</v>
      </c>
      <c r="J142" s="14">
        <v>56.8</v>
      </c>
      <c r="K142" s="14">
        <v>5.7999999999999989</v>
      </c>
      <c r="L142" s="14">
        <v>94.4</v>
      </c>
      <c r="M142" s="14">
        <v>9.9999999999999645E-2</v>
      </c>
      <c r="N142" s="14">
        <v>148.70000000000002</v>
      </c>
      <c r="O142" s="14">
        <v>0</v>
      </c>
      <c r="P142" s="14">
        <v>208.60000000000002</v>
      </c>
      <c r="Q142" s="14">
        <v>0</v>
      </c>
      <c r="R142" s="14">
        <v>268.59999999999997</v>
      </c>
      <c r="S142" s="30"/>
      <c r="T142" s="30"/>
      <c r="V142" s="30"/>
      <c r="W142" s="8"/>
      <c r="X142" s="8"/>
      <c r="AG142" s="14"/>
      <c r="DP142" s="18"/>
      <c r="DQ142" s="18"/>
      <c r="DR142" s="18"/>
    </row>
    <row r="143" spans="1:122" x14ac:dyDescent="0.2">
      <c r="A143" s="9">
        <v>40452</v>
      </c>
      <c r="B143">
        <v>2010</v>
      </c>
      <c r="C143">
        <v>10</v>
      </c>
      <c r="D143" s="14">
        <v>11.558064516129031</v>
      </c>
      <c r="E143" s="13">
        <v>261.7</v>
      </c>
      <c r="F143" s="13">
        <v>0</v>
      </c>
      <c r="G143" s="14">
        <v>199.9</v>
      </c>
      <c r="H143" s="14">
        <v>0.19999999999999929</v>
      </c>
      <c r="I143" s="14">
        <v>141.1</v>
      </c>
      <c r="J143" s="14">
        <v>3.4000000000000021</v>
      </c>
      <c r="K143" s="14">
        <v>89.199999999999989</v>
      </c>
      <c r="L143" s="14">
        <v>13.500000000000002</v>
      </c>
      <c r="M143" s="14">
        <v>44.2</v>
      </c>
      <c r="N143" s="14">
        <v>30.5</v>
      </c>
      <c r="O143" s="14">
        <v>16</v>
      </c>
      <c r="P143" s="14">
        <v>64.3</v>
      </c>
      <c r="Q143" s="14">
        <v>5.8999999999999995</v>
      </c>
      <c r="R143" s="14">
        <v>116.20000000000002</v>
      </c>
      <c r="S143" s="30"/>
      <c r="T143" s="30"/>
      <c r="V143" s="30"/>
      <c r="W143" s="8"/>
      <c r="X143" s="8"/>
      <c r="AG143" s="14"/>
      <c r="DP143" s="18"/>
      <c r="DQ143" s="18"/>
      <c r="DR143" s="18"/>
    </row>
    <row r="144" spans="1:122" x14ac:dyDescent="0.2">
      <c r="A144" s="9">
        <v>40483</v>
      </c>
      <c r="B144">
        <v>2010</v>
      </c>
      <c r="C144">
        <v>11</v>
      </c>
      <c r="D144" s="14">
        <v>5.2633333333333336</v>
      </c>
      <c r="E144" s="13">
        <v>442.09999999999997</v>
      </c>
      <c r="F144" s="13">
        <v>0</v>
      </c>
      <c r="G144" s="14">
        <v>382.09999999999997</v>
      </c>
      <c r="H144" s="14">
        <v>0</v>
      </c>
      <c r="I144" s="14">
        <v>322.09999999999997</v>
      </c>
      <c r="J144" s="14">
        <v>0</v>
      </c>
      <c r="K144" s="14">
        <v>262.10000000000002</v>
      </c>
      <c r="L144" s="14">
        <v>0</v>
      </c>
      <c r="M144" s="14">
        <v>202.7</v>
      </c>
      <c r="N144" s="14">
        <v>0.59999999999999964</v>
      </c>
      <c r="O144" s="14">
        <v>144.99999999999997</v>
      </c>
      <c r="P144" s="14">
        <v>2.9000000000000004</v>
      </c>
      <c r="Q144" s="14">
        <v>91</v>
      </c>
      <c r="R144" s="14">
        <v>8.9</v>
      </c>
      <c r="S144" s="30"/>
      <c r="T144" s="30"/>
      <c r="V144" s="30"/>
      <c r="W144" s="8"/>
      <c r="X144" s="8"/>
      <c r="AG144" s="14"/>
      <c r="DP144" s="18"/>
      <c r="DQ144" s="18"/>
      <c r="DR144" s="18"/>
    </row>
    <row r="145" spans="1:122" x14ac:dyDescent="0.2">
      <c r="A145" s="9">
        <v>40513</v>
      </c>
      <c r="B145">
        <v>2010</v>
      </c>
      <c r="C145">
        <v>12</v>
      </c>
      <c r="D145" s="14">
        <v>-2.4387096774193551</v>
      </c>
      <c r="E145" s="13">
        <v>695.6</v>
      </c>
      <c r="F145" s="13">
        <v>0</v>
      </c>
      <c r="G145" s="14">
        <v>633.6</v>
      </c>
      <c r="H145" s="14">
        <v>0</v>
      </c>
      <c r="I145" s="14">
        <v>571.6</v>
      </c>
      <c r="J145" s="14">
        <v>0</v>
      </c>
      <c r="K145" s="14">
        <v>509.6</v>
      </c>
      <c r="L145" s="14">
        <v>0</v>
      </c>
      <c r="M145" s="14">
        <v>447.59999999999997</v>
      </c>
      <c r="N145" s="14">
        <v>0</v>
      </c>
      <c r="O145" s="14">
        <v>385.59999999999997</v>
      </c>
      <c r="P145" s="14">
        <v>0</v>
      </c>
      <c r="Q145" s="14">
        <v>323.89999999999998</v>
      </c>
      <c r="R145" s="14">
        <v>0.30000000000000071</v>
      </c>
      <c r="S145" s="30"/>
      <c r="T145" s="30"/>
      <c r="V145" s="30"/>
      <c r="W145" s="8"/>
      <c r="X145" s="8"/>
      <c r="AG145" s="14"/>
      <c r="DP145" s="18"/>
      <c r="DQ145" s="18"/>
      <c r="DR145" s="18"/>
    </row>
    <row r="146" spans="1:122" x14ac:dyDescent="0.2">
      <c r="A146" s="9">
        <v>40544</v>
      </c>
      <c r="B146">
        <v>2011</v>
      </c>
      <c r="C146">
        <v>1</v>
      </c>
      <c r="D146" s="14">
        <v>-5.4419354838709673</v>
      </c>
      <c r="E146" s="13">
        <v>788.69999999999993</v>
      </c>
      <c r="F146" s="13">
        <v>0</v>
      </c>
      <c r="G146" s="14">
        <v>726.69999999999993</v>
      </c>
      <c r="H146" s="14">
        <v>0</v>
      </c>
      <c r="I146" s="14">
        <v>664.69999999999993</v>
      </c>
      <c r="J146" s="14">
        <v>0</v>
      </c>
      <c r="K146" s="14">
        <v>602.69999999999993</v>
      </c>
      <c r="L146" s="14">
        <v>0</v>
      </c>
      <c r="M146" s="14">
        <v>540.69999999999993</v>
      </c>
      <c r="N146" s="14">
        <v>0</v>
      </c>
      <c r="O146" s="14">
        <v>478.69999999999993</v>
      </c>
      <c r="P146" s="14">
        <v>0</v>
      </c>
      <c r="Q146" s="14">
        <v>416.69999999999993</v>
      </c>
      <c r="R146" s="14">
        <v>0</v>
      </c>
      <c r="S146" s="30"/>
      <c r="T146" s="30"/>
      <c r="V146" s="30"/>
      <c r="W146" s="8"/>
      <c r="X146" s="8"/>
      <c r="AG146" s="14"/>
      <c r="DP146" s="18"/>
      <c r="DQ146" s="18"/>
      <c r="DR146" s="18"/>
    </row>
    <row r="147" spans="1:122" x14ac:dyDescent="0.2">
      <c r="A147" s="9">
        <v>40575</v>
      </c>
      <c r="B147">
        <v>2011</v>
      </c>
      <c r="C147">
        <v>2</v>
      </c>
      <c r="D147" s="14">
        <v>-3.6142857142857139</v>
      </c>
      <c r="E147" s="13">
        <v>661.20000000000016</v>
      </c>
      <c r="F147" s="13">
        <v>0</v>
      </c>
      <c r="G147" s="14">
        <v>605.20000000000016</v>
      </c>
      <c r="H147" s="14">
        <v>0</v>
      </c>
      <c r="I147" s="14">
        <v>549.20000000000016</v>
      </c>
      <c r="J147" s="14">
        <v>0</v>
      </c>
      <c r="K147" s="14">
        <v>493.20000000000005</v>
      </c>
      <c r="L147" s="14">
        <v>0</v>
      </c>
      <c r="M147" s="14">
        <v>437.20000000000005</v>
      </c>
      <c r="N147" s="14">
        <v>0</v>
      </c>
      <c r="O147" s="14">
        <v>381.20000000000005</v>
      </c>
      <c r="P147" s="14">
        <v>0</v>
      </c>
      <c r="Q147" s="14">
        <v>325.20000000000005</v>
      </c>
      <c r="R147" s="14">
        <v>0</v>
      </c>
      <c r="S147" s="30"/>
      <c r="T147" s="30"/>
      <c r="V147" s="30"/>
      <c r="W147" s="8"/>
      <c r="X147" s="8"/>
      <c r="AG147" s="14"/>
      <c r="DP147" s="18"/>
      <c r="DQ147" s="18"/>
      <c r="DR147" s="18"/>
    </row>
    <row r="148" spans="1:122" x14ac:dyDescent="0.2">
      <c r="A148" s="9">
        <v>40603</v>
      </c>
      <c r="B148">
        <v>2011</v>
      </c>
      <c r="C148">
        <v>3</v>
      </c>
      <c r="D148" s="14">
        <v>0.40322580645161288</v>
      </c>
      <c r="E148" s="13">
        <v>607.50000000000011</v>
      </c>
      <c r="F148" s="13">
        <v>0</v>
      </c>
      <c r="G148" s="14">
        <v>545.50000000000011</v>
      </c>
      <c r="H148" s="14">
        <v>0</v>
      </c>
      <c r="I148" s="14">
        <v>483.50000000000006</v>
      </c>
      <c r="J148" s="14">
        <v>0</v>
      </c>
      <c r="K148" s="14">
        <v>421.50000000000006</v>
      </c>
      <c r="L148" s="14">
        <v>0</v>
      </c>
      <c r="M148" s="14">
        <v>359.50000000000006</v>
      </c>
      <c r="N148" s="14">
        <v>0</v>
      </c>
      <c r="O148" s="14">
        <v>297.50000000000006</v>
      </c>
      <c r="P148" s="14">
        <v>0</v>
      </c>
      <c r="Q148" s="14">
        <v>237.79999999999993</v>
      </c>
      <c r="R148" s="14">
        <v>2.2999999999999989</v>
      </c>
      <c r="S148" s="30"/>
      <c r="T148" s="30"/>
      <c r="V148" s="30"/>
      <c r="W148" s="8"/>
      <c r="X148" s="8"/>
      <c r="AG148" s="14"/>
      <c r="DP148" s="18"/>
      <c r="DQ148" s="18"/>
      <c r="DR148" s="18"/>
    </row>
    <row r="149" spans="1:122" x14ac:dyDescent="0.2">
      <c r="A149" s="9">
        <v>40634</v>
      </c>
      <c r="B149">
        <v>2011</v>
      </c>
      <c r="C149">
        <v>4</v>
      </c>
      <c r="D149" s="14">
        <v>6.1433333333333335</v>
      </c>
      <c r="E149" s="13">
        <v>415.70000000000005</v>
      </c>
      <c r="F149" s="13">
        <v>0</v>
      </c>
      <c r="G149" s="14">
        <v>355.7</v>
      </c>
      <c r="H149" s="14">
        <v>0</v>
      </c>
      <c r="I149" s="14">
        <v>295.7</v>
      </c>
      <c r="J149" s="14">
        <v>0</v>
      </c>
      <c r="K149" s="14">
        <v>235.69999999999996</v>
      </c>
      <c r="L149" s="14">
        <v>0</v>
      </c>
      <c r="M149" s="14">
        <v>177.5</v>
      </c>
      <c r="N149" s="14">
        <v>1.8000000000000007</v>
      </c>
      <c r="O149" s="14">
        <v>125.80000000000001</v>
      </c>
      <c r="P149" s="14">
        <v>10.100000000000001</v>
      </c>
      <c r="Q149" s="14">
        <v>75.8</v>
      </c>
      <c r="R149" s="14">
        <v>20.100000000000001</v>
      </c>
      <c r="S149" s="30"/>
      <c r="T149" s="30"/>
      <c r="V149" s="30"/>
      <c r="W149" s="8"/>
      <c r="X149" s="8"/>
      <c r="AG149" s="14"/>
      <c r="DP149" s="18"/>
      <c r="DQ149" s="18"/>
      <c r="DR149" s="18"/>
    </row>
    <row r="150" spans="1:122" x14ac:dyDescent="0.2">
      <c r="A150" s="9">
        <v>40664</v>
      </c>
      <c r="B150">
        <v>2011</v>
      </c>
      <c r="C150">
        <v>5</v>
      </c>
      <c r="D150" s="14">
        <v>11.96774193548387</v>
      </c>
      <c r="E150" s="13">
        <v>251.70000000000002</v>
      </c>
      <c r="F150" s="13">
        <v>2.6999999999999993</v>
      </c>
      <c r="G150" s="14">
        <v>191.7</v>
      </c>
      <c r="H150" s="14">
        <v>4.6999999999999993</v>
      </c>
      <c r="I150" s="14">
        <v>134.79999999999998</v>
      </c>
      <c r="J150" s="14">
        <v>9.8000000000000007</v>
      </c>
      <c r="K150" s="14">
        <v>85.7</v>
      </c>
      <c r="L150" s="14">
        <v>22.700000000000003</v>
      </c>
      <c r="M150" s="14">
        <v>42.399999999999991</v>
      </c>
      <c r="N150" s="14">
        <v>41.399999999999991</v>
      </c>
      <c r="O150" s="14">
        <v>12.799999999999999</v>
      </c>
      <c r="P150" s="14">
        <v>73.8</v>
      </c>
      <c r="Q150" s="14">
        <v>3.3</v>
      </c>
      <c r="R150" s="14">
        <v>126.30000000000001</v>
      </c>
      <c r="S150" s="30"/>
      <c r="T150" s="30"/>
      <c r="V150" s="30"/>
      <c r="W150" s="8"/>
      <c r="X150" s="8"/>
      <c r="AG150" s="14"/>
      <c r="DP150" s="18"/>
      <c r="DQ150" s="18"/>
      <c r="DR150" s="18"/>
    </row>
    <row r="151" spans="1:122" x14ac:dyDescent="0.2">
      <c r="A151" s="9">
        <v>40695</v>
      </c>
      <c r="B151">
        <v>2011</v>
      </c>
      <c r="C151">
        <v>6</v>
      </c>
      <c r="D151" s="14">
        <v>18.653333333333332</v>
      </c>
      <c r="E151" s="13">
        <v>53.199999999999989</v>
      </c>
      <c r="F151" s="13">
        <v>12.799999999999997</v>
      </c>
      <c r="G151" s="14">
        <v>22.4</v>
      </c>
      <c r="H151" s="14">
        <v>42</v>
      </c>
      <c r="I151" s="14">
        <v>6.8000000000000025</v>
      </c>
      <c r="J151" s="14">
        <v>86.4</v>
      </c>
      <c r="K151" s="14">
        <v>0.30000000000000071</v>
      </c>
      <c r="L151" s="14">
        <v>139.9</v>
      </c>
      <c r="M151" s="14">
        <v>0</v>
      </c>
      <c r="N151" s="14">
        <v>199.60000000000002</v>
      </c>
      <c r="O151" s="14">
        <v>0</v>
      </c>
      <c r="P151" s="14">
        <v>259.60000000000002</v>
      </c>
      <c r="Q151" s="14">
        <v>0</v>
      </c>
      <c r="R151" s="14">
        <v>319.60000000000002</v>
      </c>
      <c r="S151" s="30"/>
      <c r="T151" s="30"/>
      <c r="V151" s="30"/>
      <c r="W151" s="8"/>
      <c r="X151" s="8"/>
      <c r="AG151" s="14"/>
      <c r="DP151" s="18"/>
      <c r="DQ151" s="18"/>
      <c r="DR151" s="18"/>
    </row>
    <row r="152" spans="1:122" x14ac:dyDescent="0.2">
      <c r="A152" s="9">
        <v>40725</v>
      </c>
      <c r="B152">
        <v>2011</v>
      </c>
      <c r="C152">
        <v>7</v>
      </c>
      <c r="D152" s="14">
        <v>24.125806451612902</v>
      </c>
      <c r="E152" s="13">
        <v>2.5999999999999979</v>
      </c>
      <c r="F152" s="13">
        <v>130.49999999999997</v>
      </c>
      <c r="G152" s="14">
        <v>0</v>
      </c>
      <c r="H152" s="14">
        <v>189.90000000000003</v>
      </c>
      <c r="I152" s="14">
        <v>0</v>
      </c>
      <c r="J152" s="14">
        <v>251.9</v>
      </c>
      <c r="K152" s="14">
        <v>0</v>
      </c>
      <c r="L152" s="14">
        <v>313.90000000000003</v>
      </c>
      <c r="M152" s="14">
        <v>0</v>
      </c>
      <c r="N152" s="14">
        <v>375.90000000000003</v>
      </c>
      <c r="O152" s="14">
        <v>0</v>
      </c>
      <c r="P152" s="14">
        <v>437.90000000000003</v>
      </c>
      <c r="Q152" s="14">
        <v>0</v>
      </c>
      <c r="R152" s="14">
        <v>499.90000000000003</v>
      </c>
      <c r="S152" s="30"/>
      <c r="T152" s="30"/>
      <c r="V152" s="30"/>
      <c r="W152" s="8"/>
      <c r="X152" s="8"/>
      <c r="AG152" s="14"/>
      <c r="DP152" s="18"/>
      <c r="DQ152" s="18"/>
      <c r="DR152" s="18"/>
    </row>
    <row r="153" spans="1:122" x14ac:dyDescent="0.2">
      <c r="A153" s="9">
        <v>40756</v>
      </c>
      <c r="B153">
        <v>2011</v>
      </c>
      <c r="C153">
        <v>8</v>
      </c>
      <c r="D153" s="14">
        <v>21.819354838709678</v>
      </c>
      <c r="E153" s="13">
        <v>7.0999999999999979</v>
      </c>
      <c r="F153" s="13">
        <v>63.5</v>
      </c>
      <c r="G153" s="14">
        <v>0</v>
      </c>
      <c r="H153" s="14">
        <v>118.4</v>
      </c>
      <c r="I153" s="14">
        <v>0</v>
      </c>
      <c r="J153" s="14">
        <v>180.40000000000003</v>
      </c>
      <c r="K153" s="14">
        <v>0</v>
      </c>
      <c r="L153" s="14">
        <v>242.40000000000003</v>
      </c>
      <c r="M153" s="14">
        <v>0</v>
      </c>
      <c r="N153" s="14">
        <v>304.39999999999998</v>
      </c>
      <c r="O153" s="14">
        <v>0</v>
      </c>
      <c r="P153" s="14">
        <v>366.40000000000003</v>
      </c>
      <c r="Q153" s="14">
        <v>0</v>
      </c>
      <c r="R153" s="14">
        <v>428.4</v>
      </c>
      <c r="S153" s="30"/>
      <c r="T153" s="30"/>
      <c r="V153" s="30"/>
      <c r="W153" s="8"/>
      <c r="X153" s="8"/>
      <c r="AG153" s="14"/>
      <c r="DP153" s="18"/>
      <c r="DQ153" s="18"/>
      <c r="DR153" s="18"/>
    </row>
    <row r="154" spans="1:122" x14ac:dyDescent="0.2">
      <c r="A154" s="9">
        <v>40787</v>
      </c>
      <c r="B154">
        <v>2011</v>
      </c>
      <c r="C154">
        <v>9</v>
      </c>
      <c r="D154" s="14">
        <v>17.616666666666667</v>
      </c>
      <c r="E154" s="13">
        <v>83.1</v>
      </c>
      <c r="F154" s="13">
        <v>11.600000000000001</v>
      </c>
      <c r="G154" s="14">
        <v>41.600000000000016</v>
      </c>
      <c r="H154" s="14">
        <v>30.1</v>
      </c>
      <c r="I154" s="14">
        <v>16.5</v>
      </c>
      <c r="J154" s="14">
        <v>65</v>
      </c>
      <c r="K154" s="14">
        <v>5.6999999999999993</v>
      </c>
      <c r="L154" s="14">
        <v>114.19999999999996</v>
      </c>
      <c r="M154" s="14">
        <v>0.40000000000000036</v>
      </c>
      <c r="N154" s="14">
        <v>168.9</v>
      </c>
      <c r="O154" s="14">
        <v>0</v>
      </c>
      <c r="P154" s="14">
        <v>228.5</v>
      </c>
      <c r="Q154" s="14">
        <v>0</v>
      </c>
      <c r="R154" s="14">
        <v>288.5</v>
      </c>
      <c r="S154" s="30"/>
      <c r="T154" s="30"/>
      <c r="V154" s="30"/>
      <c r="W154" s="8"/>
      <c r="X154" s="8"/>
      <c r="AG154" s="14"/>
      <c r="DP154" s="18"/>
      <c r="DQ154" s="18"/>
      <c r="DR154" s="18"/>
    </row>
    <row r="155" spans="1:122" x14ac:dyDescent="0.2">
      <c r="A155" s="9">
        <v>40817</v>
      </c>
      <c r="B155">
        <v>2011</v>
      </c>
      <c r="C155">
        <v>10</v>
      </c>
      <c r="D155" s="14">
        <v>11.587096774193549</v>
      </c>
      <c r="E155" s="13">
        <v>261.7</v>
      </c>
      <c r="F155" s="13">
        <v>0.89999999999999858</v>
      </c>
      <c r="G155" s="14">
        <v>203.49999999999997</v>
      </c>
      <c r="H155" s="14">
        <v>4.6999999999999993</v>
      </c>
      <c r="I155" s="14">
        <v>148.4</v>
      </c>
      <c r="J155" s="14">
        <v>11.599999999999998</v>
      </c>
      <c r="K155" s="14">
        <v>102.2</v>
      </c>
      <c r="L155" s="14">
        <v>27.4</v>
      </c>
      <c r="M155" s="14">
        <v>61.1</v>
      </c>
      <c r="N155" s="14">
        <v>48.300000000000004</v>
      </c>
      <c r="O155" s="14">
        <v>30.6</v>
      </c>
      <c r="P155" s="14">
        <v>79.800000000000011</v>
      </c>
      <c r="Q155" s="14">
        <v>13.2</v>
      </c>
      <c r="R155" s="14">
        <v>124.40000000000002</v>
      </c>
      <c r="S155" s="30"/>
      <c r="T155" s="30"/>
      <c r="V155" s="30"/>
      <c r="W155" s="8"/>
      <c r="X155" s="8"/>
      <c r="AG155" s="14"/>
      <c r="DP155" s="18"/>
      <c r="DQ155" s="18"/>
      <c r="DR155" s="18"/>
    </row>
    <row r="156" spans="1:122" x14ac:dyDescent="0.2">
      <c r="A156" s="9">
        <v>40848</v>
      </c>
      <c r="B156">
        <v>2011</v>
      </c>
      <c r="C156">
        <v>11</v>
      </c>
      <c r="D156" s="14">
        <v>8.0533333333333328</v>
      </c>
      <c r="E156" s="13">
        <v>358.40000000000003</v>
      </c>
      <c r="F156" s="13">
        <v>0</v>
      </c>
      <c r="G156" s="14">
        <v>298.39999999999998</v>
      </c>
      <c r="H156" s="14">
        <v>0</v>
      </c>
      <c r="I156" s="14">
        <v>238.39999999999998</v>
      </c>
      <c r="J156" s="14">
        <v>0</v>
      </c>
      <c r="K156" s="14">
        <v>179.4</v>
      </c>
      <c r="L156" s="14">
        <v>0.99999999999999822</v>
      </c>
      <c r="M156" s="14">
        <v>127.09999999999998</v>
      </c>
      <c r="N156" s="14">
        <v>8.6999999999999975</v>
      </c>
      <c r="O156" s="14">
        <v>81.999999999999986</v>
      </c>
      <c r="P156" s="14">
        <v>23.599999999999998</v>
      </c>
      <c r="Q156" s="14">
        <v>49.999999999999993</v>
      </c>
      <c r="R156" s="14">
        <v>51.599999999999994</v>
      </c>
      <c r="S156" s="30"/>
      <c r="T156" s="30"/>
      <c r="V156" s="30"/>
      <c r="W156" s="8"/>
      <c r="X156" s="8"/>
      <c r="AG156" s="14"/>
      <c r="DP156" s="18"/>
      <c r="DQ156" s="18"/>
      <c r="DR156" s="18"/>
    </row>
    <row r="157" spans="1:122" x14ac:dyDescent="0.2">
      <c r="A157" s="9">
        <v>40878</v>
      </c>
      <c r="B157">
        <v>2011</v>
      </c>
      <c r="C157">
        <v>12</v>
      </c>
      <c r="D157" s="14">
        <v>2.4741935483870963</v>
      </c>
      <c r="E157" s="13">
        <v>543.29999999999995</v>
      </c>
      <c r="F157" s="13">
        <v>0</v>
      </c>
      <c r="G157" s="14">
        <v>481.2999999999999</v>
      </c>
      <c r="H157" s="14">
        <v>0</v>
      </c>
      <c r="I157" s="14">
        <v>419.29999999999995</v>
      </c>
      <c r="J157" s="14">
        <v>0</v>
      </c>
      <c r="K157" s="14">
        <v>357.29999999999995</v>
      </c>
      <c r="L157" s="14">
        <v>0</v>
      </c>
      <c r="M157" s="14">
        <v>295.3</v>
      </c>
      <c r="N157" s="14">
        <v>0</v>
      </c>
      <c r="O157" s="14">
        <v>233.4</v>
      </c>
      <c r="P157" s="14">
        <v>9.9999999999999645E-2</v>
      </c>
      <c r="Q157" s="14">
        <v>173.9</v>
      </c>
      <c r="R157" s="14">
        <v>2.5999999999999996</v>
      </c>
      <c r="S157" s="30"/>
      <c r="T157" s="30"/>
      <c r="V157" s="30"/>
      <c r="W157" s="8"/>
      <c r="X157" s="8"/>
      <c r="AG157" s="14"/>
      <c r="DP157" s="18"/>
      <c r="DQ157" s="18"/>
      <c r="DR157" s="18"/>
    </row>
    <row r="158" spans="1:122" x14ac:dyDescent="0.2">
      <c r="A158" s="9">
        <v>40909</v>
      </c>
      <c r="B158">
        <v>2012</v>
      </c>
      <c r="C158">
        <v>1</v>
      </c>
      <c r="D158" s="14">
        <v>-0.34516129032258075</v>
      </c>
      <c r="E158" s="13">
        <v>630.70000000000005</v>
      </c>
      <c r="F158" s="13">
        <v>0</v>
      </c>
      <c r="G158" s="14">
        <v>568.69999999999982</v>
      </c>
      <c r="H158" s="14">
        <v>0</v>
      </c>
      <c r="I158" s="14">
        <v>506.70000000000005</v>
      </c>
      <c r="J158" s="14">
        <v>0</v>
      </c>
      <c r="K158" s="14">
        <v>444.70000000000005</v>
      </c>
      <c r="L158" s="14">
        <v>0</v>
      </c>
      <c r="M158" s="14">
        <v>382.7000000000001</v>
      </c>
      <c r="N158" s="14">
        <v>0</v>
      </c>
      <c r="O158" s="14">
        <v>320.70000000000005</v>
      </c>
      <c r="P158" s="14">
        <v>0</v>
      </c>
      <c r="Q158" s="14">
        <v>258.7</v>
      </c>
      <c r="R158" s="14">
        <v>0</v>
      </c>
      <c r="S158" s="30"/>
      <c r="T158" s="30"/>
      <c r="V158" s="30"/>
      <c r="W158" s="8"/>
      <c r="X158" s="8"/>
      <c r="AG158" s="14"/>
      <c r="DP158" s="18"/>
      <c r="DQ158" s="18"/>
      <c r="DR158" s="18"/>
    </row>
    <row r="159" spans="1:122" x14ac:dyDescent="0.2">
      <c r="A159" s="9">
        <v>40940</v>
      </c>
      <c r="B159">
        <v>2012</v>
      </c>
      <c r="C159">
        <v>2</v>
      </c>
      <c r="D159" s="14">
        <v>0.84827586206896544</v>
      </c>
      <c r="E159" s="13">
        <v>555.39999999999986</v>
      </c>
      <c r="F159" s="13">
        <v>0</v>
      </c>
      <c r="G159" s="14">
        <v>497.39999999999992</v>
      </c>
      <c r="H159" s="14">
        <v>0</v>
      </c>
      <c r="I159" s="14">
        <v>439.4</v>
      </c>
      <c r="J159" s="14">
        <v>0</v>
      </c>
      <c r="K159" s="14">
        <v>381.4</v>
      </c>
      <c r="L159" s="14">
        <v>0</v>
      </c>
      <c r="M159" s="14">
        <v>323.39999999999998</v>
      </c>
      <c r="N159" s="14">
        <v>0</v>
      </c>
      <c r="O159" s="14">
        <v>265.40000000000003</v>
      </c>
      <c r="P159" s="14">
        <v>0</v>
      </c>
      <c r="Q159" s="14">
        <v>207.40000000000006</v>
      </c>
      <c r="R159" s="14">
        <v>0</v>
      </c>
      <c r="S159" s="30"/>
      <c r="T159" s="30"/>
      <c r="V159" s="30"/>
      <c r="W159" s="8"/>
      <c r="X159" s="8"/>
      <c r="AG159" s="14"/>
      <c r="DP159" s="18"/>
      <c r="DQ159" s="18"/>
      <c r="DR159" s="18"/>
    </row>
    <row r="160" spans="1:122" x14ac:dyDescent="0.2">
      <c r="A160" s="9">
        <v>40969</v>
      </c>
      <c r="B160">
        <v>2012</v>
      </c>
      <c r="C160">
        <v>3</v>
      </c>
      <c r="D160" s="14">
        <v>6.112903225806452</v>
      </c>
      <c r="E160" s="13">
        <v>430.49999999999994</v>
      </c>
      <c r="F160" s="13">
        <v>0</v>
      </c>
      <c r="G160" s="14">
        <v>368.49999999999994</v>
      </c>
      <c r="H160" s="14">
        <v>0</v>
      </c>
      <c r="I160" s="14">
        <v>306.5</v>
      </c>
      <c r="J160" s="14">
        <v>0</v>
      </c>
      <c r="K160" s="14">
        <v>244.8</v>
      </c>
      <c r="L160" s="14">
        <v>0.30000000000000071</v>
      </c>
      <c r="M160" s="14">
        <v>184.89999999999998</v>
      </c>
      <c r="N160" s="14">
        <v>2.4000000000000004</v>
      </c>
      <c r="O160" s="14">
        <v>132.9</v>
      </c>
      <c r="P160" s="14">
        <v>12.4</v>
      </c>
      <c r="Q160" s="14">
        <v>93.1</v>
      </c>
      <c r="R160" s="14">
        <v>34.6</v>
      </c>
      <c r="S160" s="30"/>
      <c r="T160" s="30"/>
      <c r="V160" s="30"/>
      <c r="W160" s="8"/>
      <c r="X160" s="8"/>
      <c r="AG160" s="14"/>
      <c r="DP160" s="18"/>
      <c r="DQ160" s="18"/>
      <c r="DR160" s="18"/>
    </row>
    <row r="161" spans="1:122" x14ac:dyDescent="0.2">
      <c r="A161" s="9">
        <v>41000</v>
      </c>
      <c r="B161">
        <v>2012</v>
      </c>
      <c r="C161">
        <v>4</v>
      </c>
      <c r="D161" s="14">
        <v>7.86</v>
      </c>
      <c r="E161" s="13">
        <v>364.2</v>
      </c>
      <c r="F161" s="13">
        <v>0</v>
      </c>
      <c r="G161" s="14">
        <v>304.2</v>
      </c>
      <c r="H161" s="14">
        <v>0</v>
      </c>
      <c r="I161" s="14">
        <v>244.20000000000002</v>
      </c>
      <c r="J161" s="14">
        <v>0</v>
      </c>
      <c r="K161" s="14">
        <v>186.6</v>
      </c>
      <c r="L161" s="14">
        <v>2.4000000000000004</v>
      </c>
      <c r="M161" s="14">
        <v>134.19999999999999</v>
      </c>
      <c r="N161" s="14">
        <v>10</v>
      </c>
      <c r="O161" s="14">
        <v>83.5</v>
      </c>
      <c r="P161" s="14">
        <v>19.3</v>
      </c>
      <c r="Q161" s="14">
        <v>38</v>
      </c>
      <c r="R161" s="14">
        <v>33.799999999999997</v>
      </c>
      <c r="S161" s="30"/>
      <c r="T161" s="30"/>
      <c r="V161" s="30"/>
      <c r="W161" s="8"/>
      <c r="X161" s="8"/>
      <c r="AG161" s="14"/>
      <c r="DP161" s="18"/>
      <c r="DQ161" s="18"/>
      <c r="DR161" s="18"/>
    </row>
    <row r="162" spans="1:122" x14ac:dyDescent="0.2">
      <c r="A162" s="9">
        <v>41030</v>
      </c>
      <c r="B162">
        <v>2012</v>
      </c>
      <c r="C162">
        <v>5</v>
      </c>
      <c r="D162" s="14">
        <v>15.490322580645163</v>
      </c>
      <c r="E162" s="13">
        <v>152.00000000000003</v>
      </c>
      <c r="F162" s="13">
        <v>12.2</v>
      </c>
      <c r="G162" s="14">
        <v>100.99999999999999</v>
      </c>
      <c r="H162" s="14">
        <v>23.2</v>
      </c>
      <c r="I162" s="14">
        <v>62</v>
      </c>
      <c r="J162" s="14">
        <v>46.2</v>
      </c>
      <c r="K162" s="14">
        <v>31.1</v>
      </c>
      <c r="L162" s="14">
        <v>77.3</v>
      </c>
      <c r="M162" s="14">
        <v>11.399999999999997</v>
      </c>
      <c r="N162" s="14">
        <v>119.6</v>
      </c>
      <c r="O162" s="14">
        <v>1.8999999999999986</v>
      </c>
      <c r="P162" s="14">
        <v>172.10000000000002</v>
      </c>
      <c r="Q162" s="14">
        <v>0</v>
      </c>
      <c r="R162" s="14">
        <v>232.2</v>
      </c>
      <c r="S162" s="30"/>
      <c r="T162" s="30"/>
      <c r="V162" s="30"/>
      <c r="W162" s="8"/>
      <c r="X162" s="8"/>
      <c r="AG162" s="14"/>
      <c r="DP162" s="18"/>
      <c r="DQ162" s="18"/>
      <c r="DR162" s="18"/>
    </row>
    <row r="163" spans="1:122" x14ac:dyDescent="0.2">
      <c r="A163" s="9">
        <v>41061</v>
      </c>
      <c r="B163">
        <v>2012</v>
      </c>
      <c r="C163">
        <v>6</v>
      </c>
      <c r="D163" s="14">
        <v>20.633333333333333</v>
      </c>
      <c r="E163" s="13">
        <v>44.199999999999996</v>
      </c>
      <c r="F163" s="13">
        <v>63.20000000000001</v>
      </c>
      <c r="G163" s="14">
        <v>22.7</v>
      </c>
      <c r="H163" s="14">
        <v>101.69999999999999</v>
      </c>
      <c r="I163" s="14">
        <v>8</v>
      </c>
      <c r="J163" s="14">
        <v>147</v>
      </c>
      <c r="K163" s="14">
        <v>1.0999999999999996</v>
      </c>
      <c r="L163" s="14">
        <v>200.09999999999997</v>
      </c>
      <c r="M163" s="14">
        <v>0</v>
      </c>
      <c r="N163" s="14">
        <v>259</v>
      </c>
      <c r="O163" s="14">
        <v>0</v>
      </c>
      <c r="P163" s="14">
        <v>319</v>
      </c>
      <c r="Q163" s="14">
        <v>0</v>
      </c>
      <c r="R163" s="14">
        <v>379</v>
      </c>
      <c r="S163" s="30"/>
      <c r="T163" s="30"/>
      <c r="V163" s="30"/>
      <c r="W163" s="8"/>
      <c r="X163" s="8"/>
      <c r="AG163" s="14"/>
      <c r="DP163" s="18"/>
      <c r="DQ163" s="18"/>
      <c r="DR163" s="18"/>
    </row>
    <row r="164" spans="1:122" x14ac:dyDescent="0.2">
      <c r="A164" s="9">
        <v>41091</v>
      </c>
      <c r="B164">
        <v>2012</v>
      </c>
      <c r="C164">
        <v>7</v>
      </c>
      <c r="D164" s="14">
        <v>24.2258064516129</v>
      </c>
      <c r="E164" s="13">
        <v>0</v>
      </c>
      <c r="F164" s="13">
        <v>131</v>
      </c>
      <c r="G164" s="14">
        <v>0</v>
      </c>
      <c r="H164" s="14">
        <v>193</v>
      </c>
      <c r="I164" s="14">
        <v>0</v>
      </c>
      <c r="J164" s="14">
        <v>255</v>
      </c>
      <c r="K164" s="14">
        <v>0</v>
      </c>
      <c r="L164" s="14">
        <v>317</v>
      </c>
      <c r="M164" s="14">
        <v>0</v>
      </c>
      <c r="N164" s="14">
        <v>379</v>
      </c>
      <c r="O164" s="14">
        <v>0</v>
      </c>
      <c r="P164" s="14">
        <v>441</v>
      </c>
      <c r="Q164" s="14">
        <v>0</v>
      </c>
      <c r="R164" s="14">
        <v>503</v>
      </c>
      <c r="S164" s="30"/>
      <c r="T164" s="30"/>
      <c r="V164" s="30"/>
      <c r="W164" s="8"/>
      <c r="X164" s="8"/>
      <c r="AG164" s="14"/>
      <c r="DP164" s="18"/>
      <c r="DQ164" s="18"/>
      <c r="DR164" s="18"/>
    </row>
    <row r="165" spans="1:122" x14ac:dyDescent="0.2">
      <c r="A165" s="9">
        <v>41122</v>
      </c>
      <c r="B165">
        <v>2012</v>
      </c>
      <c r="C165">
        <v>8</v>
      </c>
      <c r="D165" s="14">
        <v>22.219354838709677</v>
      </c>
      <c r="E165" s="13">
        <v>2.7000000000000028</v>
      </c>
      <c r="F165" s="13">
        <v>71.5</v>
      </c>
      <c r="G165" s="14">
        <v>0</v>
      </c>
      <c r="H165" s="14">
        <v>130.80000000000001</v>
      </c>
      <c r="I165" s="14">
        <v>0</v>
      </c>
      <c r="J165" s="14">
        <v>192.8</v>
      </c>
      <c r="K165" s="14">
        <v>0</v>
      </c>
      <c r="L165" s="14">
        <v>254.8</v>
      </c>
      <c r="M165" s="14">
        <v>0</v>
      </c>
      <c r="N165" s="14">
        <v>316.8</v>
      </c>
      <c r="O165" s="14">
        <v>0</v>
      </c>
      <c r="P165" s="14">
        <v>378.8</v>
      </c>
      <c r="Q165" s="14">
        <v>0</v>
      </c>
      <c r="R165" s="14">
        <v>440.80000000000007</v>
      </c>
      <c r="S165" s="30"/>
      <c r="T165" s="30"/>
      <c r="V165" s="30"/>
      <c r="W165" s="8"/>
      <c r="X165" s="8"/>
      <c r="AG165" s="14"/>
      <c r="DP165" s="18"/>
      <c r="DQ165" s="18"/>
      <c r="DR165" s="18"/>
    </row>
    <row r="166" spans="1:122" x14ac:dyDescent="0.2">
      <c r="A166" s="9">
        <v>41153</v>
      </c>
      <c r="B166">
        <v>2012</v>
      </c>
      <c r="C166">
        <v>9</v>
      </c>
      <c r="D166" s="14">
        <v>17.386666666666663</v>
      </c>
      <c r="E166" s="13">
        <v>97.299999999999983</v>
      </c>
      <c r="F166" s="13">
        <v>18.900000000000002</v>
      </c>
      <c r="G166" s="14">
        <v>58.400000000000006</v>
      </c>
      <c r="H166" s="14">
        <v>40</v>
      </c>
      <c r="I166" s="14">
        <v>28.299999999999997</v>
      </c>
      <c r="J166" s="14">
        <v>69.900000000000006</v>
      </c>
      <c r="K166" s="14">
        <v>11.3</v>
      </c>
      <c r="L166" s="14">
        <v>112.89999999999999</v>
      </c>
      <c r="M166" s="14">
        <v>0.90000000000000036</v>
      </c>
      <c r="N166" s="14">
        <v>162.5</v>
      </c>
      <c r="O166" s="14">
        <v>0</v>
      </c>
      <c r="P166" s="14">
        <v>221.6</v>
      </c>
      <c r="Q166" s="14">
        <v>0</v>
      </c>
      <c r="R166" s="14">
        <v>281.59999999999997</v>
      </c>
      <c r="S166" s="30"/>
      <c r="T166" s="30"/>
      <c r="V166" s="30"/>
      <c r="W166" s="8"/>
      <c r="X166" s="8"/>
      <c r="AG166" s="14"/>
      <c r="DP166" s="18"/>
      <c r="DQ166" s="18"/>
      <c r="DR166" s="18"/>
    </row>
    <row r="167" spans="1:122" x14ac:dyDescent="0.2">
      <c r="A167" s="9">
        <v>41183</v>
      </c>
      <c r="B167">
        <v>2012</v>
      </c>
      <c r="C167">
        <v>10</v>
      </c>
      <c r="D167" s="14">
        <v>10.816129032258065</v>
      </c>
      <c r="E167" s="13">
        <v>284.69999999999993</v>
      </c>
      <c r="F167" s="13">
        <v>0</v>
      </c>
      <c r="G167" s="14">
        <v>223.20000000000002</v>
      </c>
      <c r="H167" s="14">
        <v>0.5</v>
      </c>
      <c r="I167" s="14">
        <v>164.50000000000003</v>
      </c>
      <c r="J167" s="14">
        <v>3.8000000000000007</v>
      </c>
      <c r="K167" s="14">
        <v>110.60000000000001</v>
      </c>
      <c r="L167" s="14">
        <v>11.9</v>
      </c>
      <c r="M167" s="14">
        <v>66.599999999999994</v>
      </c>
      <c r="N167" s="14">
        <v>29.900000000000006</v>
      </c>
      <c r="O167" s="14">
        <v>29.7</v>
      </c>
      <c r="P167" s="14">
        <v>55</v>
      </c>
      <c r="Q167" s="14">
        <v>9.1999999999999993</v>
      </c>
      <c r="R167" s="14">
        <v>96.5</v>
      </c>
      <c r="S167" s="30"/>
      <c r="T167" s="30"/>
      <c r="V167" s="30"/>
      <c r="W167" s="8"/>
      <c r="X167" s="8"/>
      <c r="AG167" s="14"/>
      <c r="DP167" s="18"/>
      <c r="DQ167" s="18"/>
      <c r="DR167" s="18"/>
    </row>
    <row r="168" spans="1:122" x14ac:dyDescent="0.2">
      <c r="A168" s="9">
        <v>41214</v>
      </c>
      <c r="B168">
        <v>2012</v>
      </c>
      <c r="C168">
        <v>11</v>
      </c>
      <c r="D168" s="14">
        <v>4.8366666666666669</v>
      </c>
      <c r="E168" s="13">
        <v>454.90000000000003</v>
      </c>
      <c r="F168" s="13">
        <v>0</v>
      </c>
      <c r="G168" s="14">
        <v>394.9</v>
      </c>
      <c r="H168" s="14">
        <v>0</v>
      </c>
      <c r="I168" s="14">
        <v>334.90000000000003</v>
      </c>
      <c r="J168" s="14">
        <v>0</v>
      </c>
      <c r="K168" s="14">
        <v>274.90000000000009</v>
      </c>
      <c r="L168" s="14">
        <v>0</v>
      </c>
      <c r="M168" s="14">
        <v>216.80000000000004</v>
      </c>
      <c r="N168" s="14">
        <v>1.9000000000000004</v>
      </c>
      <c r="O168" s="14">
        <v>161</v>
      </c>
      <c r="P168" s="14">
        <v>6.1</v>
      </c>
      <c r="Q168" s="14">
        <v>107</v>
      </c>
      <c r="R168" s="14">
        <v>12.1</v>
      </c>
      <c r="S168" s="30"/>
      <c r="T168" s="30"/>
      <c r="V168" s="30"/>
      <c r="W168" s="8"/>
      <c r="X168" s="8"/>
      <c r="AG168" s="14"/>
      <c r="DP168" s="18"/>
      <c r="DQ168" s="18"/>
      <c r="DR168" s="18"/>
    </row>
    <row r="169" spans="1:122" x14ac:dyDescent="0.2">
      <c r="A169" s="9">
        <v>41244</v>
      </c>
      <c r="B169">
        <v>2012</v>
      </c>
      <c r="C169">
        <v>12</v>
      </c>
      <c r="D169" s="14">
        <v>2.5354838709677421</v>
      </c>
      <c r="E169" s="13">
        <v>541.40000000000009</v>
      </c>
      <c r="F169" s="13">
        <v>0</v>
      </c>
      <c r="G169" s="14">
        <v>479.4</v>
      </c>
      <c r="H169" s="14">
        <v>0</v>
      </c>
      <c r="I169" s="14">
        <v>417.40000000000003</v>
      </c>
      <c r="J169" s="14">
        <v>0</v>
      </c>
      <c r="K169" s="14">
        <v>355.4</v>
      </c>
      <c r="L169" s="14">
        <v>0</v>
      </c>
      <c r="M169" s="14">
        <v>293.39999999999998</v>
      </c>
      <c r="N169" s="14">
        <v>0</v>
      </c>
      <c r="O169" s="14">
        <v>233.29999999999998</v>
      </c>
      <c r="P169" s="14">
        <v>1.9000000000000004</v>
      </c>
      <c r="Q169" s="14">
        <v>173.79999999999998</v>
      </c>
      <c r="R169" s="14">
        <v>4.4000000000000004</v>
      </c>
      <c r="S169" s="30"/>
      <c r="T169" s="30"/>
      <c r="V169" s="30"/>
      <c r="W169" s="8"/>
      <c r="X169" s="8"/>
      <c r="AG169" s="14"/>
      <c r="DP169" s="18"/>
      <c r="DQ169" s="18"/>
      <c r="DR169" s="18"/>
    </row>
    <row r="170" spans="1:122" x14ac:dyDescent="0.2">
      <c r="A170" s="9">
        <v>41275</v>
      </c>
      <c r="B170">
        <v>2013</v>
      </c>
      <c r="C170">
        <v>1</v>
      </c>
      <c r="D170" s="14">
        <v>-0.74838709677419368</v>
      </c>
      <c r="E170" s="13">
        <v>643.20000000000005</v>
      </c>
      <c r="F170" s="13">
        <v>0</v>
      </c>
      <c r="G170" s="14">
        <v>581.20000000000005</v>
      </c>
      <c r="H170" s="14">
        <v>0</v>
      </c>
      <c r="I170" s="14">
        <v>519.20000000000005</v>
      </c>
      <c r="J170" s="14">
        <v>0</v>
      </c>
      <c r="K170" s="14">
        <v>457.2</v>
      </c>
      <c r="L170" s="14">
        <v>0</v>
      </c>
      <c r="M170" s="14">
        <v>395.20000000000005</v>
      </c>
      <c r="N170" s="14">
        <v>0</v>
      </c>
      <c r="O170" s="14">
        <v>334.3</v>
      </c>
      <c r="P170" s="14">
        <v>1.0999999999999996</v>
      </c>
      <c r="Q170" s="14">
        <v>277.60000000000002</v>
      </c>
      <c r="R170" s="14">
        <v>6.4</v>
      </c>
      <c r="S170" s="30"/>
      <c r="T170" s="30"/>
      <c r="V170" s="30"/>
      <c r="W170" s="8"/>
      <c r="X170" s="8"/>
      <c r="AG170" s="14"/>
      <c r="DP170" s="18"/>
      <c r="DQ170" s="18"/>
      <c r="DR170" s="18"/>
    </row>
    <row r="171" spans="1:122" x14ac:dyDescent="0.2">
      <c r="A171" s="9">
        <v>41306</v>
      </c>
      <c r="B171">
        <v>2013</v>
      </c>
      <c r="C171">
        <v>2</v>
      </c>
      <c r="D171" s="14">
        <v>-2.9821428571428572</v>
      </c>
      <c r="E171" s="13">
        <v>643.49999999999989</v>
      </c>
      <c r="F171" s="13">
        <v>0</v>
      </c>
      <c r="G171" s="14">
        <v>587.49999999999989</v>
      </c>
      <c r="H171" s="14">
        <v>0</v>
      </c>
      <c r="I171" s="14">
        <v>531.5</v>
      </c>
      <c r="J171" s="14">
        <v>0</v>
      </c>
      <c r="K171" s="14">
        <v>475.5</v>
      </c>
      <c r="L171" s="14">
        <v>0</v>
      </c>
      <c r="M171" s="14">
        <v>419.5</v>
      </c>
      <c r="N171" s="14">
        <v>0</v>
      </c>
      <c r="O171" s="14">
        <v>363.5</v>
      </c>
      <c r="P171" s="14">
        <v>0</v>
      </c>
      <c r="Q171" s="14">
        <v>307.50000000000006</v>
      </c>
      <c r="R171" s="14">
        <v>0</v>
      </c>
      <c r="S171" s="30"/>
      <c r="T171" s="30"/>
      <c r="V171" s="30"/>
      <c r="W171" s="8"/>
      <c r="X171" s="8"/>
      <c r="AG171" s="14"/>
      <c r="DP171" s="18"/>
      <c r="DQ171" s="18"/>
      <c r="DR171" s="18"/>
    </row>
    <row r="172" spans="1:122" x14ac:dyDescent="0.2">
      <c r="A172" s="9">
        <v>41334</v>
      </c>
      <c r="B172">
        <v>2013</v>
      </c>
      <c r="C172">
        <v>3</v>
      </c>
      <c r="D172" s="14">
        <v>1.1193548387096774</v>
      </c>
      <c r="E172" s="13">
        <v>585.30000000000007</v>
      </c>
      <c r="F172" s="13">
        <v>0</v>
      </c>
      <c r="G172" s="14">
        <v>523.30000000000007</v>
      </c>
      <c r="H172" s="14">
        <v>0</v>
      </c>
      <c r="I172" s="14">
        <v>461.30000000000007</v>
      </c>
      <c r="J172" s="14">
        <v>0</v>
      </c>
      <c r="K172" s="14">
        <v>399.30000000000007</v>
      </c>
      <c r="L172" s="14">
        <v>0</v>
      </c>
      <c r="M172" s="14">
        <v>337.3</v>
      </c>
      <c r="N172" s="14">
        <v>0</v>
      </c>
      <c r="O172" s="14">
        <v>275.29999999999995</v>
      </c>
      <c r="P172" s="14">
        <v>0</v>
      </c>
      <c r="Q172" s="14">
        <v>214.7</v>
      </c>
      <c r="R172" s="14">
        <v>1.4000000000000004</v>
      </c>
      <c r="S172" s="30"/>
      <c r="T172" s="30"/>
      <c r="V172" s="30"/>
      <c r="W172" s="8"/>
      <c r="X172" s="8"/>
      <c r="AG172" s="14"/>
      <c r="DP172" s="18"/>
      <c r="DQ172" s="18"/>
      <c r="DR172" s="18"/>
    </row>
    <row r="173" spans="1:122" x14ac:dyDescent="0.2">
      <c r="A173" s="9">
        <v>41365</v>
      </c>
      <c r="B173">
        <v>2013</v>
      </c>
      <c r="C173">
        <v>4</v>
      </c>
      <c r="D173" s="14">
        <v>6.0466666666666669</v>
      </c>
      <c r="E173" s="13">
        <v>418.59999999999985</v>
      </c>
      <c r="F173" s="13">
        <v>0</v>
      </c>
      <c r="G173" s="14">
        <v>358.59999999999985</v>
      </c>
      <c r="H173" s="14">
        <v>0</v>
      </c>
      <c r="I173" s="14">
        <v>298.59999999999991</v>
      </c>
      <c r="J173" s="14">
        <v>0</v>
      </c>
      <c r="K173" s="14">
        <v>240.19999999999993</v>
      </c>
      <c r="L173" s="14">
        <v>1.5999999999999996</v>
      </c>
      <c r="M173" s="14">
        <v>182.99999999999997</v>
      </c>
      <c r="N173" s="14">
        <v>4.4000000000000004</v>
      </c>
      <c r="O173" s="14">
        <v>129.40000000000003</v>
      </c>
      <c r="P173" s="14">
        <v>10.8</v>
      </c>
      <c r="Q173" s="14">
        <v>84.200000000000017</v>
      </c>
      <c r="R173" s="14">
        <v>25.600000000000005</v>
      </c>
      <c r="S173" s="30"/>
      <c r="T173" s="30"/>
      <c r="V173" s="30"/>
      <c r="W173" s="8"/>
      <c r="X173" s="8"/>
      <c r="AG173" s="14"/>
      <c r="DP173" s="18"/>
      <c r="DQ173" s="18"/>
      <c r="DR173" s="18"/>
    </row>
    <row r="174" spans="1:122" x14ac:dyDescent="0.2">
      <c r="A174" s="9">
        <v>41395</v>
      </c>
      <c r="B174">
        <v>2013</v>
      </c>
      <c r="C174">
        <v>5</v>
      </c>
      <c r="D174" s="14">
        <v>13.312903225806453</v>
      </c>
      <c r="E174" s="13">
        <v>216.00000000000003</v>
      </c>
      <c r="F174" s="13">
        <v>8.6999999999999993</v>
      </c>
      <c r="G174" s="14">
        <v>161.5</v>
      </c>
      <c r="H174" s="14">
        <v>16.2</v>
      </c>
      <c r="I174" s="14">
        <v>109.9</v>
      </c>
      <c r="J174" s="14">
        <v>26.599999999999998</v>
      </c>
      <c r="K174" s="14">
        <v>64.599999999999994</v>
      </c>
      <c r="L174" s="14">
        <v>43.3</v>
      </c>
      <c r="M174" s="14">
        <v>28.200000000000003</v>
      </c>
      <c r="N174" s="14">
        <v>68.899999999999991</v>
      </c>
      <c r="O174" s="14">
        <v>10.700000000000001</v>
      </c>
      <c r="P174" s="14">
        <v>113.39999999999999</v>
      </c>
      <c r="Q174" s="14">
        <v>3.5</v>
      </c>
      <c r="R174" s="14">
        <v>168.2</v>
      </c>
      <c r="S174" s="30"/>
      <c r="T174" s="30"/>
      <c r="V174" s="30"/>
      <c r="W174" s="8"/>
      <c r="X174" s="8"/>
      <c r="AG174" s="14"/>
      <c r="DP174" s="18"/>
      <c r="DQ174" s="18"/>
      <c r="DR174" s="18"/>
    </row>
    <row r="175" spans="1:122" x14ac:dyDescent="0.2">
      <c r="A175" s="9">
        <v>41426</v>
      </c>
      <c r="B175">
        <v>2013</v>
      </c>
      <c r="C175">
        <v>6</v>
      </c>
      <c r="D175" s="14">
        <v>18.400000000000002</v>
      </c>
      <c r="E175" s="13">
        <v>79.400000000000006</v>
      </c>
      <c r="F175" s="13">
        <v>31.400000000000002</v>
      </c>
      <c r="G175" s="14">
        <v>43.599999999999994</v>
      </c>
      <c r="H175" s="14">
        <v>55.6</v>
      </c>
      <c r="I175" s="14">
        <v>17.8</v>
      </c>
      <c r="J175" s="14">
        <v>89.800000000000011</v>
      </c>
      <c r="K175" s="14">
        <v>5.5999999999999979</v>
      </c>
      <c r="L175" s="14">
        <v>137.6</v>
      </c>
      <c r="M175" s="14">
        <v>9.9999999999999645E-2</v>
      </c>
      <c r="N175" s="14">
        <v>192.10000000000002</v>
      </c>
      <c r="O175" s="14">
        <v>0</v>
      </c>
      <c r="P175" s="14">
        <v>252.00000000000003</v>
      </c>
      <c r="Q175" s="14">
        <v>0</v>
      </c>
      <c r="R175" s="14">
        <v>312</v>
      </c>
      <c r="S175" s="30"/>
      <c r="T175" s="30"/>
      <c r="V175" s="30"/>
      <c r="W175" s="8"/>
      <c r="X175" s="8"/>
      <c r="AG175" s="14"/>
      <c r="DP175" s="18"/>
      <c r="DQ175" s="18"/>
      <c r="DR175" s="18"/>
    </row>
    <row r="176" spans="1:122" x14ac:dyDescent="0.2">
      <c r="A176" s="9">
        <v>41456</v>
      </c>
      <c r="B176">
        <v>2013</v>
      </c>
      <c r="C176">
        <v>7</v>
      </c>
      <c r="D176" s="14">
        <v>22.22258064516129</v>
      </c>
      <c r="E176" s="13">
        <v>14.5</v>
      </c>
      <c r="F176" s="13">
        <v>83.399999999999977</v>
      </c>
      <c r="G176" s="14">
        <v>0.69999999999999929</v>
      </c>
      <c r="H176" s="14">
        <v>131.6</v>
      </c>
      <c r="I176" s="14">
        <v>0</v>
      </c>
      <c r="J176" s="14">
        <v>192.90000000000003</v>
      </c>
      <c r="K176" s="14">
        <v>0</v>
      </c>
      <c r="L176" s="14">
        <v>254.90000000000003</v>
      </c>
      <c r="M176" s="14">
        <v>0</v>
      </c>
      <c r="N176" s="14">
        <v>316.89999999999998</v>
      </c>
      <c r="O176" s="14">
        <v>0</v>
      </c>
      <c r="P176" s="14">
        <v>378.9</v>
      </c>
      <c r="Q176" s="14">
        <v>0</v>
      </c>
      <c r="R176" s="14">
        <v>440.9</v>
      </c>
      <c r="S176" s="30"/>
      <c r="T176" s="30"/>
      <c r="V176" s="30"/>
      <c r="W176" s="8"/>
      <c r="X176" s="8"/>
      <c r="AG176" s="14"/>
      <c r="DP176" s="18"/>
      <c r="DQ176" s="18"/>
      <c r="DR176" s="18"/>
    </row>
    <row r="177" spans="1:125" x14ac:dyDescent="0.2">
      <c r="A177" s="9">
        <v>41487</v>
      </c>
      <c r="B177">
        <v>2013</v>
      </c>
      <c r="C177">
        <v>8</v>
      </c>
      <c r="D177" s="14">
        <v>20.870967741935488</v>
      </c>
      <c r="E177" s="13">
        <v>16.699999999999996</v>
      </c>
      <c r="F177" s="13">
        <v>43.7</v>
      </c>
      <c r="G177" s="14">
        <v>2.5999999999999979</v>
      </c>
      <c r="H177" s="14">
        <v>91.600000000000009</v>
      </c>
      <c r="I177" s="14">
        <v>0</v>
      </c>
      <c r="J177" s="14">
        <v>151</v>
      </c>
      <c r="K177" s="14">
        <v>0</v>
      </c>
      <c r="L177" s="14">
        <v>213</v>
      </c>
      <c r="M177" s="14">
        <v>0</v>
      </c>
      <c r="N177" s="14">
        <v>275</v>
      </c>
      <c r="O177" s="14">
        <v>0</v>
      </c>
      <c r="P177" s="14">
        <v>336.99999999999994</v>
      </c>
      <c r="Q177" s="14">
        <v>0</v>
      </c>
      <c r="R177" s="14">
        <v>399</v>
      </c>
      <c r="S177" s="30"/>
      <c r="T177" s="30"/>
      <c r="V177" s="30"/>
      <c r="W177" s="8"/>
      <c r="X177" s="8"/>
      <c r="AG177" s="14"/>
      <c r="DP177" s="18"/>
      <c r="DQ177" s="18"/>
      <c r="DR177" s="18"/>
    </row>
    <row r="178" spans="1:125" x14ac:dyDescent="0.2">
      <c r="A178" s="9">
        <v>41518</v>
      </c>
      <c r="B178">
        <v>2013</v>
      </c>
      <c r="C178">
        <v>9</v>
      </c>
      <c r="D178" s="14">
        <v>16.766666666666669</v>
      </c>
      <c r="E178" s="13">
        <v>110.80000000000001</v>
      </c>
      <c r="F178" s="13">
        <v>13.799999999999997</v>
      </c>
      <c r="G178" s="14">
        <v>67</v>
      </c>
      <c r="H178" s="14">
        <v>29.999999999999996</v>
      </c>
      <c r="I178" s="14">
        <v>34.1</v>
      </c>
      <c r="J178" s="14">
        <v>57.099999999999994</v>
      </c>
      <c r="K178" s="14">
        <v>12.4</v>
      </c>
      <c r="L178" s="14">
        <v>95.4</v>
      </c>
      <c r="M178" s="14">
        <v>1.9000000000000004</v>
      </c>
      <c r="N178" s="14">
        <v>144.9</v>
      </c>
      <c r="O178" s="14">
        <v>0</v>
      </c>
      <c r="P178" s="14">
        <v>203</v>
      </c>
      <c r="Q178" s="14">
        <v>0</v>
      </c>
      <c r="R178" s="14">
        <v>263</v>
      </c>
      <c r="S178" s="30"/>
      <c r="T178" s="30"/>
      <c r="V178" s="30"/>
      <c r="W178" s="8"/>
      <c r="X178" s="8"/>
      <c r="AG178" s="14"/>
      <c r="DP178" s="18"/>
      <c r="DQ178" s="18"/>
      <c r="DR178" s="18"/>
    </row>
    <row r="179" spans="1:125" x14ac:dyDescent="0.2">
      <c r="A179" s="9">
        <v>41548</v>
      </c>
      <c r="B179">
        <v>2013</v>
      </c>
      <c r="C179">
        <v>10</v>
      </c>
      <c r="D179" s="14">
        <v>11.85483870967742</v>
      </c>
      <c r="E179" s="13">
        <v>252.5</v>
      </c>
      <c r="F179" s="13">
        <v>0</v>
      </c>
      <c r="G179" s="14">
        <v>193.6</v>
      </c>
      <c r="H179" s="14">
        <v>3.0999999999999979</v>
      </c>
      <c r="I179" s="14">
        <v>138.20000000000002</v>
      </c>
      <c r="J179" s="14">
        <v>9.6999999999999993</v>
      </c>
      <c r="K179" s="14">
        <v>93.100000000000009</v>
      </c>
      <c r="L179" s="14">
        <v>26.6</v>
      </c>
      <c r="M179" s="14">
        <v>62.400000000000006</v>
      </c>
      <c r="N179" s="14">
        <v>57.90000000000002</v>
      </c>
      <c r="O179" s="14">
        <v>40.400000000000006</v>
      </c>
      <c r="P179" s="14">
        <v>97.899999999999991</v>
      </c>
      <c r="Q179" s="14">
        <v>21.7</v>
      </c>
      <c r="R179" s="14">
        <v>141.19999999999999</v>
      </c>
      <c r="S179" s="30"/>
      <c r="T179" s="30"/>
      <c r="V179" s="30"/>
      <c r="W179" s="8"/>
      <c r="X179" s="8"/>
      <c r="AG179" s="14"/>
      <c r="DP179" s="18"/>
      <c r="DQ179" s="18"/>
      <c r="DR179" s="18"/>
    </row>
    <row r="180" spans="1:125" x14ac:dyDescent="0.2">
      <c r="A180" s="9">
        <v>41579</v>
      </c>
      <c r="B180">
        <v>2013</v>
      </c>
      <c r="C180">
        <v>11</v>
      </c>
      <c r="D180" s="14">
        <v>3.776666666666666</v>
      </c>
      <c r="E180" s="13">
        <v>486.7</v>
      </c>
      <c r="F180" s="13">
        <v>0</v>
      </c>
      <c r="G180" s="14">
        <v>426.7</v>
      </c>
      <c r="H180" s="14">
        <v>0</v>
      </c>
      <c r="I180" s="14">
        <v>366.69999999999993</v>
      </c>
      <c r="J180" s="14">
        <v>0</v>
      </c>
      <c r="K180" s="14">
        <v>306.7</v>
      </c>
      <c r="L180" s="14">
        <v>0</v>
      </c>
      <c r="M180" s="14">
        <v>249.59999999999997</v>
      </c>
      <c r="N180" s="14">
        <v>2.9000000000000004</v>
      </c>
      <c r="O180" s="14">
        <v>195.59999999999994</v>
      </c>
      <c r="P180" s="14">
        <v>8.9</v>
      </c>
      <c r="Q180" s="14">
        <v>144.99999999999997</v>
      </c>
      <c r="R180" s="14">
        <v>18.3</v>
      </c>
      <c r="S180" s="30"/>
      <c r="T180" s="30"/>
      <c r="V180" s="30"/>
      <c r="W180" s="8"/>
      <c r="X180" s="8"/>
      <c r="AG180" s="14"/>
      <c r="DP180" s="18"/>
      <c r="DQ180" s="18"/>
      <c r="DR180" s="18"/>
    </row>
    <row r="181" spans="1:125" x14ac:dyDescent="0.2">
      <c r="A181" s="9">
        <v>41609</v>
      </c>
      <c r="B181">
        <v>2013</v>
      </c>
      <c r="C181">
        <v>12</v>
      </c>
      <c r="D181" s="14">
        <v>-2.1290322580645156</v>
      </c>
      <c r="E181" s="13">
        <v>685.99999999999989</v>
      </c>
      <c r="F181" s="13">
        <v>0</v>
      </c>
      <c r="G181" s="14">
        <v>624</v>
      </c>
      <c r="H181" s="14">
        <v>0</v>
      </c>
      <c r="I181" s="14">
        <v>562</v>
      </c>
      <c r="J181" s="14">
        <v>0</v>
      </c>
      <c r="K181" s="14">
        <v>500.00000000000006</v>
      </c>
      <c r="L181" s="14">
        <v>0</v>
      </c>
      <c r="M181" s="14">
        <v>438.00000000000006</v>
      </c>
      <c r="N181" s="14">
        <v>0</v>
      </c>
      <c r="O181" s="14">
        <v>376</v>
      </c>
      <c r="P181" s="14">
        <v>0</v>
      </c>
      <c r="Q181" s="14">
        <v>314.00000000000006</v>
      </c>
      <c r="R181" s="14">
        <v>0</v>
      </c>
      <c r="S181" s="30"/>
      <c r="T181" s="30"/>
      <c r="V181" s="30"/>
      <c r="W181" s="8"/>
      <c r="X181" s="8"/>
      <c r="AG181" s="14"/>
      <c r="DP181" s="18"/>
      <c r="DQ181" s="18"/>
      <c r="DR181" s="18"/>
    </row>
    <row r="182" spans="1:125" x14ac:dyDescent="0.2">
      <c r="A182" s="9">
        <v>41640</v>
      </c>
      <c r="B182">
        <v>2014</v>
      </c>
      <c r="C182">
        <v>1</v>
      </c>
      <c r="D182" s="14">
        <v>-6.9064516129032256</v>
      </c>
      <c r="E182" s="13">
        <v>834.1</v>
      </c>
      <c r="F182" s="13">
        <v>0</v>
      </c>
      <c r="G182" s="14">
        <v>772.1</v>
      </c>
      <c r="H182" s="14">
        <v>0</v>
      </c>
      <c r="I182" s="14">
        <v>710.09999999999991</v>
      </c>
      <c r="J182" s="14">
        <v>0</v>
      </c>
      <c r="K182" s="14">
        <v>648.1</v>
      </c>
      <c r="L182" s="14">
        <v>0</v>
      </c>
      <c r="M182" s="14">
        <v>586.09999999999991</v>
      </c>
      <c r="N182" s="14">
        <v>0</v>
      </c>
      <c r="O182" s="14">
        <v>524.09999999999991</v>
      </c>
      <c r="P182" s="14">
        <v>0</v>
      </c>
      <c r="Q182" s="14">
        <v>462.09999999999997</v>
      </c>
      <c r="R182" s="14">
        <v>0</v>
      </c>
      <c r="S182" s="30"/>
      <c r="T182" s="30"/>
      <c r="V182" s="30"/>
      <c r="W182" s="8"/>
      <c r="X182" s="8"/>
      <c r="AG182" s="14"/>
      <c r="DP182" s="18"/>
      <c r="DQ182" s="18"/>
      <c r="DR182" s="18"/>
      <c r="DS182" s="18"/>
      <c r="DT182" s="18"/>
      <c r="DU182" s="18"/>
    </row>
    <row r="183" spans="1:125" x14ac:dyDescent="0.2">
      <c r="A183" s="9">
        <v>41671</v>
      </c>
      <c r="B183">
        <v>2014</v>
      </c>
      <c r="C183">
        <v>2</v>
      </c>
      <c r="D183" s="14">
        <v>-6.8785714285714272</v>
      </c>
      <c r="E183" s="13">
        <v>752.6</v>
      </c>
      <c r="F183" s="13">
        <v>0</v>
      </c>
      <c r="G183" s="14">
        <v>696.60000000000014</v>
      </c>
      <c r="H183" s="14">
        <v>0</v>
      </c>
      <c r="I183" s="14">
        <v>640.60000000000014</v>
      </c>
      <c r="J183" s="14">
        <v>0</v>
      </c>
      <c r="K183" s="14">
        <v>584.60000000000014</v>
      </c>
      <c r="L183" s="14">
        <v>0</v>
      </c>
      <c r="M183" s="14">
        <v>528.60000000000014</v>
      </c>
      <c r="N183" s="14">
        <v>0</v>
      </c>
      <c r="O183" s="14">
        <v>472.60000000000008</v>
      </c>
      <c r="P183" s="14">
        <v>0</v>
      </c>
      <c r="Q183" s="14">
        <v>416.6</v>
      </c>
      <c r="R183" s="14">
        <v>0</v>
      </c>
      <c r="S183" s="30"/>
      <c r="T183" s="30"/>
      <c r="V183" s="30"/>
      <c r="W183" s="8"/>
      <c r="X183" s="8"/>
      <c r="AG183" s="14"/>
      <c r="DP183" s="18"/>
      <c r="DQ183" s="18"/>
      <c r="DR183" s="18"/>
      <c r="DS183" s="18"/>
      <c r="DT183" s="18"/>
      <c r="DU183" s="18"/>
    </row>
    <row r="184" spans="1:125" x14ac:dyDescent="0.2">
      <c r="A184" s="9">
        <v>41699</v>
      </c>
      <c r="B184">
        <v>2014</v>
      </c>
      <c r="C184">
        <v>3</v>
      </c>
      <c r="D184" s="14">
        <v>-2.9806451612903229</v>
      </c>
      <c r="E184" s="13">
        <v>712.39999999999986</v>
      </c>
      <c r="F184" s="13">
        <v>0</v>
      </c>
      <c r="G184" s="14">
        <v>650.4</v>
      </c>
      <c r="H184" s="14">
        <v>0</v>
      </c>
      <c r="I184" s="14">
        <v>588.4</v>
      </c>
      <c r="J184" s="14">
        <v>0</v>
      </c>
      <c r="K184" s="14">
        <v>526.39999999999986</v>
      </c>
      <c r="L184" s="14">
        <v>0</v>
      </c>
      <c r="M184" s="14">
        <v>464.4</v>
      </c>
      <c r="N184" s="14">
        <v>0</v>
      </c>
      <c r="O184" s="14">
        <v>402.40000000000003</v>
      </c>
      <c r="P184" s="14">
        <v>0</v>
      </c>
      <c r="Q184" s="14">
        <v>340.4</v>
      </c>
      <c r="R184" s="14">
        <v>0</v>
      </c>
      <c r="S184" s="30"/>
      <c r="T184" s="30"/>
      <c r="V184" s="30"/>
      <c r="W184" s="8"/>
      <c r="X184" s="8"/>
      <c r="AG184" s="14"/>
      <c r="DP184" s="18"/>
      <c r="DQ184" s="18"/>
      <c r="DR184" s="18"/>
      <c r="DS184" s="18"/>
      <c r="DT184" s="18"/>
      <c r="DU184" s="18"/>
    </row>
    <row r="185" spans="1:125" x14ac:dyDescent="0.2">
      <c r="A185" s="9">
        <v>41730</v>
      </c>
      <c r="B185">
        <v>2014</v>
      </c>
      <c r="C185">
        <v>4</v>
      </c>
      <c r="D185" s="14">
        <v>5.8566666666666682</v>
      </c>
      <c r="E185" s="13">
        <v>424.3</v>
      </c>
      <c r="F185" s="13">
        <v>0</v>
      </c>
      <c r="G185" s="14">
        <v>364.3</v>
      </c>
      <c r="H185" s="14">
        <v>0</v>
      </c>
      <c r="I185" s="14">
        <v>304.3</v>
      </c>
      <c r="J185" s="14">
        <v>0</v>
      </c>
      <c r="K185" s="14">
        <v>244.29999999999993</v>
      </c>
      <c r="L185" s="14">
        <v>0</v>
      </c>
      <c r="M185" s="14">
        <v>185.89999999999995</v>
      </c>
      <c r="N185" s="14">
        <v>1.5999999999999996</v>
      </c>
      <c r="O185" s="14">
        <v>131.9</v>
      </c>
      <c r="P185" s="14">
        <v>7.6</v>
      </c>
      <c r="Q185" s="14">
        <v>82.3</v>
      </c>
      <c r="R185" s="14">
        <v>18</v>
      </c>
      <c r="S185" s="30"/>
      <c r="T185" s="30"/>
      <c r="V185" s="30"/>
      <c r="W185" s="8"/>
      <c r="X185" s="8"/>
      <c r="AG185" s="14"/>
      <c r="DP185" s="18"/>
      <c r="DQ185" s="18"/>
      <c r="DR185" s="18"/>
      <c r="DS185" s="18"/>
      <c r="DT185" s="18"/>
      <c r="DU185" s="18"/>
    </row>
    <row r="186" spans="1:125" x14ac:dyDescent="0.2">
      <c r="A186" s="9">
        <v>41760</v>
      </c>
      <c r="B186">
        <v>2014</v>
      </c>
      <c r="C186">
        <v>5</v>
      </c>
      <c r="D186" s="14">
        <v>12.861290322580649</v>
      </c>
      <c r="E186" s="13">
        <v>225.29999999999995</v>
      </c>
      <c r="F186" s="13">
        <v>4.0000000000000036</v>
      </c>
      <c r="G186" s="14">
        <v>169.29999999999995</v>
      </c>
      <c r="H186" s="14">
        <v>10.000000000000004</v>
      </c>
      <c r="I186" s="14">
        <v>115.5</v>
      </c>
      <c r="J186" s="14">
        <v>18.200000000000003</v>
      </c>
      <c r="K186" s="14">
        <v>71.099999999999994</v>
      </c>
      <c r="L186" s="14">
        <v>35.799999999999997</v>
      </c>
      <c r="M186" s="14">
        <v>33.899999999999991</v>
      </c>
      <c r="N186" s="14">
        <v>60.6</v>
      </c>
      <c r="O186" s="14">
        <v>9.5999999999999979</v>
      </c>
      <c r="P186" s="14">
        <v>98.300000000000011</v>
      </c>
      <c r="Q186" s="14">
        <v>1.2999999999999998</v>
      </c>
      <c r="R186" s="14">
        <v>152</v>
      </c>
      <c r="S186" s="30"/>
      <c r="T186" s="30"/>
      <c r="V186" s="30"/>
      <c r="W186" s="8"/>
      <c r="X186" s="8"/>
      <c r="AG186" s="14"/>
      <c r="DP186" s="18"/>
      <c r="DQ186" s="18"/>
      <c r="DR186" s="18"/>
      <c r="DS186" s="18"/>
      <c r="DT186" s="18"/>
      <c r="DU186" s="18"/>
    </row>
    <row r="187" spans="1:125" x14ac:dyDescent="0.2">
      <c r="A187" s="9">
        <v>41791</v>
      </c>
      <c r="B187">
        <v>2014</v>
      </c>
      <c r="C187">
        <v>6</v>
      </c>
      <c r="D187" s="14">
        <v>18.513333333333328</v>
      </c>
      <c r="E187" s="13">
        <v>65.400000000000006</v>
      </c>
      <c r="F187" s="13">
        <v>20.799999999999997</v>
      </c>
      <c r="G187" s="14">
        <v>31.200000000000006</v>
      </c>
      <c r="H187" s="14">
        <v>46.6</v>
      </c>
      <c r="I187" s="14">
        <v>10.700000000000001</v>
      </c>
      <c r="J187" s="14">
        <v>86.1</v>
      </c>
      <c r="K187" s="14">
        <v>1.9000000000000004</v>
      </c>
      <c r="L187" s="14">
        <v>137.30000000000001</v>
      </c>
      <c r="M187" s="14">
        <v>0</v>
      </c>
      <c r="N187" s="14">
        <v>195.40000000000003</v>
      </c>
      <c r="O187" s="14">
        <v>0</v>
      </c>
      <c r="P187" s="14">
        <v>255.40000000000003</v>
      </c>
      <c r="Q187" s="14">
        <v>0</v>
      </c>
      <c r="R187" s="14">
        <v>315.39999999999998</v>
      </c>
      <c r="S187" s="30"/>
      <c r="T187" s="30"/>
      <c r="V187" s="30"/>
      <c r="W187" s="8"/>
      <c r="X187" s="8"/>
      <c r="AG187" s="14"/>
      <c r="DP187" s="18"/>
      <c r="DQ187" s="18"/>
      <c r="DR187" s="18"/>
      <c r="DS187" s="18"/>
      <c r="DT187" s="18"/>
      <c r="DU187" s="18"/>
    </row>
    <row r="188" spans="1:125" x14ac:dyDescent="0.2">
      <c r="A188" s="9">
        <v>41821</v>
      </c>
      <c r="B188">
        <v>2014</v>
      </c>
      <c r="C188">
        <v>7</v>
      </c>
      <c r="D188" s="14">
        <v>19.825806451612905</v>
      </c>
      <c r="E188" s="13">
        <v>36.6</v>
      </c>
      <c r="F188" s="13">
        <v>31.2</v>
      </c>
      <c r="G188" s="14">
        <v>9.4</v>
      </c>
      <c r="H188" s="14">
        <v>66.000000000000014</v>
      </c>
      <c r="I188" s="14">
        <v>0.90000000000000036</v>
      </c>
      <c r="J188" s="14">
        <v>119.49999999999999</v>
      </c>
      <c r="K188" s="14">
        <v>0</v>
      </c>
      <c r="L188" s="14">
        <v>180.6</v>
      </c>
      <c r="M188" s="14">
        <v>0</v>
      </c>
      <c r="N188" s="14">
        <v>242.6</v>
      </c>
      <c r="O188" s="14">
        <v>0</v>
      </c>
      <c r="P188" s="14">
        <v>304.59999999999991</v>
      </c>
      <c r="Q188" s="14">
        <v>0</v>
      </c>
      <c r="R188" s="14">
        <v>366.59999999999991</v>
      </c>
      <c r="S188" s="30"/>
      <c r="T188" s="30"/>
      <c r="V188" s="30"/>
      <c r="W188" s="8"/>
      <c r="X188" s="8"/>
      <c r="AG188" s="14"/>
      <c r="DP188" s="18"/>
      <c r="DQ188" s="18"/>
      <c r="DR188" s="18"/>
      <c r="DS188" s="18"/>
      <c r="DT188" s="18"/>
      <c r="DU188" s="18"/>
    </row>
    <row r="189" spans="1:125" x14ac:dyDescent="0.2">
      <c r="A189" s="9">
        <v>41852</v>
      </c>
      <c r="B189">
        <v>2014</v>
      </c>
      <c r="C189">
        <v>8</v>
      </c>
      <c r="D189" s="14">
        <v>20.070967741935487</v>
      </c>
      <c r="E189" s="13">
        <v>29.3</v>
      </c>
      <c r="F189" s="13">
        <v>31.500000000000007</v>
      </c>
      <c r="G189" s="14">
        <v>8.3000000000000007</v>
      </c>
      <c r="H189" s="14">
        <v>72.500000000000028</v>
      </c>
      <c r="I189" s="14">
        <v>0.5</v>
      </c>
      <c r="J189" s="14">
        <v>126.70000000000002</v>
      </c>
      <c r="K189" s="14">
        <v>0</v>
      </c>
      <c r="L189" s="14">
        <v>188.19999999999996</v>
      </c>
      <c r="M189" s="14">
        <v>0</v>
      </c>
      <c r="N189" s="14">
        <v>250.19999999999996</v>
      </c>
      <c r="O189" s="14">
        <v>0</v>
      </c>
      <c r="P189" s="14">
        <v>312.2</v>
      </c>
      <c r="Q189" s="14">
        <v>0</v>
      </c>
      <c r="R189" s="14">
        <v>374.2</v>
      </c>
      <c r="S189" s="30"/>
      <c r="T189" s="30"/>
      <c r="V189" s="30"/>
      <c r="W189" s="8"/>
      <c r="X189" s="8"/>
      <c r="AG189" s="14"/>
      <c r="DP189" s="18"/>
      <c r="DQ189" s="18"/>
      <c r="DR189" s="18"/>
      <c r="DS189" s="18"/>
      <c r="DT189" s="18"/>
      <c r="DU189" s="18"/>
    </row>
    <row r="190" spans="1:125" x14ac:dyDescent="0.2">
      <c r="A190" s="9">
        <v>41883</v>
      </c>
      <c r="B190">
        <v>2014</v>
      </c>
      <c r="C190">
        <v>9</v>
      </c>
      <c r="D190" s="14">
        <v>17.286666666666665</v>
      </c>
      <c r="E190" s="13">
        <v>99.799999999999983</v>
      </c>
      <c r="F190" s="13">
        <v>18.399999999999999</v>
      </c>
      <c r="G190" s="14">
        <v>55.900000000000006</v>
      </c>
      <c r="H190" s="14">
        <v>34.5</v>
      </c>
      <c r="I190" s="14">
        <v>26</v>
      </c>
      <c r="J190" s="14">
        <v>64.600000000000009</v>
      </c>
      <c r="K190" s="14">
        <v>10.299999999999999</v>
      </c>
      <c r="L190" s="14">
        <v>108.9</v>
      </c>
      <c r="M190" s="14">
        <v>0.59999999999999964</v>
      </c>
      <c r="N190" s="14">
        <v>159.19999999999996</v>
      </c>
      <c r="O190" s="14">
        <v>0</v>
      </c>
      <c r="P190" s="14">
        <v>218.59999999999994</v>
      </c>
      <c r="Q190" s="14">
        <v>0</v>
      </c>
      <c r="R190" s="14">
        <v>278.59999999999997</v>
      </c>
      <c r="S190" s="30"/>
      <c r="T190" s="30"/>
      <c r="V190" s="30"/>
      <c r="W190" s="8"/>
      <c r="X190" s="8"/>
      <c r="AG190" s="14"/>
      <c r="DP190" s="18"/>
      <c r="DQ190" s="18"/>
      <c r="DR190" s="18"/>
      <c r="DS190" s="18"/>
      <c r="DT190" s="18"/>
      <c r="DU190" s="18"/>
    </row>
    <row r="191" spans="1:125" x14ac:dyDescent="0.2">
      <c r="A191" s="9">
        <v>41913</v>
      </c>
      <c r="B191">
        <v>2014</v>
      </c>
      <c r="C191">
        <v>10</v>
      </c>
      <c r="D191" s="14">
        <v>11.712903225806446</v>
      </c>
      <c r="E191" s="13">
        <v>256.89999999999998</v>
      </c>
      <c r="F191" s="13">
        <v>0</v>
      </c>
      <c r="G191" s="14">
        <v>197.1</v>
      </c>
      <c r="H191" s="14">
        <v>2.1999999999999993</v>
      </c>
      <c r="I191" s="14">
        <v>139.29999999999998</v>
      </c>
      <c r="J191" s="14">
        <v>6.3999999999999986</v>
      </c>
      <c r="K191" s="14">
        <v>90.8</v>
      </c>
      <c r="L191" s="14">
        <v>19.899999999999999</v>
      </c>
      <c r="M191" s="14">
        <v>50.6</v>
      </c>
      <c r="N191" s="14">
        <v>41.699999999999996</v>
      </c>
      <c r="O191" s="14">
        <v>18.099999999999998</v>
      </c>
      <c r="P191" s="14">
        <v>71.199999999999989</v>
      </c>
      <c r="Q191" s="14">
        <v>3.7999999999999989</v>
      </c>
      <c r="R191" s="14">
        <v>118.90000000000002</v>
      </c>
      <c r="S191" s="30"/>
      <c r="T191" s="30"/>
      <c r="V191" s="30"/>
      <c r="W191" s="8"/>
      <c r="X191" s="8"/>
      <c r="AG191" s="14"/>
      <c r="DP191" s="18"/>
      <c r="DQ191" s="18"/>
      <c r="DR191" s="18"/>
      <c r="DS191" s="18"/>
      <c r="DT191" s="18"/>
      <c r="DU191" s="18"/>
    </row>
    <row r="192" spans="1:125" x14ac:dyDescent="0.2">
      <c r="A192" s="9">
        <v>41944</v>
      </c>
      <c r="B192">
        <v>2014</v>
      </c>
      <c r="C192">
        <v>11</v>
      </c>
      <c r="D192" s="14">
        <v>3.2833333333333328</v>
      </c>
      <c r="E192" s="13">
        <v>501.49999999999994</v>
      </c>
      <c r="F192" s="13">
        <v>0</v>
      </c>
      <c r="G192" s="14">
        <v>441.49999999999994</v>
      </c>
      <c r="H192" s="14">
        <v>0</v>
      </c>
      <c r="I192" s="14">
        <v>381.49999999999994</v>
      </c>
      <c r="J192" s="14">
        <v>0</v>
      </c>
      <c r="K192" s="14">
        <v>321.5</v>
      </c>
      <c r="L192" s="14">
        <v>0</v>
      </c>
      <c r="M192" s="14">
        <v>261.60000000000002</v>
      </c>
      <c r="N192" s="14">
        <v>9.9999999999999645E-2</v>
      </c>
      <c r="O192" s="14">
        <v>207.1</v>
      </c>
      <c r="P192" s="14">
        <v>5.6</v>
      </c>
      <c r="Q192" s="14">
        <v>156.39999999999998</v>
      </c>
      <c r="R192" s="14">
        <v>14.899999999999999</v>
      </c>
      <c r="S192" s="30"/>
      <c r="T192" s="30"/>
      <c r="V192" s="30"/>
      <c r="W192" s="8"/>
      <c r="X192" s="8"/>
      <c r="AG192" s="14"/>
      <c r="DP192" s="18"/>
      <c r="DQ192" s="18"/>
      <c r="DR192" s="18"/>
      <c r="DS192" s="18"/>
      <c r="DT192" s="18"/>
      <c r="DU192" s="18"/>
    </row>
    <row r="193" spans="1:125" x14ac:dyDescent="0.2">
      <c r="A193" s="9">
        <v>41974</v>
      </c>
      <c r="B193">
        <v>2014</v>
      </c>
      <c r="C193">
        <v>12</v>
      </c>
      <c r="D193" s="14">
        <v>1.2548387096774198</v>
      </c>
      <c r="E193" s="13">
        <v>581.09999999999991</v>
      </c>
      <c r="F193" s="13">
        <v>0</v>
      </c>
      <c r="G193" s="14">
        <v>519.09999999999991</v>
      </c>
      <c r="H193" s="14">
        <v>0</v>
      </c>
      <c r="I193" s="14">
        <v>457.09999999999997</v>
      </c>
      <c r="J193" s="14">
        <v>0</v>
      </c>
      <c r="K193" s="14">
        <v>395.1</v>
      </c>
      <c r="L193" s="14">
        <v>0</v>
      </c>
      <c r="M193" s="14">
        <v>333.1</v>
      </c>
      <c r="N193" s="14">
        <v>0</v>
      </c>
      <c r="O193" s="14">
        <v>271.10000000000002</v>
      </c>
      <c r="P193" s="14">
        <v>0</v>
      </c>
      <c r="Q193" s="14">
        <v>209.10000000000002</v>
      </c>
      <c r="R193" s="14">
        <v>0</v>
      </c>
      <c r="S193" s="31" t="str">
        <f>'Monthly Data'!F1</f>
        <v>Res_NoCDM</v>
      </c>
      <c r="T193" s="31" t="str">
        <f>'Monthly Data'!J1</f>
        <v>GS_lt_50_NoCDM</v>
      </c>
      <c r="U193" s="31" t="str">
        <f>'Monthly Data'!N1</f>
        <v>GS_gt_50_NoCDM</v>
      </c>
      <c r="V193" s="30"/>
      <c r="W193" s="8"/>
      <c r="X193" s="8"/>
      <c r="AG193" s="14"/>
      <c r="DP193" s="18"/>
      <c r="DQ193" s="18"/>
      <c r="DR193" s="18"/>
      <c r="DS193" s="18"/>
      <c r="DT193" s="18"/>
      <c r="DU193" s="18"/>
    </row>
    <row r="194" spans="1:125" x14ac:dyDescent="0.2">
      <c r="A194" s="9">
        <v>42005</v>
      </c>
      <c r="B194">
        <v>2015</v>
      </c>
      <c r="C194">
        <v>1</v>
      </c>
      <c r="D194" s="14">
        <v>-5.8580645161290343</v>
      </c>
      <c r="E194" s="13">
        <v>801.5999999999998</v>
      </c>
      <c r="F194" s="13">
        <v>0</v>
      </c>
      <c r="G194" s="14">
        <v>739.5999999999998</v>
      </c>
      <c r="H194" s="14">
        <v>0</v>
      </c>
      <c r="I194" s="14">
        <v>677.59999999999968</v>
      </c>
      <c r="J194" s="14">
        <v>0</v>
      </c>
      <c r="K194" s="14">
        <v>615.5999999999998</v>
      </c>
      <c r="L194" s="14">
        <v>0</v>
      </c>
      <c r="M194" s="14">
        <v>553.59999999999991</v>
      </c>
      <c r="N194" s="14">
        <v>0</v>
      </c>
      <c r="O194" s="14">
        <v>491.59999999999997</v>
      </c>
      <c r="P194" s="14">
        <v>0</v>
      </c>
      <c r="Q194" s="14">
        <v>429.59999999999997</v>
      </c>
      <c r="R194" s="14">
        <v>0</v>
      </c>
      <c r="S194" s="30">
        <f>'Monthly Data'!F2/'Monthly Data'!G2/'Monthly Data'!BT2</f>
        <v>26.404053849066642</v>
      </c>
      <c r="T194" s="30">
        <f>'Monthly Data'!J2/'Monthly Data'!K2/'Monthly Data'!BT2</f>
        <v>97.560755045247902</v>
      </c>
      <c r="U194" s="31">
        <f>'Monthly Data'!N2/'Monthly Data'!P2/'Monthly Data'!BT2</f>
        <v>2500.7744977574043</v>
      </c>
      <c r="V194" s="30"/>
      <c r="W194" s="14">
        <f t="shared" ref="W194:W225" si="132">D194</f>
        <v>-5.8580645161290343</v>
      </c>
      <c r="X194" s="31">
        <f t="shared" ref="X194:X225" si="133">T194</f>
        <v>97.560755045247902</v>
      </c>
      <c r="DP194" s="18">
        <f>'Monthly Data'!F2</f>
        <v>49127092.146981061</v>
      </c>
      <c r="DQ194" s="18">
        <f>'Monthly Data'!J2</f>
        <v>15817525.215486044</v>
      </c>
      <c r="DR194" s="18">
        <f>'Monthly Data'!N2</f>
        <v>79694681.694532961</v>
      </c>
      <c r="DS194" s="18">
        <f t="shared" ref="DS194:DS246" si="134">$EF$17+K194*$EF$18+L194*$EF$19</f>
        <v>47664698.783181474</v>
      </c>
      <c r="DT194" s="18">
        <f t="shared" ref="DT194:DT246" si="135">$EF$37+K194*$EF$38+L194*$EF$39</f>
        <v>16031614.49866542</v>
      </c>
      <c r="DU194" s="18">
        <f t="shared" ref="DU194:DU246" si="136">$EF$60+O194*$EF$61+L194*$EF$62</f>
        <v>75613807.959624097</v>
      </c>
    </row>
    <row r="195" spans="1:125" x14ac:dyDescent="0.2">
      <c r="A195" s="9">
        <v>42036</v>
      </c>
      <c r="B195">
        <v>2015</v>
      </c>
      <c r="C195">
        <v>2</v>
      </c>
      <c r="D195" s="14">
        <v>-11.139285714285718</v>
      </c>
      <c r="E195" s="13">
        <v>871.89999999999975</v>
      </c>
      <c r="F195" s="13">
        <v>0</v>
      </c>
      <c r="G195" s="14">
        <v>815.89999999999975</v>
      </c>
      <c r="H195" s="14">
        <v>0</v>
      </c>
      <c r="I195" s="14">
        <v>759.89999999999986</v>
      </c>
      <c r="J195" s="14">
        <v>0</v>
      </c>
      <c r="K195" s="14">
        <v>703.89999999999986</v>
      </c>
      <c r="L195" s="14">
        <v>0</v>
      </c>
      <c r="M195" s="14">
        <v>647.9</v>
      </c>
      <c r="N195" s="14">
        <v>0</v>
      </c>
      <c r="O195" s="14">
        <v>591.9</v>
      </c>
      <c r="P195" s="14">
        <v>0</v>
      </c>
      <c r="Q195" s="14">
        <v>535.9</v>
      </c>
      <c r="R195" s="14">
        <v>0</v>
      </c>
      <c r="S195" s="30">
        <f>'Monthly Data'!F3/'Monthly Data'!G3/'Monthly Data'!BT3</f>
        <v>25.128246962328443</v>
      </c>
      <c r="T195" s="30">
        <f>'Monthly Data'!J3/'Monthly Data'!K3/'Monthly Data'!BT3</f>
        <v>100.83553444659586</v>
      </c>
      <c r="U195" s="31">
        <f>'Monthly Data'!N3/'Monthly Data'!P3/'Monthly Data'!BT3</f>
        <v>2586.4624027613027</v>
      </c>
      <c r="V195" s="30"/>
      <c r="W195" s="14">
        <f t="shared" si="132"/>
        <v>-11.139285714285718</v>
      </c>
      <c r="X195" s="31">
        <f t="shared" si="133"/>
        <v>100.83553444659586</v>
      </c>
      <c r="DP195" s="18">
        <f>'Monthly Data'!F3</f>
        <v>42235859.033245198</v>
      </c>
      <c r="DQ195" s="18">
        <f>'Monthly Data'!J3</f>
        <v>14777649.244217517</v>
      </c>
      <c r="DR195" s="18">
        <f>'Monthly Data'!N3</f>
        <v>74376312.853804022</v>
      </c>
      <c r="DS195" s="18">
        <f t="shared" si="134"/>
        <v>49438406.375291631</v>
      </c>
      <c r="DT195" s="18">
        <f t="shared" si="135"/>
        <v>16511997.803459667</v>
      </c>
      <c r="DU195" s="18">
        <f t="shared" si="136"/>
        <v>77443322.072743356</v>
      </c>
    </row>
    <row r="196" spans="1:125" x14ac:dyDescent="0.2">
      <c r="A196" s="9">
        <v>42064</v>
      </c>
      <c r="B196">
        <v>2015</v>
      </c>
      <c r="C196">
        <v>3</v>
      </c>
      <c r="D196" s="14">
        <v>-1.1612903225806448</v>
      </c>
      <c r="E196" s="13">
        <v>655.99999999999989</v>
      </c>
      <c r="F196" s="13">
        <v>0</v>
      </c>
      <c r="G196" s="14">
        <v>593.99999999999989</v>
      </c>
      <c r="H196" s="14">
        <v>0</v>
      </c>
      <c r="I196" s="14">
        <v>531.99999999999989</v>
      </c>
      <c r="J196" s="14">
        <v>0</v>
      </c>
      <c r="K196" s="14">
        <v>469.99999999999994</v>
      </c>
      <c r="L196" s="14">
        <v>0</v>
      </c>
      <c r="M196" s="14">
        <v>408</v>
      </c>
      <c r="N196" s="14">
        <v>0</v>
      </c>
      <c r="O196" s="14">
        <v>346</v>
      </c>
      <c r="P196" s="14">
        <v>0</v>
      </c>
      <c r="Q196" s="14">
        <v>284</v>
      </c>
      <c r="R196" s="14">
        <v>0</v>
      </c>
      <c r="S196" s="30">
        <f>'Monthly Data'!F4/'Monthly Data'!G4/'Monthly Data'!BT4</f>
        <v>22.929218931615431</v>
      </c>
      <c r="T196" s="30">
        <f>'Monthly Data'!J4/'Monthly Data'!K4/'Monthly Data'!BT4</f>
        <v>93.646173346737172</v>
      </c>
      <c r="U196" s="31">
        <f>'Monthly Data'!N4/'Monthly Data'!P4/'Monthly Data'!BT4</f>
        <v>2426.1897592569712</v>
      </c>
      <c r="V196" s="30"/>
      <c r="W196" s="14">
        <f t="shared" si="132"/>
        <v>-1.1612903225806448</v>
      </c>
      <c r="X196" s="31">
        <f t="shared" si="133"/>
        <v>93.646173346737172</v>
      </c>
      <c r="DP196" s="18">
        <f>'Monthly Data'!F4</f>
        <v>42686019.919509344</v>
      </c>
      <c r="DQ196" s="18">
        <f>'Monthly Data'!J4</f>
        <v>15200272.27294899</v>
      </c>
      <c r="DR196" s="18">
        <f>'Monthly Data'!N4</f>
        <v>77468239.013075083</v>
      </c>
      <c r="DS196" s="18">
        <f t="shared" si="134"/>
        <v>44739989.548626125</v>
      </c>
      <c r="DT196" s="18">
        <f t="shared" si="135"/>
        <v>15239498.879435044</v>
      </c>
      <c r="DU196" s="18">
        <f t="shared" si="136"/>
        <v>72958002.826322362</v>
      </c>
    </row>
    <row r="197" spans="1:125" x14ac:dyDescent="0.2">
      <c r="A197" s="9">
        <v>42095</v>
      </c>
      <c r="B197">
        <v>2015</v>
      </c>
      <c r="C197">
        <v>4</v>
      </c>
      <c r="D197" s="14">
        <v>7.2700000000000022</v>
      </c>
      <c r="E197" s="13">
        <v>381.90000000000003</v>
      </c>
      <c r="F197" s="13">
        <v>0</v>
      </c>
      <c r="G197" s="14">
        <v>321.90000000000009</v>
      </c>
      <c r="H197" s="14">
        <v>0</v>
      </c>
      <c r="I197" s="14">
        <v>261.89999999999998</v>
      </c>
      <c r="J197" s="14">
        <v>0</v>
      </c>
      <c r="K197" s="14">
        <v>203.49999999999991</v>
      </c>
      <c r="L197" s="14">
        <v>1.5999999999999996</v>
      </c>
      <c r="M197" s="14">
        <v>149.69999999999996</v>
      </c>
      <c r="N197" s="14">
        <v>7.8000000000000007</v>
      </c>
      <c r="O197" s="14">
        <v>102.5</v>
      </c>
      <c r="P197" s="14">
        <v>20.6</v>
      </c>
      <c r="Q197" s="14">
        <v>61.70000000000001</v>
      </c>
      <c r="R197" s="14">
        <v>39.799999999999997</v>
      </c>
      <c r="S197" s="30">
        <f>'Monthly Data'!F5/'Monthly Data'!G5/'Monthly Data'!BT5</f>
        <v>21.03110038394745</v>
      </c>
      <c r="T197" s="30">
        <f>'Monthly Data'!J5/'Monthly Data'!K5/'Monthly Data'!BT5</f>
        <v>85.210487023685147</v>
      </c>
      <c r="U197" s="31">
        <f>'Monthly Data'!N5/'Monthly Data'!P5/'Monthly Data'!BT5</f>
        <v>2270.6847007894339</v>
      </c>
      <c r="V197" s="30"/>
      <c r="W197" s="14">
        <f t="shared" si="132"/>
        <v>7.2700000000000022</v>
      </c>
      <c r="X197" s="31">
        <f t="shared" si="133"/>
        <v>85.210487023685147</v>
      </c>
      <c r="DP197" s="18">
        <f>'Monthly Data'!F5</f>
        <v>37892574.805773482</v>
      </c>
      <c r="DQ197" s="18">
        <f>'Monthly Data'!J5</f>
        <v>13384863.301680462</v>
      </c>
      <c r="DR197" s="18">
        <f>'Monthly Data'!N5</f>
        <v>70027916.172346145</v>
      </c>
      <c r="DS197" s="18">
        <f t="shared" si="134"/>
        <v>39542688.374511294</v>
      </c>
      <c r="DT197" s="18">
        <f t="shared" si="135"/>
        <v>13811275.397972308</v>
      </c>
      <c r="DU197" s="18">
        <f t="shared" si="136"/>
        <v>68596640.54947415</v>
      </c>
    </row>
    <row r="198" spans="1:125" x14ac:dyDescent="0.2">
      <c r="A198" s="9">
        <v>42125</v>
      </c>
      <c r="B198">
        <v>2015</v>
      </c>
      <c r="C198">
        <v>5</v>
      </c>
      <c r="D198" s="14">
        <v>14.535483870967743</v>
      </c>
      <c r="E198" s="13">
        <v>175.50000000000003</v>
      </c>
      <c r="F198" s="13">
        <v>6.1000000000000014</v>
      </c>
      <c r="G198" s="14">
        <v>123.90000000000002</v>
      </c>
      <c r="H198" s="14">
        <v>16.5</v>
      </c>
      <c r="I198" s="14">
        <v>80.5</v>
      </c>
      <c r="J198" s="14">
        <v>35.1</v>
      </c>
      <c r="K198" s="14">
        <v>44.20000000000001</v>
      </c>
      <c r="L198" s="14">
        <v>60.8</v>
      </c>
      <c r="M198" s="14">
        <v>18.3</v>
      </c>
      <c r="N198" s="14">
        <v>96.90000000000002</v>
      </c>
      <c r="O198" s="14">
        <v>4.5999999999999996</v>
      </c>
      <c r="P198" s="14">
        <v>145.20000000000002</v>
      </c>
      <c r="Q198" s="14">
        <v>0.5</v>
      </c>
      <c r="R198" s="14">
        <v>203.09999999999997</v>
      </c>
      <c r="S198" s="30">
        <f>'Monthly Data'!F6/'Monthly Data'!G6/'Monthly Data'!BT6</f>
        <v>21.510217287094857</v>
      </c>
      <c r="T198" s="30">
        <f>'Monthly Data'!J6/'Monthly Data'!K6/'Monthly Data'!BT6</f>
        <v>83.134742429566415</v>
      </c>
      <c r="U198" s="31">
        <f>'Monthly Data'!N6/'Monthly Data'!P6/'Monthly Data'!BT6</f>
        <v>2314.0409605754112</v>
      </c>
      <c r="V198" s="30"/>
      <c r="W198" s="14">
        <f t="shared" si="132"/>
        <v>14.535483870967743</v>
      </c>
      <c r="X198" s="31">
        <f t="shared" si="133"/>
        <v>83.134742429566415</v>
      </c>
      <c r="DP198" s="18">
        <f>'Monthly Data'!F6</f>
        <v>40054347.692037627</v>
      </c>
      <c r="DQ198" s="18">
        <f>'Monthly Data'!J6</f>
        <v>13530179.330411935</v>
      </c>
      <c r="DR198" s="18">
        <f>'Monthly Data'!N6</f>
        <v>73743857.331617206</v>
      </c>
      <c r="DS198" s="18">
        <f t="shared" si="134"/>
        <v>42113350.057732366</v>
      </c>
      <c r="DT198" s="18">
        <f t="shared" si="135"/>
        <v>13744973.927791564</v>
      </c>
      <c r="DU198" s="18">
        <f t="shared" si="136"/>
        <v>69777562.033644363</v>
      </c>
    </row>
    <row r="199" spans="1:125" x14ac:dyDescent="0.2">
      <c r="A199" s="9">
        <v>42156</v>
      </c>
      <c r="B199">
        <v>2015</v>
      </c>
      <c r="C199">
        <v>6</v>
      </c>
      <c r="D199" s="14">
        <v>16.886666666666663</v>
      </c>
      <c r="E199" s="13">
        <v>101.39999999999998</v>
      </c>
      <c r="F199" s="13">
        <v>8</v>
      </c>
      <c r="G199" s="14">
        <v>61.3</v>
      </c>
      <c r="H199" s="14">
        <v>27.9</v>
      </c>
      <c r="I199" s="14">
        <v>29.699999999999996</v>
      </c>
      <c r="J199" s="14">
        <v>56.3</v>
      </c>
      <c r="K199" s="14">
        <v>11.4</v>
      </c>
      <c r="L199" s="14">
        <v>98.000000000000028</v>
      </c>
      <c r="M199" s="14">
        <v>3.5</v>
      </c>
      <c r="N199" s="14">
        <v>150.10000000000005</v>
      </c>
      <c r="O199" s="14">
        <v>0</v>
      </c>
      <c r="P199" s="14">
        <v>206.60000000000002</v>
      </c>
      <c r="Q199" s="14">
        <v>0</v>
      </c>
      <c r="R199" s="14">
        <v>266.60000000000002</v>
      </c>
      <c r="S199" s="30">
        <f>'Monthly Data'!F7/'Monthly Data'!G7/'Monthly Data'!BT7</f>
        <v>25.19531100071098</v>
      </c>
      <c r="T199" s="30">
        <f>'Monthly Data'!J7/'Monthly Data'!K7/'Monthly Data'!BT7</f>
        <v>88.144026961415804</v>
      </c>
      <c r="U199" s="31">
        <f>'Monthly Data'!N7/'Monthly Data'!P7/'Monthly Data'!BT7</f>
        <v>2455.8434433913749</v>
      </c>
      <c r="V199" s="30"/>
      <c r="W199" s="14">
        <f t="shared" si="132"/>
        <v>16.886666666666663</v>
      </c>
      <c r="X199" s="31">
        <f t="shared" si="133"/>
        <v>88.144026961415804</v>
      </c>
      <c r="DP199" s="18">
        <f>'Monthly Data'!F7</f>
        <v>45422610.578301765</v>
      </c>
      <c r="DQ199" s="18">
        <f>'Monthly Data'!J7</f>
        <v>13858885.359143406</v>
      </c>
      <c r="DR199" s="18">
        <f>'Monthly Data'!N7</f>
        <v>75664536.490888268</v>
      </c>
      <c r="DS199" s="18">
        <f t="shared" si="134"/>
        <v>45080586.379520513</v>
      </c>
      <c r="DT199" s="18">
        <f t="shared" si="135"/>
        <v>14069451.053103447</v>
      </c>
      <c r="DU199" s="18">
        <f t="shared" si="136"/>
        <v>71557840.215968788</v>
      </c>
    </row>
    <row r="200" spans="1:125" x14ac:dyDescent="0.2">
      <c r="A200" s="9">
        <v>42186</v>
      </c>
      <c r="B200">
        <v>2015</v>
      </c>
      <c r="C200">
        <v>7</v>
      </c>
      <c r="D200" s="14">
        <v>21.899999999999995</v>
      </c>
      <c r="E200" s="13">
        <v>17.600000000000001</v>
      </c>
      <c r="F200" s="13">
        <v>76.5</v>
      </c>
      <c r="G200" s="14">
        <v>4.4000000000000021</v>
      </c>
      <c r="H200" s="14">
        <v>125.30000000000001</v>
      </c>
      <c r="I200" s="14">
        <v>0</v>
      </c>
      <c r="J200" s="14">
        <v>182.9</v>
      </c>
      <c r="K200" s="14">
        <v>0</v>
      </c>
      <c r="L200" s="14">
        <v>244.9</v>
      </c>
      <c r="M200" s="14">
        <v>0</v>
      </c>
      <c r="N200" s="14">
        <v>306.90000000000003</v>
      </c>
      <c r="O200" s="14">
        <v>0</v>
      </c>
      <c r="P200" s="14">
        <v>368.90000000000003</v>
      </c>
      <c r="Q200" s="14">
        <v>0</v>
      </c>
      <c r="R200" s="14">
        <v>430.90000000000003</v>
      </c>
      <c r="S200" s="30">
        <f>'Monthly Data'!F8/'Monthly Data'!G8/'Monthly Data'!BT8</f>
        <v>28.846087370189366</v>
      </c>
      <c r="T200" s="30">
        <f>'Monthly Data'!J8/'Monthly Data'!K8/'Monthly Data'!BT8</f>
        <v>94.385381604745632</v>
      </c>
      <c r="U200" s="31">
        <f>'Monthly Data'!N8/'Monthly Data'!P8/'Monthly Data'!BT8</f>
        <v>2584.5675362050233</v>
      </c>
      <c r="V200" s="30"/>
      <c r="W200" s="14">
        <f t="shared" si="132"/>
        <v>21.899999999999995</v>
      </c>
      <c r="X200" s="31">
        <f t="shared" si="133"/>
        <v>94.385381604745632</v>
      </c>
      <c r="DP200" s="18">
        <f>'Monthly Data'!F8</f>
        <v>53739568.464565903</v>
      </c>
      <c r="DQ200" s="18">
        <f>'Monthly Data'!J8</f>
        <v>15331961.387874879</v>
      </c>
      <c r="DR200" s="18">
        <f>'Monthly Data'!N8</f>
        <v>82284876.650159329</v>
      </c>
      <c r="DS200" s="18">
        <f t="shared" si="134"/>
        <v>59170784.851638734</v>
      </c>
      <c r="DT200" s="18">
        <f t="shared" si="135"/>
        <v>15993427.21407209</v>
      </c>
      <c r="DU200" s="18">
        <f t="shared" si="136"/>
        <v>78919362.966169804</v>
      </c>
    </row>
    <row r="201" spans="1:125" x14ac:dyDescent="0.2">
      <c r="A201" s="9">
        <v>42217</v>
      </c>
      <c r="B201">
        <v>2015</v>
      </c>
      <c r="C201">
        <v>8</v>
      </c>
      <c r="D201" s="14">
        <v>20.796774193548384</v>
      </c>
      <c r="E201" s="13">
        <v>20.399999999999999</v>
      </c>
      <c r="F201" s="13">
        <v>45.100000000000009</v>
      </c>
      <c r="G201" s="14">
        <v>1.8000000000000007</v>
      </c>
      <c r="H201" s="14">
        <v>88.499999999999986</v>
      </c>
      <c r="I201" s="14">
        <v>0</v>
      </c>
      <c r="J201" s="14">
        <v>148.70000000000002</v>
      </c>
      <c r="K201" s="14">
        <v>0</v>
      </c>
      <c r="L201" s="14">
        <v>210.70000000000002</v>
      </c>
      <c r="M201" s="14">
        <v>0</v>
      </c>
      <c r="N201" s="14">
        <v>272.70000000000005</v>
      </c>
      <c r="O201" s="14">
        <v>0</v>
      </c>
      <c r="P201" s="14">
        <v>334.7000000000001</v>
      </c>
      <c r="Q201" s="14">
        <v>0</v>
      </c>
      <c r="R201" s="14">
        <v>396.7000000000001</v>
      </c>
      <c r="S201" s="30">
        <f>'Monthly Data'!F9/'Monthly Data'!G9/'Monthly Data'!BT9</f>
        <v>29.216984503634833</v>
      </c>
      <c r="T201" s="30">
        <f>'Monthly Data'!J9/'Monthly Data'!K9/'Monthly Data'!BT9</f>
        <v>95.810231149617096</v>
      </c>
      <c r="U201" s="31">
        <f>'Monthly Data'!N9/'Monthly Data'!P9/'Monthly Data'!BT9</f>
        <v>2544.5477854926608</v>
      </c>
      <c r="V201" s="30"/>
      <c r="W201" s="14">
        <f t="shared" si="132"/>
        <v>20.796774193548384</v>
      </c>
      <c r="X201" s="31">
        <f t="shared" si="133"/>
        <v>95.810231149617096</v>
      </c>
      <c r="DP201" s="18">
        <f>'Monthly Data'!F9</f>
        <v>54462241.350830048</v>
      </c>
      <c r="DQ201" s="18">
        <f>'Monthly Data'!J9</f>
        <v>15575294.416606352</v>
      </c>
      <c r="DR201" s="18">
        <f>'Monthly Data'!N9</f>
        <v>81168529.809430391</v>
      </c>
      <c r="DS201" s="18">
        <f t="shared" si="134"/>
        <v>55837112.830778569</v>
      </c>
      <c r="DT201" s="18">
        <f t="shared" si="135"/>
        <v>15531064.585560312</v>
      </c>
      <c r="DU201" s="18">
        <f t="shared" si="136"/>
        <v>77205516.280963033</v>
      </c>
    </row>
    <row r="202" spans="1:125" x14ac:dyDescent="0.2">
      <c r="A202" s="9">
        <v>42248</v>
      </c>
      <c r="B202">
        <v>2015</v>
      </c>
      <c r="C202">
        <v>9</v>
      </c>
      <c r="D202" s="14">
        <v>20.030000000000005</v>
      </c>
      <c r="E202" s="13">
        <v>50.100000000000009</v>
      </c>
      <c r="F202" s="13">
        <v>51.000000000000014</v>
      </c>
      <c r="G202" s="14">
        <v>22.6</v>
      </c>
      <c r="H202" s="14">
        <v>83.5</v>
      </c>
      <c r="I202" s="14">
        <v>7.2000000000000011</v>
      </c>
      <c r="J202" s="14">
        <v>128.10000000000002</v>
      </c>
      <c r="K202" s="14">
        <v>9.9999999999999645E-2</v>
      </c>
      <c r="L202" s="14">
        <v>181</v>
      </c>
      <c r="M202" s="14">
        <v>0</v>
      </c>
      <c r="N202" s="14">
        <v>240.9</v>
      </c>
      <c r="O202" s="14">
        <v>0</v>
      </c>
      <c r="P202" s="14">
        <v>300.90000000000003</v>
      </c>
      <c r="Q202" s="14">
        <v>0</v>
      </c>
      <c r="R202" s="14">
        <v>360.90000000000009</v>
      </c>
      <c r="S202" s="30">
        <f>'Monthly Data'!F10/'Monthly Data'!G10/'Monthly Data'!BT10</f>
        <v>26.115880349646353</v>
      </c>
      <c r="T202" s="30">
        <f>'Monthly Data'!J10/'Monthly Data'!K10/'Monthly Data'!BT10</f>
        <v>90.417582874023452</v>
      </c>
      <c r="U202" s="31">
        <f>'Monthly Data'!N10/'Monthly Data'!P10/'Monthly Data'!BT10</f>
        <v>2551.6159198671025</v>
      </c>
      <c r="V202" s="30"/>
      <c r="W202" s="14">
        <f t="shared" si="132"/>
        <v>20.030000000000005</v>
      </c>
      <c r="X202" s="31">
        <f t="shared" si="133"/>
        <v>90.417582874023452</v>
      </c>
      <c r="DP202" s="18">
        <f>'Monthly Data'!F10</f>
        <v>47137858.237094186</v>
      </c>
      <c r="DQ202" s="18">
        <f>'Monthly Data'!J10</f>
        <v>14205506.445337825</v>
      </c>
      <c r="DR202" s="18">
        <f>'Monthly Data'!N10</f>
        <v>78691834.968701452</v>
      </c>
      <c r="DS202" s="18">
        <f t="shared" si="134"/>
        <v>52944090.594164625</v>
      </c>
      <c r="DT202" s="18">
        <f t="shared" si="135"/>
        <v>15130083.180463381</v>
      </c>
      <c r="DU202" s="18">
        <f t="shared" si="136"/>
        <v>75717175.738546625</v>
      </c>
    </row>
    <row r="203" spans="1:125" x14ac:dyDescent="0.2">
      <c r="A203" s="9">
        <v>42278</v>
      </c>
      <c r="B203">
        <v>2015</v>
      </c>
      <c r="C203">
        <v>10</v>
      </c>
      <c r="D203" s="14">
        <v>11.587096774193544</v>
      </c>
      <c r="E203" s="13">
        <v>260.8</v>
      </c>
      <c r="F203" s="13">
        <v>0</v>
      </c>
      <c r="G203" s="14">
        <v>200</v>
      </c>
      <c r="H203" s="14">
        <v>1.1999999999999993</v>
      </c>
      <c r="I203" s="14">
        <v>141.1</v>
      </c>
      <c r="J203" s="14">
        <v>4.2999999999999972</v>
      </c>
      <c r="K203" s="14">
        <v>89.2</v>
      </c>
      <c r="L203" s="14">
        <v>14.399999999999997</v>
      </c>
      <c r="M203" s="14">
        <v>51.800000000000004</v>
      </c>
      <c r="N203" s="14">
        <v>38.999999999999993</v>
      </c>
      <c r="O203" s="14">
        <v>26.9</v>
      </c>
      <c r="P203" s="14">
        <v>76.100000000000023</v>
      </c>
      <c r="Q203" s="14">
        <v>11.299999999999999</v>
      </c>
      <c r="R203" s="14">
        <v>122.50000000000003</v>
      </c>
      <c r="S203" s="30">
        <f>'Monthly Data'!F11/'Monthly Data'!G11/'Monthly Data'!BT11</f>
        <v>22.078010194980259</v>
      </c>
      <c r="T203" s="30">
        <f>'Monthly Data'!J11/'Monthly Data'!K11/'Monthly Data'!BT11</f>
        <v>81.048353091465316</v>
      </c>
      <c r="U203" s="31">
        <f>'Monthly Data'!N11/'Monthly Data'!P11/'Monthly Data'!BT11</f>
        <v>2299.9608155233273</v>
      </c>
      <c r="V203" s="30"/>
      <c r="W203" s="14">
        <f t="shared" si="132"/>
        <v>11.587096774193544</v>
      </c>
      <c r="X203" s="31">
        <f t="shared" si="133"/>
        <v>81.048353091465316</v>
      </c>
      <c r="DP203" s="18">
        <f>'Monthly Data'!F11</f>
        <v>41235519.123358332</v>
      </c>
      <c r="DQ203" s="18">
        <f>'Monthly Data'!J11</f>
        <v>13170519.474069297</v>
      </c>
      <c r="DR203" s="18">
        <f>'Monthly Data'!N11</f>
        <v>73009956.127972499</v>
      </c>
      <c r="DS203" s="18">
        <f t="shared" si="134"/>
        <v>38494401.389301017</v>
      </c>
      <c r="DT203" s="18">
        <f t="shared" si="135"/>
        <v>13362490.876772702</v>
      </c>
      <c r="DU203" s="18">
        <f t="shared" si="136"/>
        <v>67859104.502231017</v>
      </c>
    </row>
    <row r="204" spans="1:125" x14ac:dyDescent="0.2">
      <c r="A204" s="9">
        <v>42309</v>
      </c>
      <c r="B204">
        <v>2015</v>
      </c>
      <c r="C204">
        <v>11</v>
      </c>
      <c r="D204" s="14">
        <v>7.9633333333333329</v>
      </c>
      <c r="E204" s="13">
        <v>361.1</v>
      </c>
      <c r="F204" s="13">
        <v>0</v>
      </c>
      <c r="G204" s="14">
        <v>301.10000000000008</v>
      </c>
      <c r="H204" s="14">
        <v>0</v>
      </c>
      <c r="I204" s="14">
        <v>241.20000000000005</v>
      </c>
      <c r="J204" s="14">
        <v>0.10000000000000142</v>
      </c>
      <c r="K204" s="14">
        <v>185.10000000000002</v>
      </c>
      <c r="L204" s="14">
        <v>4.0000000000000018</v>
      </c>
      <c r="M204" s="14">
        <v>133</v>
      </c>
      <c r="N204" s="14">
        <v>11.9</v>
      </c>
      <c r="O204" s="14">
        <v>90.2</v>
      </c>
      <c r="P204" s="14">
        <v>29.1</v>
      </c>
      <c r="Q204" s="14">
        <v>56.800000000000004</v>
      </c>
      <c r="R204" s="14">
        <v>55.70000000000001</v>
      </c>
      <c r="S204" s="30">
        <f>'Monthly Data'!F12/'Monthly Data'!G12/'Monthly Data'!BT12</f>
        <v>20.86535723708819</v>
      </c>
      <c r="T204" s="30">
        <f>'Monthly Data'!J12/'Monthly Data'!K12/'Monthly Data'!BT12</f>
        <v>84.23020954528576</v>
      </c>
      <c r="U204" s="31">
        <f>'Monthly Data'!N12/'Monthly Data'!P12/'Monthly Data'!BT12</f>
        <v>2331.9277925103393</v>
      </c>
      <c r="V204" s="30"/>
      <c r="W204" s="14">
        <f t="shared" si="132"/>
        <v>7.9633333333333329</v>
      </c>
      <c r="X204" s="31">
        <f t="shared" si="133"/>
        <v>84.23020954528576</v>
      </c>
      <c r="DP204" s="18">
        <f>'Monthly Data'!F12</f>
        <v>37717263.00962247</v>
      </c>
      <c r="DQ204" s="18">
        <f>'Monthly Data'!J12</f>
        <v>13225827.50280077</v>
      </c>
      <c r="DR204" s="18">
        <f>'Monthly Data'!N12</f>
        <v>71846695.28724356</v>
      </c>
      <c r="DS204" s="18">
        <f t="shared" si="134"/>
        <v>39407024.158652812</v>
      </c>
      <c r="DT204" s="18">
        <f t="shared" si="135"/>
        <v>13743619.374909416</v>
      </c>
      <c r="DU204" s="18">
        <f t="shared" si="136"/>
        <v>68492553.327875271</v>
      </c>
    </row>
    <row r="205" spans="1:125" x14ac:dyDescent="0.2">
      <c r="A205" s="9">
        <v>42339</v>
      </c>
      <c r="B205">
        <v>2015</v>
      </c>
      <c r="C205">
        <v>12</v>
      </c>
      <c r="D205" s="14">
        <v>5.2741935483870979</v>
      </c>
      <c r="E205" s="13">
        <v>456.5</v>
      </c>
      <c r="F205" s="13">
        <v>0</v>
      </c>
      <c r="G205" s="14">
        <v>394.5</v>
      </c>
      <c r="H205" s="14">
        <v>0</v>
      </c>
      <c r="I205" s="14">
        <v>332.5</v>
      </c>
      <c r="J205" s="14">
        <v>0</v>
      </c>
      <c r="K205" s="14">
        <v>270.5</v>
      </c>
      <c r="L205" s="14">
        <v>0</v>
      </c>
      <c r="M205" s="14">
        <v>208.49999999999994</v>
      </c>
      <c r="N205" s="14">
        <v>0</v>
      </c>
      <c r="O205" s="14">
        <v>148</v>
      </c>
      <c r="P205" s="14">
        <v>1.5</v>
      </c>
      <c r="Q205" s="14">
        <v>96.899999999999991</v>
      </c>
      <c r="R205" s="14">
        <v>12.400000000000002</v>
      </c>
      <c r="S205" s="30">
        <f>'Monthly Data'!F13/'Monthly Data'!G13/'Monthly Data'!BT13</f>
        <v>22.043477832757503</v>
      </c>
      <c r="T205" s="30">
        <f>'Monthly Data'!J13/'Monthly Data'!K13/'Monthly Data'!BT13</f>
        <v>87.079564544040707</v>
      </c>
      <c r="U205" s="31">
        <f>'Monthly Data'!N13/'Monthly Data'!P13/'Monthly Data'!BT13</f>
        <v>2277.3120927463128</v>
      </c>
      <c r="V205" s="30"/>
      <c r="W205" s="14">
        <f t="shared" si="132"/>
        <v>5.2741935483870979</v>
      </c>
      <c r="X205" s="31">
        <f t="shared" si="133"/>
        <v>87.079564544040707</v>
      </c>
      <c r="DP205" s="18">
        <f>'Monthly Data'!F13</f>
        <v>41179905.895886615</v>
      </c>
      <c r="DQ205" s="18">
        <f>'Monthly Data'!J13</f>
        <v>14139805.531532243</v>
      </c>
      <c r="DR205" s="18">
        <f>'Monthly Data'!N13</f>
        <v>72643978.446514621</v>
      </c>
      <c r="DS205" s="18">
        <f t="shared" si="134"/>
        <v>40732575.453201719</v>
      </c>
      <c r="DT205" s="18">
        <f t="shared" si="135"/>
        <v>14154148.151162654</v>
      </c>
      <c r="DU205" s="18">
        <f t="shared" si="136"/>
        <v>69346399.69174993</v>
      </c>
    </row>
    <row r="206" spans="1:125" x14ac:dyDescent="0.2">
      <c r="A206" s="9">
        <v>42370</v>
      </c>
      <c r="B206">
        <v>2016</v>
      </c>
      <c r="C206">
        <v>1</v>
      </c>
      <c r="D206" s="14">
        <v>-2.1612903225806446</v>
      </c>
      <c r="E206" s="13">
        <v>686.99999999999989</v>
      </c>
      <c r="F206" s="13">
        <v>0</v>
      </c>
      <c r="G206" s="14">
        <v>624.99999999999989</v>
      </c>
      <c r="H206" s="14">
        <v>0</v>
      </c>
      <c r="I206" s="14">
        <v>563</v>
      </c>
      <c r="J206" s="14">
        <v>0</v>
      </c>
      <c r="K206" s="14">
        <v>501</v>
      </c>
      <c r="L206" s="14">
        <v>0</v>
      </c>
      <c r="M206" s="14">
        <v>439</v>
      </c>
      <c r="N206" s="14">
        <v>0</v>
      </c>
      <c r="O206" s="14">
        <v>377.00000000000006</v>
      </c>
      <c r="P206" s="14">
        <v>0</v>
      </c>
      <c r="Q206" s="14">
        <v>315</v>
      </c>
      <c r="R206" s="14">
        <v>0</v>
      </c>
      <c r="S206" s="30">
        <f>'Monthly Data'!F14/'Monthly Data'!G14/'Monthly Data'!BT14</f>
        <v>24.204632347360732</v>
      </c>
      <c r="T206" s="30">
        <f>'Monthly Data'!J14/'Monthly Data'!K14/'Monthly Data'!BT14</f>
        <v>92.994182293360112</v>
      </c>
      <c r="U206" s="31">
        <f>'Monthly Data'!N14/'Monthly Data'!P14/'Monthly Data'!BT14</f>
        <v>2464.3621097447444</v>
      </c>
      <c r="V206" s="30"/>
      <c r="W206" s="14">
        <f t="shared" si="132"/>
        <v>-2.1612903225806446</v>
      </c>
      <c r="X206" s="31">
        <f t="shared" si="133"/>
        <v>92.994182293360112</v>
      </c>
      <c r="DP206" s="18">
        <f>'Monthly Data'!F14</f>
        <v>45255473.713757403</v>
      </c>
      <c r="DQ206" s="18">
        <f>'Monthly Data'!J14</f>
        <v>15123271.889639981</v>
      </c>
      <c r="DR206" s="18">
        <f>'Monthly Data'!N14</f>
        <v>78763477.389551774</v>
      </c>
      <c r="DS206" s="18">
        <f t="shared" si="134"/>
        <v>45362695.498291075</v>
      </c>
      <c r="DT206" s="18">
        <f t="shared" si="135"/>
        <v>15408149.86979316</v>
      </c>
      <c r="DU206" s="18">
        <f t="shared" si="136"/>
        <v>73523455.842341274</v>
      </c>
    </row>
    <row r="207" spans="1:125" x14ac:dyDescent="0.2">
      <c r="A207" s="9">
        <v>42401</v>
      </c>
      <c r="B207">
        <v>2016</v>
      </c>
      <c r="C207">
        <v>2</v>
      </c>
      <c r="D207" s="14">
        <v>-0.76896551724137929</v>
      </c>
      <c r="E207" s="13">
        <v>602.29999999999995</v>
      </c>
      <c r="F207" s="13">
        <v>0</v>
      </c>
      <c r="G207" s="14">
        <v>544.29999999999984</v>
      </c>
      <c r="H207" s="14">
        <v>0</v>
      </c>
      <c r="I207" s="14">
        <v>486.3</v>
      </c>
      <c r="J207" s="14">
        <v>0</v>
      </c>
      <c r="K207" s="14">
        <v>428.29999999999995</v>
      </c>
      <c r="L207" s="14">
        <v>0</v>
      </c>
      <c r="M207" s="14">
        <v>370.3</v>
      </c>
      <c r="N207" s="14">
        <v>0</v>
      </c>
      <c r="O207" s="14">
        <v>312.5</v>
      </c>
      <c r="P207" s="14">
        <v>0.19999999999999929</v>
      </c>
      <c r="Q207" s="14">
        <v>257.2</v>
      </c>
      <c r="R207" s="14">
        <v>2.8999999999999986</v>
      </c>
      <c r="S207" s="30">
        <f>'Monthly Data'!F15/'Monthly Data'!G15/'Monthly Data'!BT15</f>
        <v>22.750465967634963</v>
      </c>
      <c r="T207" s="30">
        <f>'Monthly Data'!J15/'Monthly Data'!K15/'Monthly Data'!BT15</f>
        <v>93.954003948620183</v>
      </c>
      <c r="U207" s="31">
        <f>'Monthly Data'!N15/'Monthly Data'!P15/'Monthly Data'!BT15</f>
        <v>2491.4631159803112</v>
      </c>
      <c r="V207" s="30"/>
      <c r="W207" s="14">
        <f t="shared" si="132"/>
        <v>-0.76896551724137929</v>
      </c>
      <c r="X207" s="31">
        <f t="shared" si="133"/>
        <v>93.954003948620183</v>
      </c>
      <c r="DP207" s="18">
        <f>'Monthly Data'!F15</f>
        <v>39790337.472733878</v>
      </c>
      <c r="DQ207" s="18">
        <f>'Monthly Data'!J15</f>
        <v>14350816.425124092</v>
      </c>
      <c r="DR207" s="18">
        <f>'Monthly Data'!N15</f>
        <v>74636760.565422177</v>
      </c>
      <c r="DS207" s="18">
        <f t="shared" si="134"/>
        <v>43902349.609883279</v>
      </c>
      <c r="DT207" s="18">
        <f t="shared" si="135"/>
        <v>15012636.095630739</v>
      </c>
      <c r="DU207" s="18">
        <f t="shared" si="136"/>
        <v>72346948.760624498</v>
      </c>
    </row>
    <row r="208" spans="1:125" x14ac:dyDescent="0.2">
      <c r="A208" s="9">
        <v>42430</v>
      </c>
      <c r="B208">
        <v>2016</v>
      </c>
      <c r="C208">
        <v>3</v>
      </c>
      <c r="D208" s="14">
        <v>3.4451612903225803</v>
      </c>
      <c r="E208" s="13">
        <v>513.20000000000005</v>
      </c>
      <c r="F208" s="13">
        <v>0</v>
      </c>
      <c r="G208" s="14">
        <v>451.2</v>
      </c>
      <c r="H208" s="14">
        <v>0</v>
      </c>
      <c r="I208" s="14">
        <v>389.2</v>
      </c>
      <c r="J208" s="14">
        <v>0</v>
      </c>
      <c r="K208" s="14">
        <v>327.2</v>
      </c>
      <c r="L208" s="14">
        <v>0</v>
      </c>
      <c r="M208" s="14">
        <v>267</v>
      </c>
      <c r="N208" s="14">
        <v>1.8000000000000007</v>
      </c>
      <c r="O208" s="14">
        <v>208.49999999999997</v>
      </c>
      <c r="P208" s="14">
        <v>5.3000000000000007</v>
      </c>
      <c r="Q208" s="14">
        <v>154.29999999999998</v>
      </c>
      <c r="R208" s="14">
        <v>13.100000000000001</v>
      </c>
      <c r="S208" s="30">
        <f>'Monthly Data'!F16/'Monthly Data'!G16/'Monthly Data'!BT16</f>
        <v>21.333089786921459</v>
      </c>
      <c r="T208" s="30">
        <f>'Monthly Data'!J16/'Monthly Data'!K16/'Monthly Data'!BT16</f>
        <v>88.747182995371958</v>
      </c>
      <c r="U208" s="31">
        <f>'Monthly Data'!N16/'Monthly Data'!P16/'Monthly Data'!BT16</f>
        <v>2403.6728252727453</v>
      </c>
      <c r="V208" s="30"/>
      <c r="W208" s="14">
        <f t="shared" si="132"/>
        <v>3.4451612903225803</v>
      </c>
      <c r="X208" s="31">
        <f t="shared" si="133"/>
        <v>88.747182995371958</v>
      </c>
      <c r="DP208" s="18">
        <f>'Monthly Data'!F16</f>
        <v>39893155.231710352</v>
      </c>
      <c r="DQ208" s="18">
        <f>'Monthly Data'!J16</f>
        <v>14493124.960608203</v>
      </c>
      <c r="DR208" s="18">
        <f>'Monthly Data'!N16</f>
        <v>77047328.741292581</v>
      </c>
      <c r="DS208" s="18">
        <f t="shared" si="134"/>
        <v>41871524.722427607</v>
      </c>
      <c r="DT208" s="18">
        <f t="shared" si="135"/>
        <v>14462616.252882175</v>
      </c>
      <c r="DU208" s="18">
        <f t="shared" si="136"/>
        <v>70449945.093980387</v>
      </c>
    </row>
    <row r="209" spans="1:125" x14ac:dyDescent="0.2">
      <c r="A209" s="9">
        <v>42461</v>
      </c>
      <c r="B209">
        <v>2016</v>
      </c>
      <c r="C209">
        <v>4</v>
      </c>
      <c r="D209" s="14">
        <v>4.9666666666666659</v>
      </c>
      <c r="E209" s="13">
        <v>450.99999999999983</v>
      </c>
      <c r="F209" s="13">
        <v>0</v>
      </c>
      <c r="G209" s="14">
        <v>390.99999999999983</v>
      </c>
      <c r="H209" s="14">
        <v>0</v>
      </c>
      <c r="I209" s="14">
        <v>331.7999999999999</v>
      </c>
      <c r="J209" s="14">
        <v>0.80000000000000071</v>
      </c>
      <c r="K209" s="14">
        <v>273.7999999999999</v>
      </c>
      <c r="L209" s="14">
        <v>2.8000000000000007</v>
      </c>
      <c r="M209" s="14">
        <v>216.89999999999998</v>
      </c>
      <c r="N209" s="14">
        <v>5.9</v>
      </c>
      <c r="O209" s="14">
        <v>162.69999999999999</v>
      </c>
      <c r="P209" s="14">
        <v>11.700000000000001</v>
      </c>
      <c r="Q209" s="14">
        <v>113.70000000000002</v>
      </c>
      <c r="R209" s="14">
        <v>22.700000000000003</v>
      </c>
      <c r="S209" s="30">
        <f>'Monthly Data'!F17/'Monthly Data'!G17/'Monthly Data'!BT17</f>
        <v>20.703387539960779</v>
      </c>
      <c r="T209" s="30">
        <f>'Monthly Data'!J17/'Monthly Data'!K17/'Monthly Data'!BT17</f>
        <v>84.854094652821445</v>
      </c>
      <c r="U209" s="31">
        <f>'Monthly Data'!N17/'Monthly Data'!P17/'Monthly Data'!BT17</f>
        <v>2363.1126221308523</v>
      </c>
      <c r="V209" s="30"/>
      <c r="W209" s="14">
        <f t="shared" si="132"/>
        <v>4.9666666666666659</v>
      </c>
      <c r="X209" s="31">
        <f t="shared" si="133"/>
        <v>84.854094652821445</v>
      </c>
      <c r="DP209" s="18">
        <f>'Monthly Data'!F17</f>
        <v>37464228.990686826</v>
      </c>
      <c r="DQ209" s="18">
        <f>'Monthly Data'!J17</f>
        <v>13407795.496092316</v>
      </c>
      <c r="DR209" s="18">
        <f>'Monthly Data'!N17</f>
        <v>73374646.91716297</v>
      </c>
      <c r="DS209" s="18">
        <f t="shared" si="134"/>
        <v>41071795.718142152</v>
      </c>
      <c r="DT209" s="18">
        <f t="shared" si="135"/>
        <v>14209955.571391515</v>
      </c>
      <c r="DU209" s="18">
        <f t="shared" si="136"/>
        <v>69754848.797153905</v>
      </c>
    </row>
    <row r="210" spans="1:125" x14ac:dyDescent="0.2">
      <c r="A210" s="9">
        <v>42491</v>
      </c>
      <c r="B210">
        <v>2016</v>
      </c>
      <c r="C210">
        <v>5</v>
      </c>
      <c r="D210" s="14">
        <v>13.870967741935482</v>
      </c>
      <c r="E210" s="13">
        <v>203.6</v>
      </c>
      <c r="F210" s="13">
        <v>13.599999999999998</v>
      </c>
      <c r="G210" s="14">
        <v>156.09999999999997</v>
      </c>
      <c r="H210" s="14">
        <v>28.099999999999998</v>
      </c>
      <c r="I210" s="14">
        <v>113.69999999999999</v>
      </c>
      <c r="J210" s="14">
        <v>47.699999999999989</v>
      </c>
      <c r="K210" s="14">
        <v>74.600000000000009</v>
      </c>
      <c r="L210" s="14">
        <v>70.599999999999994</v>
      </c>
      <c r="M210" s="14">
        <v>41.900000000000006</v>
      </c>
      <c r="N210" s="14">
        <v>99.899999999999991</v>
      </c>
      <c r="O210" s="14">
        <v>17.299999999999997</v>
      </c>
      <c r="P210" s="14">
        <v>137.30000000000001</v>
      </c>
      <c r="Q210" s="14">
        <v>4.5</v>
      </c>
      <c r="R210" s="14">
        <v>186.50000000000003</v>
      </c>
      <c r="S210" s="30">
        <f>'Monthly Data'!F18/'Monthly Data'!G18/'Monthly Data'!BT18</f>
        <v>22.44852898286576</v>
      </c>
      <c r="T210" s="30">
        <f>'Monthly Data'!J18/'Monthly Data'!K18/'Monthly Data'!BT18</f>
        <v>83.667615386721593</v>
      </c>
      <c r="U210" s="31">
        <f>'Monthly Data'!N18/'Monthly Data'!P18/'Monthly Data'!BT18</f>
        <v>2350.0315129510168</v>
      </c>
      <c r="V210" s="30"/>
      <c r="W210" s="14">
        <f t="shared" si="132"/>
        <v>13.870967741935482</v>
      </c>
      <c r="X210" s="31">
        <f t="shared" si="133"/>
        <v>83.667615386721593</v>
      </c>
      <c r="DP210" s="18">
        <f>'Monthly Data'!F18</f>
        <v>41966514.749663308</v>
      </c>
      <c r="DQ210" s="18">
        <f>'Monthly Data'!J18</f>
        <v>13731027.031576427</v>
      </c>
      <c r="DR210" s="18">
        <f>'Monthly Data'!N18</f>
        <v>75400761.093033373</v>
      </c>
      <c r="DS210" s="18">
        <f t="shared" si="134"/>
        <v>43679266.376997568</v>
      </c>
      <c r="DT210" s="18">
        <f t="shared" si="135"/>
        <v>14042850.581439368</v>
      </c>
      <c r="DU210" s="18">
        <f t="shared" si="136"/>
        <v>70500317.632534638</v>
      </c>
    </row>
    <row r="211" spans="1:125" x14ac:dyDescent="0.2">
      <c r="A211" s="9">
        <v>42522</v>
      </c>
      <c r="B211">
        <v>2016</v>
      </c>
      <c r="C211">
        <v>6</v>
      </c>
      <c r="D211" s="14">
        <v>19.386666666666663</v>
      </c>
      <c r="E211" s="13">
        <v>53</v>
      </c>
      <c r="F211" s="13">
        <v>34.6</v>
      </c>
      <c r="G211" s="14">
        <v>26.500000000000004</v>
      </c>
      <c r="H211" s="14">
        <v>68.099999999999994</v>
      </c>
      <c r="I211" s="14">
        <v>8.5</v>
      </c>
      <c r="J211" s="14">
        <v>110.1</v>
      </c>
      <c r="K211" s="14">
        <v>2</v>
      </c>
      <c r="L211" s="14">
        <v>163.6</v>
      </c>
      <c r="M211" s="14">
        <v>0</v>
      </c>
      <c r="N211" s="14">
        <v>221.60000000000002</v>
      </c>
      <c r="O211" s="14">
        <v>0</v>
      </c>
      <c r="P211" s="14">
        <v>281.60000000000008</v>
      </c>
      <c r="Q211" s="14">
        <v>0</v>
      </c>
      <c r="R211" s="14">
        <v>341.6</v>
      </c>
      <c r="S211" s="30">
        <f>'Monthly Data'!F19/'Monthly Data'!G19/'Monthly Data'!BT19</f>
        <v>28.294535555614392</v>
      </c>
      <c r="T211" s="30">
        <f>'Monthly Data'!J19/'Monthly Data'!K19/'Monthly Data'!BT19</f>
        <v>92.139979527992253</v>
      </c>
      <c r="U211" s="31">
        <f>'Monthly Data'!N19/'Monthly Data'!P19/'Monthly Data'!BT19</f>
        <v>2545.0753555632064</v>
      </c>
      <c r="V211" s="30"/>
      <c r="W211" s="14">
        <f t="shared" si="132"/>
        <v>19.386666666666663</v>
      </c>
      <c r="X211" s="31">
        <f t="shared" si="133"/>
        <v>92.139979527992253</v>
      </c>
      <c r="DP211" s="18">
        <f>'Monthly Data'!F19</f>
        <v>51191605.508639783</v>
      </c>
      <c r="DQ211" s="18">
        <f>'Monthly Data'!J19</f>
        <v>14550745.567060538</v>
      </c>
      <c r="DR211" s="18">
        <f>'Monthly Data'!N19</f>
        <v>78871885.268903777</v>
      </c>
      <c r="DS211" s="18">
        <f t="shared" si="134"/>
        <v>51286177.695237309</v>
      </c>
      <c r="DT211" s="18">
        <f t="shared" si="135"/>
        <v>14905182.727279283</v>
      </c>
      <c r="DU211" s="18">
        <f t="shared" si="136"/>
        <v>74845218.653090551</v>
      </c>
    </row>
    <row r="212" spans="1:125" x14ac:dyDescent="0.2">
      <c r="A212" s="9">
        <v>42552</v>
      </c>
      <c r="B212">
        <v>2016</v>
      </c>
      <c r="C212">
        <v>7</v>
      </c>
      <c r="D212" s="14">
        <v>22.919354838709673</v>
      </c>
      <c r="E212" s="13">
        <v>5.2999999999999972</v>
      </c>
      <c r="F212" s="13">
        <v>95.800000000000026</v>
      </c>
      <c r="G212" s="14">
        <v>0.10000000000000142</v>
      </c>
      <c r="H212" s="14">
        <v>152.60000000000002</v>
      </c>
      <c r="I212" s="14">
        <v>0</v>
      </c>
      <c r="J212" s="14">
        <v>214.50000000000003</v>
      </c>
      <c r="K212" s="14">
        <v>0</v>
      </c>
      <c r="L212" s="14">
        <v>276.5</v>
      </c>
      <c r="M212" s="14">
        <v>0</v>
      </c>
      <c r="N212" s="14">
        <v>338.49999999999994</v>
      </c>
      <c r="O212" s="14">
        <v>0</v>
      </c>
      <c r="P212" s="14">
        <v>400.49999999999983</v>
      </c>
      <c r="Q212" s="14">
        <v>0</v>
      </c>
      <c r="R212" s="14">
        <v>462.49999999999989</v>
      </c>
      <c r="S212" s="30">
        <f>'Monthly Data'!F20/'Monthly Data'!G20/'Monthly Data'!BT20</f>
        <v>33.344972089160983</v>
      </c>
      <c r="T212" s="30">
        <f>'Monthly Data'!J20/'Monthly Data'!K20/'Monthly Data'!BT20</f>
        <v>100.22120929454427</v>
      </c>
      <c r="U212" s="31">
        <f>'Monthly Data'!N20/'Monthly Data'!P20/'Monthly Data'!BT20</f>
        <v>2652.9738080980273</v>
      </c>
      <c r="V212" s="30"/>
      <c r="W212" s="14">
        <f t="shared" si="132"/>
        <v>22.919354838709673</v>
      </c>
      <c r="X212" s="31">
        <f t="shared" si="133"/>
        <v>100.22120929454427</v>
      </c>
      <c r="DP212" s="18">
        <f>'Monthly Data'!F20</f>
        <v>62342093.267616257</v>
      </c>
      <c r="DQ212" s="18">
        <f>'Monthly Data'!J20</f>
        <v>16348284.10254465</v>
      </c>
      <c r="DR212" s="18">
        <f>'Monthly Data'!N20</f>
        <v>85038422.444774166</v>
      </c>
      <c r="DS212" s="18">
        <f t="shared" si="134"/>
        <v>62251019.818281464</v>
      </c>
      <c r="DT212" s="18">
        <f t="shared" si="135"/>
        <v>16420639.467316886</v>
      </c>
      <c r="DU212" s="18">
        <f t="shared" si="136"/>
        <v>80502917.213319927</v>
      </c>
    </row>
    <row r="213" spans="1:125" x14ac:dyDescent="0.2">
      <c r="A213" s="9">
        <v>42583</v>
      </c>
      <c r="B213">
        <v>2016</v>
      </c>
      <c r="C213">
        <v>8</v>
      </c>
      <c r="D213" s="14">
        <v>23.735483870967741</v>
      </c>
      <c r="E213" s="13">
        <v>0.10000000000000142</v>
      </c>
      <c r="F213" s="13">
        <v>115.89999999999998</v>
      </c>
      <c r="G213" s="14">
        <v>0</v>
      </c>
      <c r="H213" s="14">
        <v>177.79999999999998</v>
      </c>
      <c r="I213" s="14">
        <v>0</v>
      </c>
      <c r="J213" s="14">
        <v>239.79999999999998</v>
      </c>
      <c r="K213" s="14">
        <v>0</v>
      </c>
      <c r="L213" s="14">
        <v>301.80000000000007</v>
      </c>
      <c r="M213" s="14">
        <v>0</v>
      </c>
      <c r="N213" s="14">
        <v>363.80000000000007</v>
      </c>
      <c r="O213" s="14">
        <v>0</v>
      </c>
      <c r="P213" s="14">
        <v>425.80000000000007</v>
      </c>
      <c r="Q213" s="14">
        <v>0</v>
      </c>
      <c r="R213" s="14">
        <v>487.80000000000007</v>
      </c>
      <c r="S213" s="30">
        <f>'Monthly Data'!F21/'Monthly Data'!G21/'Monthly Data'!BT21</f>
        <v>32.58262188405881</v>
      </c>
      <c r="T213" s="30">
        <f>'Monthly Data'!J21/'Monthly Data'!K21/'Monthly Data'!BT21</f>
        <v>102.65947895270921</v>
      </c>
      <c r="U213" s="31">
        <f>'Monthly Data'!N21/'Monthly Data'!P21/'Monthly Data'!BT21</f>
        <v>2753.1115811020331</v>
      </c>
      <c r="V213" s="30"/>
      <c r="W213" s="14">
        <f t="shared" si="132"/>
        <v>23.735483870967741</v>
      </c>
      <c r="X213" s="31">
        <f t="shared" si="133"/>
        <v>102.65947895270921</v>
      </c>
      <c r="DP213" s="18">
        <f>'Monthly Data'!F21</f>
        <v>60905685.026592731</v>
      </c>
      <c r="DQ213" s="18">
        <f>'Monthly Data'!J21</f>
        <v>16739654.638028761</v>
      </c>
      <c r="DR213" s="18">
        <f>'Monthly Data'!N21</f>
        <v>88248238.620644569</v>
      </c>
      <c r="DS213" s="18">
        <f t="shared" si="134"/>
        <v>64717157.307397321</v>
      </c>
      <c r="DT213" s="18">
        <f t="shared" si="135"/>
        <v>16762679.657414781</v>
      </c>
      <c r="DU213" s="18">
        <f t="shared" si="136"/>
        <v>81770762.860563532</v>
      </c>
    </row>
    <row r="214" spans="1:125" x14ac:dyDescent="0.2">
      <c r="A214" s="9">
        <v>42614</v>
      </c>
      <c r="B214">
        <v>2016</v>
      </c>
      <c r="C214">
        <v>9</v>
      </c>
      <c r="D214" s="14">
        <v>20.029999999999998</v>
      </c>
      <c r="E214" s="13">
        <v>41.900000000000013</v>
      </c>
      <c r="F214" s="13">
        <v>42.800000000000011</v>
      </c>
      <c r="G214" s="14">
        <v>15.500000000000002</v>
      </c>
      <c r="H214" s="14">
        <v>76.40000000000002</v>
      </c>
      <c r="I214" s="14">
        <v>3.7999999999999989</v>
      </c>
      <c r="J214" s="14">
        <v>124.7</v>
      </c>
      <c r="K214" s="14">
        <v>9.9999999999999645E-2</v>
      </c>
      <c r="L214" s="14">
        <v>181</v>
      </c>
      <c r="M214" s="14">
        <v>0</v>
      </c>
      <c r="N214" s="14">
        <v>240.9</v>
      </c>
      <c r="O214" s="14">
        <v>0</v>
      </c>
      <c r="P214" s="14">
        <v>300.89999999999992</v>
      </c>
      <c r="Q214" s="14">
        <v>0</v>
      </c>
      <c r="R214" s="14">
        <v>360.89999999999992</v>
      </c>
      <c r="S214" s="30">
        <f>'Monthly Data'!F22/'Monthly Data'!G22/'Monthly Data'!BT22</f>
        <v>27.871762149408269</v>
      </c>
      <c r="T214" s="30">
        <f>'Monthly Data'!J22/'Monthly Data'!K22/'Monthly Data'!BT22</f>
        <v>91.283552522364715</v>
      </c>
      <c r="U214" s="31">
        <f>'Monthly Data'!N22/'Monthly Data'!P22/'Monthly Data'!BT22</f>
        <v>2548.4104484193281</v>
      </c>
      <c r="V214" s="30"/>
      <c r="W214" s="14">
        <f t="shared" si="132"/>
        <v>20.029999999999998</v>
      </c>
      <c r="X214" s="31">
        <f t="shared" si="133"/>
        <v>91.283552522364715</v>
      </c>
      <c r="DP214" s="18">
        <f>'Monthly Data'!F22</f>
        <v>50436740.785569206</v>
      </c>
      <c r="DQ214" s="18">
        <f>'Monthly Data'!J22</f>
        <v>14440145.173512874</v>
      </c>
      <c r="DR214" s="18">
        <f>'Monthly Data'!N22</f>
        <v>78975239.796514973</v>
      </c>
      <c r="DS214" s="18">
        <f t="shared" si="134"/>
        <v>52944090.594164625</v>
      </c>
      <c r="DT214" s="18">
        <f t="shared" si="135"/>
        <v>15130083.180463381</v>
      </c>
      <c r="DU214" s="18">
        <f t="shared" si="136"/>
        <v>75717175.738546625</v>
      </c>
    </row>
    <row r="215" spans="1:125" x14ac:dyDescent="0.2">
      <c r="A215" s="9">
        <v>42644</v>
      </c>
      <c r="B215">
        <v>2016</v>
      </c>
      <c r="C215">
        <v>10</v>
      </c>
      <c r="D215" s="14">
        <v>13.20967741935484</v>
      </c>
      <c r="E215" s="13">
        <v>212.29999999999998</v>
      </c>
      <c r="F215" s="13">
        <v>1.7999999999999972</v>
      </c>
      <c r="G215" s="14">
        <v>156.6</v>
      </c>
      <c r="H215" s="14">
        <v>8.1000000000000014</v>
      </c>
      <c r="I215" s="14">
        <v>111.3</v>
      </c>
      <c r="J215" s="14">
        <v>24.799999999999997</v>
      </c>
      <c r="K215" s="14">
        <v>77.199999999999989</v>
      </c>
      <c r="L215" s="14">
        <v>52.699999999999989</v>
      </c>
      <c r="M215" s="14">
        <v>50.1</v>
      </c>
      <c r="N215" s="14">
        <v>87.600000000000009</v>
      </c>
      <c r="O215" s="14">
        <v>26.6</v>
      </c>
      <c r="P215" s="14">
        <v>126.10000000000001</v>
      </c>
      <c r="Q215" s="14">
        <v>10.800000000000002</v>
      </c>
      <c r="R215" s="14">
        <v>172.3</v>
      </c>
      <c r="S215" s="30">
        <f>'Monthly Data'!F23/'Monthly Data'!G23/'Monthly Data'!BT23</f>
        <v>22.396063610514759</v>
      </c>
      <c r="T215" s="30">
        <f>'Monthly Data'!J23/'Monthly Data'!K23/'Monthly Data'!BT23</f>
        <v>81.595715074117678</v>
      </c>
      <c r="U215" s="31">
        <f>'Monthly Data'!N23/'Monthly Data'!P23/'Monthly Data'!BT23</f>
        <v>2314.6955403034426</v>
      </c>
      <c r="V215" s="30"/>
      <c r="W215" s="14">
        <f t="shared" si="132"/>
        <v>13.20967741935484</v>
      </c>
      <c r="X215" s="31">
        <f t="shared" si="133"/>
        <v>81.595715074117678</v>
      </c>
      <c r="DP215" s="18">
        <f>'Monthly Data'!F23</f>
        <v>41879541.544545688</v>
      </c>
      <c r="DQ215" s="18">
        <f>'Monthly Data'!J23</f>
        <v>13350527.708996985</v>
      </c>
      <c r="DR215" s="18">
        <f>'Monthly Data'!N23</f>
        <v>74338761.972385362</v>
      </c>
      <c r="DS215" s="18">
        <f t="shared" si="134"/>
        <v>41986676.68511764</v>
      </c>
      <c r="DT215" s="18">
        <f t="shared" si="135"/>
        <v>13814998.688873304</v>
      </c>
      <c r="DU215" s="18">
        <f t="shared" si="136"/>
        <v>69772940.213796422</v>
      </c>
    </row>
    <row r="216" spans="1:125" x14ac:dyDescent="0.2">
      <c r="A216" s="9">
        <v>42675</v>
      </c>
      <c r="B216">
        <v>2016</v>
      </c>
      <c r="C216">
        <v>11</v>
      </c>
      <c r="D216" s="14">
        <v>8.2366666666666628</v>
      </c>
      <c r="E216" s="13">
        <v>352.90000000000003</v>
      </c>
      <c r="F216" s="13">
        <v>0</v>
      </c>
      <c r="G216" s="14">
        <v>292.90000000000003</v>
      </c>
      <c r="H216" s="14">
        <v>0</v>
      </c>
      <c r="I216" s="14">
        <v>232.90000000000003</v>
      </c>
      <c r="J216" s="14">
        <v>0</v>
      </c>
      <c r="K216" s="14">
        <v>174.8</v>
      </c>
      <c r="L216" s="14">
        <v>1.9000000000000004</v>
      </c>
      <c r="M216" s="14">
        <v>121.3</v>
      </c>
      <c r="N216" s="14">
        <v>8.3999999999999986</v>
      </c>
      <c r="O216" s="14">
        <v>76.000000000000014</v>
      </c>
      <c r="P216" s="14">
        <v>23.099999999999998</v>
      </c>
      <c r="Q216" s="14">
        <v>45.8</v>
      </c>
      <c r="R216" s="14">
        <v>52.900000000000006</v>
      </c>
      <c r="S216" s="30">
        <f>'Monthly Data'!F24/'Monthly Data'!G24/'Monthly Data'!BT24</f>
        <v>20.975497723380652</v>
      </c>
      <c r="T216" s="30">
        <f>'Monthly Data'!J24/'Monthly Data'!K24/'Monthly Data'!BT24</f>
        <v>84.545886777910511</v>
      </c>
      <c r="U216" s="31">
        <f>'Monthly Data'!N24/'Monthly Data'!P24/'Monthly Data'!BT24</f>
        <v>2344.1964011665304</v>
      </c>
      <c r="V216" s="30"/>
      <c r="W216" s="14">
        <f t="shared" si="132"/>
        <v>8.2366666666666628</v>
      </c>
      <c r="X216" s="31">
        <f t="shared" si="133"/>
        <v>84.545886777910511</v>
      </c>
      <c r="DP216" s="18">
        <f>'Monthly Data'!F24</f>
        <v>37972992.303522162</v>
      </c>
      <c r="DQ216" s="18">
        <f>'Monthly Data'!J24</f>
        <v>13437723.244481096</v>
      </c>
      <c r="DR216" s="18">
        <f>'Monthly Data'!N24</f>
        <v>72857624.148255765</v>
      </c>
      <c r="DS216" s="18">
        <f t="shared" si="134"/>
        <v>38995425.925878838</v>
      </c>
      <c r="DT216" s="18">
        <f t="shared" si="135"/>
        <v>13659193.035558665</v>
      </c>
      <c r="DU216" s="18">
        <f t="shared" si="136"/>
        <v>68128303.165730044</v>
      </c>
    </row>
    <row r="217" spans="1:125" x14ac:dyDescent="0.2">
      <c r="A217" s="9">
        <v>42705</v>
      </c>
      <c r="B217">
        <v>2016</v>
      </c>
      <c r="C217">
        <v>12</v>
      </c>
      <c r="D217" s="14">
        <v>-3.2258064516129135E-2</v>
      </c>
      <c r="E217" s="13">
        <v>621</v>
      </c>
      <c r="F217" s="13">
        <v>0</v>
      </c>
      <c r="G217" s="14">
        <v>559</v>
      </c>
      <c r="H217" s="14">
        <v>0</v>
      </c>
      <c r="I217" s="14">
        <v>497</v>
      </c>
      <c r="J217" s="14">
        <v>0</v>
      </c>
      <c r="K217" s="14">
        <v>435.00000000000006</v>
      </c>
      <c r="L217" s="14">
        <v>0</v>
      </c>
      <c r="M217" s="14">
        <v>373</v>
      </c>
      <c r="N217" s="14">
        <v>0</v>
      </c>
      <c r="O217" s="14">
        <v>311</v>
      </c>
      <c r="P217" s="14">
        <v>0</v>
      </c>
      <c r="Q217" s="14">
        <v>249</v>
      </c>
      <c r="R217" s="14">
        <v>0</v>
      </c>
      <c r="S217" s="30">
        <f>'Monthly Data'!F25/'Monthly Data'!G25/'Monthly Data'!BT25</f>
        <v>23.328873227296949</v>
      </c>
      <c r="T217" s="30">
        <f>'Monthly Data'!J25/'Monthly Data'!K25/'Monthly Data'!BT25</f>
        <v>90.81345362843976</v>
      </c>
      <c r="U217" s="31">
        <f>'Monthly Data'!N25/'Monthly Data'!P25/'Monthly Data'!BT25</f>
        <v>2343.9056334576585</v>
      </c>
      <c r="V217" s="30"/>
      <c r="W217" s="14">
        <f t="shared" si="132"/>
        <v>-3.2258064516129135E-2</v>
      </c>
      <c r="X217" s="31">
        <f t="shared" si="133"/>
        <v>90.81345362843976</v>
      </c>
      <c r="DP217" s="18">
        <f>'Monthly Data'!F25</f>
        <v>43646992.062498637</v>
      </c>
      <c r="DQ217" s="18">
        <f>'Monthly Data'!J25</f>
        <v>14912204.779965209</v>
      </c>
      <c r="DR217" s="18">
        <f>'Monthly Data'!N25</f>
        <v>75276873.324126154</v>
      </c>
      <c r="DS217" s="18">
        <f t="shared" si="134"/>
        <v>44036934.444165707</v>
      </c>
      <c r="DT217" s="18">
        <f t="shared" si="135"/>
        <v>15049086.470966205</v>
      </c>
      <c r="DU217" s="18">
        <f t="shared" si="136"/>
        <v>72319588.13081713</v>
      </c>
    </row>
    <row r="218" spans="1:125" x14ac:dyDescent="0.2">
      <c r="A218" s="9">
        <v>42736</v>
      </c>
      <c r="B218">
        <v>2017</v>
      </c>
      <c r="C218">
        <v>1</v>
      </c>
      <c r="D218" s="14">
        <v>-0.34193548387096795</v>
      </c>
      <c r="E218" s="13">
        <v>630.59999999999991</v>
      </c>
      <c r="F218" s="13">
        <v>0</v>
      </c>
      <c r="G218" s="14">
        <v>568.60000000000014</v>
      </c>
      <c r="H218" s="14">
        <v>0</v>
      </c>
      <c r="I218" s="14">
        <v>506.60000000000014</v>
      </c>
      <c r="J218" s="14">
        <v>0</v>
      </c>
      <c r="K218" s="14">
        <v>444.60000000000008</v>
      </c>
      <c r="L218" s="14">
        <v>0</v>
      </c>
      <c r="M218" s="14">
        <v>382.60000000000008</v>
      </c>
      <c r="N218" s="14">
        <v>0</v>
      </c>
      <c r="O218" s="14">
        <v>320.59999999999997</v>
      </c>
      <c r="P218" s="14">
        <v>0</v>
      </c>
      <c r="Q218" s="14">
        <v>258.59999999999997</v>
      </c>
      <c r="R218" s="14">
        <v>0</v>
      </c>
      <c r="S218" s="30">
        <f>'Monthly Data'!F26/'Monthly Data'!G26/'Monthly Data'!BT26</f>
        <v>23.744852769893125</v>
      </c>
      <c r="T218" s="30">
        <f>'Monthly Data'!J26/'Monthly Data'!K26/'Monthly Data'!BT26</f>
        <v>94.603819985466984</v>
      </c>
      <c r="U218" s="31">
        <f>'Monthly Data'!N26/'Monthly Data'!P26/'Monthly Data'!BT26</f>
        <v>2425.1888900609074</v>
      </c>
      <c r="V218" s="30"/>
      <c r="W218" s="14">
        <f t="shared" si="132"/>
        <v>-0.34193548387096795</v>
      </c>
      <c r="X218" s="31">
        <f t="shared" si="133"/>
        <v>94.603819985466984</v>
      </c>
      <c r="DP218" s="18">
        <f>'Monthly Data'!F26</f>
        <v>44428210.437605619</v>
      </c>
      <c r="DQ218" s="18">
        <f>'Monthly Data'!J26</f>
        <v>15552205.778870873</v>
      </c>
      <c r="DR218" s="18">
        <f>'Monthly Data'!N26</f>
        <v>77812185.537604213</v>
      </c>
      <c r="DS218" s="18">
        <f t="shared" si="134"/>
        <v>44229772.41567485</v>
      </c>
      <c r="DT218" s="18">
        <f t="shared" si="135"/>
        <v>15101313.874431944</v>
      </c>
      <c r="DU218" s="18">
        <f t="shared" si="136"/>
        <v>72494696.161584273</v>
      </c>
    </row>
    <row r="219" spans="1:125" x14ac:dyDescent="0.2">
      <c r="A219" s="9">
        <v>42767</v>
      </c>
      <c r="B219">
        <v>2017</v>
      </c>
      <c r="C219">
        <v>2</v>
      </c>
      <c r="D219" s="14">
        <v>1.1714285714285715</v>
      </c>
      <c r="E219" s="13">
        <v>527.19999999999982</v>
      </c>
      <c r="F219" s="13">
        <v>0</v>
      </c>
      <c r="G219" s="14">
        <v>471.19999999999987</v>
      </c>
      <c r="H219" s="14">
        <v>0</v>
      </c>
      <c r="I219" s="14">
        <v>415.19999999999987</v>
      </c>
      <c r="J219" s="14">
        <v>0</v>
      </c>
      <c r="K219" s="14">
        <v>359.19999999999993</v>
      </c>
      <c r="L219" s="14">
        <v>0</v>
      </c>
      <c r="M219" s="14">
        <v>303.19999999999993</v>
      </c>
      <c r="N219" s="14">
        <v>0</v>
      </c>
      <c r="O219" s="14">
        <v>247.7</v>
      </c>
      <c r="P219" s="14">
        <v>0.5</v>
      </c>
      <c r="Q219" s="14">
        <v>193.8</v>
      </c>
      <c r="R219" s="14">
        <v>2.5999999999999996</v>
      </c>
      <c r="S219" s="30">
        <f>'Monthly Data'!F27/'Monthly Data'!G27/'Monthly Data'!BT27</f>
        <v>22.459257495156141</v>
      </c>
      <c r="T219" s="30">
        <f>'Monthly Data'!J27/'Monthly Data'!K27/'Monthly Data'!BT27</f>
        <v>92.755773206016201</v>
      </c>
      <c r="U219" s="31">
        <f>'Monthly Data'!N27/'Monthly Data'!P27/'Monthly Data'!BT27</f>
        <v>2492.0593603736925</v>
      </c>
      <c r="V219" s="30"/>
      <c r="W219" s="14">
        <f t="shared" si="132"/>
        <v>1.1714285714285715</v>
      </c>
      <c r="X219" s="31">
        <f t="shared" si="133"/>
        <v>92.755773206016201</v>
      </c>
      <c r="DP219" s="18">
        <f>'Monthly Data'!F27</f>
        <v>38008250.644202635</v>
      </c>
      <c r="DQ219" s="18">
        <f>'Monthly Data'!J27</f>
        <v>13871440.371413311</v>
      </c>
      <c r="DR219" s="18">
        <f>'Monthly Data'!N27</f>
        <v>69707884.42837292</v>
      </c>
      <c r="DS219" s="18">
        <f t="shared" si="134"/>
        <v>42514317.960791416</v>
      </c>
      <c r="DT219" s="18">
        <f t="shared" si="135"/>
        <v>14636707.597767971</v>
      </c>
      <c r="DU219" s="18">
        <f t="shared" si="136"/>
        <v>71164969.55294624</v>
      </c>
    </row>
    <row r="220" spans="1:125" x14ac:dyDescent="0.2">
      <c r="A220" s="9">
        <v>42795</v>
      </c>
      <c r="B220">
        <v>2017</v>
      </c>
      <c r="C220">
        <v>3</v>
      </c>
      <c r="D220" s="14">
        <v>0.54193548387096779</v>
      </c>
      <c r="E220" s="13">
        <v>603.20000000000005</v>
      </c>
      <c r="F220" s="13">
        <v>0</v>
      </c>
      <c r="G220" s="14">
        <v>541.20000000000005</v>
      </c>
      <c r="H220" s="14">
        <v>0</v>
      </c>
      <c r="I220" s="14">
        <v>479.2</v>
      </c>
      <c r="J220" s="14">
        <v>0</v>
      </c>
      <c r="K220" s="14">
        <v>417.20000000000005</v>
      </c>
      <c r="L220" s="14">
        <v>0</v>
      </c>
      <c r="M220" s="14">
        <v>355.20000000000005</v>
      </c>
      <c r="N220" s="14">
        <v>0</v>
      </c>
      <c r="O220" s="14">
        <v>293.40000000000003</v>
      </c>
      <c r="P220" s="14">
        <v>0.19999999999999929</v>
      </c>
      <c r="Q220" s="14">
        <v>234.70000000000002</v>
      </c>
      <c r="R220" s="14">
        <v>3.4999999999999982</v>
      </c>
      <c r="S220" s="30">
        <f>'Monthly Data'!F28/'Monthly Data'!G28/'Monthly Data'!BT28</f>
        <v>21.205430583578739</v>
      </c>
      <c r="T220" s="30">
        <f>'Monthly Data'!J28/'Monthly Data'!K28/'Monthly Data'!BT28</f>
        <v>89.59679209161574</v>
      </c>
      <c r="U220" s="31">
        <f>'Monthly Data'!N28/'Monthly Data'!P28/'Monthly Data'!BT28</f>
        <v>2483.7874941658588</v>
      </c>
      <c r="V220" s="30"/>
      <c r="W220" s="14">
        <f t="shared" si="132"/>
        <v>0.54193548387096779</v>
      </c>
      <c r="X220" s="31">
        <f t="shared" si="133"/>
        <v>89.59679209161574</v>
      </c>
      <c r="DP220" s="18">
        <f>'Monthly Data'!F28</f>
        <v>39754350.85079965</v>
      </c>
      <c r="DQ220" s="18">
        <f>'Monthly Data'!J28</f>
        <v>14837407.963955749</v>
      </c>
      <c r="DR220" s="18">
        <f>'Monthly Data'!N28</f>
        <v>76997412.319141626</v>
      </c>
      <c r="DS220" s="18">
        <f t="shared" si="134"/>
        <v>43679380.705325834</v>
      </c>
      <c r="DT220" s="18">
        <f t="shared" si="135"/>
        <v>14952248.160373479</v>
      </c>
      <c r="DU220" s="18">
        <f t="shared" si="136"/>
        <v>71998556.741077363</v>
      </c>
    </row>
    <row r="221" spans="1:125" x14ac:dyDescent="0.2">
      <c r="A221" s="9">
        <v>42826</v>
      </c>
      <c r="B221">
        <v>2017</v>
      </c>
      <c r="C221">
        <v>4</v>
      </c>
      <c r="D221" s="14">
        <v>8.9300000000000015</v>
      </c>
      <c r="E221" s="13">
        <v>332.09999999999991</v>
      </c>
      <c r="F221" s="13">
        <v>0</v>
      </c>
      <c r="G221" s="14">
        <v>272.09999999999997</v>
      </c>
      <c r="H221" s="14">
        <v>0</v>
      </c>
      <c r="I221" s="14">
        <v>213</v>
      </c>
      <c r="J221" s="14">
        <v>0.89999999999999858</v>
      </c>
      <c r="K221" s="14">
        <v>156.79999999999998</v>
      </c>
      <c r="L221" s="14">
        <v>4.6999999999999993</v>
      </c>
      <c r="M221" s="14">
        <v>107.10000000000002</v>
      </c>
      <c r="N221" s="14">
        <v>15</v>
      </c>
      <c r="O221" s="14">
        <v>65.800000000000011</v>
      </c>
      <c r="P221" s="14">
        <v>33.700000000000003</v>
      </c>
      <c r="Q221" s="14">
        <v>29.499999999999996</v>
      </c>
      <c r="R221" s="14">
        <v>57.4</v>
      </c>
      <c r="S221" s="30">
        <f>'Monthly Data'!F29/'Monthly Data'!G29/'Monthly Data'!BT29</f>
        <v>19.596655728859925</v>
      </c>
      <c r="T221" s="30">
        <f>'Monthly Data'!J29/'Monthly Data'!K29/'Monthly Data'!BT29</f>
        <v>83.524560606899868</v>
      </c>
      <c r="U221" s="31">
        <f>'Monthly Data'!N29/'Monthly Data'!P29/'Monthly Data'!BT29</f>
        <v>2323.1940069970105</v>
      </c>
      <c r="V221" s="30"/>
      <c r="W221" s="14">
        <f t="shared" si="132"/>
        <v>8.9300000000000015</v>
      </c>
      <c r="X221" s="31">
        <f t="shared" si="133"/>
        <v>83.524560606899868</v>
      </c>
      <c r="DP221" s="18">
        <f>'Monthly Data'!F29</f>
        <v>35550881.057396658</v>
      </c>
      <c r="DQ221" s="18">
        <f>'Monthly Data'!J29</f>
        <v>13390657.556498185</v>
      </c>
      <c r="DR221" s="18">
        <f>'Monthly Data'!N29</f>
        <v>69695820.209910318</v>
      </c>
      <c r="DS221" s="18">
        <f t="shared" si="134"/>
        <v>38906786.941533357</v>
      </c>
      <c r="DT221" s="18">
        <f t="shared" si="135"/>
        <v>13599120.904347919</v>
      </c>
      <c r="DU221" s="18">
        <f t="shared" si="136"/>
        <v>68082565.816331714</v>
      </c>
    </row>
    <row r="222" spans="1:125" x14ac:dyDescent="0.2">
      <c r="A222" s="9">
        <v>42856</v>
      </c>
      <c r="B222">
        <v>2017</v>
      </c>
      <c r="C222">
        <v>5</v>
      </c>
      <c r="D222" s="14">
        <v>11.783870967741937</v>
      </c>
      <c r="E222" s="13">
        <v>258.59999999999997</v>
      </c>
      <c r="F222" s="13">
        <v>3.8999999999999986</v>
      </c>
      <c r="G222" s="14">
        <v>200.5</v>
      </c>
      <c r="H222" s="14">
        <v>7.7999999999999972</v>
      </c>
      <c r="I222" s="14">
        <v>147.99999999999997</v>
      </c>
      <c r="J222" s="14">
        <v>17.299999999999997</v>
      </c>
      <c r="K222" s="14">
        <v>98.600000000000009</v>
      </c>
      <c r="L222" s="14">
        <v>29.9</v>
      </c>
      <c r="M222" s="14">
        <v>57.899999999999991</v>
      </c>
      <c r="N222" s="14">
        <v>51.199999999999996</v>
      </c>
      <c r="O222" s="14">
        <v>25.700000000000003</v>
      </c>
      <c r="P222" s="14">
        <v>81</v>
      </c>
      <c r="Q222" s="14">
        <v>6.8000000000000007</v>
      </c>
      <c r="R222" s="14">
        <v>124.1</v>
      </c>
      <c r="S222" s="30">
        <f>'Monthly Data'!F30/'Monthly Data'!G30/'Monthly Data'!BT30</f>
        <v>20.532773287554342</v>
      </c>
      <c r="T222" s="30">
        <f>'Monthly Data'!J30/'Monthly Data'!K30/'Monthly Data'!BT30</f>
        <v>82.172482796145601</v>
      </c>
      <c r="U222" s="31">
        <f>'Monthly Data'!N30/'Monthly Data'!P30/'Monthly Data'!BT30</f>
        <v>2384.9183065544703</v>
      </c>
      <c r="V222" s="30"/>
      <c r="W222" s="14">
        <f t="shared" si="132"/>
        <v>11.783870967741937</v>
      </c>
      <c r="X222" s="31">
        <f t="shared" si="133"/>
        <v>82.172482796145601</v>
      </c>
      <c r="DP222" s="18">
        <f>'Monthly Data'!F30</f>
        <v>38527675.263993673</v>
      </c>
      <c r="DQ222" s="18">
        <f>'Monthly Data'!J30</f>
        <v>13605380.149040623</v>
      </c>
      <c r="DR222" s="18">
        <f>'Monthly Data'!N30</f>
        <v>73710670.100679025</v>
      </c>
      <c r="DS222" s="18">
        <f t="shared" si="134"/>
        <v>40194096.649366662</v>
      </c>
      <c r="DT222" s="18">
        <f t="shared" si="135"/>
        <v>13623180.523424499</v>
      </c>
      <c r="DU222" s="18">
        <f t="shared" si="136"/>
        <v>68613959.37910749</v>
      </c>
    </row>
    <row r="223" spans="1:125" x14ac:dyDescent="0.2">
      <c r="A223" s="9">
        <v>42887</v>
      </c>
      <c r="B223">
        <v>2017</v>
      </c>
      <c r="C223">
        <v>6</v>
      </c>
      <c r="D223" s="14">
        <v>19.303333333333331</v>
      </c>
      <c r="E223" s="13">
        <v>57.4</v>
      </c>
      <c r="F223" s="13">
        <v>36.5</v>
      </c>
      <c r="G223" s="14">
        <v>29.300000000000004</v>
      </c>
      <c r="H223" s="14">
        <v>68.399999999999991</v>
      </c>
      <c r="I223" s="14">
        <v>8.9000000000000021</v>
      </c>
      <c r="J223" s="14">
        <v>107.99999999999999</v>
      </c>
      <c r="K223" s="14">
        <v>0</v>
      </c>
      <c r="L223" s="14">
        <v>159.10000000000002</v>
      </c>
      <c r="M223" s="14">
        <v>0</v>
      </c>
      <c r="N223" s="14">
        <v>219.10000000000002</v>
      </c>
      <c r="O223" s="14">
        <v>0</v>
      </c>
      <c r="P223" s="14">
        <v>279.10000000000002</v>
      </c>
      <c r="Q223" s="14">
        <v>0</v>
      </c>
      <c r="R223" s="14">
        <v>339.09999999999997</v>
      </c>
      <c r="S223" s="30">
        <f>'Monthly Data'!F31/'Monthly Data'!G31/'Monthly Data'!BT31</f>
        <v>25.884280418272628</v>
      </c>
      <c r="T223" s="30">
        <f>'Monthly Data'!J31/'Monthly Data'!K31/'Monthly Data'!BT31</f>
        <v>88.702701764269605</v>
      </c>
      <c r="U223" s="31">
        <f>'Monthly Data'!N31/'Monthly Data'!P31/'Monthly Data'!BT31</f>
        <v>2562.2117546269637</v>
      </c>
      <c r="V223" s="30"/>
      <c r="W223" s="14">
        <f t="shared" si="132"/>
        <v>19.303333333333331</v>
      </c>
      <c r="X223" s="31">
        <f t="shared" si="133"/>
        <v>88.702701764269605</v>
      </c>
      <c r="DP223" s="18">
        <f>'Monthly Data'!F31</f>
        <v>46993946.470590688</v>
      </c>
      <c r="DQ223" s="18">
        <f>'Monthly Data'!J31</f>
        <v>14207511.74158306</v>
      </c>
      <c r="DR223" s="18">
        <f>'Monthly Data'!N31</f>
        <v>76943218.991447717</v>
      </c>
      <c r="DS223" s="18">
        <f t="shared" si="134"/>
        <v>50807362.062463231</v>
      </c>
      <c r="DT223" s="18">
        <f t="shared" si="135"/>
        <v>14833464.830261845</v>
      </c>
      <c r="DU223" s="18">
        <f t="shared" si="136"/>
        <v>74619712.510300189</v>
      </c>
    </row>
    <row r="224" spans="1:125" x14ac:dyDescent="0.2">
      <c r="A224" s="9">
        <v>42917</v>
      </c>
      <c r="B224">
        <v>2017</v>
      </c>
      <c r="C224">
        <v>7</v>
      </c>
      <c r="D224" s="14">
        <v>21.661290322580644</v>
      </c>
      <c r="E224" s="13">
        <v>5.3999999999999986</v>
      </c>
      <c r="F224" s="13">
        <v>56.9</v>
      </c>
      <c r="G224" s="14">
        <v>0</v>
      </c>
      <c r="H224" s="14">
        <v>113.49999999999997</v>
      </c>
      <c r="I224" s="14">
        <v>0</v>
      </c>
      <c r="J224" s="14">
        <v>175.5</v>
      </c>
      <c r="K224" s="14">
        <v>0</v>
      </c>
      <c r="L224" s="14">
        <v>237.5</v>
      </c>
      <c r="M224" s="14">
        <v>0</v>
      </c>
      <c r="N224" s="14">
        <v>299.50000000000006</v>
      </c>
      <c r="O224" s="14">
        <v>0</v>
      </c>
      <c r="P224" s="14">
        <v>361.50000000000011</v>
      </c>
      <c r="Q224" s="14">
        <v>0</v>
      </c>
      <c r="R224" s="14">
        <v>423.50000000000011</v>
      </c>
      <c r="S224" s="30">
        <f>'Monthly Data'!F32/'Monthly Data'!G32/'Monthly Data'!BT32</f>
        <v>29.454650402412913</v>
      </c>
      <c r="T224" s="30">
        <f>'Monthly Data'!J32/'Monthly Data'!K32/'Monthly Data'!BT32</f>
        <v>93.889598083528242</v>
      </c>
      <c r="U224" s="31">
        <f>'Monthly Data'!N32/'Monthly Data'!P32/'Monthly Data'!BT32</f>
        <v>2603.4613735366706</v>
      </c>
      <c r="V224" s="30"/>
      <c r="W224" s="14">
        <f t="shared" si="132"/>
        <v>21.661290322580644</v>
      </c>
      <c r="X224" s="31">
        <f t="shared" si="133"/>
        <v>93.889598083528242</v>
      </c>
      <c r="DP224" s="18">
        <f>'Monthly Data'!F32</f>
        <v>55250414.677187696</v>
      </c>
      <c r="DQ224" s="18">
        <f>'Monthly Data'!J32</f>
        <v>15533752.334125496</v>
      </c>
      <c r="DR224" s="18">
        <f>'Monthly Data'!N32</f>
        <v>80788009.882216424</v>
      </c>
      <c r="DS224" s="18">
        <f t="shared" si="134"/>
        <v>58449464.005019873</v>
      </c>
      <c r="DT224" s="18">
        <f t="shared" si="135"/>
        <v>15893383.838312231</v>
      </c>
      <c r="DU224" s="18">
        <f t="shared" si="136"/>
        <v>78548530.642470092</v>
      </c>
    </row>
    <row r="225" spans="1:125" x14ac:dyDescent="0.2">
      <c r="A225" s="9">
        <v>42948</v>
      </c>
      <c r="B225">
        <v>2017</v>
      </c>
      <c r="C225">
        <v>8</v>
      </c>
      <c r="D225" s="14">
        <v>20.522580645161295</v>
      </c>
      <c r="E225" s="13">
        <v>26.599999999999994</v>
      </c>
      <c r="F225" s="13">
        <v>42.8</v>
      </c>
      <c r="G225" s="14">
        <v>7.1999999999999993</v>
      </c>
      <c r="H225" s="14">
        <v>85.4</v>
      </c>
      <c r="I225" s="14">
        <v>0</v>
      </c>
      <c r="J225" s="14">
        <v>140.19999999999999</v>
      </c>
      <c r="K225" s="14">
        <v>0</v>
      </c>
      <c r="L225" s="14">
        <v>202.19999999999996</v>
      </c>
      <c r="M225" s="14">
        <v>0</v>
      </c>
      <c r="N225" s="14">
        <v>264.2</v>
      </c>
      <c r="O225" s="14">
        <v>0</v>
      </c>
      <c r="P225" s="14">
        <v>326.2</v>
      </c>
      <c r="Q225" s="14">
        <v>0</v>
      </c>
      <c r="R225" s="14">
        <v>388.2</v>
      </c>
      <c r="S225" s="30">
        <f>'Monthly Data'!F33/'Monthly Data'!G33/'Monthly Data'!BT33</f>
        <v>27.724785645811597</v>
      </c>
      <c r="T225" s="30">
        <f>'Monthly Data'!J33/'Monthly Data'!K33/'Monthly Data'!BT33</f>
        <v>91.513786499589131</v>
      </c>
      <c r="U225" s="31">
        <f>'Monthly Data'!N33/'Monthly Data'!P33/'Monthly Data'!BT33</f>
        <v>2599.3840310664195</v>
      </c>
      <c r="V225" s="30"/>
      <c r="W225" s="14">
        <f t="shared" si="132"/>
        <v>20.522580645161295</v>
      </c>
      <c r="X225" s="31">
        <f t="shared" si="133"/>
        <v>91.513786499589131</v>
      </c>
      <c r="DP225" s="18">
        <f>'Monthly Data'!F33</f>
        <v>52000413.883784711</v>
      </c>
      <c r="DQ225" s="18">
        <f>'Monthly Data'!J33</f>
        <v>15160539.926667934</v>
      </c>
      <c r="DR225" s="18">
        <f>'Monthly Data'!N33</f>
        <v>80742066.772985116</v>
      </c>
      <c r="DS225" s="18">
        <f t="shared" si="134"/>
        <v>55008568.615067706</v>
      </c>
      <c r="DT225" s="18">
        <f t="shared" si="135"/>
        <v>15416149.897187503</v>
      </c>
      <c r="DU225" s="18">
        <f t="shared" si="136"/>
        <v>76779560.233470127</v>
      </c>
    </row>
    <row r="226" spans="1:125" x14ac:dyDescent="0.2">
      <c r="A226" s="9">
        <v>42979</v>
      </c>
      <c r="B226">
        <v>2017</v>
      </c>
      <c r="C226">
        <v>9</v>
      </c>
      <c r="D226" s="14">
        <v>18.610000000000003</v>
      </c>
      <c r="E226" s="13">
        <v>72.199999999999989</v>
      </c>
      <c r="F226" s="13">
        <v>30.500000000000004</v>
      </c>
      <c r="G226" s="14">
        <v>41.699999999999996</v>
      </c>
      <c r="H226" s="14">
        <v>60</v>
      </c>
      <c r="I226" s="14">
        <v>18.599999999999998</v>
      </c>
      <c r="J226" s="14">
        <v>96.9</v>
      </c>
      <c r="K226" s="14">
        <v>4.0999999999999996</v>
      </c>
      <c r="L226" s="14">
        <v>142.4</v>
      </c>
      <c r="M226" s="14">
        <v>1</v>
      </c>
      <c r="N226" s="14">
        <v>199.29999999999998</v>
      </c>
      <c r="O226" s="14">
        <v>0</v>
      </c>
      <c r="P226" s="14">
        <v>258.29999999999995</v>
      </c>
      <c r="Q226" s="14">
        <v>0</v>
      </c>
      <c r="R226" s="14">
        <v>318.3</v>
      </c>
      <c r="S226" s="30">
        <f>'Monthly Data'!F34/'Monthly Data'!G34/'Monthly Data'!BT34</f>
        <v>25.057632525719708</v>
      </c>
      <c r="T226" s="30">
        <f>'Monthly Data'!J34/'Monthly Data'!K34/'Monthly Data'!BT34</f>
        <v>88.499467409410428</v>
      </c>
      <c r="U226" s="31">
        <f>'Monthly Data'!N34/'Monthly Data'!P34/'Monthly Data'!BT34</f>
        <v>2555.5769784799804</v>
      </c>
      <c r="V226" s="30"/>
      <c r="W226" s="14">
        <f t="shared" ref="W226:W257" si="137">D226</f>
        <v>18.610000000000003</v>
      </c>
      <c r="X226" s="31">
        <f t="shared" ref="X226:X257" si="138">T226</f>
        <v>88.499467409410428</v>
      </c>
      <c r="DP226" s="18">
        <f>'Monthly Data'!F34</f>
        <v>45504410.090381727</v>
      </c>
      <c r="DQ226" s="18">
        <f>'Monthly Data'!J34</f>
        <v>14204164.519210372</v>
      </c>
      <c r="DR226" s="18">
        <f>'Monthly Data'!N34</f>
        <v>76743976.663753822</v>
      </c>
      <c r="DS226" s="18">
        <f t="shared" si="134"/>
        <v>49261874.251731962</v>
      </c>
      <c r="DT226" s="18">
        <f t="shared" si="135"/>
        <v>14629996.719610523</v>
      </c>
      <c r="DU226" s="18">
        <f t="shared" si="136"/>
        <v>73782834.158167049</v>
      </c>
    </row>
    <row r="227" spans="1:125" x14ac:dyDescent="0.2">
      <c r="A227" s="9">
        <v>43009</v>
      </c>
      <c r="B227">
        <v>2017</v>
      </c>
      <c r="C227">
        <v>10</v>
      </c>
      <c r="D227" s="14">
        <v>14.658064516129036</v>
      </c>
      <c r="E227" s="13">
        <v>167.79999999999998</v>
      </c>
      <c r="F227" s="13">
        <v>2.1999999999999993</v>
      </c>
      <c r="G227" s="14">
        <v>113.30000000000003</v>
      </c>
      <c r="H227" s="14">
        <v>9.6999999999999993</v>
      </c>
      <c r="I227" s="14">
        <v>75.2</v>
      </c>
      <c r="J227" s="14">
        <v>33.599999999999994</v>
      </c>
      <c r="K227" s="14">
        <v>47.5</v>
      </c>
      <c r="L227" s="14">
        <v>67.900000000000006</v>
      </c>
      <c r="M227" s="14">
        <v>26.3</v>
      </c>
      <c r="N227" s="14">
        <v>108.7</v>
      </c>
      <c r="O227" s="14">
        <v>12.3</v>
      </c>
      <c r="P227" s="14">
        <v>156.69999999999996</v>
      </c>
      <c r="Q227" s="14">
        <v>2.1000000000000005</v>
      </c>
      <c r="R227" s="14">
        <v>208.49999999999994</v>
      </c>
      <c r="S227" s="30">
        <f>'Monthly Data'!F35/'Monthly Data'!G35/'Monthly Data'!BT35</f>
        <v>21.829810985752111</v>
      </c>
      <c r="T227" s="30">
        <f>'Monthly Data'!J35/'Monthly Data'!K35/'Monthly Data'!BT35</f>
        <v>83.972668747379004</v>
      </c>
      <c r="U227" s="31">
        <f>'Monthly Data'!N35/'Monthly Data'!P35/'Monthly Data'!BT35</f>
        <v>2412.7109508248832</v>
      </c>
      <c r="V227" s="30"/>
      <c r="W227" s="14">
        <f t="shared" si="137"/>
        <v>14.658064516129036</v>
      </c>
      <c r="X227" s="31">
        <f t="shared" si="138"/>
        <v>83.972668747379004</v>
      </c>
      <c r="DP227" s="18">
        <f>'Monthly Data'!F35</f>
        <v>40966849.296978742</v>
      </c>
      <c r="DQ227" s="18">
        <f>'Monthly Data'!J35</f>
        <v>13926867.111752808</v>
      </c>
      <c r="DR227" s="18">
        <f>'Monthly Data'!N35</f>
        <v>74943627.554522514</v>
      </c>
      <c r="DS227" s="18">
        <f t="shared" si="134"/>
        <v>42871716.220032409</v>
      </c>
      <c r="DT227" s="18">
        <f t="shared" si="135"/>
        <v>13858914.660961965</v>
      </c>
      <c r="DU227" s="18">
        <f t="shared" si="136"/>
        <v>70273811.847502545</v>
      </c>
    </row>
    <row r="228" spans="1:125" x14ac:dyDescent="0.2">
      <c r="A228" s="9">
        <v>43040</v>
      </c>
      <c r="B228">
        <v>2017</v>
      </c>
      <c r="C228">
        <v>11</v>
      </c>
      <c r="D228" s="14">
        <v>5.0699999999999994</v>
      </c>
      <c r="E228" s="13">
        <v>447.9</v>
      </c>
      <c r="F228" s="13">
        <v>0</v>
      </c>
      <c r="G228" s="14">
        <v>387.89999999999992</v>
      </c>
      <c r="H228" s="14">
        <v>0</v>
      </c>
      <c r="I228" s="14">
        <v>327.9</v>
      </c>
      <c r="J228" s="14">
        <v>0</v>
      </c>
      <c r="K228" s="14">
        <v>267.89999999999998</v>
      </c>
      <c r="L228" s="14">
        <v>0</v>
      </c>
      <c r="M228" s="14">
        <v>208.10000000000005</v>
      </c>
      <c r="N228" s="14">
        <v>0.19999999999999929</v>
      </c>
      <c r="O228" s="14">
        <v>151.80000000000004</v>
      </c>
      <c r="P228" s="14">
        <v>3.8999999999999986</v>
      </c>
      <c r="Q228" s="14">
        <v>99.000000000000014</v>
      </c>
      <c r="R228" s="14">
        <v>11.099999999999998</v>
      </c>
      <c r="S228" s="30">
        <f>'Monthly Data'!F36/'Monthly Data'!G36/'Monthly Data'!BT36</f>
        <v>21.467796439543225</v>
      </c>
      <c r="T228" s="30">
        <f>'Monthly Data'!J36/'Monthly Data'!K36/'Monthly Data'!BT36</f>
        <v>87.108560335607734</v>
      </c>
      <c r="U228" s="31">
        <f>'Monthly Data'!N36/'Monthly Data'!P36/'Monthly Data'!BT36</f>
        <v>2440.3577083845535</v>
      </c>
      <c r="V228" s="30"/>
      <c r="W228" s="14">
        <f t="shared" si="137"/>
        <v>5.0699999999999994</v>
      </c>
      <c r="X228" s="31">
        <f t="shared" si="138"/>
        <v>87.108560335607734</v>
      </c>
      <c r="DP228" s="18">
        <f>'Monthly Data'!F36</f>
        <v>39001404.503575757</v>
      </c>
      <c r="DQ228" s="18">
        <f>'Monthly Data'!J36</f>
        <v>13988763.704295246</v>
      </c>
      <c r="DR228" s="18">
        <f>'Monthly Data'!N36</f>
        <v>73430363.445291221</v>
      </c>
      <c r="DS228" s="18">
        <f t="shared" si="134"/>
        <v>40680348.502584659</v>
      </c>
      <c r="DT228" s="18">
        <f t="shared" si="135"/>
        <v>14140003.229390683</v>
      </c>
      <c r="DU228" s="18">
        <f t="shared" si="136"/>
        <v>69415713.287261933</v>
      </c>
    </row>
    <row r="229" spans="1:125" x14ac:dyDescent="0.2">
      <c r="A229" s="9">
        <v>43070</v>
      </c>
      <c r="B229">
        <v>2017</v>
      </c>
      <c r="C229">
        <v>12</v>
      </c>
      <c r="D229" s="14">
        <v>-2.9419354838709673</v>
      </c>
      <c r="E229" s="13">
        <v>711.20000000000016</v>
      </c>
      <c r="F229" s="13">
        <v>0</v>
      </c>
      <c r="G229" s="14">
        <v>649.20000000000016</v>
      </c>
      <c r="H229" s="14">
        <v>0</v>
      </c>
      <c r="I229" s="14">
        <v>587.20000000000005</v>
      </c>
      <c r="J229" s="14">
        <v>0</v>
      </c>
      <c r="K229" s="14">
        <v>525.19999999999993</v>
      </c>
      <c r="L229" s="14">
        <v>0</v>
      </c>
      <c r="M229" s="14">
        <v>463.20000000000005</v>
      </c>
      <c r="N229" s="14">
        <v>0</v>
      </c>
      <c r="O229" s="14">
        <v>401.20000000000005</v>
      </c>
      <c r="P229" s="14">
        <v>0</v>
      </c>
      <c r="Q229" s="14">
        <v>339.20000000000005</v>
      </c>
      <c r="R229" s="14">
        <v>0</v>
      </c>
      <c r="S229" s="30">
        <f>'Monthly Data'!F37/'Monthly Data'!G37/'Monthly Data'!BT37</f>
        <v>25.078765762059248</v>
      </c>
      <c r="T229" s="30">
        <f>'Monthly Data'!J37/'Monthly Data'!K37/'Monthly Data'!BT37</f>
        <v>93.731614209193694</v>
      </c>
      <c r="U229" s="31">
        <f>'Monthly Data'!N37/'Monthly Data'!P37/'Monthly Data'!BT37</f>
        <v>2403.022298783003</v>
      </c>
      <c r="V229" s="30"/>
      <c r="W229" s="14">
        <f t="shared" si="137"/>
        <v>-2.9419354838709673</v>
      </c>
      <c r="X229" s="31">
        <f t="shared" si="138"/>
        <v>93.731614209193694</v>
      </c>
      <c r="DP229" s="18">
        <f>'Monthly Data'!F37</f>
        <v>47108304.710172765</v>
      </c>
      <c r="DQ229" s="18">
        <f>'Monthly Data'!J37</f>
        <v>15562822.296837684</v>
      </c>
      <c r="DR229" s="18">
        <f>'Monthly Data'!N37</f>
        <v>74717172.336059913</v>
      </c>
      <c r="DS229" s="18">
        <f t="shared" si="134"/>
        <v>45848807.884803705</v>
      </c>
      <c r="DT229" s="18">
        <f t="shared" si="135"/>
        <v>15539806.449363045</v>
      </c>
      <c r="DU229" s="18">
        <f t="shared" si="136"/>
        <v>73964874.003233463</v>
      </c>
    </row>
    <row r="230" spans="1:125" x14ac:dyDescent="0.2">
      <c r="A230" s="9">
        <v>43101</v>
      </c>
      <c r="B230">
        <v>2018</v>
      </c>
      <c r="C230">
        <v>1</v>
      </c>
      <c r="D230" s="14">
        <v>-3.9451612903225803</v>
      </c>
      <c r="E230" s="13">
        <v>742.29999999999984</v>
      </c>
      <c r="F230" s="13">
        <v>0</v>
      </c>
      <c r="G230" s="14">
        <v>680.29999999999984</v>
      </c>
      <c r="H230" s="14">
        <v>0</v>
      </c>
      <c r="I230" s="14">
        <v>618.29999999999984</v>
      </c>
      <c r="J230" s="14">
        <v>0</v>
      </c>
      <c r="K230" s="14">
        <v>556.29999999999995</v>
      </c>
      <c r="L230" s="14">
        <v>0</v>
      </c>
      <c r="M230" s="14">
        <v>494.3</v>
      </c>
      <c r="N230" s="14">
        <v>0</v>
      </c>
      <c r="O230" s="14">
        <v>432.5</v>
      </c>
      <c r="P230" s="14">
        <v>0.19999999999999929</v>
      </c>
      <c r="Q230" s="14">
        <v>372.5</v>
      </c>
      <c r="R230" s="14">
        <v>2.1999999999999993</v>
      </c>
      <c r="S230" s="30">
        <f>'Monthly Data'!F38/'Monthly Data'!G38/'Monthly Data'!BT38</f>
        <v>25.321563572725889</v>
      </c>
      <c r="T230" s="30">
        <f>'Monthly Data'!J38/'Monthly Data'!K38/'Monthly Data'!BT38</f>
        <v>98.25661406290331</v>
      </c>
      <c r="U230" s="31">
        <f>'Monthly Data'!N38/'Monthly Data'!P38/'Monthly Data'!BT38</f>
        <v>2563.1979631803306</v>
      </c>
      <c r="V230" s="30"/>
      <c r="W230" s="14">
        <f t="shared" si="137"/>
        <v>-3.9451612903225803</v>
      </c>
      <c r="X230" s="31">
        <f t="shared" si="138"/>
        <v>98.25661406290331</v>
      </c>
      <c r="DP230" s="18">
        <f>'Monthly Data'!F38</f>
        <v>47709598.683987916</v>
      </c>
      <c r="DQ230" s="18">
        <f>'Monthly Data'!J38</f>
        <v>16341548.767871764</v>
      </c>
      <c r="DR230" s="18">
        <f>'Monthly Data'!N38</f>
        <v>79618055.13230744</v>
      </c>
      <c r="DS230" s="18">
        <f t="shared" si="134"/>
        <v>46473522.563338533</v>
      </c>
      <c r="DT230" s="18">
        <f t="shared" si="135"/>
        <v>15709001.475173928</v>
      </c>
      <c r="DU230" s="18">
        <f t="shared" si="136"/>
        <v>74535799.145213842</v>
      </c>
    </row>
    <row r="231" spans="1:125" x14ac:dyDescent="0.2">
      <c r="A231" s="9">
        <v>43132</v>
      </c>
      <c r="B231">
        <v>2018</v>
      </c>
      <c r="C231">
        <v>2</v>
      </c>
      <c r="D231" s="14">
        <v>-0.28928571428571387</v>
      </c>
      <c r="E231" s="13">
        <v>568.1</v>
      </c>
      <c r="F231" s="13">
        <v>0</v>
      </c>
      <c r="G231" s="14">
        <v>512.09999999999991</v>
      </c>
      <c r="H231" s="14">
        <v>0</v>
      </c>
      <c r="I231" s="14">
        <v>456.1</v>
      </c>
      <c r="J231" s="14">
        <v>0</v>
      </c>
      <c r="K231" s="14">
        <v>400.1</v>
      </c>
      <c r="L231" s="14">
        <v>0</v>
      </c>
      <c r="M231" s="14">
        <v>344.10000000000008</v>
      </c>
      <c r="N231" s="14">
        <v>0</v>
      </c>
      <c r="O231" s="14">
        <v>288.50000000000006</v>
      </c>
      <c r="P231" s="14">
        <v>0.40000000000000036</v>
      </c>
      <c r="Q231" s="14">
        <v>235.5</v>
      </c>
      <c r="R231" s="14">
        <v>3.4000000000000004</v>
      </c>
      <c r="S231" s="30">
        <f>'Monthly Data'!F39/'Monthly Data'!G39/'Monthly Data'!BT39</f>
        <v>23.313697279863284</v>
      </c>
      <c r="T231" s="30">
        <f>'Monthly Data'!J39/'Monthly Data'!K39/'Monthly Data'!BT39</f>
        <v>95.509599660230251</v>
      </c>
      <c r="U231" s="31">
        <f>'Monthly Data'!N39/'Monthly Data'!P39/'Monthly Data'!BT39</f>
        <v>2509.7355894886227</v>
      </c>
      <c r="V231" s="30"/>
      <c r="W231" s="14">
        <f t="shared" si="137"/>
        <v>-0.28928571428571387</v>
      </c>
      <c r="X231" s="31">
        <f t="shared" si="138"/>
        <v>95.509599660230251</v>
      </c>
      <c r="DP231" s="18">
        <f>'Monthly Data'!F39</f>
        <v>39687279.898667745</v>
      </c>
      <c r="DQ231" s="18">
        <f>'Monthly Data'!J39</f>
        <v>14352800.598540761</v>
      </c>
      <c r="DR231" s="18">
        <f>'Monthly Data'!N39</f>
        <v>70553686.891704157</v>
      </c>
      <c r="DS231" s="18">
        <f t="shared" si="134"/>
        <v>43335888.068575166</v>
      </c>
      <c r="DT231" s="18">
        <f t="shared" si="135"/>
        <v>14859218.097950131</v>
      </c>
      <c r="DU231" s="18">
        <f t="shared" si="136"/>
        <v>71909178.683706626</v>
      </c>
    </row>
    <row r="232" spans="1:125" x14ac:dyDescent="0.2">
      <c r="A232" s="9">
        <v>43160</v>
      </c>
      <c r="B232">
        <v>2018</v>
      </c>
      <c r="C232">
        <v>3</v>
      </c>
      <c r="D232" s="14">
        <v>0.77741935483870972</v>
      </c>
      <c r="E232" s="13">
        <v>595.9</v>
      </c>
      <c r="F232" s="13">
        <v>0</v>
      </c>
      <c r="G232" s="14">
        <v>533.9</v>
      </c>
      <c r="H232" s="14">
        <v>0</v>
      </c>
      <c r="I232" s="14">
        <v>471.89999999999992</v>
      </c>
      <c r="J232" s="14">
        <v>0</v>
      </c>
      <c r="K232" s="14">
        <v>409.89999999999986</v>
      </c>
      <c r="L232" s="14">
        <v>0</v>
      </c>
      <c r="M232" s="14">
        <v>347.89999999999986</v>
      </c>
      <c r="N232" s="14">
        <v>0</v>
      </c>
      <c r="O232" s="14">
        <v>285.89999999999992</v>
      </c>
      <c r="P232" s="14">
        <v>0</v>
      </c>
      <c r="Q232" s="14">
        <v>223.89999999999998</v>
      </c>
      <c r="R232" s="14">
        <v>0</v>
      </c>
      <c r="S232" s="30">
        <f>'Monthly Data'!F40/'Monthly Data'!G40/'Monthly Data'!BT40</f>
        <v>21.793082175531865</v>
      </c>
      <c r="T232" s="30">
        <f>'Monthly Data'!J40/'Monthly Data'!K40/'Monthly Data'!BT40</f>
        <v>91.272182239542559</v>
      </c>
      <c r="U232" s="31">
        <f>'Monthly Data'!N40/'Monthly Data'!P40/'Monthly Data'!BT40</f>
        <v>2432.7753344566331</v>
      </c>
      <c r="V232" s="30"/>
      <c r="W232" s="14">
        <f t="shared" si="137"/>
        <v>0.77741935483870972</v>
      </c>
      <c r="X232" s="31">
        <f t="shared" si="138"/>
        <v>91.272182239542559</v>
      </c>
      <c r="DP232" s="18">
        <f>'Monthly Data'!F40</f>
        <v>41074250.113347575</v>
      </c>
      <c r="DQ232" s="18">
        <f>'Monthly Data'!J40</f>
        <v>15228033.429209759</v>
      </c>
      <c r="DR232" s="18">
        <f>'Monthly Data'!N40</f>
        <v>76019363.651100874</v>
      </c>
      <c r="DS232" s="18">
        <f t="shared" si="134"/>
        <v>43532743.497824088</v>
      </c>
      <c r="DT232" s="18">
        <f t="shared" si="135"/>
        <v>14912533.572321406</v>
      </c>
      <c r="DU232" s="18">
        <f t="shared" si="136"/>
        <v>71861753.592040524</v>
      </c>
    </row>
    <row r="233" spans="1:125" x14ac:dyDescent="0.2">
      <c r="A233" s="9">
        <v>43191</v>
      </c>
      <c r="B233">
        <v>2018</v>
      </c>
      <c r="C233">
        <v>4</v>
      </c>
      <c r="D233" s="14">
        <v>4.0233333333333334</v>
      </c>
      <c r="E233" s="13">
        <v>479.3</v>
      </c>
      <c r="F233" s="13">
        <v>0</v>
      </c>
      <c r="G233" s="14">
        <v>419.3</v>
      </c>
      <c r="H233" s="14">
        <v>0</v>
      </c>
      <c r="I233" s="14">
        <v>359.3</v>
      </c>
      <c r="J233" s="14">
        <v>0</v>
      </c>
      <c r="K233" s="14">
        <v>299.3</v>
      </c>
      <c r="L233" s="14">
        <v>0</v>
      </c>
      <c r="M233" s="14">
        <v>239.3</v>
      </c>
      <c r="N233" s="14">
        <v>0</v>
      </c>
      <c r="O233" s="14">
        <v>180.8</v>
      </c>
      <c r="P233" s="14">
        <v>1.5</v>
      </c>
      <c r="Q233" s="14">
        <v>127.50000000000003</v>
      </c>
      <c r="R233" s="14">
        <v>8.1999999999999993</v>
      </c>
      <c r="S233" s="30">
        <f>'Monthly Data'!F41/'Monthly Data'!G41/'Monthly Data'!BT41</f>
        <v>20.928728740638793</v>
      </c>
      <c r="T233" s="30">
        <f>'Monthly Data'!J41/'Monthly Data'!K41/'Monthly Data'!BT41</f>
        <v>87.946551731936992</v>
      </c>
      <c r="U233" s="31">
        <f>'Monthly Data'!N41/'Monthly Data'!P41/'Monthly Data'!BT41</f>
        <v>2402.40428795552</v>
      </c>
      <c r="V233" s="30"/>
      <c r="W233" s="14">
        <f t="shared" si="137"/>
        <v>4.0233333333333334</v>
      </c>
      <c r="X233" s="31">
        <f t="shared" si="138"/>
        <v>87.946551731936992</v>
      </c>
      <c r="DP233" s="18">
        <f>'Monthly Data'!F41</f>
        <v>38168978.328027405</v>
      </c>
      <c r="DQ233" s="18">
        <f>'Monthly Data'!J41</f>
        <v>14186658.259878756</v>
      </c>
      <c r="DR233" s="18">
        <f>'Monthly Data'!N41</f>
        <v>72504561.410497591</v>
      </c>
      <c r="DS233" s="18">
        <f t="shared" si="134"/>
        <v>41311089.367729157</v>
      </c>
      <c r="DT233" s="18">
        <f t="shared" si="135"/>
        <v>14310830.361559872</v>
      </c>
      <c r="DU233" s="18">
        <f t="shared" si="136"/>
        <v>69944685.463537693</v>
      </c>
    </row>
    <row r="234" spans="1:125" x14ac:dyDescent="0.2">
      <c r="A234" s="9">
        <v>43221</v>
      </c>
      <c r="B234">
        <v>2018</v>
      </c>
      <c r="C234">
        <v>5</v>
      </c>
      <c r="D234" s="14">
        <v>14.790322580645164</v>
      </c>
      <c r="E234" s="13">
        <v>173.79999999999998</v>
      </c>
      <c r="F234" s="13">
        <v>12.3</v>
      </c>
      <c r="G234" s="14">
        <v>127.7</v>
      </c>
      <c r="H234" s="14">
        <v>28.2</v>
      </c>
      <c r="I234" s="14">
        <v>86</v>
      </c>
      <c r="J234" s="14">
        <v>48.5</v>
      </c>
      <c r="K234" s="14">
        <v>50.5</v>
      </c>
      <c r="L234" s="14">
        <v>74.999999999999986</v>
      </c>
      <c r="M234" s="14">
        <v>25.199999999999996</v>
      </c>
      <c r="N234" s="14">
        <v>111.69999999999997</v>
      </c>
      <c r="O234" s="14">
        <v>6.8999999999999986</v>
      </c>
      <c r="P234" s="14">
        <v>155.39999999999998</v>
      </c>
      <c r="Q234" s="14">
        <v>0.69999999999999929</v>
      </c>
      <c r="R234" s="14">
        <v>211.20000000000002</v>
      </c>
      <c r="S234" s="30">
        <f>'Monthly Data'!F42/'Monthly Data'!G42/'Monthly Data'!BT42</f>
        <v>21.874831232919345</v>
      </c>
      <c r="T234" s="30">
        <f>'Monthly Data'!J42/'Monthly Data'!K42/'Monthly Data'!BT42</f>
        <v>87.433943883506743</v>
      </c>
      <c r="U234" s="31">
        <f>'Monthly Data'!N42/'Monthly Data'!P42/'Monthly Data'!BT42</f>
        <v>2403.6293897175601</v>
      </c>
      <c r="V234" s="30"/>
      <c r="W234" s="14">
        <f t="shared" si="137"/>
        <v>14.790322580645164</v>
      </c>
      <c r="X234" s="31">
        <f t="shared" si="138"/>
        <v>87.433943883506743</v>
      </c>
      <c r="DP234" s="18">
        <f>'Monthly Data'!F42</f>
        <v>41244600.542707235</v>
      </c>
      <c r="DQ234" s="18">
        <f>'Monthly Data'!J42</f>
        <v>14557839.090547755</v>
      </c>
      <c r="DR234" s="18">
        <f>'Monthly Data'!N42</f>
        <v>75108611.169894308</v>
      </c>
      <c r="DS234" s="18">
        <f t="shared" si="134"/>
        <v>43624056.195722789</v>
      </c>
      <c r="DT234" s="18">
        <f t="shared" si="135"/>
        <v>13971223.28777406</v>
      </c>
      <c r="DU234" s="18">
        <f t="shared" si="136"/>
        <v>70531112.161043033</v>
      </c>
    </row>
    <row r="235" spans="1:125" x14ac:dyDescent="0.2">
      <c r="A235" s="9">
        <v>43252</v>
      </c>
      <c r="B235">
        <v>2018</v>
      </c>
      <c r="C235">
        <v>6</v>
      </c>
      <c r="D235" s="14">
        <v>19.029999999999998</v>
      </c>
      <c r="E235" s="13">
        <v>64.600000000000009</v>
      </c>
      <c r="F235" s="13">
        <v>35.5</v>
      </c>
      <c r="G235" s="14">
        <v>26.9</v>
      </c>
      <c r="H235" s="14">
        <v>57.800000000000004</v>
      </c>
      <c r="I235" s="14">
        <v>5.0000000000000018</v>
      </c>
      <c r="J235" s="14">
        <v>95.899999999999977</v>
      </c>
      <c r="K235" s="14">
        <v>0.60000000000000142</v>
      </c>
      <c r="L235" s="14">
        <v>151.49999999999997</v>
      </c>
      <c r="M235" s="14">
        <v>0</v>
      </c>
      <c r="N235" s="14">
        <v>210.90000000000006</v>
      </c>
      <c r="O235" s="14">
        <v>0</v>
      </c>
      <c r="P235" s="14">
        <v>270.90000000000009</v>
      </c>
      <c r="Q235" s="14">
        <v>0</v>
      </c>
      <c r="R235" s="14">
        <v>330.90000000000009</v>
      </c>
      <c r="S235" s="30">
        <f>'Monthly Data'!F43/'Monthly Data'!G43/'Monthly Data'!BT43</f>
        <v>28.531882664361493</v>
      </c>
      <c r="T235" s="30">
        <f>'Monthly Data'!J43/'Monthly Data'!K43/'Monthly Data'!BT43</f>
        <v>94.24459518862578</v>
      </c>
      <c r="U235" s="31">
        <f>'Monthly Data'!N43/'Monthly Data'!P43/'Monthly Data'!BT43</f>
        <v>2638.1165267797605</v>
      </c>
      <c r="V235" s="30"/>
      <c r="W235" s="14">
        <f t="shared" si="137"/>
        <v>19.029999999999998</v>
      </c>
      <c r="X235" s="31">
        <f t="shared" si="138"/>
        <v>94.24459518862578</v>
      </c>
      <c r="DP235" s="18">
        <f>'Monthly Data'!F43</f>
        <v>52144868.757387064</v>
      </c>
      <c r="DQ235" s="18">
        <f>'Monthly Data'!J43</f>
        <v>15372235.921216752</v>
      </c>
      <c r="DR235" s="18">
        <f>'Monthly Data'!N43</f>
        <v>76769190.929291025</v>
      </c>
      <c r="DS235" s="18">
        <f t="shared" si="134"/>
        <v>50078598.431046955</v>
      </c>
      <c r="DT235" s="18">
        <f t="shared" si="135"/>
        <v>14733981.792198058</v>
      </c>
      <c r="DU235" s="18">
        <f t="shared" si="136"/>
        <v>74238857.691365346</v>
      </c>
    </row>
    <row r="236" spans="1:125" x14ac:dyDescent="0.2">
      <c r="A236" s="9">
        <v>43282</v>
      </c>
      <c r="B236">
        <v>2018</v>
      </c>
      <c r="C236">
        <v>7</v>
      </c>
      <c r="D236" s="14">
        <v>23.296774193548391</v>
      </c>
      <c r="E236" s="13">
        <v>0.5</v>
      </c>
      <c r="F236" s="13">
        <v>102.69999999999999</v>
      </c>
      <c r="G236" s="14">
        <v>0</v>
      </c>
      <c r="H236" s="14">
        <v>164.19999999999996</v>
      </c>
      <c r="I236" s="14">
        <v>0</v>
      </c>
      <c r="J236" s="14">
        <v>226.19999999999996</v>
      </c>
      <c r="K236" s="14">
        <v>0</v>
      </c>
      <c r="L236" s="14">
        <v>288.2</v>
      </c>
      <c r="M236" s="14">
        <v>0</v>
      </c>
      <c r="N236" s="14">
        <v>350.2</v>
      </c>
      <c r="O236" s="14">
        <v>0</v>
      </c>
      <c r="P236" s="14">
        <v>412.20000000000005</v>
      </c>
      <c r="Q236" s="14">
        <v>0</v>
      </c>
      <c r="R236" s="14">
        <v>474.2000000000001</v>
      </c>
      <c r="S236" s="30">
        <f>'Monthly Data'!F44/'Monthly Data'!G44/'Monthly Data'!BT44</f>
        <v>34.387415402012053</v>
      </c>
      <c r="T236" s="30">
        <f>'Monthly Data'!J44/'Monthly Data'!K44/'Monthly Data'!BT44</f>
        <v>101.45844471375339</v>
      </c>
      <c r="U236" s="31">
        <f>'Monthly Data'!N44/'Monthly Data'!P44/'Monthly Data'!BT44</f>
        <v>2732.6430558259972</v>
      </c>
      <c r="V236" s="30"/>
      <c r="W236" s="14">
        <f t="shared" si="137"/>
        <v>23.296774193548391</v>
      </c>
      <c r="X236" s="31">
        <f t="shared" si="138"/>
        <v>101.45844471375339</v>
      </c>
      <c r="DP236" s="18">
        <f>'Monthly Data'!F44</f>
        <v>64966905.972066894</v>
      </c>
      <c r="DQ236" s="18">
        <f>'Monthly Data'!J44</f>
        <v>17119387.751885749</v>
      </c>
      <c r="DR236" s="18">
        <f>'Monthly Data'!N44</f>
        <v>82170576.688687727</v>
      </c>
      <c r="DS236" s="18">
        <f t="shared" si="134"/>
        <v>63391486.562259942</v>
      </c>
      <c r="DT236" s="18">
        <f t="shared" si="135"/>
        <v>16578816.156018283</v>
      </c>
      <c r="DU236" s="18">
        <f t="shared" si="136"/>
        <v>81089233.184574872</v>
      </c>
    </row>
    <row r="237" spans="1:125" x14ac:dyDescent="0.2">
      <c r="A237" s="9">
        <v>43313</v>
      </c>
      <c r="B237">
        <v>2018</v>
      </c>
      <c r="C237">
        <v>8</v>
      </c>
      <c r="D237" s="14">
        <v>23.283870967741933</v>
      </c>
      <c r="E237" s="13">
        <v>5.8000000000000007</v>
      </c>
      <c r="F237" s="13">
        <v>107.60000000000002</v>
      </c>
      <c r="G237" s="14">
        <v>1.3000000000000007</v>
      </c>
      <c r="H237" s="14">
        <v>165.10000000000002</v>
      </c>
      <c r="I237" s="14">
        <v>0</v>
      </c>
      <c r="J237" s="14">
        <v>225.8</v>
      </c>
      <c r="K237" s="14">
        <v>0</v>
      </c>
      <c r="L237" s="14">
        <v>287.79999999999995</v>
      </c>
      <c r="M237" s="14">
        <v>0</v>
      </c>
      <c r="N237" s="14">
        <v>349.79999999999995</v>
      </c>
      <c r="O237" s="14">
        <v>0</v>
      </c>
      <c r="P237" s="14">
        <v>411.7999999999999</v>
      </c>
      <c r="Q237" s="14">
        <v>0</v>
      </c>
      <c r="R237" s="14">
        <v>473.7999999999999</v>
      </c>
      <c r="S237" s="30">
        <f>'Monthly Data'!F45/'Monthly Data'!G45/'Monthly Data'!BT45</f>
        <v>33.471453246846039</v>
      </c>
      <c r="T237" s="30">
        <f>'Monthly Data'!J45/'Monthly Data'!K45/'Monthly Data'!BT45</f>
        <v>99.978616093355683</v>
      </c>
      <c r="U237" s="31">
        <f>'Monthly Data'!N45/'Monthly Data'!P45/'Monthly Data'!BT45</f>
        <v>2739.4232939170083</v>
      </c>
      <c r="V237" s="30"/>
      <c r="W237" s="14">
        <f t="shared" si="137"/>
        <v>23.283870967741933</v>
      </c>
      <c r="X237" s="31">
        <f t="shared" si="138"/>
        <v>99.978616093355683</v>
      </c>
      <c r="DP237" s="18">
        <f>'Monthly Data'!F45</f>
        <v>63232261.186746724</v>
      </c>
      <c r="DQ237" s="18">
        <f>'Monthly Data'!J45</f>
        <v>16940976.582554746</v>
      </c>
      <c r="DR237" s="18">
        <f>'Monthly Data'!N45</f>
        <v>82374458.448084444</v>
      </c>
      <c r="DS237" s="18">
        <f t="shared" si="134"/>
        <v>63352496.24622649</v>
      </c>
      <c r="DT237" s="18">
        <f t="shared" si="135"/>
        <v>16573408.40597721</v>
      </c>
      <c r="DU237" s="18">
        <f t="shared" si="136"/>
        <v>81069188.194104612</v>
      </c>
    </row>
    <row r="238" spans="1:125" x14ac:dyDescent="0.2">
      <c r="A238" s="9">
        <v>43344</v>
      </c>
      <c r="B238">
        <v>2018</v>
      </c>
      <c r="C238">
        <v>9</v>
      </c>
      <c r="D238" s="14">
        <v>19.446666666666669</v>
      </c>
      <c r="E238" s="13">
        <v>57.199999999999996</v>
      </c>
      <c r="F238" s="13">
        <v>40.599999999999994</v>
      </c>
      <c r="G238" s="14">
        <v>27.800000000000004</v>
      </c>
      <c r="H238" s="14">
        <v>71.199999999999989</v>
      </c>
      <c r="I238" s="14">
        <v>11.300000000000002</v>
      </c>
      <c r="J238" s="14">
        <v>114.70000000000003</v>
      </c>
      <c r="K238" s="14">
        <v>2.0000000000000018</v>
      </c>
      <c r="L238" s="14">
        <v>165.40000000000003</v>
      </c>
      <c r="M238" s="14">
        <v>0</v>
      </c>
      <c r="N238" s="14">
        <v>223.39999999999998</v>
      </c>
      <c r="O238" s="14">
        <v>0</v>
      </c>
      <c r="P238" s="14">
        <v>283.39999999999998</v>
      </c>
      <c r="Q238" s="14">
        <v>0</v>
      </c>
      <c r="R238" s="14">
        <v>343.39999999999992</v>
      </c>
      <c r="S238" s="30">
        <f>'Monthly Data'!F46/'Monthly Data'!G46/'Monthly Data'!BT46</f>
        <v>27.801933862215819</v>
      </c>
      <c r="T238" s="30">
        <f>'Monthly Data'!J46/'Monthly Data'!K46/'Monthly Data'!BT46</f>
        <v>92.20962564473561</v>
      </c>
      <c r="U238" s="31">
        <f>'Monthly Data'!N46/'Monthly Data'!P46/'Monthly Data'!BT46</f>
        <v>2562.9919304408336</v>
      </c>
      <c r="V238" s="30"/>
      <c r="W238" s="14">
        <f t="shared" si="137"/>
        <v>19.446666666666669</v>
      </c>
      <c r="X238" s="31">
        <f t="shared" si="138"/>
        <v>92.20962564473561</v>
      </c>
      <c r="DP238" s="18">
        <f>'Monthly Data'!F46</f>
        <v>50855019.401426554</v>
      </c>
      <c r="DQ238" s="18">
        <f>'Monthly Data'!J46</f>
        <v>15120534.413223745</v>
      </c>
      <c r="DR238" s="18">
        <f>'Monthly Data'!N46</f>
        <v>74890624.207481161</v>
      </c>
      <c r="DS238" s="18">
        <f t="shared" si="134"/>
        <v>51461634.117387846</v>
      </c>
      <c r="DT238" s="18">
        <f t="shared" si="135"/>
        <v>14929517.602464113</v>
      </c>
      <c r="DU238" s="18">
        <f t="shared" si="136"/>
        <v>74935421.110206693</v>
      </c>
    </row>
    <row r="239" spans="1:125" x14ac:dyDescent="0.2">
      <c r="A239" s="9">
        <v>43374</v>
      </c>
      <c r="B239">
        <v>2018</v>
      </c>
      <c r="C239">
        <v>10</v>
      </c>
      <c r="D239" s="14">
        <v>10.645161290322582</v>
      </c>
      <c r="E239" s="13">
        <v>295.49999999999989</v>
      </c>
      <c r="F239" s="13">
        <v>5.5</v>
      </c>
      <c r="G239" s="14">
        <v>237.49999999999997</v>
      </c>
      <c r="H239" s="14">
        <v>9.5</v>
      </c>
      <c r="I239" s="14">
        <v>182.2</v>
      </c>
      <c r="J239" s="14">
        <v>16.2</v>
      </c>
      <c r="K239" s="14">
        <v>132.70000000000002</v>
      </c>
      <c r="L239" s="14">
        <v>28.7</v>
      </c>
      <c r="M239" s="14">
        <v>88.200000000000031</v>
      </c>
      <c r="N239" s="14">
        <v>46.2</v>
      </c>
      <c r="O239" s="14">
        <v>50.199999999999996</v>
      </c>
      <c r="P239" s="14">
        <v>70.2</v>
      </c>
      <c r="Q239" s="14">
        <v>20.599999999999994</v>
      </c>
      <c r="R239" s="14">
        <v>102.60000000000001</v>
      </c>
      <c r="S239" s="30">
        <f>'Monthly Data'!F47/'Monthly Data'!G47/'Monthly Data'!BT47</f>
        <v>21.49945239571683</v>
      </c>
      <c r="T239" s="30">
        <f>'Monthly Data'!J47/'Monthly Data'!K47/'Monthly Data'!BT47</f>
        <v>83.801539727689459</v>
      </c>
      <c r="U239" s="31">
        <f>'Monthly Data'!N47/'Monthly Data'!P47/'Monthly Data'!BT47</f>
        <v>2360.4928636292934</v>
      </c>
      <c r="V239" s="30"/>
      <c r="W239" s="14">
        <f t="shared" si="137"/>
        <v>10.645161290322582</v>
      </c>
      <c r="X239" s="31">
        <f t="shared" si="138"/>
        <v>83.801539727689459</v>
      </c>
      <c r="DP239" s="18">
        <f>'Monthly Data'!F47</f>
        <v>40650132.616106384</v>
      </c>
      <c r="DQ239" s="18">
        <f>'Monthly Data'!J47</f>
        <v>14207629.243892744</v>
      </c>
      <c r="DR239" s="18">
        <f>'Monthly Data'!N47</f>
        <v>71126370.966877878</v>
      </c>
      <c r="DS239" s="18">
        <f t="shared" si="134"/>
        <v>40762102.24589774</v>
      </c>
      <c r="DT239" s="18">
        <f t="shared" si="135"/>
        <v>13792473.362695204</v>
      </c>
      <c r="DU239" s="18">
        <f t="shared" si="136"/>
        <v>69000714.69455038</v>
      </c>
    </row>
    <row r="240" spans="1:125" x14ac:dyDescent="0.2">
      <c r="A240" s="9">
        <v>43405</v>
      </c>
      <c r="B240">
        <v>2018</v>
      </c>
      <c r="C240">
        <v>11</v>
      </c>
      <c r="D240" s="14">
        <v>2.9200000000000004</v>
      </c>
      <c r="E240" s="13">
        <v>512.4</v>
      </c>
      <c r="F240" s="13">
        <v>0</v>
      </c>
      <c r="G240" s="14">
        <v>452.40000000000003</v>
      </c>
      <c r="H240" s="14">
        <v>0</v>
      </c>
      <c r="I240" s="14">
        <v>392.40000000000003</v>
      </c>
      <c r="J240" s="14">
        <v>0</v>
      </c>
      <c r="K240" s="14">
        <v>332.40000000000003</v>
      </c>
      <c r="L240" s="14">
        <v>0</v>
      </c>
      <c r="M240" s="14">
        <v>272.40000000000003</v>
      </c>
      <c r="N240" s="14">
        <v>0</v>
      </c>
      <c r="O240" s="14">
        <v>214.10000000000002</v>
      </c>
      <c r="P240" s="14">
        <v>1.6999999999999993</v>
      </c>
      <c r="Q240" s="14">
        <v>157.90000000000003</v>
      </c>
      <c r="R240" s="14">
        <v>5.5</v>
      </c>
      <c r="S240" s="30">
        <f>'Monthly Data'!F48/'Monthly Data'!G48/'Monthly Data'!BT48</f>
        <v>22.293504847692819</v>
      </c>
      <c r="T240" s="30">
        <f>'Monthly Data'!J48/'Monthly Data'!K48/'Monthly Data'!BT48</f>
        <v>89.105052611364272</v>
      </c>
      <c r="U240" s="31">
        <f>'Monthly Data'!N48/'Monthly Data'!P48/'Monthly Data'!BT48</f>
        <v>2431.0709096801988</v>
      </c>
      <c r="V240" s="30"/>
      <c r="W240" s="14">
        <f t="shared" si="137"/>
        <v>2.9200000000000004</v>
      </c>
      <c r="X240" s="31">
        <f t="shared" si="138"/>
        <v>89.105052611364272</v>
      </c>
      <c r="DP240" s="18">
        <f>'Monthly Data'!F48</f>
        <v>40817846.830786213</v>
      </c>
      <c r="DQ240" s="18">
        <f>'Monthly Data'!J48</f>
        <v>14691641.074561741</v>
      </c>
      <c r="DR240" s="18">
        <f>'Monthly Data'!N48</f>
        <v>70890027.726274595</v>
      </c>
      <c r="DS240" s="18">
        <f t="shared" si="134"/>
        <v>41975978.623661727</v>
      </c>
      <c r="DT240" s="18">
        <f t="shared" si="135"/>
        <v>14490906.096426118</v>
      </c>
      <c r="DU240" s="18">
        <f t="shared" si="136"/>
        <v>70552091.445261225</v>
      </c>
    </row>
    <row r="241" spans="1:125" x14ac:dyDescent="0.2">
      <c r="A241" s="9">
        <v>43435</v>
      </c>
      <c r="B241">
        <v>2018</v>
      </c>
      <c r="C241">
        <v>12</v>
      </c>
      <c r="D241" s="14">
        <v>1.3548387096774193</v>
      </c>
      <c r="E241" s="13">
        <v>578.00000000000011</v>
      </c>
      <c r="F241" s="13">
        <v>0</v>
      </c>
      <c r="G241" s="14">
        <v>516.00000000000011</v>
      </c>
      <c r="H241" s="14">
        <v>0</v>
      </c>
      <c r="I241" s="14">
        <v>454.00000000000006</v>
      </c>
      <c r="J241" s="14">
        <v>0</v>
      </c>
      <c r="K241" s="14">
        <v>392.00000000000006</v>
      </c>
      <c r="L241" s="14">
        <v>0</v>
      </c>
      <c r="M241" s="14">
        <v>330</v>
      </c>
      <c r="N241" s="14">
        <v>0</v>
      </c>
      <c r="O241" s="14">
        <v>267.99999999999994</v>
      </c>
      <c r="P241" s="14">
        <v>0</v>
      </c>
      <c r="Q241" s="14">
        <v>205.99999999999994</v>
      </c>
      <c r="R241" s="14">
        <v>0</v>
      </c>
      <c r="S241" s="30">
        <f>'Monthly Data'!F49/'Monthly Data'!G49/'Monthly Data'!BT49</f>
        <v>24.173927515579773</v>
      </c>
      <c r="T241" s="30">
        <f>'Monthly Data'!J49/'Monthly Data'!K49/'Monthly Data'!BT49</f>
        <v>91.345484841121348</v>
      </c>
      <c r="U241" s="31">
        <f>'Monthly Data'!N49/'Monthly Data'!P49/'Monthly Data'!BT49</f>
        <v>2326.9015196950163</v>
      </c>
      <c r="V241" s="30"/>
      <c r="W241" s="14">
        <f t="shared" si="137"/>
        <v>1.3548387096774193</v>
      </c>
      <c r="X241" s="31">
        <f t="shared" si="138"/>
        <v>91.345484841121348</v>
      </c>
      <c r="DP241" s="18">
        <f>'Monthly Data'!F49</f>
        <v>45902493.045466043</v>
      </c>
      <c r="DQ241" s="18">
        <f>'Monthly Data'!J49</f>
        <v>15557414.90523074</v>
      </c>
      <c r="DR241" s="18">
        <f>'Monthly Data'!N49</f>
        <v>70258464.485671312</v>
      </c>
      <c r="DS241" s="18">
        <f t="shared" si="134"/>
        <v>43173181.03011433</v>
      </c>
      <c r="DT241" s="18">
        <f t="shared" si="135"/>
        <v>14815151.226275913</v>
      </c>
      <c r="DU241" s="18">
        <f t="shared" si="136"/>
        <v>71535250.076339275</v>
      </c>
    </row>
    <row r="242" spans="1:125" x14ac:dyDescent="0.2">
      <c r="A242" s="9">
        <v>43466</v>
      </c>
      <c r="B242">
        <v>2019</v>
      </c>
      <c r="C242">
        <v>1</v>
      </c>
      <c r="D242" s="14">
        <v>-4.580645161290323</v>
      </c>
      <c r="E242">
        <v>762</v>
      </c>
      <c r="F242">
        <v>0</v>
      </c>
      <c r="G242">
        <v>700</v>
      </c>
      <c r="H242">
        <v>0</v>
      </c>
      <c r="I242">
        <v>638</v>
      </c>
      <c r="J242">
        <v>0</v>
      </c>
      <c r="K242">
        <v>576</v>
      </c>
      <c r="L242">
        <v>0</v>
      </c>
      <c r="M242">
        <v>514</v>
      </c>
      <c r="N242">
        <v>0</v>
      </c>
      <c r="O242">
        <v>452.00000000000006</v>
      </c>
      <c r="P242">
        <v>0</v>
      </c>
      <c r="Q242">
        <v>390.00000000000006</v>
      </c>
      <c r="R242">
        <v>0</v>
      </c>
      <c r="S242" s="30">
        <f>'Monthly Data'!F50/'Monthly Data'!G50/'Monthly Data'!BT50</f>
        <v>24.909954046062026</v>
      </c>
      <c r="T242" s="30">
        <f>'Monthly Data'!J50/'Monthly Data'!K50/'Monthly Data'!BT50</f>
        <v>96.998055921924646</v>
      </c>
      <c r="U242" s="31">
        <f>'Monthly Data'!N50/'Monthly Data'!P50/'Monthly Data'!BT50</f>
        <v>2550.7624357042564</v>
      </c>
      <c r="V242" s="30"/>
      <c r="W242" s="14">
        <f t="shared" si="137"/>
        <v>-4.580645161290323</v>
      </c>
      <c r="X242" s="31">
        <f t="shared" si="138"/>
        <v>96.998055921924646</v>
      </c>
      <c r="DP242" s="18">
        <f>'Monthly Data'!F50</f>
        <v>47310902.790742546</v>
      </c>
      <c r="DQ242" s="18">
        <f>'Monthly Data'!J50</f>
        <v>16535161.594954573</v>
      </c>
      <c r="DR242" s="18">
        <f>'Monthly Data'!N50</f>
        <v>77017720.98365432</v>
      </c>
      <c r="DS242" s="18">
        <f t="shared" si="134"/>
        <v>46869242.150706261</v>
      </c>
      <c r="DT242" s="18">
        <f t="shared" si="135"/>
        <v>15816176.459369248</v>
      </c>
      <c r="DU242" s="18">
        <f t="shared" si="136"/>
        <v>74891487.33270961</v>
      </c>
    </row>
    <row r="243" spans="1:125" x14ac:dyDescent="0.2">
      <c r="A243" s="9">
        <v>43497</v>
      </c>
      <c r="B243">
        <v>2019</v>
      </c>
      <c r="C243">
        <v>2</v>
      </c>
      <c r="D243" s="14">
        <v>-2.4178571428571423</v>
      </c>
      <c r="E243">
        <v>627.70000000000005</v>
      </c>
      <c r="F243">
        <v>0</v>
      </c>
      <c r="G243">
        <v>571.70000000000016</v>
      </c>
      <c r="H243">
        <v>0</v>
      </c>
      <c r="I243">
        <v>515.70000000000005</v>
      </c>
      <c r="J243">
        <v>0</v>
      </c>
      <c r="K243">
        <v>459.70000000000005</v>
      </c>
      <c r="L243">
        <v>0</v>
      </c>
      <c r="M243">
        <v>403.70000000000005</v>
      </c>
      <c r="N243">
        <v>0</v>
      </c>
      <c r="O243">
        <v>347.70000000000005</v>
      </c>
      <c r="P243">
        <v>0</v>
      </c>
      <c r="Q243">
        <v>293.70000000000005</v>
      </c>
      <c r="R243">
        <v>2</v>
      </c>
      <c r="S243" s="30">
        <f>'Monthly Data'!F51/'Monthly Data'!G51/'Monthly Data'!BT51</f>
        <v>24.59975098792912</v>
      </c>
      <c r="T243" s="30">
        <f>'Monthly Data'!J51/'Monthly Data'!K51/'Monthly Data'!BT51</f>
        <v>99.140891437359045</v>
      </c>
      <c r="U243" s="31">
        <f>'Monthly Data'!N51/'Monthly Data'!P51/'Monthly Data'!BT51</f>
        <v>2556.7321308645519</v>
      </c>
      <c r="V243" s="30"/>
      <c r="W243" s="14">
        <f t="shared" si="137"/>
        <v>-2.4178571428571423</v>
      </c>
      <c r="X243" s="31">
        <f t="shared" si="138"/>
        <v>99.140891437359045</v>
      </c>
      <c r="DP243" s="18">
        <f>'Monthly Data'!F51</f>
        <v>42211303.114211284</v>
      </c>
      <c r="DQ243" s="18">
        <f>'Monthly Data'!J51</f>
        <v>15287128.896075014</v>
      </c>
      <c r="DR243" s="18">
        <f>'Monthly Data'!N51</f>
        <v>69584021.673609644</v>
      </c>
      <c r="DS243" s="18">
        <f t="shared" si="134"/>
        <v>44533090.47502777</v>
      </c>
      <c r="DT243" s="18">
        <f t="shared" si="135"/>
        <v>15183463.22779993</v>
      </c>
      <c r="DU243" s="18">
        <f t="shared" si="136"/>
        <v>72989011.540104032</v>
      </c>
    </row>
    <row r="244" spans="1:125" x14ac:dyDescent="0.2">
      <c r="A244" s="9">
        <v>43525</v>
      </c>
      <c r="B244">
        <v>2019</v>
      </c>
      <c r="C244">
        <v>3</v>
      </c>
      <c r="D244" s="14">
        <v>4.8387096774193415E-2</v>
      </c>
      <c r="E244">
        <v>618.49999999999989</v>
      </c>
      <c r="F244">
        <v>0</v>
      </c>
      <c r="G244">
        <v>556.49999999999989</v>
      </c>
      <c r="H244">
        <v>0</v>
      </c>
      <c r="I244">
        <v>494.49999999999989</v>
      </c>
      <c r="J244">
        <v>0</v>
      </c>
      <c r="K244">
        <v>432.49999999999989</v>
      </c>
      <c r="L244">
        <v>0</v>
      </c>
      <c r="M244">
        <v>370.49999999999989</v>
      </c>
      <c r="N244">
        <v>0</v>
      </c>
      <c r="O244">
        <v>308.49999999999994</v>
      </c>
      <c r="P244">
        <v>0</v>
      </c>
      <c r="Q244">
        <v>246.6</v>
      </c>
      <c r="R244">
        <v>9.9999999999999645E-2</v>
      </c>
      <c r="S244" s="30">
        <f>'Monthly Data'!F52/'Monthly Data'!G52/'Monthly Data'!BT52</f>
        <v>22.394814872084822</v>
      </c>
      <c r="T244" s="30">
        <f>'Monthly Data'!J52/'Monthly Data'!K52/'Monthly Data'!BT52</f>
        <v>94.136716699093583</v>
      </c>
      <c r="U244" s="31">
        <f>'Monthly Data'!N52/'Monthly Data'!P52/'Monthly Data'!BT52</f>
        <v>2470.0194930162274</v>
      </c>
      <c r="V244" s="30"/>
      <c r="W244" s="14">
        <f t="shared" si="137"/>
        <v>4.8387096774193415E-2</v>
      </c>
      <c r="X244" s="31">
        <f t="shared" si="138"/>
        <v>94.136716699093583</v>
      </c>
      <c r="DP244" s="18">
        <f>'Monthly Data'!F52</f>
        <v>42541593.437680028</v>
      </c>
      <c r="DQ244" s="18">
        <f>'Monthly Data'!J52</f>
        <v>16050310.197195457</v>
      </c>
      <c r="DR244" s="18">
        <f>'Monthly Data'!N52</f>
        <v>74426627.363564968</v>
      </c>
      <c r="DS244" s="18">
        <f t="shared" si="134"/>
        <v>43986716.222418532</v>
      </c>
      <c r="DT244" s="18">
        <f t="shared" si="135"/>
        <v>15035485.584647</v>
      </c>
      <c r="DU244" s="18">
        <f t="shared" si="136"/>
        <v>72273987.081138179</v>
      </c>
    </row>
    <row r="245" spans="1:125" x14ac:dyDescent="0.2">
      <c r="A245" s="9">
        <v>43556</v>
      </c>
      <c r="B245">
        <v>2019</v>
      </c>
      <c r="C245">
        <v>4</v>
      </c>
      <c r="D245" s="14">
        <v>6.2700000000000005</v>
      </c>
      <c r="E245">
        <v>411.9</v>
      </c>
      <c r="F245">
        <v>0</v>
      </c>
      <c r="G245">
        <v>351.9</v>
      </c>
      <c r="H245">
        <v>0</v>
      </c>
      <c r="I245">
        <v>291.89999999999998</v>
      </c>
      <c r="J245">
        <v>0</v>
      </c>
      <c r="K245">
        <v>231.89999999999995</v>
      </c>
      <c r="L245">
        <v>0</v>
      </c>
      <c r="M245">
        <v>173.29999999999998</v>
      </c>
      <c r="N245">
        <v>1.4000000000000004</v>
      </c>
      <c r="O245">
        <v>116.70000000000002</v>
      </c>
      <c r="P245">
        <v>4.8000000000000007</v>
      </c>
      <c r="Q245">
        <v>71.400000000000006</v>
      </c>
      <c r="R245">
        <v>19.5</v>
      </c>
      <c r="S245" s="30">
        <f>'Monthly Data'!F53/'Monthly Data'!G53/'Monthly Data'!BT53</f>
        <v>20.354503077954796</v>
      </c>
      <c r="T245" s="30">
        <f>'Monthly Data'!J53/'Monthly Data'!K53/'Monthly Data'!BT53</f>
        <v>86.573401857811135</v>
      </c>
      <c r="U245" s="31">
        <f>'Monthly Data'!N53/'Monthly Data'!P53/'Monthly Data'!BT53</f>
        <v>2336.7239826488626</v>
      </c>
      <c r="V245" s="30"/>
      <c r="W245" s="14">
        <f t="shared" si="137"/>
        <v>6.2700000000000005</v>
      </c>
      <c r="X245" s="31">
        <f t="shared" si="138"/>
        <v>86.573401857811135</v>
      </c>
      <c r="DP245" s="18">
        <f>'Monthly Data'!F53</f>
        <v>37536349.761148773</v>
      </c>
      <c r="DQ245" s="18">
        <f>'Monthly Data'!J53</f>
        <v>14274222.498315901</v>
      </c>
      <c r="DR245" s="18">
        <f>'Monthly Data'!N53</f>
        <v>68208973.053520292</v>
      </c>
      <c r="DS245" s="18">
        <f t="shared" si="134"/>
        <v>39957206.109425366</v>
      </c>
      <c r="DT245" s="18">
        <f t="shared" si="135"/>
        <v>13944150.46639416</v>
      </c>
      <c r="DU245" s="18">
        <f t="shared" si="136"/>
        <v>68775474.549769551</v>
      </c>
    </row>
    <row r="246" spans="1:125" x14ac:dyDescent="0.2">
      <c r="A246" s="9">
        <v>43586</v>
      </c>
      <c r="B246">
        <v>2019</v>
      </c>
      <c r="C246">
        <v>5</v>
      </c>
      <c r="D246" s="14">
        <v>11.058064516129033</v>
      </c>
      <c r="E246">
        <v>277.2</v>
      </c>
      <c r="F246">
        <v>0</v>
      </c>
      <c r="G246">
        <v>215.59999999999997</v>
      </c>
      <c r="H246">
        <v>0.39999999999999858</v>
      </c>
      <c r="I246">
        <v>157.79999999999998</v>
      </c>
      <c r="J246">
        <v>4.5999999999999979</v>
      </c>
      <c r="K246">
        <v>105.80000000000003</v>
      </c>
      <c r="L246">
        <v>14.6</v>
      </c>
      <c r="M246">
        <v>63.5</v>
      </c>
      <c r="N246">
        <v>34.299999999999997</v>
      </c>
      <c r="O246">
        <v>33.1</v>
      </c>
      <c r="P246">
        <v>65.899999999999991</v>
      </c>
      <c r="Q246">
        <v>13.399999999999999</v>
      </c>
      <c r="R246">
        <v>108.19999999999997</v>
      </c>
      <c r="S246" s="30">
        <f>'Monthly Data'!F54/'Monthly Data'!G54/'Monthly Data'!BT54</f>
        <v>19.994645479644998</v>
      </c>
      <c r="T246" s="30">
        <f>'Monthly Data'!J54/'Monthly Data'!K54/'Monthly Data'!BT54</f>
        <v>82.449202213437687</v>
      </c>
      <c r="U246" s="31">
        <f>'Monthly Data'!N54/'Monthly Data'!P54/'Monthly Data'!BT54</f>
        <v>2287.6452188554699</v>
      </c>
      <c r="V246" s="30"/>
      <c r="W246" s="14">
        <f t="shared" si="137"/>
        <v>11.058064516129033</v>
      </c>
      <c r="X246" s="31">
        <f t="shared" si="138"/>
        <v>82.449202213437687</v>
      </c>
      <c r="DP246" s="18">
        <f>'Monthly Data'!F54</f>
        <v>38099337.08461751</v>
      </c>
      <c r="DQ246" s="18">
        <f>'Monthly Data'!J54</f>
        <v>14029473.799436344</v>
      </c>
      <c r="DR246" s="18">
        <f>'Monthly Data'!N54</f>
        <v>69285910.743475616</v>
      </c>
      <c r="DS246" s="18">
        <f t="shared" si="134"/>
        <v>38847345.539718971</v>
      </c>
      <c r="DT246" s="18">
        <f t="shared" si="135"/>
        <v>13455504.636952747</v>
      </c>
      <c r="DU246" s="18">
        <f t="shared" si="136"/>
        <v>67982217.60066992</v>
      </c>
    </row>
    <row r="247" spans="1:125" x14ac:dyDescent="0.2">
      <c r="A247" s="9">
        <v>43617</v>
      </c>
      <c r="B247">
        <v>2019</v>
      </c>
      <c r="C247">
        <v>6</v>
      </c>
      <c r="D247" s="14">
        <v>17.306666666666668</v>
      </c>
      <c r="E247">
        <v>96.9</v>
      </c>
      <c r="F247">
        <v>16.100000000000001</v>
      </c>
      <c r="G247">
        <v>54.899999999999991</v>
      </c>
      <c r="H247">
        <v>34.1</v>
      </c>
      <c r="I247">
        <v>22</v>
      </c>
      <c r="J247">
        <v>61.2</v>
      </c>
      <c r="K247">
        <v>4.3999999999999986</v>
      </c>
      <c r="L247">
        <v>103.60000000000002</v>
      </c>
      <c r="M247">
        <v>0.19999999999999929</v>
      </c>
      <c r="N247">
        <v>159.4</v>
      </c>
      <c r="O247">
        <v>0</v>
      </c>
      <c r="P247">
        <v>219.2</v>
      </c>
      <c r="Q247">
        <v>0</v>
      </c>
      <c r="R247">
        <v>279.2</v>
      </c>
      <c r="S247" s="30">
        <f>'Monthly Data'!F55/'Monthly Data'!G55/'Monthly Data'!BT55</f>
        <v>24.527601947817029</v>
      </c>
      <c r="T247" s="30">
        <f>'Monthly Data'!J55/'Monthly Data'!K55/'Monthly Data'!BT55</f>
        <v>88.515085325540682</v>
      </c>
      <c r="U247" s="31">
        <f>'Monthly Data'!N55/'Monthly Data'!P55/'Monthly Data'!BT55</f>
        <v>2387.6711280865902</v>
      </c>
      <c r="V247" s="30"/>
      <c r="W247" s="14">
        <f t="shared" si="137"/>
        <v>17.306666666666668</v>
      </c>
      <c r="X247" s="31">
        <f t="shared" si="138"/>
        <v>88.515085325540682</v>
      </c>
      <c r="DP247" s="18">
        <f>'Monthly Data'!F55</f>
        <v>45232822.408086255</v>
      </c>
      <c r="DQ247" s="18">
        <f>'Monthly Data'!J55</f>
        <v>14575779.100556785</v>
      </c>
      <c r="DR247" s="18">
        <f>'Monthly Data'!N55</f>
        <v>70340791.43343094</v>
      </c>
      <c r="DS247" s="18">
        <f t="shared" ref="DS247:DS307" si="139">$EF$17+K247*$EF$18+L247*$EF$19</f>
        <v>45485839.783096761</v>
      </c>
      <c r="DT247" s="18">
        <f t="shared" ref="DT247:DT307" si="140">$EF$37+K247*$EF$38+L247*$EF$39</f>
        <v>14107077.071984708</v>
      </c>
      <c r="DU247" s="18">
        <f t="shared" ref="DU247:DU307" si="141">$EF$60+O247*$EF$61+L247*$EF$62</f>
        <v>71838470.082552359</v>
      </c>
    </row>
    <row r="248" spans="1:125" x14ac:dyDescent="0.2">
      <c r="A248" s="9">
        <v>43647</v>
      </c>
      <c r="B248">
        <v>2019</v>
      </c>
      <c r="C248">
        <v>7</v>
      </c>
      <c r="D248" s="14">
        <v>22.92258064516129</v>
      </c>
      <c r="E248">
        <v>1.4000000000000021</v>
      </c>
      <c r="F248">
        <v>92</v>
      </c>
      <c r="G248">
        <v>0</v>
      </c>
      <c r="H248">
        <v>152.6</v>
      </c>
      <c r="I248">
        <v>0</v>
      </c>
      <c r="J248">
        <v>214.60000000000002</v>
      </c>
      <c r="K248">
        <v>0</v>
      </c>
      <c r="L248">
        <v>276.59999999999997</v>
      </c>
      <c r="M248">
        <v>0</v>
      </c>
      <c r="N248">
        <v>338.59999999999997</v>
      </c>
      <c r="O248">
        <v>0</v>
      </c>
      <c r="P248">
        <v>400.59999999999997</v>
      </c>
      <c r="Q248">
        <v>0</v>
      </c>
      <c r="R248">
        <v>462.59999999999997</v>
      </c>
      <c r="S248" s="30">
        <f>'Monthly Data'!F56/'Monthly Data'!G56/'Monthly Data'!BT56</f>
        <v>33.135504721188411</v>
      </c>
      <c r="T248" s="30">
        <f>'Monthly Data'!J56/'Monthly Data'!K56/'Monthly Data'!BT56</f>
        <v>100.40746368650225</v>
      </c>
      <c r="U248" s="31">
        <f>'Monthly Data'!N56/'Monthly Data'!P56/'Monthly Data'!BT56</f>
        <v>2683.5581145583819</v>
      </c>
      <c r="V248" s="30"/>
      <c r="W248" s="14">
        <f t="shared" si="137"/>
        <v>22.92258064516129</v>
      </c>
      <c r="X248" s="31">
        <f t="shared" si="138"/>
        <v>100.40746368650225</v>
      </c>
      <c r="DP248" s="18">
        <f>'Monthly Data'!F56</f>
        <v>63142023.731554992</v>
      </c>
      <c r="DQ248" s="18">
        <f>'Monthly Data'!J56</f>
        <v>17103909.401677229</v>
      </c>
      <c r="DR248" s="18">
        <f>'Monthly Data'!N56</f>
        <v>81692876.123386264</v>
      </c>
      <c r="DS248" s="18">
        <f t="shared" si="139"/>
        <v>62260767.397289827</v>
      </c>
      <c r="DT248" s="18">
        <f t="shared" si="140"/>
        <v>16421991.404827155</v>
      </c>
      <c r="DU248" s="18">
        <f t="shared" si="141"/>
        <v>80507928.460937485</v>
      </c>
    </row>
    <row r="249" spans="1:125" x14ac:dyDescent="0.2">
      <c r="A249" s="9">
        <v>43678</v>
      </c>
      <c r="B249">
        <v>2019</v>
      </c>
      <c r="C249">
        <v>8</v>
      </c>
      <c r="D249" s="14">
        <v>21.267741935483876</v>
      </c>
      <c r="E249">
        <v>10.700000000000003</v>
      </c>
      <c r="F249">
        <v>50</v>
      </c>
      <c r="G249">
        <v>1.4000000000000021</v>
      </c>
      <c r="H249">
        <v>102.69999999999999</v>
      </c>
      <c r="I249">
        <v>0</v>
      </c>
      <c r="J249">
        <v>163.29999999999998</v>
      </c>
      <c r="K249">
        <v>0</v>
      </c>
      <c r="L249">
        <v>225.29999999999998</v>
      </c>
      <c r="M249">
        <v>0</v>
      </c>
      <c r="N249">
        <v>287.3</v>
      </c>
      <c r="O249">
        <v>0</v>
      </c>
      <c r="P249">
        <v>349.3</v>
      </c>
      <c r="Q249">
        <v>0</v>
      </c>
      <c r="R249">
        <v>411.29999999999995</v>
      </c>
      <c r="S249" s="30">
        <f>'Monthly Data'!F57/'Monthly Data'!G57/'Monthly Data'!BT57</f>
        <v>30.56503626304395</v>
      </c>
      <c r="T249" s="30">
        <f>'Monthly Data'!J57/'Monthly Data'!K57/'Monthly Data'!BT57</f>
        <v>96.229205547057717</v>
      </c>
      <c r="U249" s="31">
        <f>'Monthly Data'!N57/'Monthly Data'!P57/'Monthly Data'!BT57</f>
        <v>2570.4906577410029</v>
      </c>
      <c r="V249" s="30"/>
      <c r="W249" s="14">
        <f t="shared" si="137"/>
        <v>21.267741935483876</v>
      </c>
      <c r="X249" s="31">
        <f t="shared" si="138"/>
        <v>96.229205547057717</v>
      </c>
      <c r="DP249" s="18">
        <f>'Monthly Data'!F57</f>
        <v>58238131.055023737</v>
      </c>
      <c r="DQ249" s="18">
        <f>'Monthly Data'!J57</f>
        <v>16383214.702797672</v>
      </c>
      <c r="DR249" s="18">
        <f>'Monthly Data'!N57</f>
        <v>78330561.813341588</v>
      </c>
      <c r="DS249" s="18">
        <f t="shared" si="139"/>
        <v>57260259.365999579</v>
      </c>
      <c r="DT249" s="18">
        <f t="shared" si="140"/>
        <v>15728447.462059492</v>
      </c>
      <c r="DU249" s="18">
        <f t="shared" si="141"/>
        <v>77937158.433127329</v>
      </c>
    </row>
    <row r="250" spans="1:125" x14ac:dyDescent="0.2">
      <c r="A250" s="9">
        <v>43709</v>
      </c>
      <c r="B250">
        <v>2019</v>
      </c>
      <c r="C250">
        <v>9</v>
      </c>
      <c r="D250" s="14">
        <v>18.453333333333333</v>
      </c>
      <c r="E250">
        <v>58</v>
      </c>
      <c r="F250">
        <v>11.599999999999994</v>
      </c>
      <c r="G250">
        <v>21.8</v>
      </c>
      <c r="H250">
        <v>35.4</v>
      </c>
      <c r="I250">
        <v>5.0999999999999996</v>
      </c>
      <c r="J250">
        <v>78.7</v>
      </c>
      <c r="K250">
        <v>0.30000000000000071</v>
      </c>
      <c r="L250">
        <v>133.90000000000003</v>
      </c>
      <c r="M250">
        <v>0</v>
      </c>
      <c r="N250">
        <v>193.6</v>
      </c>
      <c r="O250">
        <v>0</v>
      </c>
      <c r="P250">
        <v>253.59999999999997</v>
      </c>
      <c r="Q250">
        <v>0</v>
      </c>
      <c r="R250">
        <v>313.59999999999997</v>
      </c>
      <c r="S250" s="30">
        <f>'Monthly Data'!F58/'Monthly Data'!G58/'Monthly Data'!BT58</f>
        <v>24.027276876704242</v>
      </c>
      <c r="T250" s="30">
        <f>'Monthly Data'!J58/'Monthly Data'!K58/'Monthly Data'!BT58</f>
        <v>88.166763730701803</v>
      </c>
      <c r="U250" s="31">
        <f>'Monthly Data'!N58/'Monthly Data'!P58/'Monthly Data'!BT58</f>
        <v>2437.242728620351</v>
      </c>
      <c r="V250" s="30"/>
      <c r="W250" s="14">
        <f t="shared" si="137"/>
        <v>18.453333333333333</v>
      </c>
      <c r="X250" s="31">
        <f t="shared" si="138"/>
        <v>88.166763730701803</v>
      </c>
      <c r="DP250" s="18">
        <f>'Monthly Data'!F58</f>
        <v>44304376.378492482</v>
      </c>
      <c r="DQ250" s="18">
        <f>'Monthly Data'!J58</f>
        <v>14536936.003918113</v>
      </c>
      <c r="DR250" s="18">
        <f>'Monthly Data'!N58</f>
        <v>71728053.503296927</v>
      </c>
      <c r="DS250" s="18">
        <f t="shared" si="139"/>
        <v>48356998.338965409</v>
      </c>
      <c r="DT250" s="18">
        <f t="shared" si="140"/>
        <v>14494408.684032526</v>
      </c>
      <c r="DU250" s="18">
        <f t="shared" si="141"/>
        <v>73356878.110674143</v>
      </c>
    </row>
    <row r="251" spans="1:125" x14ac:dyDescent="0.2">
      <c r="A251" s="9">
        <v>43739</v>
      </c>
      <c r="B251">
        <v>2019</v>
      </c>
      <c r="C251">
        <v>10</v>
      </c>
      <c r="D251" s="14">
        <v>12.125806451612904</v>
      </c>
      <c r="E251">
        <v>247.00000000000003</v>
      </c>
      <c r="F251">
        <v>2.8999999999999986</v>
      </c>
      <c r="G251">
        <v>187.00000000000003</v>
      </c>
      <c r="H251">
        <v>4.8999999999999986</v>
      </c>
      <c r="I251">
        <v>128.5</v>
      </c>
      <c r="J251">
        <v>8.3999999999999986</v>
      </c>
      <c r="K251">
        <v>74.100000000000009</v>
      </c>
      <c r="L251">
        <v>15.999999999999998</v>
      </c>
      <c r="M251">
        <v>32</v>
      </c>
      <c r="N251">
        <v>35.9</v>
      </c>
      <c r="O251">
        <v>10.4</v>
      </c>
      <c r="P251">
        <v>76.299999999999983</v>
      </c>
      <c r="Q251">
        <v>0.29999999999999982</v>
      </c>
      <c r="R251">
        <v>128.19999999999999</v>
      </c>
      <c r="S251" s="30">
        <f>'Monthly Data'!F59/'Monthly Data'!G59/'Monthly Data'!BT59</f>
        <v>20.678342356129672</v>
      </c>
      <c r="T251" s="30">
        <f>'Monthly Data'!J59/'Monthly Data'!K59/'Monthly Data'!BT59</f>
        <v>81.408296721585941</v>
      </c>
      <c r="U251" s="31">
        <f>'Monthly Data'!N59/'Monthly Data'!P59/'Monthly Data'!BT59</f>
        <v>2290.8238707456303</v>
      </c>
      <c r="V251" s="30"/>
      <c r="W251" s="14">
        <f t="shared" si="137"/>
        <v>12.125806451612904</v>
      </c>
      <c r="X251" s="31">
        <f t="shared" si="138"/>
        <v>81.408296721585941</v>
      </c>
      <c r="DP251" s="18">
        <f>'Monthly Data'!F59</f>
        <v>39423259.701961219</v>
      </c>
      <c r="DQ251" s="18">
        <f>'Monthly Data'!J59</f>
        <v>13867496.305038556</v>
      </c>
      <c r="DR251" s="18">
        <f>'Monthly Data'!N59</f>
        <v>69595229.193252251</v>
      </c>
      <c r="DS251" s="18">
        <f t="shared" si="139"/>
        <v>38347044.594081894</v>
      </c>
      <c r="DT251" s="18">
        <f t="shared" si="140"/>
        <v>13301972.52356901</v>
      </c>
      <c r="DU251" s="18">
        <f t="shared" si="141"/>
        <v>67638317.536230996</v>
      </c>
    </row>
    <row r="252" spans="1:125" x14ac:dyDescent="0.2">
      <c r="A252" s="9">
        <v>43770</v>
      </c>
      <c r="B252">
        <v>2019</v>
      </c>
      <c r="C252">
        <v>11</v>
      </c>
      <c r="D252" s="14">
        <v>2.5333333333333332</v>
      </c>
      <c r="E252">
        <v>524</v>
      </c>
      <c r="F252">
        <v>0</v>
      </c>
      <c r="G252">
        <v>464</v>
      </c>
      <c r="H252">
        <v>0</v>
      </c>
      <c r="I252">
        <v>403.99999999999994</v>
      </c>
      <c r="J252">
        <v>0</v>
      </c>
      <c r="K252">
        <v>343.99999999999994</v>
      </c>
      <c r="L252">
        <v>0</v>
      </c>
      <c r="M252">
        <v>284</v>
      </c>
      <c r="N252">
        <v>0</v>
      </c>
      <c r="O252">
        <v>224.00000000000006</v>
      </c>
      <c r="P252">
        <v>0</v>
      </c>
      <c r="Q252">
        <v>165.8</v>
      </c>
      <c r="R252">
        <v>1.8000000000000007</v>
      </c>
      <c r="S252" s="30">
        <f>'Monthly Data'!F60/'Monthly Data'!G60/'Monthly Data'!BT60</f>
        <v>21.931180903598047</v>
      </c>
      <c r="T252" s="30">
        <f>'Monthly Data'!J60/'Monthly Data'!K60/'Monthly Data'!BT60</f>
        <v>87.691187720912751</v>
      </c>
      <c r="U252" s="31">
        <f>'Monthly Data'!N60/'Monthly Data'!P60/'Monthly Data'!BT60</f>
        <v>2289.5930353989402</v>
      </c>
      <c r="V252" s="30"/>
      <c r="W252" s="14">
        <f t="shared" si="137"/>
        <v>2.5333333333333332</v>
      </c>
      <c r="X252" s="31">
        <f t="shared" si="138"/>
        <v>87.691187720912751</v>
      </c>
      <c r="DP252" s="18">
        <f>'Monthly Data'!F60</f>
        <v>40460397.025429964</v>
      </c>
      <c r="DQ252" s="18">
        <f>'Monthly Data'!J60</f>
        <v>14353293.606159</v>
      </c>
      <c r="DR252" s="18">
        <f>'Monthly Data'!N60</f>
        <v>70061546.883207574</v>
      </c>
      <c r="DS252" s="18">
        <f t="shared" si="139"/>
        <v>42208991.172568604</v>
      </c>
      <c r="DT252" s="18">
        <f t="shared" si="140"/>
        <v>14554014.208947219</v>
      </c>
      <c r="DU252" s="18">
        <f t="shared" si="141"/>
        <v>70732671.60198985</v>
      </c>
    </row>
    <row r="253" spans="1:125" x14ac:dyDescent="0.2">
      <c r="A253" s="9">
        <v>43800</v>
      </c>
      <c r="B253">
        <v>2019</v>
      </c>
      <c r="C253">
        <v>12</v>
      </c>
      <c r="D253" s="14">
        <v>1.2129032258064516</v>
      </c>
      <c r="E253">
        <v>582.39999999999986</v>
      </c>
      <c r="F253">
        <v>0</v>
      </c>
      <c r="G253">
        <v>520.39999999999986</v>
      </c>
      <c r="H253">
        <v>0</v>
      </c>
      <c r="I253">
        <v>458.4</v>
      </c>
      <c r="J253">
        <v>0</v>
      </c>
      <c r="K253">
        <v>396.4</v>
      </c>
      <c r="L253">
        <v>0</v>
      </c>
      <c r="M253">
        <v>334.40000000000003</v>
      </c>
      <c r="N253">
        <v>0</v>
      </c>
      <c r="O253">
        <v>272.40000000000003</v>
      </c>
      <c r="P253">
        <v>0</v>
      </c>
      <c r="Q253">
        <v>210.40000000000006</v>
      </c>
      <c r="R253">
        <v>0</v>
      </c>
      <c r="S253" s="30">
        <f>'Monthly Data'!F61/'Monthly Data'!G61/'Monthly Data'!BT61</f>
        <v>23.893756805087179</v>
      </c>
      <c r="T253" s="30">
        <f>'Monthly Data'!J61/'Monthly Data'!K61/'Monthly Data'!BT61</f>
        <v>89.844493130565056</v>
      </c>
      <c r="U253" s="31">
        <f>'Monthly Data'!N61/'Monthly Data'!P61/'Monthly Data'!BT61</f>
        <v>2239.1444849808377</v>
      </c>
      <c r="V253" s="30"/>
      <c r="W253" s="14">
        <f t="shared" si="137"/>
        <v>1.2129032258064516</v>
      </c>
      <c r="X253" s="31">
        <f t="shared" si="138"/>
        <v>89.844493130565056</v>
      </c>
      <c r="DP253" s="18">
        <f>'Monthly Data'!F61</f>
        <v>45553447.348898709</v>
      </c>
      <c r="DQ253" s="18">
        <f>'Monthly Data'!J61</f>
        <v>15207078.907279443</v>
      </c>
      <c r="DR253" s="18">
        <f>'Monthly Data'!N61</f>
        <v>70940575.573162898</v>
      </c>
      <c r="DS253" s="18">
        <f t="shared" si="139"/>
        <v>43261565.100389354</v>
      </c>
      <c r="DT253" s="18">
        <f t="shared" si="140"/>
        <v>14839088.786197711</v>
      </c>
      <c r="DU253" s="18">
        <f t="shared" si="141"/>
        <v>71615507.923774227</v>
      </c>
    </row>
    <row r="254" spans="1:125" x14ac:dyDescent="0.2">
      <c r="A254" s="9">
        <v>43831</v>
      </c>
      <c r="B254">
        <f>B242+1</f>
        <v>2020</v>
      </c>
      <c r="C254">
        <f>C242</f>
        <v>1</v>
      </c>
      <c r="D254" s="14">
        <v>0.20000000000000021</v>
      </c>
      <c r="E254">
        <v>613.79999999999995</v>
      </c>
      <c r="F254">
        <v>0</v>
      </c>
      <c r="G254">
        <v>551.79999999999995</v>
      </c>
      <c r="H254">
        <v>0</v>
      </c>
      <c r="I254">
        <v>489.79999999999995</v>
      </c>
      <c r="J254">
        <v>0</v>
      </c>
      <c r="K254">
        <v>427.8</v>
      </c>
      <c r="L254">
        <v>0</v>
      </c>
      <c r="M254">
        <v>365.8</v>
      </c>
      <c r="N254">
        <v>0</v>
      </c>
      <c r="O254">
        <v>303.8</v>
      </c>
      <c r="P254">
        <v>0</v>
      </c>
      <c r="Q254">
        <v>241.9</v>
      </c>
      <c r="R254">
        <v>9.9999999999999645E-2</v>
      </c>
      <c r="S254" s="30">
        <f>'Monthly Data'!F62/'Monthly Data'!G62/'Monthly Data'!BT62</f>
        <v>23.553261055606438</v>
      </c>
      <c r="T254" s="30">
        <f>'Monthly Data'!J62/'Monthly Data'!K62/'Monthly Data'!BT62</f>
        <v>90.826718985288494</v>
      </c>
      <c r="U254" s="31">
        <f>'Monthly Data'!N62/'Monthly Data'!P62/'Monthly Data'!BT62</f>
        <v>2438.7232461623266</v>
      </c>
      <c r="V254" s="30"/>
      <c r="W254" s="14">
        <f t="shared" si="137"/>
        <v>0.20000000000000021</v>
      </c>
      <c r="X254" s="31">
        <f t="shared" si="138"/>
        <v>90.826718985288494</v>
      </c>
      <c r="DP254" s="18">
        <f>'Monthly Data'!F62</f>
        <v>44911593.71344091</v>
      </c>
      <c r="DQ254" s="18">
        <f>'Monthly Data'!J62</f>
        <v>15460614.932394793</v>
      </c>
      <c r="DR254" s="18">
        <f>'Monthly Data'!N62</f>
        <v>76432025.257973492</v>
      </c>
      <c r="DS254" s="18">
        <f t="shared" si="139"/>
        <v>43892305.965533845</v>
      </c>
      <c r="DT254" s="18">
        <f t="shared" si="140"/>
        <v>15009915.9183669</v>
      </c>
      <c r="DU254" s="18">
        <f t="shared" si="141"/>
        <v>72188257.107741773</v>
      </c>
    </row>
    <row r="255" spans="1:125" x14ac:dyDescent="0.2">
      <c r="A255" s="9">
        <v>43862</v>
      </c>
      <c r="B255">
        <f t="shared" ref="B255:B313" si="142">B243+1</f>
        <v>2020</v>
      </c>
      <c r="C255">
        <f t="shared" ref="C255:C313" si="143">C243</f>
        <v>2</v>
      </c>
      <c r="D255" s="14">
        <v>-1.3517241379310343</v>
      </c>
      <c r="E255">
        <v>619.19999999999993</v>
      </c>
      <c r="F255">
        <v>0</v>
      </c>
      <c r="G255">
        <v>561.20000000000005</v>
      </c>
      <c r="H255">
        <v>0</v>
      </c>
      <c r="I255">
        <v>503.20000000000005</v>
      </c>
      <c r="J255">
        <v>0</v>
      </c>
      <c r="K255">
        <v>445.2</v>
      </c>
      <c r="L255">
        <v>0</v>
      </c>
      <c r="M255">
        <v>387.2</v>
      </c>
      <c r="N255">
        <v>0</v>
      </c>
      <c r="O255">
        <v>329.2</v>
      </c>
      <c r="P255">
        <v>0</v>
      </c>
      <c r="Q255">
        <v>271.20000000000005</v>
      </c>
      <c r="R255">
        <v>0</v>
      </c>
      <c r="S255" s="30">
        <f>'Monthly Data'!F63/'Monthly Data'!G63/'Monthly Data'!BT63</f>
        <v>22.928998151482066</v>
      </c>
      <c r="T255" s="30">
        <f>'Monthly Data'!J63/'Monthly Data'!K63/'Monthly Data'!BT63</f>
        <v>91.481271570718221</v>
      </c>
      <c r="U255" s="31">
        <f>'Monthly Data'!N63/'Monthly Data'!P63/'Monthly Data'!BT63</f>
        <v>2424.6933379372349</v>
      </c>
      <c r="V255" s="30"/>
      <c r="W255" s="14">
        <f t="shared" si="137"/>
        <v>-1.3517241379310343</v>
      </c>
      <c r="X255" s="31">
        <f t="shared" si="138"/>
        <v>91.481271570718221</v>
      </c>
      <c r="DP255" s="18">
        <f>'Monthly Data'!F63</f>
        <v>40905172.199256942</v>
      </c>
      <c r="DQ255" s="18">
        <f>'Monthly Data'!J63</f>
        <v>14562080.289898498</v>
      </c>
      <c r="DR255" s="18">
        <f>'Monthly Data'!N63</f>
        <v>71230216.188582152</v>
      </c>
      <c r="DS255" s="18">
        <f t="shared" si="139"/>
        <v>44241824.788894169</v>
      </c>
      <c r="DT255" s="18">
        <f t="shared" si="140"/>
        <v>15104578.087148551</v>
      </c>
      <c r="DU255" s="18">
        <f t="shared" si="141"/>
        <v>72651563.772479847</v>
      </c>
    </row>
    <row r="256" spans="1:125" x14ac:dyDescent="0.2">
      <c r="A256" s="9">
        <v>43891</v>
      </c>
      <c r="B256">
        <f t="shared" si="142"/>
        <v>2020</v>
      </c>
      <c r="C256">
        <f t="shared" si="143"/>
        <v>3</v>
      </c>
      <c r="D256" s="14">
        <v>3.8064516129032264</v>
      </c>
      <c r="E256">
        <v>502</v>
      </c>
      <c r="F256">
        <v>0</v>
      </c>
      <c r="G256">
        <v>440.00000000000006</v>
      </c>
      <c r="H256">
        <v>0</v>
      </c>
      <c r="I256">
        <v>378.00000000000006</v>
      </c>
      <c r="J256">
        <v>0</v>
      </c>
      <c r="K256">
        <v>316</v>
      </c>
      <c r="L256">
        <v>0</v>
      </c>
      <c r="M256">
        <v>254.00000000000006</v>
      </c>
      <c r="N256">
        <v>0</v>
      </c>
      <c r="O256">
        <v>195.30000000000007</v>
      </c>
      <c r="P256">
        <v>3.3000000000000007</v>
      </c>
      <c r="Q256">
        <v>138.1</v>
      </c>
      <c r="R256">
        <v>8.1000000000000014</v>
      </c>
      <c r="S256" s="30">
        <f>'Monthly Data'!F64/'Monthly Data'!G64/'Monthly Data'!BT64</f>
        <v>22.096959022119041</v>
      </c>
      <c r="T256" s="30">
        <f>'Monthly Data'!J64/'Monthly Data'!K64/'Monthly Data'!BT64</f>
        <v>81.106437814675672</v>
      </c>
      <c r="U256" s="31">
        <f>'Monthly Data'!N64/'Monthly Data'!P64/'Monthly Data'!BT64</f>
        <v>2260.9833811798489</v>
      </c>
      <c r="V256" s="30"/>
      <c r="W256" s="14">
        <f t="shared" si="137"/>
        <v>3.8064516129032264</v>
      </c>
      <c r="X256" s="31">
        <f t="shared" si="138"/>
        <v>81.106437814675672</v>
      </c>
      <c r="DP256" s="18">
        <f>'Monthly Data'!F64</f>
        <v>42164842.685072981</v>
      </c>
      <c r="DQ256" s="18">
        <f>'Monthly Data'!J64</f>
        <v>13828647.647402203</v>
      </c>
      <c r="DR256" s="18">
        <f>'Monthly Data'!N64</f>
        <v>71001661.119190797</v>
      </c>
      <c r="DS256" s="18">
        <f t="shared" si="139"/>
        <v>41646547.08900027</v>
      </c>
      <c r="DT256" s="18">
        <f t="shared" si="140"/>
        <v>14401684.282172145</v>
      </c>
      <c r="DU256" s="18">
        <f t="shared" si="141"/>
        <v>70209171.551675573</v>
      </c>
    </row>
    <row r="257" spans="1:125" x14ac:dyDescent="0.2">
      <c r="A257" s="9">
        <v>43922</v>
      </c>
      <c r="B257">
        <f t="shared" si="142"/>
        <v>2020</v>
      </c>
      <c r="C257">
        <f t="shared" si="143"/>
        <v>4</v>
      </c>
      <c r="D257" s="14">
        <v>5.9666666666666659</v>
      </c>
      <c r="E257">
        <v>421</v>
      </c>
      <c r="F257">
        <v>0</v>
      </c>
      <c r="G257">
        <v>360.99999999999994</v>
      </c>
      <c r="H257">
        <v>0</v>
      </c>
      <c r="I257">
        <v>300.99999999999994</v>
      </c>
      <c r="J257">
        <v>0</v>
      </c>
      <c r="K257">
        <v>241.00000000000003</v>
      </c>
      <c r="L257">
        <v>0</v>
      </c>
      <c r="M257">
        <v>181.00000000000003</v>
      </c>
      <c r="N257">
        <v>0</v>
      </c>
      <c r="O257">
        <v>121.19999999999999</v>
      </c>
      <c r="P257">
        <v>0.19999999999999929</v>
      </c>
      <c r="Q257">
        <v>67.40000000000002</v>
      </c>
      <c r="R257">
        <v>6.3999999999999986</v>
      </c>
      <c r="S257" s="30">
        <f>'Monthly Data'!F65/'Monthly Data'!G65/'Monthly Data'!BT65</f>
        <v>21.954779438600234</v>
      </c>
      <c r="T257" s="30">
        <f>'Monthly Data'!J65/'Monthly Data'!K65/'Monthly Data'!BT65</f>
        <v>68.835011540687674</v>
      </c>
      <c r="U257" s="31">
        <f>'Monthly Data'!N65/'Monthly Data'!P65/'Monthly Data'!BT65</f>
        <v>2003.4111566238714</v>
      </c>
      <c r="V257" s="30"/>
      <c r="W257" s="14">
        <f t="shared" si="137"/>
        <v>5.9666666666666659</v>
      </c>
      <c r="X257" s="120">
        <f t="shared" si="138"/>
        <v>68.835011540687674</v>
      </c>
      <c r="DP257" s="18">
        <f>'Monthly Data'!F65</f>
        <v>40550697.17088902</v>
      </c>
      <c r="DQ257" s="18">
        <f>'Monthly Data'!J65</f>
        <v>11361907.004905907</v>
      </c>
      <c r="DR257" s="18">
        <f>'Monthly Data'!N65</f>
        <v>60883665.04979945</v>
      </c>
      <c r="DS257" s="18">
        <f t="shared" si="139"/>
        <v>40140000.436585084</v>
      </c>
      <c r="DT257" s="18">
        <f t="shared" si="140"/>
        <v>13993657.692596059</v>
      </c>
      <c r="DU257" s="18">
        <f t="shared" si="141"/>
        <v>68857556.439191639</v>
      </c>
    </row>
    <row r="258" spans="1:125" x14ac:dyDescent="0.2">
      <c r="A258" s="9">
        <v>43952</v>
      </c>
      <c r="B258">
        <f t="shared" si="142"/>
        <v>2020</v>
      </c>
      <c r="C258">
        <f t="shared" si="143"/>
        <v>5</v>
      </c>
      <c r="D258" s="14">
        <v>11.177419354838708</v>
      </c>
      <c r="E258">
        <v>276.90000000000003</v>
      </c>
      <c r="F258">
        <v>3.3999999999999986</v>
      </c>
      <c r="G258">
        <v>221.5</v>
      </c>
      <c r="H258">
        <v>9.9999999999999964</v>
      </c>
      <c r="I258">
        <v>168.8</v>
      </c>
      <c r="J258">
        <v>19.299999999999997</v>
      </c>
      <c r="K258">
        <v>122.60000000000001</v>
      </c>
      <c r="L258">
        <v>35.1</v>
      </c>
      <c r="M258">
        <v>83.199999999999989</v>
      </c>
      <c r="N258">
        <v>57.7</v>
      </c>
      <c r="O258">
        <v>48.400000000000006</v>
      </c>
      <c r="P258">
        <v>84.9</v>
      </c>
      <c r="Q258">
        <v>23.700000000000003</v>
      </c>
      <c r="R258">
        <v>122.19999999999999</v>
      </c>
      <c r="S258" s="30">
        <f>'Monthly Data'!F66/'Monthly Data'!G66/'Monthly Data'!BT66</f>
        <v>23.911020814946532</v>
      </c>
      <c r="T258" s="30">
        <f>'Monthly Data'!J66/'Monthly Data'!K66/'Monthly Data'!BT66</f>
        <v>68.312484899576106</v>
      </c>
      <c r="U258" s="31">
        <f>'Monthly Data'!N66/'Monthly Data'!P66/'Monthly Data'!BT66</f>
        <v>2038.59717240701</v>
      </c>
      <c r="V258" s="30"/>
      <c r="W258" s="14">
        <f t="shared" ref="W258:W289" si="144">D258</f>
        <v>11.177419354838708</v>
      </c>
      <c r="X258" s="120">
        <f t="shared" ref="X258:X289" si="145">T258</f>
        <v>68.312484899576106</v>
      </c>
      <c r="DP258" s="18">
        <f>'Monthly Data'!F66</f>
        <v>45655296.656705059</v>
      </c>
      <c r="DQ258" s="18">
        <f>'Monthly Data'!J66</f>
        <v>11649396.362409612</v>
      </c>
      <c r="DR258" s="18">
        <f>'Monthly Data'!N66</f>
        <v>63891673.980408102</v>
      </c>
      <c r="DS258" s="18">
        <f t="shared" si="139"/>
        <v>41183065.686574399</v>
      </c>
      <c r="DT258" s="18">
        <f t="shared" si="140"/>
        <v>13824049.782622799</v>
      </c>
      <c r="DU258" s="18">
        <f t="shared" si="141"/>
        <v>69288601.786305621</v>
      </c>
    </row>
    <row r="259" spans="1:125" x14ac:dyDescent="0.2">
      <c r="A259" s="9">
        <v>43983</v>
      </c>
      <c r="B259">
        <f t="shared" si="142"/>
        <v>2020</v>
      </c>
      <c r="C259">
        <f t="shared" si="143"/>
        <v>6</v>
      </c>
      <c r="D259" s="14">
        <v>19.97666666666667</v>
      </c>
      <c r="E259">
        <v>48</v>
      </c>
      <c r="F259">
        <v>47.300000000000018</v>
      </c>
      <c r="G259">
        <v>26.8</v>
      </c>
      <c r="H259">
        <v>86.100000000000023</v>
      </c>
      <c r="I259">
        <v>11.700000000000001</v>
      </c>
      <c r="J259">
        <v>131</v>
      </c>
      <c r="K259">
        <v>3.0999999999999996</v>
      </c>
      <c r="L259">
        <v>182.39999999999995</v>
      </c>
      <c r="M259">
        <v>0</v>
      </c>
      <c r="N259">
        <v>239.29999999999998</v>
      </c>
      <c r="O259">
        <v>0</v>
      </c>
      <c r="P259">
        <v>299.29999999999995</v>
      </c>
      <c r="Q259">
        <v>0</v>
      </c>
      <c r="R259">
        <v>359.29999999999995</v>
      </c>
      <c r="S259" s="30">
        <f>'Monthly Data'!F67/'Monthly Data'!G67/'Monthly Data'!BT67</f>
        <v>32.206460520276707</v>
      </c>
      <c r="T259" s="30">
        <f>'Monthly Data'!J67/'Monthly Data'!K67/'Monthly Data'!BT67</f>
        <v>81.858785852188205</v>
      </c>
      <c r="U259" s="31">
        <f>'Monthly Data'!N67/'Monthly Data'!P67/'Monthly Data'!BT67</f>
        <v>2332.803495413094</v>
      </c>
      <c r="V259" s="30"/>
      <c r="W259" s="14">
        <f t="shared" si="144"/>
        <v>19.97666666666667</v>
      </c>
      <c r="X259" s="31">
        <f t="shared" si="145"/>
        <v>81.858785852188205</v>
      </c>
      <c r="DP259" s="18">
        <f>'Monthly Data'!F67</f>
        <v>59532998.142521091</v>
      </c>
      <c r="DQ259" s="18">
        <f>'Monthly Data'!J67</f>
        <v>13516522.719913317</v>
      </c>
      <c r="DR259" s="18">
        <f>'Monthly Data'!N67</f>
        <v>70683945.911016747</v>
      </c>
      <c r="DS259" s="18">
        <f t="shared" si="139"/>
        <v>53140818.56637831</v>
      </c>
      <c r="DT259" s="18">
        <f t="shared" si="140"/>
        <v>15165331.369190179</v>
      </c>
      <c r="DU259" s="18">
        <f t="shared" si="141"/>
        <v>75787333.205192521</v>
      </c>
    </row>
    <row r="260" spans="1:125" x14ac:dyDescent="0.2">
      <c r="A260" s="9">
        <v>44013</v>
      </c>
      <c r="B260">
        <f t="shared" si="142"/>
        <v>2020</v>
      </c>
      <c r="C260">
        <f t="shared" si="143"/>
        <v>7</v>
      </c>
      <c r="D260" s="14">
        <v>24.532258064516125</v>
      </c>
      <c r="E260" s="13">
        <v>0.39999999999999858</v>
      </c>
      <c r="F260" s="13">
        <v>140.9</v>
      </c>
      <c r="G260" s="13">
        <v>0</v>
      </c>
      <c r="H260" s="13">
        <v>202.5</v>
      </c>
      <c r="I260" s="13">
        <v>0</v>
      </c>
      <c r="J260" s="13">
        <v>264.5</v>
      </c>
      <c r="K260" s="13">
        <v>0</v>
      </c>
      <c r="L260" s="13">
        <v>326.5</v>
      </c>
      <c r="M260" s="13">
        <v>0</v>
      </c>
      <c r="N260" s="13">
        <v>388.5</v>
      </c>
      <c r="O260" s="13">
        <v>0</v>
      </c>
      <c r="P260" s="13">
        <v>450.49999999999994</v>
      </c>
      <c r="Q260" s="13">
        <v>0</v>
      </c>
      <c r="R260" s="13">
        <v>512.5</v>
      </c>
      <c r="S260" s="30">
        <f>'Monthly Data'!F68/'Monthly Data'!G68/'Monthly Data'!BT68</f>
        <v>37.828114268611145</v>
      </c>
      <c r="T260" s="30">
        <f>'Monthly Data'!J68/'Monthly Data'!K68/'Monthly Data'!BT68</f>
        <v>92.82034396923153</v>
      </c>
      <c r="U260" s="31">
        <f>'Monthly Data'!N68/'Monthly Data'!P68/'Monthly Data'!BT68</f>
        <v>2421.4030449063403</v>
      </c>
      <c r="V260" s="30"/>
      <c r="W260" s="14">
        <f t="shared" si="144"/>
        <v>24.532258064516125</v>
      </c>
      <c r="X260" s="31">
        <f t="shared" si="145"/>
        <v>92.82034396923153</v>
      </c>
      <c r="DP260" s="18">
        <f>'Monthly Data'!F68</f>
        <v>72305754.62833713</v>
      </c>
      <c r="DQ260" s="18">
        <f>'Monthly Data'!J68</f>
        <v>15828746.077417022</v>
      </c>
      <c r="DR260" s="18">
        <f>'Monthly Data'!N68</f>
        <v>75739065.841625407</v>
      </c>
      <c r="DS260" s="18">
        <f t="shared" si="139"/>
        <v>67124809.322462991</v>
      </c>
      <c r="DT260" s="18">
        <f t="shared" si="140"/>
        <v>17096608.222451061</v>
      </c>
      <c r="DU260" s="18">
        <f t="shared" si="141"/>
        <v>83008541.02210176</v>
      </c>
    </row>
    <row r="261" spans="1:125" x14ac:dyDescent="0.2">
      <c r="A261" s="9">
        <v>44044</v>
      </c>
      <c r="B261">
        <f t="shared" si="142"/>
        <v>2020</v>
      </c>
      <c r="C261">
        <f t="shared" si="143"/>
        <v>8</v>
      </c>
      <c r="D261" s="14">
        <v>21.920967741935485</v>
      </c>
      <c r="E261" s="13">
        <v>9.0999999999999979</v>
      </c>
      <c r="F261" s="13">
        <v>68.650000000000006</v>
      </c>
      <c r="G261" s="13">
        <v>0</v>
      </c>
      <c r="H261" s="13">
        <v>121.55</v>
      </c>
      <c r="I261" s="13">
        <v>0</v>
      </c>
      <c r="J261" s="13">
        <v>183.54999999999998</v>
      </c>
      <c r="K261" s="13">
        <v>0</v>
      </c>
      <c r="L261" s="13">
        <v>245.54999999999998</v>
      </c>
      <c r="M261" s="13">
        <v>0</v>
      </c>
      <c r="N261" s="13">
        <v>307.55</v>
      </c>
      <c r="O261" s="13">
        <v>0</v>
      </c>
      <c r="P261" s="13">
        <v>369.55</v>
      </c>
      <c r="Q261" s="13">
        <v>0</v>
      </c>
      <c r="R261" s="13">
        <v>431.55</v>
      </c>
      <c r="S261" s="30">
        <f>'Monthly Data'!F69/'Monthly Data'!G69/'Monthly Data'!BT69</f>
        <v>33.40453188712484</v>
      </c>
      <c r="T261" s="30">
        <f>'Monthly Data'!J69/'Monthly Data'!K69/'Monthly Data'!BT69</f>
        <v>90.734081653127461</v>
      </c>
      <c r="U261" s="31">
        <f>'Monthly Data'!N69/'Monthly Data'!P69/'Monthly Data'!BT69</f>
        <v>2409.9694257437241</v>
      </c>
      <c r="W261" s="14">
        <f t="shared" si="144"/>
        <v>21.920967741935485</v>
      </c>
      <c r="X261" s="31">
        <f t="shared" si="145"/>
        <v>90.734081653127461</v>
      </c>
      <c r="DP261" s="18">
        <f>'Monthly Data'!F69</f>
        <v>63879386.114153169</v>
      </c>
      <c r="DQ261" s="18">
        <f>'Monthly Data'!J69</f>
        <v>15475786.434920726</v>
      </c>
      <c r="DR261" s="18">
        <f>'Monthly Data'!N69</f>
        <v>75530851.772234052</v>
      </c>
      <c r="DS261" s="18">
        <f t="shared" si="139"/>
        <v>59234144.115193099</v>
      </c>
      <c r="DT261" s="18">
        <f t="shared" si="140"/>
        <v>16002214.807888832</v>
      </c>
      <c r="DU261" s="18">
        <f t="shared" si="141"/>
        <v>78951936.075683966</v>
      </c>
    </row>
    <row r="262" spans="1:125" x14ac:dyDescent="0.2">
      <c r="A262" s="9">
        <v>44075</v>
      </c>
      <c r="B262">
        <f t="shared" si="142"/>
        <v>2020</v>
      </c>
      <c r="C262">
        <f t="shared" si="143"/>
        <v>9</v>
      </c>
      <c r="D262" s="14">
        <v>17.376666666666665</v>
      </c>
      <c r="E262" s="13">
        <v>92.700000000000031</v>
      </c>
      <c r="F262" s="13">
        <v>13.999999999999996</v>
      </c>
      <c r="G262" s="13">
        <v>52.900000000000006</v>
      </c>
      <c r="H262" s="13">
        <v>34.199999999999989</v>
      </c>
      <c r="I262" s="13">
        <v>23.400000000000002</v>
      </c>
      <c r="J262" s="13">
        <v>64.699999999999989</v>
      </c>
      <c r="K262" s="13">
        <v>6.7999999999999989</v>
      </c>
      <c r="L262" s="13">
        <v>108.09999999999998</v>
      </c>
      <c r="M262" s="13">
        <v>1.5999999999999996</v>
      </c>
      <c r="N262" s="13">
        <v>162.9</v>
      </c>
      <c r="O262" s="13">
        <v>0</v>
      </c>
      <c r="P262" s="13">
        <v>221.3</v>
      </c>
      <c r="Q262" s="13">
        <v>0</v>
      </c>
      <c r="R262" s="13">
        <v>281.3</v>
      </c>
      <c r="S262" s="30">
        <f>'Monthly Data'!F70/'Monthly Data'!G70/'Monthly Data'!BT70</f>
        <v>25.372065081740704</v>
      </c>
      <c r="T262" s="30">
        <f>'Monthly Data'!J70/'Monthly Data'!K70/'Monthly Data'!BT70</f>
        <v>80.173145900447039</v>
      </c>
      <c r="U262" s="31">
        <f>'Monthly Data'!N70/'Monthly Data'!P70/'Monthly Data'!BT70</f>
        <v>2259.7102940125415</v>
      </c>
      <c r="W262" s="14">
        <f t="shared" si="144"/>
        <v>17.376666666666665</v>
      </c>
      <c r="X262" s="31">
        <f t="shared" si="145"/>
        <v>80.173145900447039</v>
      </c>
      <c r="DP262" s="18">
        <f>'Monthly Data'!F70</f>
        <v>46969020.599969208</v>
      </c>
      <c r="DQ262" s="18">
        <f>'Monthly Data'!J70</f>
        <v>13348828.792424431</v>
      </c>
      <c r="DR262" s="18">
        <f>'Monthly Data'!N70</f>
        <v>65350821.702842705</v>
      </c>
      <c r="DS262" s="18">
        <f t="shared" si="139"/>
        <v>45972690.331350379</v>
      </c>
      <c r="DT262" s="18">
        <f t="shared" si="140"/>
        <v>14180971.110813217</v>
      </c>
      <c r="DU262" s="18">
        <f t="shared" si="141"/>
        <v>72063976.225342721</v>
      </c>
    </row>
    <row r="263" spans="1:125" x14ac:dyDescent="0.2">
      <c r="A263" s="9">
        <v>44105</v>
      </c>
      <c r="B263">
        <f t="shared" si="142"/>
        <v>2020</v>
      </c>
      <c r="C263">
        <f t="shared" si="143"/>
        <v>10</v>
      </c>
      <c r="D263" s="14">
        <v>10.483870967741934</v>
      </c>
      <c r="E263" s="13">
        <v>295.00000000000006</v>
      </c>
      <c r="F263" s="13">
        <v>0</v>
      </c>
      <c r="G263" s="13">
        <v>233</v>
      </c>
      <c r="H263" s="13">
        <v>0</v>
      </c>
      <c r="I263" s="13">
        <v>172.3</v>
      </c>
      <c r="J263" s="13">
        <v>1.3000000000000007</v>
      </c>
      <c r="K263" s="13">
        <v>116.69999999999999</v>
      </c>
      <c r="L263" s="13">
        <v>7.6999999999999993</v>
      </c>
      <c r="M263" s="13">
        <v>72.5</v>
      </c>
      <c r="N263" s="13">
        <v>25.5</v>
      </c>
      <c r="O263" s="13">
        <v>39.5</v>
      </c>
      <c r="P263" s="13">
        <v>54.499999999999986</v>
      </c>
      <c r="Q263" s="13">
        <v>16.299999999999997</v>
      </c>
      <c r="R263" s="13">
        <v>93.3</v>
      </c>
      <c r="S263" s="30">
        <f>'Monthly Data'!F71/'Monthly Data'!G71/'Monthly Data'!BT71</f>
        <v>21.330939825406187</v>
      </c>
      <c r="T263" s="30">
        <f>'Monthly Data'!J71/'Monthly Data'!K71/'Monthly Data'!BT71</f>
        <v>75.575764459137275</v>
      </c>
      <c r="U263" s="31">
        <f>'Monthly Data'!N71/'Monthly Data'!P71/'Monthly Data'!BT71</f>
        <v>2083.2854686073206</v>
      </c>
      <c r="W263" s="14">
        <f t="shared" si="144"/>
        <v>10.483870967741934</v>
      </c>
      <c r="X263" s="31">
        <f t="shared" si="145"/>
        <v>75.575764459137275</v>
      </c>
      <c r="DP263" s="18">
        <f>'Monthly Data'!F71</f>
        <v>40798366.08578524</v>
      </c>
      <c r="DQ263" s="18">
        <f>'Monthly Data'!J71</f>
        <v>12958296.149928138</v>
      </c>
      <c r="DR263" s="18">
        <f>'Monthly Data'!N71</f>
        <v>63677703.633451357</v>
      </c>
      <c r="DS263" s="18">
        <f t="shared" si="139"/>
        <v>38393714.034959592</v>
      </c>
      <c r="DT263" s="18">
        <f t="shared" si="140"/>
        <v>13421520.813095953</v>
      </c>
      <c r="DU263" s="18">
        <f t="shared" si="141"/>
        <v>67753180.202236131</v>
      </c>
    </row>
    <row r="264" spans="1:125" x14ac:dyDescent="0.2">
      <c r="A264" s="9">
        <v>44136</v>
      </c>
      <c r="B264">
        <f t="shared" si="142"/>
        <v>2020</v>
      </c>
      <c r="C264">
        <f t="shared" si="143"/>
        <v>11</v>
      </c>
      <c r="D264" s="14">
        <v>8.1366666666666667</v>
      </c>
      <c r="E264" s="13">
        <v>355.90000000000003</v>
      </c>
      <c r="F264" s="13">
        <v>0</v>
      </c>
      <c r="G264" s="13">
        <v>295.90000000000003</v>
      </c>
      <c r="H264" s="13">
        <v>0</v>
      </c>
      <c r="I264" s="13">
        <v>236.6</v>
      </c>
      <c r="J264" s="13">
        <v>0.69999999999999929</v>
      </c>
      <c r="K264" s="13">
        <v>184.59999999999997</v>
      </c>
      <c r="L264" s="13">
        <v>8.6999999999999993</v>
      </c>
      <c r="M264" s="13">
        <v>137</v>
      </c>
      <c r="N264" s="13">
        <v>21.099999999999998</v>
      </c>
      <c r="O264" s="13">
        <v>95.699999999999989</v>
      </c>
      <c r="P264" s="13">
        <v>39.799999999999997</v>
      </c>
      <c r="Q264" s="13">
        <v>58.5</v>
      </c>
      <c r="R264" s="13">
        <v>62.600000000000009</v>
      </c>
      <c r="S264" s="30">
        <f>'Monthly Data'!F72/'Monthly Data'!G72/'Monthly Data'!BT72</f>
        <v>22.202597080305267</v>
      </c>
      <c r="T264" s="30">
        <f>'Monthly Data'!J72/'Monthly Data'!K72/'Monthly Data'!BT72</f>
        <v>79.916281285346841</v>
      </c>
      <c r="U264" s="31">
        <f>'Monthly Data'!N72/'Monthly Data'!P72/'Monthly Data'!BT72</f>
        <v>2139.880518355601</v>
      </c>
      <c r="W264" s="14">
        <f t="shared" si="144"/>
        <v>8.1366666666666667</v>
      </c>
      <c r="X264" s="31">
        <f t="shared" si="145"/>
        <v>79.916281285346841</v>
      </c>
      <c r="DP264" s="18">
        <f>'Monthly Data'!F72</f>
        <v>41142966.571601279</v>
      </c>
      <c r="DQ264" s="18">
        <f>'Monthly Data'!J72</f>
        <v>13270098.507431842</v>
      </c>
      <c r="DR264" s="18">
        <f>'Monthly Data'!N72</f>
        <v>63426058.56406001</v>
      </c>
      <c r="DS264" s="18">
        <f t="shared" si="139"/>
        <v>39855116.727696449</v>
      </c>
      <c r="DT264" s="18">
        <f t="shared" si="140"/>
        <v>13804440.260628188</v>
      </c>
      <c r="DU264" s="18">
        <f t="shared" si="141"/>
        <v>68828404.275194436</v>
      </c>
    </row>
    <row r="265" spans="1:125" x14ac:dyDescent="0.2">
      <c r="A265" s="9">
        <v>44166</v>
      </c>
      <c r="B265">
        <f t="shared" si="142"/>
        <v>2020</v>
      </c>
      <c r="C265">
        <f t="shared" si="143"/>
        <v>12</v>
      </c>
      <c r="D265" s="14">
        <v>1.4806451612903222</v>
      </c>
      <c r="E265" s="13">
        <v>574.10000000000014</v>
      </c>
      <c r="F265" s="13">
        <v>0</v>
      </c>
      <c r="G265" s="13">
        <v>512.10000000000014</v>
      </c>
      <c r="H265" s="13">
        <v>0</v>
      </c>
      <c r="I265" s="13">
        <v>450.10000000000008</v>
      </c>
      <c r="J265" s="13">
        <v>0</v>
      </c>
      <c r="K265" s="13">
        <v>388.10000000000008</v>
      </c>
      <c r="L265" s="13">
        <v>0</v>
      </c>
      <c r="M265" s="13">
        <v>326.09999999999997</v>
      </c>
      <c r="N265" s="13">
        <v>0</v>
      </c>
      <c r="O265" s="13">
        <v>264.09999999999997</v>
      </c>
      <c r="P265" s="13">
        <v>0</v>
      </c>
      <c r="Q265" s="13">
        <v>202.29999999999998</v>
      </c>
      <c r="R265" s="13">
        <v>0.19999999999999929</v>
      </c>
      <c r="S265" s="30">
        <f>'Monthly Data'!F73/'Monthly Data'!G73/'Monthly Data'!BT73</f>
        <v>25.017677426358006</v>
      </c>
      <c r="T265" s="30">
        <f>'Monthly Data'!J73/'Monthly Data'!K73/'Monthly Data'!BT73</f>
        <v>82.056885965047258</v>
      </c>
      <c r="U265" s="31">
        <f>'Monthly Data'!N73/'Monthly Data'!P73/'Monthly Data'!BT73</f>
        <v>2164.6889492373743</v>
      </c>
      <c r="W265" s="14">
        <f t="shared" si="144"/>
        <v>1.4806451612903222</v>
      </c>
      <c r="X265" s="31">
        <f t="shared" si="145"/>
        <v>82.056885965047258</v>
      </c>
      <c r="DP265" s="18">
        <f>'Monthly Data'!F73</f>
        <v>47931193.057417318</v>
      </c>
      <c r="DQ265" s="18">
        <f>'Monthly Data'!J73</f>
        <v>14143324.864935547</v>
      </c>
      <c r="DR265" s="18">
        <f>'Monthly Data'!N73</f>
        <v>66367198.494668663</v>
      </c>
      <c r="DS265" s="18">
        <f t="shared" si="139"/>
        <v>43094840.60418874</v>
      </c>
      <c r="DT265" s="18">
        <f t="shared" si="140"/>
        <v>14793933.843617957</v>
      </c>
      <c r="DU265" s="18">
        <f t="shared" si="141"/>
        <v>71464112.438840121</v>
      </c>
    </row>
    <row r="266" spans="1:125" x14ac:dyDescent="0.2">
      <c r="A266" s="9">
        <v>44197</v>
      </c>
      <c r="B266">
        <f t="shared" si="142"/>
        <v>2021</v>
      </c>
      <c r="C266">
        <f t="shared" si="143"/>
        <v>1</v>
      </c>
      <c r="D266" s="14">
        <v>-0.8999999999999998</v>
      </c>
      <c r="E266">
        <v>647.89999999999986</v>
      </c>
      <c r="F266">
        <v>0</v>
      </c>
      <c r="G266">
        <v>585.9</v>
      </c>
      <c r="H266">
        <v>0</v>
      </c>
      <c r="I266">
        <v>523.9</v>
      </c>
      <c r="J266">
        <v>0</v>
      </c>
      <c r="K266">
        <v>461.9</v>
      </c>
      <c r="L266">
        <v>0</v>
      </c>
      <c r="M266">
        <v>399.90000000000003</v>
      </c>
      <c r="N266">
        <v>0</v>
      </c>
      <c r="O266">
        <v>337.90000000000009</v>
      </c>
      <c r="P266">
        <v>0</v>
      </c>
      <c r="Q266">
        <v>275.89999999999998</v>
      </c>
      <c r="R266">
        <v>0</v>
      </c>
      <c r="S266" s="30">
        <f>'Monthly Data'!F74/'Monthly Data'!G74/'Monthly Data'!BT74</f>
        <v>25.587191647500187</v>
      </c>
      <c r="T266" s="30">
        <f>'Monthly Data'!J74/'Monthly Data'!K74/'Monthly Data'!BT74</f>
        <v>83.244296473533623</v>
      </c>
      <c r="U266" s="31">
        <f>'Monthly Data'!N74/'Monthly Data'!P74/'Monthly Data'!BT74</f>
        <v>2188.6274134657187</v>
      </c>
      <c r="W266" s="14">
        <f t="shared" si="144"/>
        <v>-0.8999999999999998</v>
      </c>
      <c r="X266" s="31">
        <f t="shared" si="145"/>
        <v>83.244296473533623</v>
      </c>
      <c r="DP266" s="18">
        <f>'Monthly Data'!F74</f>
        <v>49036599.020043381</v>
      </c>
      <c r="DQ266" s="18">
        <f>'Monthly Data'!J74</f>
        <v>14381534.39165709</v>
      </c>
      <c r="DR266" s="18">
        <f>'Monthly Data'!N74</f>
        <v>66761890.620358296</v>
      </c>
      <c r="DS266" s="18">
        <f t="shared" si="139"/>
        <v>44577282.510165289</v>
      </c>
      <c r="DT266" s="18">
        <f t="shared" si="140"/>
        <v>15195432.007760826</v>
      </c>
      <c r="DU266" s="18">
        <f t="shared" si="141"/>
        <v>72810255.425362572</v>
      </c>
    </row>
    <row r="267" spans="1:125" x14ac:dyDescent="0.2">
      <c r="A267" s="9">
        <v>44228</v>
      </c>
      <c r="B267">
        <f t="shared" si="142"/>
        <v>2021</v>
      </c>
      <c r="C267">
        <f t="shared" si="143"/>
        <v>2</v>
      </c>
      <c r="D267" s="14">
        <v>-3.7500000000000004</v>
      </c>
      <c r="E267">
        <v>665.00000000000011</v>
      </c>
      <c r="F267">
        <v>0</v>
      </c>
      <c r="G267">
        <v>609</v>
      </c>
      <c r="H267">
        <v>0</v>
      </c>
      <c r="I267">
        <v>553</v>
      </c>
      <c r="J267">
        <v>0</v>
      </c>
      <c r="K267">
        <v>496.99999999999994</v>
      </c>
      <c r="L267">
        <v>0</v>
      </c>
      <c r="M267">
        <v>440.99999999999994</v>
      </c>
      <c r="N267">
        <v>0</v>
      </c>
      <c r="O267">
        <v>384.99999999999994</v>
      </c>
      <c r="P267">
        <v>0</v>
      </c>
      <c r="Q267">
        <v>329</v>
      </c>
      <c r="R267">
        <v>0</v>
      </c>
      <c r="S267" s="30">
        <f>'Monthly Data'!F75/'Monthly Data'!G75/'Monthly Data'!BT75</f>
        <v>25.554115558729148</v>
      </c>
      <c r="T267" s="30">
        <f>'Monthly Data'!J75/'Monthly Data'!K75/'Monthly Data'!BT75</f>
        <v>87.396851200426383</v>
      </c>
      <c r="U267" s="31">
        <f>'Monthly Data'!N75/'Monthly Data'!P75/'Monthly Data'!BT75</f>
        <v>2297.2794749660357</v>
      </c>
      <c r="W267" s="14">
        <f t="shared" si="144"/>
        <v>-3.7500000000000004</v>
      </c>
      <c r="X267" s="31">
        <f t="shared" si="145"/>
        <v>87.396851200426383</v>
      </c>
      <c r="DP267" s="18">
        <f>'Monthly Data'!F75</f>
        <v>44239591.50465861</v>
      </c>
      <c r="DQ267" s="18">
        <f>'Monthly Data'!J75</f>
        <v>13667119.590722678</v>
      </c>
      <c r="DR267" s="18">
        <f>'Monthly Data'!N75</f>
        <v>63358967.919563264</v>
      </c>
      <c r="DS267" s="18">
        <f t="shared" si="139"/>
        <v>45282346.343495592</v>
      </c>
      <c r="DT267" s="18">
        <f t="shared" si="140"/>
        <v>15386388.451682435</v>
      </c>
      <c r="DU267" s="18">
        <f t="shared" si="141"/>
        <v>73669379.201313898</v>
      </c>
    </row>
    <row r="268" spans="1:125" x14ac:dyDescent="0.2">
      <c r="A268" s="9">
        <v>44256</v>
      </c>
      <c r="B268">
        <f t="shared" si="142"/>
        <v>2021</v>
      </c>
      <c r="C268">
        <f t="shared" si="143"/>
        <v>3</v>
      </c>
      <c r="D268" s="14">
        <v>3.5161290322580645</v>
      </c>
      <c r="E268">
        <v>511.00000000000006</v>
      </c>
      <c r="F268">
        <v>0</v>
      </c>
      <c r="G268">
        <v>449</v>
      </c>
      <c r="H268">
        <v>0</v>
      </c>
      <c r="I268">
        <v>387</v>
      </c>
      <c r="J268">
        <v>0</v>
      </c>
      <c r="K268">
        <v>325.00000000000006</v>
      </c>
      <c r="L268">
        <v>0</v>
      </c>
      <c r="M268">
        <v>264.5</v>
      </c>
      <c r="N268">
        <v>1.5</v>
      </c>
      <c r="O268">
        <v>207.8</v>
      </c>
      <c r="P268">
        <v>6.8000000000000007</v>
      </c>
      <c r="Q268">
        <v>154.79999999999998</v>
      </c>
      <c r="R268">
        <v>15.8</v>
      </c>
      <c r="S268" s="30">
        <f>'Monthly Data'!F76/'Monthly Data'!G76/'Monthly Data'!BT76</f>
        <v>22.543679986392924</v>
      </c>
      <c r="T268" s="30">
        <f>'Monthly Data'!J76/'Monthly Data'!K76/'Monthly Data'!BT76</f>
        <v>82.593064659199626</v>
      </c>
      <c r="U268" s="31">
        <f>'Monthly Data'!N76/'Monthly Data'!P76/'Monthly Data'!BT76</f>
        <v>2211.2641958004983</v>
      </c>
      <c r="W268" s="14">
        <f t="shared" si="144"/>
        <v>3.5161290322580645</v>
      </c>
      <c r="X268" s="31">
        <f t="shared" si="145"/>
        <v>82.593064659199626</v>
      </c>
      <c r="DP268" s="18">
        <f>'Monthly Data'!F76</f>
        <v>43218533.989273846</v>
      </c>
      <c r="DQ268" s="18">
        <f>'Monthly Data'!J76</f>
        <v>14309991.789788269</v>
      </c>
      <c r="DR268" s="18">
        <f>'Monthly Data'!N76</f>
        <v>67520952.218768224</v>
      </c>
      <c r="DS268" s="18">
        <f t="shared" si="139"/>
        <v>41827332.687290095</v>
      </c>
      <c r="DT268" s="18">
        <f t="shared" si="140"/>
        <v>14450647.472921276</v>
      </c>
      <c r="DU268" s="18">
        <f t="shared" si="141"/>
        <v>70437176.800070286</v>
      </c>
    </row>
    <row r="269" spans="1:125" x14ac:dyDescent="0.2">
      <c r="A269" s="9">
        <v>44287</v>
      </c>
      <c r="B269">
        <f t="shared" si="142"/>
        <v>2021</v>
      </c>
      <c r="C269">
        <f t="shared" si="143"/>
        <v>4</v>
      </c>
      <c r="D269" s="14">
        <v>6.7766666666666673</v>
      </c>
      <c r="E269">
        <v>396.7</v>
      </c>
      <c r="F269">
        <v>0</v>
      </c>
      <c r="G269">
        <v>336.7</v>
      </c>
      <c r="H269">
        <v>0</v>
      </c>
      <c r="I269">
        <v>276.69999999999993</v>
      </c>
      <c r="J269">
        <v>0</v>
      </c>
      <c r="K269">
        <v>216.7</v>
      </c>
      <c r="L269">
        <v>0</v>
      </c>
      <c r="M269">
        <v>156.9</v>
      </c>
      <c r="N269">
        <v>0.19999999999999929</v>
      </c>
      <c r="O269">
        <v>100.4</v>
      </c>
      <c r="P269">
        <v>3.6999999999999993</v>
      </c>
      <c r="Q269">
        <v>51.5</v>
      </c>
      <c r="R269">
        <v>14.8</v>
      </c>
      <c r="S269" s="30">
        <f>'Monthly Data'!F77/'Monthly Data'!G77/'Monthly Data'!BT77</f>
        <v>21.109998692327927</v>
      </c>
      <c r="T269" s="30">
        <f>'Monthly Data'!J77/'Monthly Data'!K77/'Monthly Data'!BT77</f>
        <v>74.904932909465941</v>
      </c>
      <c r="U269" s="31">
        <f>'Monthly Data'!N77/'Monthly Data'!P77/'Monthly Data'!BT77</f>
        <v>2068.3188035935295</v>
      </c>
      <c r="W269" s="14">
        <f t="shared" si="144"/>
        <v>6.7766666666666673</v>
      </c>
      <c r="X269" s="31">
        <f t="shared" si="145"/>
        <v>74.904932909465941</v>
      </c>
      <c r="DP269" s="18">
        <f>'Monthly Data'!F77</f>
        <v>39165169.473889083</v>
      </c>
      <c r="DQ269" s="18">
        <f>'Monthly Data'!J77</f>
        <v>12572792.988853857</v>
      </c>
      <c r="DR269" s="18">
        <f>'Monthly Data'!N77</f>
        <v>60994721.517973185</v>
      </c>
      <c r="DS269" s="18">
        <f t="shared" si="139"/>
        <v>39651879.321202561</v>
      </c>
      <c r="DT269" s="18">
        <f t="shared" si="140"/>
        <v>13861457.077573407</v>
      </c>
      <c r="DU269" s="18">
        <f t="shared" si="141"/>
        <v>68478155.70586282</v>
      </c>
    </row>
    <row r="270" spans="1:125" x14ac:dyDescent="0.2">
      <c r="A270" s="9">
        <v>44317</v>
      </c>
      <c r="B270">
        <f t="shared" si="142"/>
        <v>2021</v>
      </c>
      <c r="C270">
        <f t="shared" si="143"/>
        <v>5</v>
      </c>
      <c r="D270" s="14">
        <v>13.167741935483869</v>
      </c>
      <c r="E270">
        <v>219.29999999999998</v>
      </c>
      <c r="F270">
        <v>7.5</v>
      </c>
      <c r="G270">
        <v>166.4</v>
      </c>
      <c r="H270">
        <v>16.600000000000001</v>
      </c>
      <c r="I270">
        <v>119.70000000000002</v>
      </c>
      <c r="J270">
        <v>31.900000000000002</v>
      </c>
      <c r="K270">
        <v>79.400000000000006</v>
      </c>
      <c r="L270">
        <v>53.6</v>
      </c>
      <c r="M270">
        <v>45.9</v>
      </c>
      <c r="N270">
        <v>82.100000000000023</v>
      </c>
      <c r="O270">
        <v>19.300000000000004</v>
      </c>
      <c r="P270">
        <v>117.50000000000003</v>
      </c>
      <c r="Q270">
        <v>3.8</v>
      </c>
      <c r="R270">
        <v>164.00000000000003</v>
      </c>
      <c r="S270" s="30">
        <f>'Monthly Data'!F78/'Monthly Data'!G78/'Monthly Data'!BT78</f>
        <v>24.57087771185844</v>
      </c>
      <c r="T270" s="30">
        <f>'Monthly Data'!J78/'Monthly Data'!K78/'Monthly Data'!BT78</f>
        <v>75.584538365994476</v>
      </c>
      <c r="U270" s="31">
        <f>'Monthly Data'!N78/'Monthly Data'!P78/'Monthly Data'!BT78</f>
        <v>2101.2894986971846</v>
      </c>
      <c r="W270" s="14">
        <f t="shared" si="144"/>
        <v>13.167741935483869</v>
      </c>
      <c r="X270" s="121">
        <f t="shared" si="145"/>
        <v>75.584538365994476</v>
      </c>
      <c r="DP270" s="18">
        <f>'Monthly Data'!F78</f>
        <v>47117065.958504319</v>
      </c>
      <c r="DQ270" s="18">
        <f>'Monthly Data'!J78</f>
        <v>13147250.187919445</v>
      </c>
      <c r="DR270" s="18">
        <f>'Monthly Data'!N78</f>
        <v>64228014.817178145</v>
      </c>
      <c r="DS270" s="18">
        <f t="shared" si="139"/>
        <v>42118596.93133042</v>
      </c>
      <c r="DT270" s="18">
        <f t="shared" si="140"/>
        <v>13839134.906426618</v>
      </c>
      <c r="DU270" s="18">
        <f t="shared" si="141"/>
        <v>69684886.377291977</v>
      </c>
    </row>
    <row r="271" spans="1:125" x14ac:dyDescent="0.2">
      <c r="A271" s="9">
        <v>44348</v>
      </c>
      <c r="B271">
        <f t="shared" si="142"/>
        <v>2021</v>
      </c>
      <c r="C271">
        <f t="shared" si="143"/>
        <v>6</v>
      </c>
      <c r="D271" s="14">
        <v>20.980000000000004</v>
      </c>
      <c r="E271">
        <v>28.7</v>
      </c>
      <c r="F271">
        <v>58.1</v>
      </c>
      <c r="G271">
        <v>7.7999999999999989</v>
      </c>
      <c r="H271">
        <v>97.200000000000017</v>
      </c>
      <c r="I271">
        <v>1.4000000000000004</v>
      </c>
      <c r="J271">
        <v>150.79999999999998</v>
      </c>
      <c r="K271">
        <v>0</v>
      </c>
      <c r="L271">
        <v>209.39999999999995</v>
      </c>
      <c r="M271">
        <v>0</v>
      </c>
      <c r="N271">
        <v>269.39999999999998</v>
      </c>
      <c r="O271">
        <v>0</v>
      </c>
      <c r="P271">
        <v>329.39999999999992</v>
      </c>
      <c r="Q271">
        <v>0</v>
      </c>
      <c r="R271">
        <v>389.40000000000003</v>
      </c>
      <c r="S271" s="30">
        <f>'Monthly Data'!F79/'Monthly Data'!G79/'Monthly Data'!BT79</f>
        <v>29.397984188250792</v>
      </c>
      <c r="T271" s="30">
        <f>'Monthly Data'!J79/'Monthly Data'!K79/'Monthly Data'!BT79</f>
        <v>80.312698448555849</v>
      </c>
      <c r="U271" s="31">
        <f>'Monthly Data'!N79/'Monthly Data'!P79/'Monthly Data'!BT79</f>
        <v>2486.0826126182374</v>
      </c>
      <c r="W271" s="14">
        <f t="shared" si="144"/>
        <v>20.980000000000004</v>
      </c>
      <c r="X271" s="31">
        <f t="shared" si="145"/>
        <v>80.312698448555849</v>
      </c>
      <c r="DP271" s="18">
        <f>'Monthly Data'!F79</f>
        <v>54507390.443119556</v>
      </c>
      <c r="DQ271" s="18">
        <f>'Monthly Data'!J79</f>
        <v>13511808.386985036</v>
      </c>
      <c r="DR271" s="18">
        <f>'Monthly Data'!N79</f>
        <v>73762071.116383106</v>
      </c>
      <c r="DS271" s="18">
        <f t="shared" si="139"/>
        <v>55710394.30366984</v>
      </c>
      <c r="DT271" s="18">
        <f t="shared" si="140"/>
        <v>15513489.397926824</v>
      </c>
      <c r="DU271" s="18">
        <f t="shared" si="141"/>
        <v>77140370.06193471</v>
      </c>
    </row>
    <row r="272" spans="1:125" x14ac:dyDescent="0.2">
      <c r="A272" s="9">
        <v>44378</v>
      </c>
      <c r="B272">
        <f t="shared" si="142"/>
        <v>2021</v>
      </c>
      <c r="C272">
        <f t="shared" si="143"/>
        <v>7</v>
      </c>
      <c r="D272" s="14">
        <v>21.56451612903226</v>
      </c>
      <c r="E272">
        <v>15</v>
      </c>
      <c r="F272">
        <v>63.5</v>
      </c>
      <c r="G272">
        <v>0.70000000000000284</v>
      </c>
      <c r="H272">
        <v>111.20000000000002</v>
      </c>
      <c r="I272">
        <v>0</v>
      </c>
      <c r="J272">
        <v>172.5</v>
      </c>
      <c r="K272">
        <v>0</v>
      </c>
      <c r="L272">
        <v>234.5</v>
      </c>
      <c r="M272">
        <v>0</v>
      </c>
      <c r="N272">
        <v>296.5</v>
      </c>
      <c r="O272">
        <v>0</v>
      </c>
      <c r="P272">
        <v>358.50000000000006</v>
      </c>
      <c r="Q272">
        <v>0</v>
      </c>
      <c r="R272">
        <v>420.5</v>
      </c>
      <c r="S272" s="30">
        <f>'Monthly Data'!F80/'Monthly Data'!G80/'Monthly Data'!BT80</f>
        <v>32.218022269944676</v>
      </c>
      <c r="T272" s="30">
        <f>'Monthly Data'!J80/'Monthly Data'!K80/'Monthly Data'!BT80</f>
        <v>88.248058744347929</v>
      </c>
      <c r="U272" s="31">
        <f>'Monthly Data'!N80/'Monthly Data'!P80/'Monthly Data'!BT80</f>
        <v>2511.9125307723634</v>
      </c>
      <c r="W272" s="14">
        <f t="shared" si="144"/>
        <v>21.56451612903226</v>
      </c>
      <c r="X272" s="31">
        <f t="shared" si="145"/>
        <v>88.248058744347929</v>
      </c>
      <c r="DP272" s="18">
        <f>'Monthly Data'!F80</f>
        <v>61736270.927734792</v>
      </c>
      <c r="DQ272" s="18">
        <f>'Monthly Data'!J80</f>
        <v>15349955.586050624</v>
      </c>
      <c r="DR272" s="18">
        <f>'Monthly Data'!N80</f>
        <v>76779118.415588066</v>
      </c>
      <c r="DS272" s="18">
        <f t="shared" si="139"/>
        <v>58157036.634768978</v>
      </c>
      <c r="DT272" s="18">
        <f t="shared" si="140"/>
        <v>15852825.713004179</v>
      </c>
      <c r="DU272" s="18">
        <f t="shared" si="141"/>
        <v>78398193.213943183</v>
      </c>
    </row>
    <row r="273" spans="1:125" x14ac:dyDescent="0.2">
      <c r="A273" s="9">
        <v>44409</v>
      </c>
      <c r="B273">
        <f t="shared" si="142"/>
        <v>2021</v>
      </c>
      <c r="C273">
        <f t="shared" si="143"/>
        <v>8</v>
      </c>
      <c r="D273" s="14">
        <v>23.651612903225807</v>
      </c>
      <c r="E273">
        <v>2.3000000000000007</v>
      </c>
      <c r="F273">
        <v>115.5</v>
      </c>
      <c r="G273">
        <v>0</v>
      </c>
      <c r="H273">
        <v>175.2</v>
      </c>
      <c r="I273">
        <v>0</v>
      </c>
      <c r="J273">
        <v>237.20000000000002</v>
      </c>
      <c r="K273">
        <v>0</v>
      </c>
      <c r="L273">
        <v>299.2</v>
      </c>
      <c r="M273">
        <v>0</v>
      </c>
      <c r="N273">
        <v>361.20000000000005</v>
      </c>
      <c r="O273">
        <v>0</v>
      </c>
      <c r="P273">
        <v>423.20000000000005</v>
      </c>
      <c r="Q273">
        <v>0</v>
      </c>
      <c r="R273">
        <v>485.20000000000005</v>
      </c>
      <c r="S273" s="30">
        <f>'Monthly Data'!F81/'Monthly Data'!G81/'Monthly Data'!BT81</f>
        <v>33.591251488044236</v>
      </c>
      <c r="T273" s="30">
        <f>'Monthly Data'!J81/'Monthly Data'!K81/'Monthly Data'!BT81</f>
        <v>94.077171086181679</v>
      </c>
      <c r="U273" s="31">
        <f>'Monthly Data'!N81/'Monthly Data'!P81/'Monthly Data'!BT81</f>
        <v>2689.3999972151855</v>
      </c>
      <c r="W273" s="14">
        <f t="shared" si="144"/>
        <v>23.651612903225807</v>
      </c>
      <c r="X273" s="31">
        <f t="shared" si="145"/>
        <v>94.077171086181679</v>
      </c>
      <c r="DP273" s="18">
        <f>'Monthly Data'!F81</f>
        <v>64473872.412350029</v>
      </c>
      <c r="DQ273" s="18">
        <f>'Monthly Data'!J81</f>
        <v>16375542.785116214</v>
      </c>
      <c r="DR273" s="18">
        <f>'Monthly Data'!N81</f>
        <v>82287571.714793041</v>
      </c>
      <c r="DS273" s="18">
        <f t="shared" si="139"/>
        <v>64463720.253179878</v>
      </c>
      <c r="DT273" s="18">
        <f t="shared" si="140"/>
        <v>16727529.282147802</v>
      </c>
      <c r="DU273" s="18">
        <f t="shared" si="141"/>
        <v>81640470.422506869</v>
      </c>
    </row>
    <row r="274" spans="1:125" x14ac:dyDescent="0.2">
      <c r="A274" s="9">
        <v>44440</v>
      </c>
      <c r="B274">
        <f t="shared" si="142"/>
        <v>2021</v>
      </c>
      <c r="C274">
        <f t="shared" si="143"/>
        <v>9</v>
      </c>
      <c r="D274" s="14">
        <v>18.350000000000001</v>
      </c>
      <c r="E274">
        <v>58.2</v>
      </c>
      <c r="F274">
        <v>8.7000000000000028</v>
      </c>
      <c r="G274">
        <v>22.8</v>
      </c>
      <c r="H274">
        <v>33.300000000000004</v>
      </c>
      <c r="I274">
        <v>4.6999999999999993</v>
      </c>
      <c r="J274">
        <v>75.200000000000017</v>
      </c>
      <c r="K274">
        <v>0.69999999999999929</v>
      </c>
      <c r="L274">
        <v>131.20000000000002</v>
      </c>
      <c r="M274">
        <v>0</v>
      </c>
      <c r="N274">
        <v>190.50000000000003</v>
      </c>
      <c r="O274">
        <v>0</v>
      </c>
      <c r="P274">
        <v>250.49999999999997</v>
      </c>
      <c r="Q274">
        <v>0</v>
      </c>
      <c r="R274">
        <v>310.49999999999994</v>
      </c>
      <c r="S274" s="30">
        <f>'Monthly Data'!F82/'Monthly Data'!G82/'Monthly Data'!BT82</f>
        <v>26.879183508072952</v>
      </c>
      <c r="T274" s="30">
        <f>'Monthly Data'!J82/'Monthly Data'!K82/'Monthly Data'!BT82</f>
        <v>84.023946743691724</v>
      </c>
      <c r="U274" s="31">
        <f>'Monthly Data'!N82/'Monthly Data'!P82/'Monthly Data'!BT82</f>
        <v>2420.8078436104797</v>
      </c>
      <c r="W274" s="14">
        <f t="shared" si="144"/>
        <v>18.350000000000001</v>
      </c>
      <c r="X274" s="31">
        <f t="shared" si="145"/>
        <v>84.023946743691724</v>
      </c>
      <c r="DP274" s="18">
        <f>'Monthly Data'!F82</f>
        <v>49910611.896965258</v>
      </c>
      <c r="DQ274" s="18">
        <f>'Monthly Data'!J82</f>
        <v>14161395.984181803</v>
      </c>
      <c r="DR274" s="18">
        <f>'Monthly Data'!N82</f>
        <v>71607496.013998002</v>
      </c>
      <c r="DS274" s="18">
        <f t="shared" si="139"/>
        <v>48101848.621219151</v>
      </c>
      <c r="DT274" s="18">
        <f t="shared" si="140"/>
        <v>14460082.513066351</v>
      </c>
      <c r="DU274" s="18">
        <f t="shared" si="141"/>
        <v>73221574.424999923</v>
      </c>
    </row>
    <row r="275" spans="1:125" x14ac:dyDescent="0.2">
      <c r="A275" s="9">
        <v>44470</v>
      </c>
      <c r="B275">
        <f t="shared" si="142"/>
        <v>2021</v>
      </c>
      <c r="C275">
        <f t="shared" si="143"/>
        <v>10</v>
      </c>
      <c r="D275" s="14">
        <v>14.590322580645163</v>
      </c>
      <c r="E275">
        <v>170</v>
      </c>
      <c r="F275">
        <v>2.3000000000000007</v>
      </c>
      <c r="G275">
        <v>118.20000000000002</v>
      </c>
      <c r="H275">
        <v>12.5</v>
      </c>
      <c r="I275">
        <v>77.599999999999994</v>
      </c>
      <c r="J275">
        <v>33.900000000000006</v>
      </c>
      <c r="K275">
        <v>47.79999999999999</v>
      </c>
      <c r="L275">
        <v>66.099999999999994</v>
      </c>
      <c r="M275">
        <v>24.1</v>
      </c>
      <c r="N275">
        <v>104.39999999999999</v>
      </c>
      <c r="O275">
        <v>8.6999999999999993</v>
      </c>
      <c r="P275">
        <v>150.99999999999997</v>
      </c>
      <c r="Q275">
        <v>0.59999999999999964</v>
      </c>
      <c r="R275">
        <v>204.9</v>
      </c>
      <c r="S275" s="30">
        <f>'Monthly Data'!F83/'Monthly Data'!G83/'Monthly Data'!BT83</f>
        <v>21.451496850294458</v>
      </c>
      <c r="T275" s="30">
        <f>'Monthly Data'!J83/'Monthly Data'!K83/'Monthly Data'!BT83</f>
        <v>77.096240868148712</v>
      </c>
      <c r="U275" s="31">
        <f>'Monthly Data'!N83/'Monthly Data'!P83/'Monthly Data'!BT83</f>
        <v>2264.895572726477</v>
      </c>
      <c r="W275" s="14">
        <f t="shared" si="144"/>
        <v>14.590322580645163</v>
      </c>
      <c r="X275" s="31">
        <f t="shared" si="145"/>
        <v>77.096240868148712</v>
      </c>
      <c r="DP275" s="18">
        <f>'Monthly Data'!F83</f>
        <v>41149312.381580494</v>
      </c>
      <c r="DQ275" s="18">
        <f>'Monthly Data'!J83</f>
        <v>13417367.183247393</v>
      </c>
      <c r="DR275" s="18">
        <f>'Monthly Data'!N83</f>
        <v>69158586.313202962</v>
      </c>
      <c r="DS275" s="18">
        <f t="shared" si="139"/>
        <v>42702285.984491535</v>
      </c>
      <c r="DT275" s="18">
        <f t="shared" si="140"/>
        <v>13836211.892135438</v>
      </c>
      <c r="DU275" s="18">
        <f t="shared" si="141"/>
        <v>70117943.878848702</v>
      </c>
    </row>
    <row r="276" spans="1:125" x14ac:dyDescent="0.2">
      <c r="A276" s="9">
        <v>44501</v>
      </c>
      <c r="B276">
        <f t="shared" si="142"/>
        <v>2021</v>
      </c>
      <c r="C276">
        <f t="shared" si="143"/>
        <v>11</v>
      </c>
      <c r="D276" s="14">
        <v>5.8999999999999995</v>
      </c>
      <c r="E276">
        <v>422.99999999999994</v>
      </c>
      <c r="F276">
        <v>0</v>
      </c>
      <c r="G276">
        <v>362.99999999999994</v>
      </c>
      <c r="H276">
        <v>0</v>
      </c>
      <c r="I276">
        <v>303</v>
      </c>
      <c r="J276">
        <v>0</v>
      </c>
      <c r="K276">
        <v>243.00000000000003</v>
      </c>
      <c r="L276">
        <v>0</v>
      </c>
      <c r="M276">
        <v>184.39999999999998</v>
      </c>
      <c r="N276">
        <v>1.4000000000000004</v>
      </c>
      <c r="O276">
        <v>132.00000000000003</v>
      </c>
      <c r="P276">
        <v>9.0000000000000018</v>
      </c>
      <c r="Q276">
        <v>86.399999999999991</v>
      </c>
      <c r="R276">
        <v>23.4</v>
      </c>
      <c r="S276" s="30">
        <f>'Monthly Data'!F84/'Monthly Data'!G84/'Monthly Data'!BT84</f>
        <v>21.982235663046033</v>
      </c>
      <c r="T276" s="30">
        <f>'Monthly Data'!J84/'Monthly Data'!K84/'Monthly Data'!BT84</f>
        <v>81.685539433546793</v>
      </c>
      <c r="U276" s="31">
        <f>'Monthly Data'!N84/'Monthly Data'!P84/'Monthly Data'!BT84</f>
        <v>2348.527302650707</v>
      </c>
      <c r="W276" s="14">
        <f t="shared" si="144"/>
        <v>5.8999999999999995</v>
      </c>
      <c r="X276" s="31">
        <f t="shared" si="145"/>
        <v>81.685539433546793</v>
      </c>
      <c r="DP276" s="18">
        <f>'Monthly Data'!F84</f>
        <v>40886298.866195731</v>
      </c>
      <c r="DQ276" s="18">
        <f>'Monthly Data'!J84</f>
        <v>13769731.382312981</v>
      </c>
      <c r="DR276" s="18">
        <f>'Monthly Data'!N84</f>
        <v>69469437.612407923</v>
      </c>
      <c r="DS276" s="18">
        <f t="shared" si="139"/>
        <v>40180175.013982818</v>
      </c>
      <c r="DT276" s="18">
        <f t="shared" si="140"/>
        <v>14004538.401651422</v>
      </c>
      <c r="DU276" s="18">
        <f t="shared" si="141"/>
        <v>69054552.973804682</v>
      </c>
    </row>
    <row r="277" spans="1:125" x14ac:dyDescent="0.2">
      <c r="A277" s="9">
        <v>44531</v>
      </c>
      <c r="B277">
        <f t="shared" si="142"/>
        <v>2021</v>
      </c>
      <c r="C277">
        <f t="shared" si="143"/>
        <v>12</v>
      </c>
      <c r="D277" s="14">
        <v>3.0161290322580654</v>
      </c>
      <c r="E277">
        <v>526.50000000000011</v>
      </c>
      <c r="F277">
        <v>0</v>
      </c>
      <c r="G277">
        <v>464.50000000000006</v>
      </c>
      <c r="H277">
        <v>0</v>
      </c>
      <c r="I277">
        <v>402.50000000000006</v>
      </c>
      <c r="J277">
        <v>0</v>
      </c>
      <c r="K277">
        <v>340.50000000000006</v>
      </c>
      <c r="L277">
        <v>0</v>
      </c>
      <c r="M277">
        <v>278.49999999999994</v>
      </c>
      <c r="N277">
        <v>0</v>
      </c>
      <c r="O277">
        <v>217.9</v>
      </c>
      <c r="P277">
        <v>1.4000000000000004</v>
      </c>
      <c r="Q277">
        <v>160.6</v>
      </c>
      <c r="R277">
        <v>6.1000000000000014</v>
      </c>
      <c r="S277" s="30">
        <f>'Monthly Data'!F85/'Monthly Data'!G85/'Monthly Data'!BT85</f>
        <v>24.455306495018387</v>
      </c>
      <c r="T277" s="30">
        <f>'Monthly Data'!J85/'Monthly Data'!K85/'Monthly Data'!BT85</f>
        <v>84.645887463233208</v>
      </c>
      <c r="U277" s="31">
        <f>'Monthly Data'!N85/'Monthly Data'!P85/'Monthly Data'!BT85</f>
        <v>2331.6856692848496</v>
      </c>
      <c r="W277" s="14">
        <f t="shared" si="144"/>
        <v>3.0161290322580654</v>
      </c>
      <c r="X277" s="31">
        <f t="shared" si="145"/>
        <v>84.645887463233208</v>
      </c>
      <c r="DP277" s="18">
        <f>'Monthly Data'!F85</f>
        <v>46938659.350810967</v>
      </c>
      <c r="DQ277" s="18">
        <f>'Monthly Data'!J85</f>
        <v>14754878.581378572</v>
      </c>
      <c r="DR277" s="18">
        <f>'Monthly Data'!N85</f>
        <v>71198021.911612883</v>
      </c>
      <c r="DS277" s="18">
        <f t="shared" si="139"/>
        <v>42138685.662122563</v>
      </c>
      <c r="DT277" s="18">
        <f t="shared" si="140"/>
        <v>14534972.968100335</v>
      </c>
      <c r="DU277" s="18">
        <f t="shared" si="141"/>
        <v>70621405.040773228</v>
      </c>
    </row>
    <row r="278" spans="1:125" x14ac:dyDescent="0.2">
      <c r="A278" s="9">
        <v>44562</v>
      </c>
      <c r="B278">
        <f t="shared" si="142"/>
        <v>2022</v>
      </c>
      <c r="C278">
        <f t="shared" si="143"/>
        <v>1</v>
      </c>
      <c r="D278" s="14">
        <v>-6.1354838709677422</v>
      </c>
      <c r="E278">
        <v>810.19999999999993</v>
      </c>
      <c r="F278">
        <v>0</v>
      </c>
      <c r="G278">
        <v>748.2</v>
      </c>
      <c r="H278">
        <v>0</v>
      </c>
      <c r="I278">
        <v>686.19999999999993</v>
      </c>
      <c r="J278">
        <v>0</v>
      </c>
      <c r="K278">
        <v>624.19999999999993</v>
      </c>
      <c r="L278">
        <v>0</v>
      </c>
      <c r="M278">
        <v>562.19999999999993</v>
      </c>
      <c r="N278">
        <v>0</v>
      </c>
      <c r="O278">
        <v>500.20000000000005</v>
      </c>
      <c r="P278">
        <v>0</v>
      </c>
      <c r="Q278">
        <v>438.2</v>
      </c>
      <c r="R278">
        <v>0</v>
      </c>
      <c r="S278" s="30">
        <f>'Monthly Data'!F86/'Monthly Data'!G86/'Monthly Data'!BT86</f>
        <v>26.154740600704379</v>
      </c>
      <c r="T278" s="30">
        <f>'Monthly Data'!J86/'Monthly Data'!K86/'Monthly Data'!BT86</f>
        <v>90.286887971648099</v>
      </c>
      <c r="U278" s="31">
        <f>'Monthly Data'!N86/'Monthly Data'!P86/'Monthly Data'!BT86</f>
        <v>2429.239903069501</v>
      </c>
      <c r="W278" s="14">
        <f t="shared" si="144"/>
        <v>-6.1354838709677422</v>
      </c>
      <c r="X278" s="31">
        <f t="shared" si="145"/>
        <v>90.286887971648099</v>
      </c>
      <c r="DP278" s="18">
        <f>'Monthly Data'!F86</f>
        <v>50264546.652802087</v>
      </c>
      <c r="DQ278" s="18">
        <f>'Monthly Data'!J86</f>
        <v>15788558.386490077</v>
      </c>
      <c r="DR278" s="18">
        <f>'Monthly Data'!N86</f>
        <v>74478066.188207835</v>
      </c>
      <c r="DS278" s="18">
        <f t="shared" si="139"/>
        <v>47837449.465991758</v>
      </c>
      <c r="DT278" s="18">
        <f t="shared" si="140"/>
        <v>16078401.547603479</v>
      </c>
      <c r="DU278" s="18">
        <f t="shared" si="141"/>
        <v>75770675.570519671</v>
      </c>
    </row>
    <row r="279" spans="1:125" x14ac:dyDescent="0.2">
      <c r="A279" s="9">
        <v>44593</v>
      </c>
      <c r="B279">
        <f t="shared" si="142"/>
        <v>2022</v>
      </c>
      <c r="C279">
        <f t="shared" si="143"/>
        <v>2</v>
      </c>
      <c r="D279" s="14">
        <v>-2.596428571428572</v>
      </c>
      <c r="E279">
        <v>632.70000000000016</v>
      </c>
      <c r="F279">
        <v>0</v>
      </c>
      <c r="G279">
        <v>576.70000000000005</v>
      </c>
      <c r="H279">
        <v>0</v>
      </c>
      <c r="I279">
        <v>520.70000000000005</v>
      </c>
      <c r="J279">
        <v>0</v>
      </c>
      <c r="K279">
        <v>464.7</v>
      </c>
      <c r="L279">
        <v>0</v>
      </c>
      <c r="M279">
        <v>408.7</v>
      </c>
      <c r="N279">
        <v>0</v>
      </c>
      <c r="O279">
        <v>352.7</v>
      </c>
      <c r="P279">
        <v>0</v>
      </c>
      <c r="Q279">
        <v>296.69999999999993</v>
      </c>
      <c r="R279">
        <v>0</v>
      </c>
      <c r="S279" s="30">
        <f>'Monthly Data'!F87/'Monthly Data'!G87/'Monthly Data'!BT87</f>
        <v>25.269818839687836</v>
      </c>
      <c r="T279" s="30">
        <f>'Monthly Data'!J87/'Monthly Data'!K87/'Monthly Data'!BT87</f>
        <v>93.424929950977315</v>
      </c>
      <c r="U279" s="31">
        <f>'Monthly Data'!N87/'Monthly Data'!P87/'Monthly Data'!BT87</f>
        <v>2497.4751975983786</v>
      </c>
      <c r="W279" s="14">
        <f t="shared" si="144"/>
        <v>-2.596428571428572</v>
      </c>
      <c r="X279" s="31">
        <f t="shared" si="145"/>
        <v>93.424929950977315</v>
      </c>
      <c r="DP279" s="18">
        <f>'Monthly Data'!F87</f>
        <v>43857792.181785412</v>
      </c>
      <c r="DQ279" s="18">
        <f>'Monthly Data'!J87</f>
        <v>14751049.03981971</v>
      </c>
      <c r="DR279" s="18">
        <f>'Monthly Data'!N87</f>
        <v>67971284.977837473</v>
      </c>
      <c r="DS279" s="18">
        <f t="shared" si="139"/>
        <v>44633526.91852212</v>
      </c>
      <c r="DT279" s="18">
        <f t="shared" si="140"/>
        <v>15210665.000438334</v>
      </c>
      <c r="DU279" s="18">
        <f t="shared" si="141"/>
        <v>73080213.639461935</v>
      </c>
    </row>
    <row r="280" spans="1:125" x14ac:dyDescent="0.2">
      <c r="A280" s="9">
        <v>44621</v>
      </c>
      <c r="B280">
        <f t="shared" si="142"/>
        <v>2022</v>
      </c>
      <c r="C280">
        <f t="shared" si="143"/>
        <v>3</v>
      </c>
      <c r="D280" s="14">
        <v>2.0096774193548388</v>
      </c>
      <c r="E280">
        <v>557.70000000000005</v>
      </c>
      <c r="F280">
        <v>0</v>
      </c>
      <c r="G280">
        <v>495.70000000000005</v>
      </c>
      <c r="H280">
        <v>0</v>
      </c>
      <c r="I280">
        <v>433.70000000000005</v>
      </c>
      <c r="J280">
        <v>0</v>
      </c>
      <c r="K280">
        <v>371.70000000000005</v>
      </c>
      <c r="L280">
        <v>0</v>
      </c>
      <c r="M280">
        <v>309.7</v>
      </c>
      <c r="N280">
        <v>0</v>
      </c>
      <c r="O280">
        <v>247.89999999999998</v>
      </c>
      <c r="P280">
        <v>0.19999999999999929</v>
      </c>
      <c r="Q280">
        <v>188.9</v>
      </c>
      <c r="R280">
        <v>3.1999999999999993</v>
      </c>
      <c r="S280" s="30">
        <f>'Monthly Data'!F88/'Monthly Data'!G88/'Monthly Data'!BT88</f>
        <v>22.8187597214169</v>
      </c>
      <c r="T280" s="30">
        <f>'Monthly Data'!J88/'Monthly Data'!K88/'Monthly Data'!BT88</f>
        <v>87.867055056519234</v>
      </c>
      <c r="U280" s="31">
        <f>'Monthly Data'!N88/'Monthly Data'!P88/'Monthly Data'!BT88</f>
        <v>2422.2890869330645</v>
      </c>
      <c r="W280" s="14">
        <f t="shared" si="144"/>
        <v>2.0096774193548388</v>
      </c>
      <c r="X280" s="31">
        <f t="shared" si="145"/>
        <v>87.867055056519234</v>
      </c>
      <c r="DP280" s="18">
        <f>'Monthly Data'!F88</f>
        <v>43860485.710768737</v>
      </c>
      <c r="DQ280" s="18">
        <f>'Monthly Data'!J88</f>
        <v>15389914.693149343</v>
      </c>
      <c r="DR280" s="18">
        <f>'Monthly Data'!N88</f>
        <v>72988414.767467111</v>
      </c>
      <c r="DS280" s="18">
        <f t="shared" si="139"/>
        <v>42765409.069527283</v>
      </c>
      <c r="DT280" s="18">
        <f t="shared" si="140"/>
        <v>14704712.029363986</v>
      </c>
      <c r="DU280" s="18">
        <f t="shared" si="141"/>
        <v>71168617.636920556</v>
      </c>
    </row>
    <row r="281" spans="1:125" x14ac:dyDescent="0.2">
      <c r="A281" s="9">
        <v>44652</v>
      </c>
      <c r="B281">
        <f t="shared" si="142"/>
        <v>2022</v>
      </c>
      <c r="C281">
        <f t="shared" si="143"/>
        <v>4</v>
      </c>
      <c r="D281" s="14">
        <v>6.2133333333333338</v>
      </c>
      <c r="E281">
        <v>413.6</v>
      </c>
      <c r="F281">
        <v>0</v>
      </c>
      <c r="G281">
        <v>353.6</v>
      </c>
      <c r="H281">
        <v>0</v>
      </c>
      <c r="I281">
        <v>293.59999999999997</v>
      </c>
      <c r="J281">
        <v>0</v>
      </c>
      <c r="K281">
        <v>233.59999999999997</v>
      </c>
      <c r="L281">
        <v>0</v>
      </c>
      <c r="M281">
        <v>173.59999999999997</v>
      </c>
      <c r="N281">
        <v>0</v>
      </c>
      <c r="O281">
        <v>116.39999999999999</v>
      </c>
      <c r="P281">
        <v>2.7999999999999989</v>
      </c>
      <c r="Q281">
        <v>68.900000000000006</v>
      </c>
      <c r="R281">
        <v>15.299999999999999</v>
      </c>
      <c r="S281" s="30">
        <f>'Monthly Data'!F89/'Monthly Data'!G89/'Monthly Data'!BT89</f>
        <v>21.174366350518731</v>
      </c>
      <c r="T281" s="30">
        <f>'Monthly Data'!J89/'Monthly Data'!K89/'Monthly Data'!BT89</f>
        <v>81.751863712024132</v>
      </c>
      <c r="U281" s="31">
        <f>'Monthly Data'!N89/'Monthly Data'!P89/'Monthly Data'!BT89</f>
        <v>2274.4494183692668</v>
      </c>
      <c r="W281" s="14">
        <f t="shared" si="144"/>
        <v>6.2133333333333338</v>
      </c>
      <c r="X281" s="31">
        <f t="shared" si="145"/>
        <v>81.751863712024132</v>
      </c>
      <c r="DP281" s="18">
        <f>'Monthly Data'!F89</f>
        <v>39331597.239752054</v>
      </c>
      <c r="DQ281" s="18">
        <f>'Monthly Data'!J89</f>
        <v>13876561.346478976</v>
      </c>
      <c r="DR281" s="18">
        <f>'Monthly Data'!N89</f>
        <v>66254711.557096742</v>
      </c>
      <c r="DS281" s="18">
        <f t="shared" si="139"/>
        <v>39991354.500213444</v>
      </c>
      <c r="DT281" s="18">
        <f t="shared" si="140"/>
        <v>13953399.069091218</v>
      </c>
      <c r="DU281" s="18">
        <f t="shared" si="141"/>
        <v>68770002.423808068</v>
      </c>
    </row>
    <row r="282" spans="1:125" x14ac:dyDescent="0.2">
      <c r="A282" s="9">
        <v>44682</v>
      </c>
      <c r="B282">
        <f t="shared" si="142"/>
        <v>2022</v>
      </c>
      <c r="C282">
        <f t="shared" si="143"/>
        <v>5</v>
      </c>
      <c r="D282" s="14">
        <v>13.738709677419356</v>
      </c>
      <c r="E282">
        <v>203.69999999999996</v>
      </c>
      <c r="F282">
        <v>9.600000000000005</v>
      </c>
      <c r="G282">
        <v>153.9</v>
      </c>
      <c r="H282">
        <v>21.800000000000004</v>
      </c>
      <c r="I282">
        <v>108.20000000000003</v>
      </c>
      <c r="J282">
        <v>38.100000000000009</v>
      </c>
      <c r="K282">
        <v>68.399999999999977</v>
      </c>
      <c r="L282">
        <v>60.3</v>
      </c>
      <c r="M282">
        <v>36.1</v>
      </c>
      <c r="N282">
        <v>90.000000000000014</v>
      </c>
      <c r="O282">
        <v>13.6</v>
      </c>
      <c r="P282">
        <v>129.50000000000003</v>
      </c>
      <c r="Q282">
        <v>1.6000000000000005</v>
      </c>
      <c r="R282">
        <v>179.5</v>
      </c>
      <c r="S282" s="30">
        <f>'Monthly Data'!F90/'Monthly Data'!G90/'Monthly Data'!BT90</f>
        <v>22.527777368322784</v>
      </c>
      <c r="T282" s="30">
        <f>'Monthly Data'!J90/'Monthly Data'!K90/'Monthly Data'!BT90</f>
        <v>80.868236417691065</v>
      </c>
      <c r="U282" s="31">
        <f>'Monthly Data'!N90/'Monthly Data'!P90/'Monthly Data'!BT90</f>
        <v>2324.0494937848921</v>
      </c>
      <c r="W282" s="14">
        <f t="shared" si="144"/>
        <v>13.738709677419356</v>
      </c>
      <c r="X282" s="31">
        <f t="shared" si="145"/>
        <v>80.868236417691065</v>
      </c>
      <c r="DP282" s="18">
        <f>'Monthly Data'!F90</f>
        <v>43290007.768735379</v>
      </c>
      <c r="DQ282" s="18">
        <f>'Monthly Data'!J90</f>
        <v>14211702.999808609</v>
      </c>
      <c r="DR282" s="18">
        <f>'Monthly Data'!N90</f>
        <v>70028259.346726373</v>
      </c>
      <c r="DS282" s="18">
        <f t="shared" si="139"/>
        <v>42550724.54920318</v>
      </c>
      <c r="DT282" s="18">
        <f t="shared" si="140"/>
        <v>13869870.819810105</v>
      </c>
      <c r="DU282" s="18">
        <f t="shared" si="141"/>
        <v>69916669.574400753</v>
      </c>
    </row>
    <row r="283" spans="1:125" x14ac:dyDescent="0.2">
      <c r="A283" s="9">
        <v>44713</v>
      </c>
      <c r="B283">
        <f t="shared" si="142"/>
        <v>2022</v>
      </c>
      <c r="C283">
        <f t="shared" si="143"/>
        <v>6</v>
      </c>
      <c r="D283" s="14">
        <v>19.150000000000002</v>
      </c>
      <c r="E283">
        <v>48.6</v>
      </c>
      <c r="F283">
        <v>23.1</v>
      </c>
      <c r="G283">
        <v>15.300000000000004</v>
      </c>
      <c r="H283">
        <v>49.8</v>
      </c>
      <c r="I283">
        <v>2.8000000000000007</v>
      </c>
      <c r="J283">
        <v>97.3</v>
      </c>
      <c r="K283">
        <v>0</v>
      </c>
      <c r="L283">
        <v>154.49999999999994</v>
      </c>
      <c r="M283">
        <v>0</v>
      </c>
      <c r="N283">
        <v>214.49999999999997</v>
      </c>
      <c r="O283">
        <v>0</v>
      </c>
      <c r="P283">
        <v>274.5</v>
      </c>
      <c r="Q283">
        <v>0</v>
      </c>
      <c r="R283">
        <v>334.49999999999994</v>
      </c>
      <c r="S283" s="30">
        <f>'Monthly Data'!F91/'Monthly Data'!G91/'Monthly Data'!BT91</f>
        <v>28.433978488195898</v>
      </c>
      <c r="T283" s="30">
        <f>'Monthly Data'!J91/'Monthly Data'!K91/'Monthly Data'!BT91</f>
        <v>88.632842653586735</v>
      </c>
      <c r="U283" s="31">
        <f>'Monthly Data'!N91/'Monthly Data'!P91/'Monthly Data'!BT91</f>
        <v>2517.5762392440329</v>
      </c>
      <c r="W283" s="14">
        <f t="shared" si="144"/>
        <v>19.150000000000002</v>
      </c>
      <c r="X283" s="31">
        <f t="shared" si="145"/>
        <v>88.632842653586735</v>
      </c>
      <c r="DP283" s="18">
        <f>'Monthly Data'!F91</f>
        <v>52900848.297718704</v>
      </c>
      <c r="DQ283" s="18">
        <f>'Monthly Data'!J91</f>
        <v>15055174.653138243</v>
      </c>
      <c r="DR283" s="18">
        <f>'Monthly Data'!N91</f>
        <v>73412523.136356011</v>
      </c>
      <c r="DS283" s="18">
        <f t="shared" si="139"/>
        <v>50358973.428078525</v>
      </c>
      <c r="DT283" s="18">
        <f t="shared" si="140"/>
        <v>14771275.704789499</v>
      </c>
      <c r="DU283" s="18">
        <f t="shared" si="141"/>
        <v>74389195.119892254</v>
      </c>
    </row>
    <row r="284" spans="1:125" x14ac:dyDescent="0.2">
      <c r="A284" s="9">
        <v>44743</v>
      </c>
      <c r="B284">
        <f t="shared" si="142"/>
        <v>2022</v>
      </c>
      <c r="C284">
        <f t="shared" si="143"/>
        <v>7</v>
      </c>
      <c r="D284" s="14">
        <v>22.409677419354836</v>
      </c>
      <c r="E284">
        <v>5.0000000000000036</v>
      </c>
      <c r="F284">
        <v>79.699999999999989</v>
      </c>
      <c r="G284">
        <v>0.30000000000000071</v>
      </c>
      <c r="H284">
        <v>137</v>
      </c>
      <c r="I284">
        <v>0</v>
      </c>
      <c r="J284">
        <v>198.70000000000002</v>
      </c>
      <c r="K284">
        <v>0</v>
      </c>
      <c r="L284">
        <v>260.7</v>
      </c>
      <c r="M284">
        <v>0</v>
      </c>
      <c r="N284">
        <v>322.7</v>
      </c>
      <c r="O284">
        <v>0</v>
      </c>
      <c r="P284">
        <v>384.70000000000005</v>
      </c>
      <c r="Q284">
        <v>0</v>
      </c>
      <c r="R284">
        <v>446.70000000000005</v>
      </c>
      <c r="S284" s="30">
        <f>'Monthly Data'!F92/'Monthly Data'!G92/'Monthly Data'!BT92</f>
        <v>33.263833458463708</v>
      </c>
      <c r="T284" s="30">
        <f>'Monthly Data'!J92/'Monthly Data'!K92/'Monthly Data'!BT92</f>
        <v>95.522373724146647</v>
      </c>
      <c r="U284" s="31">
        <f>'Monthly Data'!N92/'Monthly Data'!P92/'Monthly Data'!BT92</f>
        <v>2581.6285983667076</v>
      </c>
      <c r="W284" s="14">
        <f t="shared" si="144"/>
        <v>22.409677419354836</v>
      </c>
      <c r="X284" s="31">
        <f t="shared" si="145"/>
        <v>95.522373724146647</v>
      </c>
      <c r="DP284" s="18">
        <f>'Monthly Data'!F92</f>
        <v>63898027.826702021</v>
      </c>
      <c r="DQ284" s="18">
        <f>'Monthly Data'!J92</f>
        <v>16754433.306467874</v>
      </c>
      <c r="DR284" s="18">
        <f>'Monthly Data'!N92</f>
        <v>77789632.925985634</v>
      </c>
      <c r="DS284" s="18">
        <f t="shared" si="139"/>
        <v>60710902.334960103</v>
      </c>
      <c r="DT284" s="18">
        <f t="shared" si="140"/>
        <v>16207033.340694487</v>
      </c>
      <c r="DU284" s="18">
        <f t="shared" si="141"/>
        <v>79711140.089744866</v>
      </c>
    </row>
    <row r="285" spans="1:125" x14ac:dyDescent="0.2">
      <c r="A285" s="9">
        <v>44774</v>
      </c>
      <c r="B285">
        <f t="shared" si="142"/>
        <v>2022</v>
      </c>
      <c r="C285">
        <f t="shared" si="143"/>
        <v>8</v>
      </c>
      <c r="D285" s="14">
        <v>22.274193548387096</v>
      </c>
      <c r="E285">
        <v>2.1000000000000014</v>
      </c>
      <c r="F285">
        <v>72.599999999999994</v>
      </c>
      <c r="G285">
        <v>0</v>
      </c>
      <c r="H285">
        <v>132.5</v>
      </c>
      <c r="I285">
        <v>0</v>
      </c>
      <c r="J285">
        <v>194.5</v>
      </c>
      <c r="K285">
        <v>0</v>
      </c>
      <c r="L285">
        <v>256.5</v>
      </c>
      <c r="M285">
        <v>0</v>
      </c>
      <c r="N285">
        <v>318.5</v>
      </c>
      <c r="O285">
        <v>0</v>
      </c>
      <c r="P285">
        <v>380.5</v>
      </c>
      <c r="Q285">
        <v>0</v>
      </c>
      <c r="R285">
        <v>442.5</v>
      </c>
      <c r="S285" s="30">
        <f>'Monthly Data'!F93/'Monthly Data'!G93/'Monthly Data'!BT93</f>
        <v>32.507967438019655</v>
      </c>
      <c r="T285" s="30">
        <f>'Monthly Data'!J93/'Monthly Data'!K93/'Monthly Data'!BT93</f>
        <v>95.133143073388425</v>
      </c>
      <c r="U285" s="31">
        <f>'Monthly Data'!N93/'Monthly Data'!P93/'Monthly Data'!BT93</f>
        <v>2641.5912447573273</v>
      </c>
      <c r="W285" s="14">
        <f t="shared" si="144"/>
        <v>22.274193548387096</v>
      </c>
      <c r="X285" s="31">
        <f t="shared" si="145"/>
        <v>95.133143073388425</v>
      </c>
      <c r="DP285" s="18">
        <f>'Monthly Data'!F93</f>
        <v>62500468.355685346</v>
      </c>
      <c r="DQ285" s="18">
        <f>'Monthly Data'!J93</f>
        <v>16753992.959797507</v>
      </c>
      <c r="DR285" s="18">
        <f>'Monthly Data'!N93</f>
        <v>79678316.715615273</v>
      </c>
      <c r="DS285" s="18">
        <f t="shared" si="139"/>
        <v>60301504.016608849</v>
      </c>
      <c r="DT285" s="18">
        <f t="shared" si="140"/>
        <v>16150251.965263218</v>
      </c>
      <c r="DU285" s="18">
        <f t="shared" si="141"/>
        <v>79500667.689807191</v>
      </c>
    </row>
    <row r="286" spans="1:125" x14ac:dyDescent="0.2">
      <c r="A286" s="9">
        <v>44805</v>
      </c>
      <c r="B286">
        <f t="shared" si="142"/>
        <v>2022</v>
      </c>
      <c r="C286">
        <f t="shared" si="143"/>
        <v>9</v>
      </c>
      <c r="D286" s="14">
        <v>18.266666666666666</v>
      </c>
      <c r="E286">
        <v>73.300000000000011</v>
      </c>
      <c r="F286">
        <v>21.3</v>
      </c>
      <c r="G286">
        <v>44.900000000000006</v>
      </c>
      <c r="H286">
        <v>52.900000000000006</v>
      </c>
      <c r="I286">
        <v>25.1</v>
      </c>
      <c r="J286">
        <v>93.100000000000009</v>
      </c>
      <c r="K286">
        <v>8.1999999999999993</v>
      </c>
      <c r="L286">
        <v>136.20000000000002</v>
      </c>
      <c r="M286">
        <v>0.29999999999999893</v>
      </c>
      <c r="N286">
        <v>188.3</v>
      </c>
      <c r="O286">
        <v>0</v>
      </c>
      <c r="P286">
        <v>248</v>
      </c>
      <c r="Q286">
        <v>0</v>
      </c>
      <c r="R286">
        <v>308</v>
      </c>
      <c r="S286" s="30">
        <f>'Monthly Data'!F94/'Monthly Data'!G94/'Monthly Data'!BT94</f>
        <v>25.9303696875604</v>
      </c>
      <c r="T286" s="30">
        <f>'Monthly Data'!J94/'Monthly Data'!K94/'Monthly Data'!BT94</f>
        <v>85.248439356266601</v>
      </c>
      <c r="U286" s="31">
        <f>'Monthly Data'!N94/'Monthly Data'!P94/'Monthly Data'!BT94</f>
        <v>2472.6427598896435</v>
      </c>
      <c r="W286" s="14">
        <f t="shared" si="144"/>
        <v>18.266666666666666</v>
      </c>
      <c r="X286" s="31">
        <f t="shared" si="145"/>
        <v>85.248439356266601</v>
      </c>
      <c r="DP286" s="18">
        <f>'Monthly Data'!F94</f>
        <v>48263159.884668671</v>
      </c>
      <c r="DQ286" s="18">
        <f>'Monthly Data'!J94</f>
        <v>14523776.61312714</v>
      </c>
      <c r="DR286" s="18">
        <f>'Monthly Data'!N94</f>
        <v>70692856.505244911</v>
      </c>
      <c r="DS286" s="18">
        <f t="shared" si="139"/>
        <v>48739882.23687882</v>
      </c>
      <c r="DT286" s="18">
        <f t="shared" si="140"/>
        <v>14568482.047537377</v>
      </c>
      <c r="DU286" s="18">
        <f t="shared" si="141"/>
        <v>73472136.805878103</v>
      </c>
    </row>
    <row r="287" spans="1:125" x14ac:dyDescent="0.2">
      <c r="A287" s="9">
        <v>44835</v>
      </c>
      <c r="B287">
        <f t="shared" si="142"/>
        <v>2022</v>
      </c>
      <c r="C287">
        <f t="shared" si="143"/>
        <v>10</v>
      </c>
      <c r="D287" s="14">
        <v>10.525806451612901</v>
      </c>
      <c r="E287">
        <v>293.7</v>
      </c>
      <c r="F287">
        <v>0</v>
      </c>
      <c r="G287">
        <v>232.49999999999997</v>
      </c>
      <c r="H287">
        <v>0.79999999999999716</v>
      </c>
      <c r="I287">
        <v>174.49999999999997</v>
      </c>
      <c r="J287">
        <v>4.7999999999999972</v>
      </c>
      <c r="K287">
        <v>119.99999999999999</v>
      </c>
      <c r="L287">
        <v>12.299999999999999</v>
      </c>
      <c r="M287">
        <v>70.800000000000011</v>
      </c>
      <c r="N287">
        <v>25.1</v>
      </c>
      <c r="O287">
        <v>34.6</v>
      </c>
      <c r="P287">
        <v>50.899999999999991</v>
      </c>
      <c r="Q287">
        <v>14.2</v>
      </c>
      <c r="R287">
        <v>92.5</v>
      </c>
      <c r="S287" s="30">
        <f>'Monthly Data'!F95/'Monthly Data'!G95/'Monthly Data'!BT95</f>
        <v>20.482803042017526</v>
      </c>
      <c r="T287" s="30">
        <f>'Monthly Data'!J95/'Monthly Data'!K95/'Monthly Data'!BT95</f>
        <v>78.609040376401609</v>
      </c>
      <c r="U287" s="31">
        <f>'Monthly Data'!N95/'Monthly Data'!P95/'Monthly Data'!BT95</f>
        <v>2227.5930931632633</v>
      </c>
      <c r="W287" s="14">
        <f t="shared" si="144"/>
        <v>10.525806451612901</v>
      </c>
      <c r="X287" s="31">
        <f t="shared" si="145"/>
        <v>78.609040376401609</v>
      </c>
      <c r="DP287" s="18">
        <f>'Monthly Data'!F95</f>
        <v>39368582.413651988</v>
      </c>
      <c r="DQ287" s="18">
        <f>'Monthly Data'!J95</f>
        <v>13812237.266456774</v>
      </c>
      <c r="DR287" s="18">
        <f>'Monthly Data'!N95</f>
        <v>66086004.294874541</v>
      </c>
      <c r="DS287" s="18">
        <f t="shared" si="139"/>
        <v>38908390.722050563</v>
      </c>
      <c r="DT287" s="18">
        <f t="shared" si="140"/>
        <v>13501663.108509647</v>
      </c>
      <c r="DU287" s="18">
        <f t="shared" si="141"/>
        <v>67894319.535273328</v>
      </c>
    </row>
    <row r="288" spans="1:125" x14ac:dyDescent="0.2">
      <c r="A288" s="9">
        <v>44866</v>
      </c>
      <c r="B288">
        <f t="shared" si="142"/>
        <v>2022</v>
      </c>
      <c r="C288">
        <f t="shared" si="143"/>
        <v>11</v>
      </c>
      <c r="D288" s="14">
        <v>6.7566666666666659</v>
      </c>
      <c r="E288">
        <v>397.69999999999993</v>
      </c>
      <c r="F288">
        <v>0.39999999999999858</v>
      </c>
      <c r="G288">
        <v>339.69999999999993</v>
      </c>
      <c r="H288">
        <v>2.3999999999999986</v>
      </c>
      <c r="I288">
        <v>281.8</v>
      </c>
      <c r="J288">
        <v>4.5</v>
      </c>
      <c r="K288">
        <v>226.90000000000003</v>
      </c>
      <c r="L288">
        <v>9.6</v>
      </c>
      <c r="M288">
        <v>178.1</v>
      </c>
      <c r="N288">
        <v>20.799999999999997</v>
      </c>
      <c r="O288">
        <v>130.10000000000002</v>
      </c>
      <c r="P288">
        <v>32.799999999999997</v>
      </c>
      <c r="Q288">
        <v>87.9</v>
      </c>
      <c r="R288">
        <v>50.599999999999994</v>
      </c>
      <c r="S288" s="30">
        <f>'Monthly Data'!F96/'Monthly Data'!G96/'Monthly Data'!BT96</f>
        <v>21.706917458613344</v>
      </c>
      <c r="T288" s="30">
        <f>'Monthly Data'!J96/'Monthly Data'!K96/'Monthly Data'!BT96</f>
        <v>85.123920614094331</v>
      </c>
      <c r="U288" s="31">
        <f>'Monthly Data'!N96/'Monthly Data'!P96/'Monthly Data'!BT96</f>
        <v>2348.9797387731724</v>
      </c>
      <c r="W288" s="14">
        <f t="shared" si="144"/>
        <v>6.7566666666666659</v>
      </c>
      <c r="X288" s="31">
        <f t="shared" si="145"/>
        <v>85.123920614094331</v>
      </c>
      <c r="DP288" s="18">
        <f>'Monthly Data'!F96</f>
        <v>40432823.942635313</v>
      </c>
      <c r="DQ288" s="18">
        <f>'Monthly Data'!J96</f>
        <v>14497454.919786407</v>
      </c>
      <c r="DR288" s="18">
        <f>'Monthly Data'!N96</f>
        <v>67580147.084504172</v>
      </c>
      <c r="DS288" s="18">
        <f t="shared" si="139"/>
        <v>40792537.250733875</v>
      </c>
      <c r="DT288" s="18">
        <f t="shared" si="140"/>
        <v>14046734.694741517</v>
      </c>
      <c r="DU288" s="18">
        <f t="shared" si="141"/>
        <v>69500975.947334796</v>
      </c>
    </row>
    <row r="289" spans="1:125" x14ac:dyDescent="0.2">
      <c r="A289" s="9">
        <v>44896</v>
      </c>
      <c r="B289">
        <f t="shared" si="142"/>
        <v>2022</v>
      </c>
      <c r="C289">
        <f t="shared" si="143"/>
        <v>12</v>
      </c>
      <c r="D289" s="14">
        <v>1.1451612903225807</v>
      </c>
      <c r="E289">
        <v>584.5</v>
      </c>
      <c r="F289">
        <v>0</v>
      </c>
      <c r="G289">
        <v>522.5</v>
      </c>
      <c r="H289">
        <v>0</v>
      </c>
      <c r="I289">
        <v>460.49999999999994</v>
      </c>
      <c r="J289">
        <v>0</v>
      </c>
      <c r="K289">
        <v>398.5</v>
      </c>
      <c r="L289">
        <v>0</v>
      </c>
      <c r="M289">
        <v>336.50000000000006</v>
      </c>
      <c r="N289">
        <v>0</v>
      </c>
      <c r="O289">
        <v>275.3</v>
      </c>
      <c r="P289">
        <v>0.80000000000000071</v>
      </c>
      <c r="Q289">
        <v>215.29999999999998</v>
      </c>
      <c r="R289">
        <v>2.8000000000000007</v>
      </c>
      <c r="S289" s="30">
        <f>'Monthly Data'!F97/'Monthly Data'!G97/'Monthly Data'!BT97</f>
        <v>24.2939762817226</v>
      </c>
      <c r="T289" s="30">
        <f>'Monthly Data'!J97/'Monthly Data'!K97/'Monthly Data'!BT97</f>
        <v>89.048815540087531</v>
      </c>
      <c r="U289" s="31">
        <f>'Monthly Data'!N97/'Monthly Data'!P97/'Monthly Data'!BT97</f>
        <v>2361.6277451556052</v>
      </c>
      <c r="W289" s="14">
        <f t="shared" si="144"/>
        <v>1.1451612903225807</v>
      </c>
      <c r="X289" s="31">
        <f t="shared" si="145"/>
        <v>89.048815540087531</v>
      </c>
      <c r="DP289" s="18">
        <f>'Monthly Data'!F97</f>
        <v>46713356.471618637</v>
      </c>
      <c r="DQ289" s="18">
        <f>'Monthly Data'!J97</f>
        <v>15707320.57311604</v>
      </c>
      <c r="DR289" s="18">
        <f>'Monthly Data'!N97</f>
        <v>69037463.87413381</v>
      </c>
      <c r="DS289" s="18">
        <f t="shared" si="139"/>
        <v>43303748.406656981</v>
      </c>
      <c r="DT289" s="18">
        <f t="shared" si="140"/>
        <v>14850513.530705841</v>
      </c>
      <c r="DU289" s="18">
        <f t="shared" si="141"/>
        <v>71668405.141401798</v>
      </c>
    </row>
    <row r="290" spans="1:125" x14ac:dyDescent="0.2">
      <c r="A290" s="9">
        <v>44927</v>
      </c>
      <c r="B290">
        <f t="shared" si="142"/>
        <v>2023</v>
      </c>
      <c r="C290">
        <f t="shared" si="143"/>
        <v>1</v>
      </c>
      <c r="D290" s="14">
        <v>0.59354838709677415</v>
      </c>
      <c r="E290">
        <v>601.6</v>
      </c>
      <c r="F290">
        <v>0</v>
      </c>
      <c r="G290">
        <v>539.6</v>
      </c>
      <c r="H290">
        <v>0</v>
      </c>
      <c r="I290">
        <v>477.6</v>
      </c>
      <c r="J290">
        <v>0</v>
      </c>
      <c r="K290">
        <v>415.6</v>
      </c>
      <c r="L290">
        <v>0</v>
      </c>
      <c r="M290">
        <v>353.6</v>
      </c>
      <c r="N290">
        <v>0</v>
      </c>
      <c r="O290">
        <v>291.60000000000002</v>
      </c>
      <c r="P290">
        <v>0</v>
      </c>
      <c r="Q290">
        <v>229.6</v>
      </c>
      <c r="R290">
        <v>0</v>
      </c>
      <c r="S290" s="30">
        <f>'Monthly Data'!F98/'Monthly Data'!G98/'Monthly Data'!BT98</f>
        <v>24.199323274247636</v>
      </c>
      <c r="T290" s="30">
        <f>'Monthly Data'!J98/'Monthly Data'!K98/'Monthly Data'!BT98</f>
        <v>91.304255548983363</v>
      </c>
      <c r="U290" s="31">
        <f>'Monthly Data'!N98/'Monthly Data'!P98/'Monthly Data'!BT98</f>
        <v>2454.5130452412704</v>
      </c>
      <c r="W290" s="14">
        <f t="shared" ref="W290:W313" si="146">D290</f>
        <v>0.59354838709677415</v>
      </c>
      <c r="X290" s="31">
        <f t="shared" ref="X290:X313" si="147">T290</f>
        <v>91.304255548983363</v>
      </c>
      <c r="DP290" s="18">
        <f>'Monthly Data'!F98</f>
        <v>46583116.519168116</v>
      </c>
      <c r="DQ290" s="18">
        <f>'Monthly Data'!J98</f>
        <v>16124970.659739304</v>
      </c>
      <c r="DR290" s="18">
        <f>'Monthly Data'!N98</f>
        <v>71676689.947135583</v>
      </c>
      <c r="DS290" s="18">
        <f t="shared" si="139"/>
        <v>43647241.043407641</v>
      </c>
      <c r="DT290" s="18">
        <f t="shared" si="140"/>
        <v>14943543.59312919</v>
      </c>
      <c r="DU290" s="18">
        <f t="shared" si="141"/>
        <v>71965723.985308513</v>
      </c>
    </row>
    <row r="291" spans="1:125" x14ac:dyDescent="0.2">
      <c r="A291" s="9">
        <v>44958</v>
      </c>
      <c r="B291">
        <f t="shared" si="142"/>
        <v>2023</v>
      </c>
      <c r="C291">
        <f t="shared" si="143"/>
        <v>2</v>
      </c>
      <c r="D291" s="14">
        <v>0.43214285714285683</v>
      </c>
      <c r="E291">
        <v>547.90000000000009</v>
      </c>
      <c r="F291">
        <v>0</v>
      </c>
      <c r="G291">
        <v>491.90000000000003</v>
      </c>
      <c r="H291">
        <v>0</v>
      </c>
      <c r="I291">
        <v>435.9</v>
      </c>
      <c r="J291">
        <v>0</v>
      </c>
      <c r="K291">
        <v>379.9</v>
      </c>
      <c r="L291">
        <v>0</v>
      </c>
      <c r="M291">
        <v>323.90000000000003</v>
      </c>
      <c r="N291">
        <v>0</v>
      </c>
      <c r="O291">
        <v>267.90000000000003</v>
      </c>
      <c r="P291">
        <v>0</v>
      </c>
      <c r="Q291">
        <v>213.20000000000007</v>
      </c>
      <c r="R291">
        <v>1.3000000000000007</v>
      </c>
      <c r="S291" s="30">
        <f>'Monthly Data'!F99/'Monthly Data'!G99/'Monthly Data'!BT99</f>
        <v>23.502563203615864</v>
      </c>
      <c r="T291" s="30">
        <f>'Monthly Data'!J99/'Monthly Data'!K99/'Monthly Data'!BT99</f>
        <v>92.579588779375143</v>
      </c>
      <c r="U291" s="31">
        <f>'Monthly Data'!N99/'Monthly Data'!P99/'Monthly Data'!BT99</f>
        <v>2499.7153574940935</v>
      </c>
      <c r="W291" s="14">
        <f t="shared" si="146"/>
        <v>0.43214285714285683</v>
      </c>
      <c r="X291" s="31">
        <f t="shared" si="147"/>
        <v>92.579588779375143</v>
      </c>
      <c r="DP291" s="18">
        <f>'Monthly Data'!F99</f>
        <v>40876786.046762481</v>
      </c>
      <c r="DQ291" s="18">
        <f>'Monthly Data'!J99</f>
        <v>14767925.683730803</v>
      </c>
      <c r="DR291" s="18">
        <f>'Monthly Data'!N99</f>
        <v>65932492.269264214</v>
      </c>
      <c r="DS291" s="18">
        <f t="shared" si="139"/>
        <v>42930124.836858012</v>
      </c>
      <c r="DT291" s="18">
        <f t="shared" si="140"/>
        <v>14749322.936490972</v>
      </c>
      <c r="DU291" s="18">
        <f t="shared" si="141"/>
        <v>71533426.034352124</v>
      </c>
    </row>
    <row r="292" spans="1:125" x14ac:dyDescent="0.2">
      <c r="A292" s="9">
        <v>44986</v>
      </c>
      <c r="B292">
        <f t="shared" si="142"/>
        <v>2023</v>
      </c>
      <c r="C292">
        <f t="shared" si="143"/>
        <v>3</v>
      </c>
      <c r="D292" s="14">
        <v>1.9870967741935488</v>
      </c>
      <c r="E292">
        <v>558.39999999999986</v>
      </c>
      <c r="F292">
        <v>0</v>
      </c>
      <c r="G292">
        <v>496.4</v>
      </c>
      <c r="H292">
        <v>0</v>
      </c>
      <c r="I292">
        <v>434.4</v>
      </c>
      <c r="J292">
        <v>0</v>
      </c>
      <c r="K292">
        <v>372.4</v>
      </c>
      <c r="L292">
        <v>0</v>
      </c>
      <c r="M292">
        <v>310.40000000000003</v>
      </c>
      <c r="N292">
        <v>0</v>
      </c>
      <c r="O292">
        <v>248.40000000000003</v>
      </c>
      <c r="P292">
        <v>0</v>
      </c>
      <c r="Q292">
        <v>186.4</v>
      </c>
      <c r="R292">
        <v>0</v>
      </c>
      <c r="S292" s="30">
        <f>'Monthly Data'!F100/'Monthly Data'!G100/'Monthly Data'!BT100</f>
        <v>22.152006410068996</v>
      </c>
      <c r="T292" s="30">
        <f>'Monthly Data'!J100/'Monthly Data'!K100/'Monthly Data'!BT100</f>
        <v>88.975763745051466</v>
      </c>
      <c r="U292" s="31">
        <f>'Monthly Data'!N100/'Monthly Data'!P100/'Monthly Data'!BT100</f>
        <v>2453.4409489553059</v>
      </c>
      <c r="W292" s="14">
        <f t="shared" si="146"/>
        <v>1.9870967741935488</v>
      </c>
      <c r="X292" s="31">
        <f t="shared" si="147"/>
        <v>88.975763745051466</v>
      </c>
      <c r="DP292" s="18">
        <f>'Monthly Data'!F100</f>
        <v>42680536.574356854</v>
      </c>
      <c r="DQ292" s="18">
        <f>'Monthly Data'!J100</f>
        <v>15713742.707722303</v>
      </c>
      <c r="DR292" s="18">
        <f>'Monthly Data'!N100</f>
        <v>71645382.591392845</v>
      </c>
      <c r="DS292" s="18">
        <f t="shared" si="139"/>
        <v>42779470.171616495</v>
      </c>
      <c r="DT292" s="18">
        <f t="shared" si="140"/>
        <v>14708520.277533364</v>
      </c>
      <c r="DU292" s="18">
        <f t="shared" si="141"/>
        <v>71177737.846856356</v>
      </c>
    </row>
    <row r="293" spans="1:125" x14ac:dyDescent="0.2">
      <c r="A293" s="9">
        <v>45017</v>
      </c>
      <c r="B293">
        <f t="shared" si="142"/>
        <v>2023</v>
      </c>
      <c r="C293">
        <f t="shared" si="143"/>
        <v>4</v>
      </c>
      <c r="D293" s="14">
        <v>8.5733333333333324</v>
      </c>
      <c r="E293">
        <v>343.80000000000007</v>
      </c>
      <c r="F293">
        <v>1</v>
      </c>
      <c r="G293">
        <v>287.39999999999998</v>
      </c>
      <c r="H293">
        <v>4.6000000000000014</v>
      </c>
      <c r="I293">
        <v>231.60000000000002</v>
      </c>
      <c r="J293">
        <v>8.8000000000000007</v>
      </c>
      <c r="K293">
        <v>178.9</v>
      </c>
      <c r="L293">
        <v>16.100000000000001</v>
      </c>
      <c r="M293">
        <v>128.9</v>
      </c>
      <c r="N293">
        <v>26.1</v>
      </c>
      <c r="O293">
        <v>83.499999999999986</v>
      </c>
      <c r="P293">
        <v>40.699999999999996</v>
      </c>
      <c r="Q293">
        <v>45.9</v>
      </c>
      <c r="R293">
        <v>63.100000000000009</v>
      </c>
      <c r="S293" s="30">
        <f>'Monthly Data'!F101/'Monthly Data'!G101/'Monthly Data'!BT101</f>
        <v>20.782985153417219</v>
      </c>
      <c r="T293" s="30">
        <f>'Monthly Data'!J101/'Monthly Data'!K101/'Monthly Data'!BT101</f>
        <v>83.908175192940021</v>
      </c>
      <c r="U293" s="31">
        <f>'Monthly Data'!N101/'Monthly Data'!P101/'Monthly Data'!BT101</f>
        <v>2288.5103649512198</v>
      </c>
      <c r="W293" s="14">
        <f t="shared" si="146"/>
        <v>8.5733333333333324</v>
      </c>
      <c r="X293" s="31">
        <f t="shared" si="147"/>
        <v>83.908175192940021</v>
      </c>
      <c r="DP293" s="18">
        <f>'Monthly Data'!F101</f>
        <v>38703114.101951219</v>
      </c>
      <c r="DQ293" s="18">
        <f>'Monthly Data'!J101</f>
        <v>14335711.731713802</v>
      </c>
      <c r="DR293" s="18">
        <f>'Monthly Data'!N101</f>
        <v>64673302.913521484</v>
      </c>
      <c r="DS293" s="18">
        <f t="shared" si="139"/>
        <v>40461940.028731756</v>
      </c>
      <c r="DT293" s="18">
        <f t="shared" si="140"/>
        <v>13873473.615580263</v>
      </c>
      <c r="DU293" s="18">
        <f t="shared" si="141"/>
        <v>68976703.476460904</v>
      </c>
    </row>
    <row r="294" spans="1:125" x14ac:dyDescent="0.2">
      <c r="A294" s="9">
        <v>45047</v>
      </c>
      <c r="B294">
        <f t="shared" si="142"/>
        <v>2023</v>
      </c>
      <c r="C294">
        <f t="shared" si="143"/>
        <v>5</v>
      </c>
      <c r="D294" s="14">
        <v>13.1</v>
      </c>
      <c r="E294">
        <v>218.39999999999995</v>
      </c>
      <c r="F294">
        <v>4.4999999999999964</v>
      </c>
      <c r="G294">
        <v>162.39999999999995</v>
      </c>
      <c r="H294">
        <v>10.499999999999996</v>
      </c>
      <c r="I294">
        <v>113.69999999999999</v>
      </c>
      <c r="J294">
        <v>23.8</v>
      </c>
      <c r="K294">
        <v>73.899999999999977</v>
      </c>
      <c r="L294">
        <v>45.999999999999993</v>
      </c>
      <c r="M294">
        <v>41.699999999999996</v>
      </c>
      <c r="N294">
        <v>75.799999999999983</v>
      </c>
      <c r="O294">
        <v>21.1</v>
      </c>
      <c r="P294">
        <v>117.19999999999999</v>
      </c>
      <c r="Q294">
        <v>7</v>
      </c>
      <c r="R294">
        <v>165.10000000000005</v>
      </c>
      <c r="S294" s="30">
        <f>'Monthly Data'!F102/'Monthly Data'!G102/'Monthly Data'!BT102</f>
        <v>21.733990382433706</v>
      </c>
      <c r="T294" s="30">
        <f>'Monthly Data'!J102/'Monthly Data'!K102/'Monthly Data'!BT102</f>
        <v>82.530990714578721</v>
      </c>
      <c r="U294" s="31">
        <f>'Monthly Data'!N102/'Monthly Data'!P102/'Monthly Data'!BT102</f>
        <v>2310.0865540878499</v>
      </c>
      <c r="W294" s="14">
        <f t="shared" si="146"/>
        <v>13.1</v>
      </c>
      <c r="X294" s="31">
        <f t="shared" si="147"/>
        <v>82.530990714578721</v>
      </c>
      <c r="DP294" s="18">
        <f>'Monthly Data'!F102</f>
        <v>41884572.629545584</v>
      </c>
      <c r="DQ294" s="18">
        <f>'Monthly Data'!J102</f>
        <v>14570433.755705301</v>
      </c>
      <c r="DR294" s="18">
        <f>'Monthly Data'!N102</f>
        <v>67530760.235650122</v>
      </c>
      <c r="DS294" s="18">
        <f t="shared" si="139"/>
        <v>41267300.838851042</v>
      </c>
      <c r="DT294" s="18">
        <f t="shared" si="140"/>
        <v>13706465.705743978</v>
      </c>
      <c r="DU294" s="18">
        <f t="shared" si="141"/>
        <v>69336864.314125985</v>
      </c>
    </row>
    <row r="295" spans="1:125" x14ac:dyDescent="0.2">
      <c r="A295" s="9">
        <v>45078</v>
      </c>
      <c r="B295">
        <f t="shared" si="142"/>
        <v>2023</v>
      </c>
      <c r="C295">
        <f t="shared" si="143"/>
        <v>6</v>
      </c>
      <c r="D295" s="14">
        <v>19.133333333333336</v>
      </c>
      <c r="E295">
        <v>39.800000000000011</v>
      </c>
      <c r="F295">
        <v>13.8</v>
      </c>
      <c r="G295">
        <v>10.499999999999996</v>
      </c>
      <c r="H295">
        <v>44.5</v>
      </c>
      <c r="I295">
        <v>0</v>
      </c>
      <c r="J295">
        <v>94</v>
      </c>
      <c r="K295">
        <v>0</v>
      </c>
      <c r="L295">
        <v>153.99999999999994</v>
      </c>
      <c r="M295">
        <v>0</v>
      </c>
      <c r="N295">
        <v>213.99999999999997</v>
      </c>
      <c r="O295">
        <v>0</v>
      </c>
      <c r="P295">
        <v>274</v>
      </c>
      <c r="Q295">
        <v>0</v>
      </c>
      <c r="R295">
        <v>334</v>
      </c>
      <c r="S295" s="30">
        <f>'Monthly Data'!F103/'Monthly Data'!G103/'Monthly Data'!BT103</f>
        <v>26.753827085985037</v>
      </c>
      <c r="T295" s="30">
        <f>'Monthly Data'!J103/'Monthly Data'!K103/'Monthly Data'!BT103</f>
        <v>88.728541803470463</v>
      </c>
      <c r="U295" s="31">
        <f>'Monthly Data'!N103/'Monthly Data'!P103/'Monthly Data'!BT103</f>
        <v>2496.5789428897892</v>
      </c>
      <c r="W295" s="14">
        <f t="shared" si="146"/>
        <v>19.133333333333336</v>
      </c>
      <c r="X295" s="31">
        <f t="shared" si="147"/>
        <v>88.728541803470463</v>
      </c>
      <c r="DP295" s="18">
        <f>'Monthly Data'!F103</f>
        <v>49966785.15713995</v>
      </c>
      <c r="DQ295" s="18">
        <f>'Monthly Data'!J103</f>
        <v>15207184.779696802</v>
      </c>
      <c r="DR295" s="18">
        <f>'Monthly Data'!N103</f>
        <v>70478423.557778746</v>
      </c>
      <c r="DS295" s="18">
        <f t="shared" si="139"/>
        <v>50310235.533036709</v>
      </c>
      <c r="DT295" s="18">
        <f t="shared" si="140"/>
        <v>14764516.017238157</v>
      </c>
      <c r="DU295" s="18">
        <f t="shared" si="141"/>
        <v>74364138.881804436</v>
      </c>
    </row>
    <row r="296" spans="1:125" x14ac:dyDescent="0.2">
      <c r="A296" s="9">
        <v>45108</v>
      </c>
      <c r="B296">
        <f t="shared" si="142"/>
        <v>2023</v>
      </c>
      <c r="C296">
        <f t="shared" si="143"/>
        <v>7</v>
      </c>
      <c r="D296" s="14">
        <v>22.693548387096783</v>
      </c>
      <c r="E296">
        <v>0.10000000000000142</v>
      </c>
      <c r="F296">
        <v>83.600000000000023</v>
      </c>
      <c r="G296">
        <v>0</v>
      </c>
      <c r="H296">
        <v>145.49999999999997</v>
      </c>
      <c r="I296">
        <v>0</v>
      </c>
      <c r="J296">
        <v>207.49999999999997</v>
      </c>
      <c r="K296">
        <v>0</v>
      </c>
      <c r="L296">
        <v>269.50000000000006</v>
      </c>
      <c r="M296">
        <v>0</v>
      </c>
      <c r="N296">
        <v>331.50000000000006</v>
      </c>
      <c r="O296">
        <v>0</v>
      </c>
      <c r="P296">
        <v>393.50000000000006</v>
      </c>
      <c r="Q296">
        <v>0</v>
      </c>
      <c r="R296">
        <v>455.50000000000006</v>
      </c>
      <c r="S296" s="30">
        <f>'Monthly Data'!F104/'Monthly Data'!G104/'Monthly Data'!BT104</f>
        <v>31.46126834185263</v>
      </c>
      <c r="T296" s="30">
        <f>'Monthly Data'!J104/'Monthly Data'!K104/'Monthly Data'!BT104</f>
        <v>96.574170935989144</v>
      </c>
      <c r="U296" s="31">
        <f>'Monthly Data'!N104/'Monthly Data'!P104/'Monthly Data'!BT104</f>
        <v>2611.9760768671031</v>
      </c>
      <c r="W296" s="14">
        <f t="shared" si="146"/>
        <v>22.693548387096783</v>
      </c>
      <c r="X296" s="31">
        <f t="shared" si="147"/>
        <v>96.574170935989144</v>
      </c>
      <c r="DP296" s="18">
        <f>'Monthly Data'!F104</f>
        <v>60709456.684734322</v>
      </c>
      <c r="DQ296" s="18">
        <f>'Monthly Data'!J104</f>
        <v>17067649.803688299</v>
      </c>
      <c r="DR296" s="18">
        <f>'Monthly Data'!N104</f>
        <v>76112982.879907385</v>
      </c>
      <c r="DS296" s="18">
        <f t="shared" si="139"/>
        <v>61568689.287696056</v>
      </c>
      <c r="DT296" s="18">
        <f t="shared" si="140"/>
        <v>16326003.841598103</v>
      </c>
      <c r="DU296" s="18">
        <f t="shared" si="141"/>
        <v>80152129.880090475</v>
      </c>
    </row>
    <row r="297" spans="1:125" x14ac:dyDescent="0.2">
      <c r="A297" s="9">
        <v>45139</v>
      </c>
      <c r="B297">
        <f t="shared" si="142"/>
        <v>2023</v>
      </c>
      <c r="C297">
        <f t="shared" si="143"/>
        <v>8</v>
      </c>
      <c r="D297" s="14">
        <v>20.251612903225805</v>
      </c>
      <c r="E297">
        <v>24.599999999999998</v>
      </c>
      <c r="F297">
        <v>32.400000000000006</v>
      </c>
      <c r="G297">
        <v>5.8999999999999986</v>
      </c>
      <c r="H297">
        <v>75.7</v>
      </c>
      <c r="I297">
        <v>0</v>
      </c>
      <c r="J297">
        <v>131.80000000000004</v>
      </c>
      <c r="K297">
        <v>0</v>
      </c>
      <c r="L297">
        <v>193.8</v>
      </c>
      <c r="M297">
        <v>0</v>
      </c>
      <c r="N297">
        <v>255.8</v>
      </c>
      <c r="O297">
        <v>0</v>
      </c>
      <c r="P297">
        <v>317.8</v>
      </c>
      <c r="Q297">
        <v>0</v>
      </c>
      <c r="R297">
        <v>379.80000000000007</v>
      </c>
      <c r="S297" s="30">
        <f>'Monthly Data'!F105/'Monthly Data'!G105/'Monthly Data'!BT105</f>
        <v>29.279779464813529</v>
      </c>
      <c r="T297" s="30">
        <f>'Monthly Data'!J105/'Monthly Data'!K105/'Monthly Data'!BT105</f>
        <v>93.105503534985147</v>
      </c>
      <c r="U297" s="31">
        <f>'Monthly Data'!N105/'Monthly Data'!P105/'Monthly Data'!BT105</f>
        <v>2543.8673370636934</v>
      </c>
      <c r="W297" s="14">
        <f t="shared" si="146"/>
        <v>20.251612903225805</v>
      </c>
      <c r="X297" s="31">
        <f t="shared" si="147"/>
        <v>93.105503534985147</v>
      </c>
      <c r="DP297" s="18">
        <f>'Monthly Data'!F105</f>
        <v>56519900.212328687</v>
      </c>
      <c r="DQ297" s="18">
        <f>'Monthly Data'!J105</f>
        <v>16466173.8276798</v>
      </c>
      <c r="DR297" s="18">
        <f>'Monthly Data'!N105</f>
        <v>74128294.202036023</v>
      </c>
      <c r="DS297" s="18">
        <f t="shared" si="139"/>
        <v>54189771.978365213</v>
      </c>
      <c r="DT297" s="18">
        <f t="shared" si="140"/>
        <v>15302587.146324962</v>
      </c>
      <c r="DU297" s="18">
        <f t="shared" si="141"/>
        <v>76358615.433594778</v>
      </c>
    </row>
    <row r="298" spans="1:125" x14ac:dyDescent="0.2">
      <c r="A298" s="9">
        <v>45170</v>
      </c>
      <c r="B298">
        <f t="shared" si="142"/>
        <v>2023</v>
      </c>
      <c r="C298">
        <f t="shared" si="143"/>
        <v>9</v>
      </c>
      <c r="D298" s="14">
        <v>18.68666666666666</v>
      </c>
      <c r="E298">
        <v>66.3</v>
      </c>
      <c r="F298">
        <v>26.900000000000002</v>
      </c>
      <c r="G298">
        <v>22.200000000000006</v>
      </c>
      <c r="H298">
        <v>42.8</v>
      </c>
      <c r="I298">
        <v>0.69999999999999929</v>
      </c>
      <c r="J298">
        <v>81.3</v>
      </c>
      <c r="K298">
        <v>0</v>
      </c>
      <c r="L298">
        <v>140.60000000000002</v>
      </c>
      <c r="M298">
        <v>0</v>
      </c>
      <c r="N298">
        <v>200.6</v>
      </c>
      <c r="O298">
        <v>0</v>
      </c>
      <c r="P298">
        <v>260.60000000000002</v>
      </c>
      <c r="Q298">
        <v>0</v>
      </c>
      <c r="R298">
        <v>320.59999999999991</v>
      </c>
      <c r="S298" s="30">
        <f>'Monthly Data'!F106/'Monthly Data'!G106/'Monthly Data'!BT106</f>
        <v>25.043417682526002</v>
      </c>
      <c r="T298" s="30">
        <f>'Monthly Data'!J106/'Monthly Data'!K106/'Monthly Data'!BT106</f>
        <v>87.842147552693135</v>
      </c>
      <c r="U298" s="31">
        <f>'Monthly Data'!N106/'Monthly Data'!P106/'Monthly Data'!BT106</f>
        <v>2487.1367207150588</v>
      </c>
      <c r="W298" s="14">
        <f t="shared" si="146"/>
        <v>18.68666666666666</v>
      </c>
      <c r="X298" s="31">
        <f t="shared" si="147"/>
        <v>87.842147552693135</v>
      </c>
      <c r="DP298" s="18">
        <f>'Monthly Data'!F106</f>
        <v>46714488.739923052</v>
      </c>
      <c r="DQ298" s="18">
        <f>'Monthly Data'!J106</f>
        <v>14997289.851671299</v>
      </c>
      <c r="DR298" s="18">
        <f>'Monthly Data'!N106</f>
        <v>70137255.524164647</v>
      </c>
      <c r="DS298" s="18">
        <f t="shared" si="139"/>
        <v>49004059.945916072</v>
      </c>
      <c r="DT298" s="18">
        <f t="shared" si="140"/>
        <v>14583356.3908622</v>
      </c>
      <c r="DU298" s="18">
        <f t="shared" si="141"/>
        <v>73692631.701050907</v>
      </c>
    </row>
    <row r="299" spans="1:125" x14ac:dyDescent="0.2">
      <c r="A299" s="9">
        <v>45200</v>
      </c>
      <c r="B299">
        <f t="shared" si="142"/>
        <v>2023</v>
      </c>
      <c r="C299">
        <f t="shared" si="143"/>
        <v>10</v>
      </c>
      <c r="D299" s="14">
        <v>13.283870967741938</v>
      </c>
      <c r="E299">
        <v>215.59999999999997</v>
      </c>
      <c r="F299">
        <v>7.4000000000000021</v>
      </c>
      <c r="G299">
        <v>164.10000000000002</v>
      </c>
      <c r="H299">
        <v>17.900000000000002</v>
      </c>
      <c r="I299">
        <v>119.80000000000001</v>
      </c>
      <c r="J299">
        <v>35.6</v>
      </c>
      <c r="K299">
        <v>77.599999999999994</v>
      </c>
      <c r="L299">
        <v>55.400000000000006</v>
      </c>
      <c r="M299">
        <v>40.699999999999996</v>
      </c>
      <c r="N299">
        <v>80.5</v>
      </c>
      <c r="O299">
        <v>18.100000000000001</v>
      </c>
      <c r="P299">
        <v>119.89999999999998</v>
      </c>
      <c r="Q299">
        <v>8.1</v>
      </c>
      <c r="R299">
        <v>171.9</v>
      </c>
      <c r="S299" s="30">
        <f>'Monthly Data'!F107/'Monthly Data'!G107/'Monthly Data'!BT107</f>
        <v>21.142184103973541</v>
      </c>
      <c r="T299" s="30">
        <f>'Monthly Data'!J107/'Monthly Data'!K107/'Monthly Data'!BT107</f>
        <v>82.130569538111999</v>
      </c>
      <c r="U299" s="31">
        <f>'Monthly Data'!N107/'Monthly Data'!P107/'Monthly Data'!BT107</f>
        <v>2335.1080935584519</v>
      </c>
      <c r="W299" s="14">
        <f t="shared" si="146"/>
        <v>13.283870967741938</v>
      </c>
      <c r="X299" s="31">
        <f t="shared" si="147"/>
        <v>82.130569538111999</v>
      </c>
      <c r="DP299" s="18">
        <f>'Monthly Data'!F107</f>
        <v>40824035.267517418</v>
      </c>
      <c r="DQ299" s="18">
        <f>'Monthly Data'!J107</f>
        <v>14525201.875662798</v>
      </c>
      <c r="DR299" s="18">
        <f>'Monthly Data'!N107</f>
        <v>68045049.846293285</v>
      </c>
      <c r="DS299" s="18">
        <f t="shared" si="139"/>
        <v>42257896.233822994</v>
      </c>
      <c r="DT299" s="18">
        <f t="shared" si="140"/>
        <v>13853677.143461622</v>
      </c>
      <c r="DU299" s="18">
        <f t="shared" si="141"/>
        <v>69753200.330562234</v>
      </c>
    </row>
    <row r="300" spans="1:125" x14ac:dyDescent="0.2">
      <c r="A300" s="9">
        <v>45231</v>
      </c>
      <c r="B300">
        <f t="shared" si="142"/>
        <v>2023</v>
      </c>
      <c r="C300">
        <f t="shared" si="143"/>
        <v>11</v>
      </c>
      <c r="D300" s="14">
        <v>5.5299999999999994</v>
      </c>
      <c r="E300">
        <v>434.09999999999997</v>
      </c>
      <c r="F300">
        <v>0</v>
      </c>
      <c r="G300">
        <v>374.09999999999997</v>
      </c>
      <c r="H300">
        <v>0</v>
      </c>
      <c r="I300">
        <v>314.09999999999997</v>
      </c>
      <c r="J300">
        <v>0</v>
      </c>
      <c r="K300">
        <v>254.10000000000002</v>
      </c>
      <c r="L300">
        <v>0</v>
      </c>
      <c r="M300">
        <v>194.10000000000002</v>
      </c>
      <c r="N300">
        <v>0</v>
      </c>
      <c r="O300">
        <v>137.9</v>
      </c>
      <c r="P300">
        <v>3.8000000000000007</v>
      </c>
      <c r="Q300">
        <v>89.800000000000011</v>
      </c>
      <c r="R300">
        <v>15.700000000000001</v>
      </c>
      <c r="S300" s="30">
        <f>'Monthly Data'!F108/'Monthly Data'!G108/'Monthly Data'!BT108</f>
        <v>21.800034645531188</v>
      </c>
      <c r="T300" s="30">
        <f>'Monthly Data'!J108/'Monthly Data'!K108/'Monthly Data'!BT108</f>
        <v>86.397832104534984</v>
      </c>
      <c r="U300" s="31">
        <f>'Monthly Data'!N108/'Monthly Data'!P108/'Monthly Data'!BT108</f>
        <v>2394.8639776036143</v>
      </c>
      <c r="W300" s="14">
        <f t="shared" si="146"/>
        <v>5.5299999999999994</v>
      </c>
      <c r="X300" s="31">
        <f t="shared" si="147"/>
        <v>86.397832104534984</v>
      </c>
      <c r="DP300" s="18">
        <f>'Monthly Data'!F108</f>
        <v>40771078.79511179</v>
      </c>
      <c r="DQ300" s="18">
        <f>'Monthly Data'!J108</f>
        <v>14789580.899654299</v>
      </c>
      <c r="DR300" s="18">
        <f>'Monthly Data'!N108</f>
        <v>67535164.168421924</v>
      </c>
      <c r="DS300" s="18">
        <f t="shared" si="139"/>
        <v>40403143.918540269</v>
      </c>
      <c r="DT300" s="18">
        <f t="shared" si="140"/>
        <v>14064926.336908683</v>
      </c>
      <c r="DU300" s="18">
        <f t="shared" si="141"/>
        <v>69162171.451046988</v>
      </c>
    </row>
    <row r="301" spans="1:125" x14ac:dyDescent="0.2">
      <c r="A301" s="9">
        <v>45261</v>
      </c>
      <c r="B301">
        <f t="shared" si="142"/>
        <v>2023</v>
      </c>
      <c r="C301">
        <f t="shared" si="143"/>
        <v>12</v>
      </c>
      <c r="D301" s="14">
        <v>3.7032258064516133</v>
      </c>
      <c r="E301">
        <v>505.20000000000005</v>
      </c>
      <c r="F301">
        <v>0</v>
      </c>
      <c r="G301">
        <v>443.20000000000005</v>
      </c>
      <c r="H301">
        <v>0</v>
      </c>
      <c r="I301">
        <v>381.20000000000005</v>
      </c>
      <c r="J301">
        <v>0</v>
      </c>
      <c r="K301">
        <v>319.20000000000005</v>
      </c>
      <c r="L301">
        <v>0</v>
      </c>
      <c r="M301">
        <v>257.2</v>
      </c>
      <c r="N301">
        <v>0</v>
      </c>
      <c r="O301">
        <v>195.20000000000002</v>
      </c>
      <c r="P301">
        <v>0</v>
      </c>
      <c r="Q301">
        <v>134.9</v>
      </c>
      <c r="R301">
        <v>1.6999999999999993</v>
      </c>
      <c r="S301" s="30">
        <f>'Monthly Data'!F109/'Monthly Data'!G109/'Monthly Data'!BT109</f>
        <v>23.937698197399946</v>
      </c>
      <c r="T301" s="30">
        <f>'Monthly Data'!J109/'Monthly Data'!K109/'Monthly Data'!BT109</f>
        <v>86.541338015287963</v>
      </c>
      <c r="U301" s="31">
        <f>'Monthly Data'!N109/'Monthly Data'!P109/'Monthly Data'!BT109</f>
        <v>2231.5827544118324</v>
      </c>
      <c r="W301" s="14">
        <f t="shared" si="146"/>
        <v>3.7032258064516133</v>
      </c>
      <c r="X301" s="31">
        <f t="shared" si="147"/>
        <v>86.541338015287963</v>
      </c>
      <c r="DP301" s="18">
        <f>'Monthly Data'!F109</f>
        <v>46228650.322706155</v>
      </c>
      <c r="DQ301" s="18">
        <f>'Monthly Data'!J109</f>
        <v>15248929.923645798</v>
      </c>
      <c r="DR301" s="18">
        <f>'Monthly Data'!N109</f>
        <v>67172872.490550563</v>
      </c>
      <c r="DS301" s="18">
        <f t="shared" si="139"/>
        <v>41710826.412836649</v>
      </c>
      <c r="DT301" s="18">
        <f t="shared" si="140"/>
        <v>14419093.416660726</v>
      </c>
      <c r="DU301" s="18">
        <f t="shared" si="141"/>
        <v>70207347.509688407</v>
      </c>
    </row>
    <row r="302" spans="1:125" x14ac:dyDescent="0.2">
      <c r="A302" s="9">
        <v>45292</v>
      </c>
      <c r="B302">
        <f t="shared" si="142"/>
        <v>2024</v>
      </c>
      <c r="C302">
        <f t="shared" si="143"/>
        <v>1</v>
      </c>
      <c r="D302" s="14">
        <v>-0.91612903225806464</v>
      </c>
      <c r="E302">
        <v>648.40000000000009</v>
      </c>
      <c r="F302">
        <v>0</v>
      </c>
      <c r="G302">
        <v>586.4</v>
      </c>
      <c r="H302">
        <v>0</v>
      </c>
      <c r="I302">
        <v>524.39999999999986</v>
      </c>
      <c r="J302">
        <v>0</v>
      </c>
      <c r="K302">
        <v>462.39999999999992</v>
      </c>
      <c r="L302">
        <v>0</v>
      </c>
      <c r="M302">
        <v>400.39999999999992</v>
      </c>
      <c r="N302">
        <v>0</v>
      </c>
      <c r="O302">
        <v>338.4</v>
      </c>
      <c r="P302">
        <v>0</v>
      </c>
      <c r="Q302">
        <v>276.39999999999998</v>
      </c>
      <c r="R302">
        <v>0</v>
      </c>
      <c r="S302" s="30">
        <f>'Monthly Data'!F110/'Monthly Data'!G110/'Monthly Data'!BT110</f>
        <v>24.577272145551703</v>
      </c>
      <c r="T302" s="30">
        <f>'Monthly Data'!J110/'Monthly Data'!K110/'Monthly Data'!BT110</f>
        <v>90.574821156546008</v>
      </c>
      <c r="U302" s="31">
        <f>'Monthly Data'!N110/'Monthly Data'!P110/'Monthly Data'!BT110</f>
        <v>2450.5609466762339</v>
      </c>
      <c r="W302" s="14">
        <f t="shared" si="146"/>
        <v>-0.91612903225806464</v>
      </c>
      <c r="X302" s="31">
        <f t="shared" si="147"/>
        <v>90.574821156546008</v>
      </c>
      <c r="DP302" s="18">
        <f>'Monthly Data'!F110</f>
        <v>47520942.166132875</v>
      </c>
      <c r="DQ302" s="18">
        <f>'Monthly Data'!J110</f>
        <v>15984916.162170708</v>
      </c>
      <c r="DR302" s="18">
        <f>'Monthly Data'!N110</f>
        <v>73612400.277207389</v>
      </c>
      <c r="DS302" s="18">
        <f t="shared" si="139"/>
        <v>44587326.154514715</v>
      </c>
      <c r="DT302" s="18">
        <f t="shared" si="140"/>
        <v>15198152.185024668</v>
      </c>
      <c r="DU302" s="18">
        <f t="shared" si="141"/>
        <v>72819375.635298356</v>
      </c>
    </row>
    <row r="303" spans="1:125" x14ac:dyDescent="0.2">
      <c r="A303" s="9">
        <v>45323</v>
      </c>
      <c r="B303">
        <f t="shared" si="142"/>
        <v>2024</v>
      </c>
      <c r="C303">
        <f t="shared" si="143"/>
        <v>2</v>
      </c>
      <c r="D303" s="14">
        <v>1.1344827586206896</v>
      </c>
      <c r="E303">
        <v>547.1</v>
      </c>
      <c r="F303">
        <v>0</v>
      </c>
      <c r="G303">
        <v>489.09999999999997</v>
      </c>
      <c r="H303">
        <v>0</v>
      </c>
      <c r="I303">
        <v>431.09999999999997</v>
      </c>
      <c r="J303">
        <v>0</v>
      </c>
      <c r="K303">
        <v>373.09999999999997</v>
      </c>
      <c r="L303">
        <v>0</v>
      </c>
      <c r="M303">
        <v>315.10000000000008</v>
      </c>
      <c r="N303">
        <v>0</v>
      </c>
      <c r="O303">
        <v>257.10000000000008</v>
      </c>
      <c r="P303">
        <v>0</v>
      </c>
      <c r="Q303">
        <v>199.4</v>
      </c>
      <c r="R303">
        <v>0.30000000000000071</v>
      </c>
      <c r="S303" s="30">
        <f>'Monthly Data'!F111/'Monthly Data'!G111/'Monthly Data'!BT111</f>
        <v>23.22060515894087</v>
      </c>
      <c r="T303" s="30">
        <f>'Monthly Data'!J111/'Monthly Data'!K111/'Monthly Data'!BT111</f>
        <v>89.495470894289198</v>
      </c>
      <c r="U303" s="31">
        <f>'Monthly Data'!N111/'Monthly Data'!P111/'Monthly Data'!BT111</f>
        <v>2399.4309712461936</v>
      </c>
      <c r="W303" s="14">
        <f t="shared" si="146"/>
        <v>1.1344827586206896</v>
      </c>
      <c r="X303" s="31">
        <f t="shared" si="147"/>
        <v>89.495470894289198</v>
      </c>
      <c r="DP303" s="18">
        <f>'Monthly Data'!F111</f>
        <v>42009232.734825648</v>
      </c>
      <c r="DQ303" s="18">
        <f>'Monthly Data'!J111</f>
        <v>14775433.758234465</v>
      </c>
      <c r="DR303" s="18">
        <f>'Monthly Data'!N111</f>
        <v>67426409.722989291</v>
      </c>
      <c r="DS303" s="18">
        <f t="shared" si="139"/>
        <v>42793531.273705699</v>
      </c>
      <c r="DT303" s="18">
        <f t="shared" si="140"/>
        <v>14712328.525702741</v>
      </c>
      <c r="DU303" s="18">
        <f t="shared" si="141"/>
        <v>71336429.499739081</v>
      </c>
    </row>
    <row r="304" spans="1:125" x14ac:dyDescent="0.2">
      <c r="A304" s="9">
        <v>45352</v>
      </c>
      <c r="B304">
        <f t="shared" si="142"/>
        <v>2024</v>
      </c>
      <c r="C304">
        <f t="shared" si="143"/>
        <v>3</v>
      </c>
      <c r="D304" s="14">
        <v>4.1451612903225818</v>
      </c>
      <c r="E304">
        <v>491.50000000000011</v>
      </c>
      <c r="F304">
        <v>0</v>
      </c>
      <c r="G304">
        <v>429.50000000000011</v>
      </c>
      <c r="H304">
        <v>0</v>
      </c>
      <c r="I304">
        <v>367.50000000000006</v>
      </c>
      <c r="J304">
        <v>0</v>
      </c>
      <c r="K304">
        <v>305.50000000000006</v>
      </c>
      <c r="L304">
        <v>0</v>
      </c>
      <c r="M304">
        <v>244.9</v>
      </c>
      <c r="N304">
        <v>1.4000000000000004</v>
      </c>
      <c r="O304">
        <v>184.99999999999997</v>
      </c>
      <c r="P304">
        <v>3.5</v>
      </c>
      <c r="Q304">
        <v>126.99999999999997</v>
      </c>
      <c r="R304">
        <v>7.5</v>
      </c>
      <c r="S304" s="30">
        <f>'Monthly Data'!F112/'Monthly Data'!G112/'Monthly Data'!BT112</f>
        <v>21.764237178062928</v>
      </c>
      <c r="T304" s="30">
        <f>'Monthly Data'!J112/'Monthly Data'!K112/'Monthly Data'!BT112</f>
        <v>85.470542129588111</v>
      </c>
      <c r="U304" s="31">
        <f>'Monthly Data'!N112/'Monthly Data'!P112/'Monthly Data'!BT112</f>
        <v>2312.1512277609318</v>
      </c>
      <c r="W304" s="14">
        <f t="shared" si="146"/>
        <v>4.1451612903225818</v>
      </c>
      <c r="X304" s="31">
        <f t="shared" si="147"/>
        <v>85.470542129588111</v>
      </c>
      <c r="DP304" s="18">
        <f>'Monthly Data'!F112</f>
        <v>42133800.273518406</v>
      </c>
      <c r="DQ304" s="18">
        <f>'Monthly Data'!J112</f>
        <v>15102644.794298219</v>
      </c>
      <c r="DR304" s="18">
        <f>'Monthly Data'!N112</f>
        <v>69526387.418771222</v>
      </c>
      <c r="DS304" s="18">
        <f t="shared" si="139"/>
        <v>41435630.557662144</v>
      </c>
      <c r="DT304" s="18">
        <f t="shared" si="140"/>
        <v>14344560.559631495</v>
      </c>
      <c r="DU304" s="18">
        <f t="shared" si="141"/>
        <v>70021295.226998314</v>
      </c>
    </row>
    <row r="305" spans="1:125" x14ac:dyDescent="0.2">
      <c r="A305" s="9">
        <v>45383</v>
      </c>
      <c r="B305">
        <f t="shared" si="142"/>
        <v>2024</v>
      </c>
      <c r="C305">
        <f t="shared" si="143"/>
        <v>4</v>
      </c>
      <c r="D305" s="14">
        <v>8.1766666666666676</v>
      </c>
      <c r="E305">
        <v>354.7</v>
      </c>
      <c r="F305">
        <v>0</v>
      </c>
      <c r="G305">
        <v>294.70000000000005</v>
      </c>
      <c r="H305">
        <v>0</v>
      </c>
      <c r="I305">
        <v>234.70000000000002</v>
      </c>
      <c r="J305">
        <v>0</v>
      </c>
      <c r="K305">
        <v>175.79999999999998</v>
      </c>
      <c r="L305">
        <v>1.0999999999999996</v>
      </c>
      <c r="M305">
        <v>120.40000000000002</v>
      </c>
      <c r="N305">
        <v>5.7000000000000011</v>
      </c>
      <c r="O305">
        <v>70.7</v>
      </c>
      <c r="P305">
        <v>16</v>
      </c>
      <c r="Q305">
        <v>32.699999999999996</v>
      </c>
      <c r="R305">
        <v>38</v>
      </c>
      <c r="S305" s="30">
        <f>'Monthly Data'!F113/'Monthly Data'!G113/'Monthly Data'!BT113</f>
        <v>20.691865534054294</v>
      </c>
      <c r="T305" s="30">
        <f>'Monthly Data'!J113/'Monthly Data'!K113/'Monthly Data'!BT113</f>
        <v>82.462720781338305</v>
      </c>
      <c r="U305" s="31">
        <f>'Monthly Data'!N113/'Monthly Data'!P113/'Monthly Data'!BT113</f>
        <v>2287.6472828702858</v>
      </c>
      <c r="W305" s="14">
        <f t="shared" si="146"/>
        <v>8.1766666666666676</v>
      </c>
      <c r="X305" s="31">
        <f t="shared" si="147"/>
        <v>82.462720781338305</v>
      </c>
      <c r="DP305" s="18">
        <f>'Monthly Data'!F113</f>
        <v>38836355.502211168</v>
      </c>
      <c r="DQ305" s="18">
        <f>'Monthly Data'!J113</f>
        <v>14096177.490361972</v>
      </c>
      <c r="DR305" s="18">
        <f>'Monthly Data'!N113</f>
        <v>66433277.094553113</v>
      </c>
      <c r="DS305" s="18">
        <f t="shared" si="139"/>
        <v>38937532.582510799</v>
      </c>
      <c r="DT305" s="18">
        <f t="shared" si="140"/>
        <v>13653817.890004199</v>
      </c>
      <c r="DU305" s="18">
        <f t="shared" si="141"/>
        <v>67991538.959470153</v>
      </c>
    </row>
    <row r="306" spans="1:125" x14ac:dyDescent="0.2">
      <c r="A306" s="9">
        <v>45413</v>
      </c>
      <c r="B306">
        <f t="shared" si="142"/>
        <v>2024</v>
      </c>
      <c r="C306">
        <f t="shared" si="143"/>
        <v>5</v>
      </c>
      <c r="D306" s="14">
        <v>14.935483870967746</v>
      </c>
      <c r="E306">
        <v>164.3</v>
      </c>
      <c r="F306">
        <v>7.3000000000000043</v>
      </c>
      <c r="G306">
        <v>114.6</v>
      </c>
      <c r="H306">
        <v>19.600000000000005</v>
      </c>
      <c r="I306">
        <v>68</v>
      </c>
      <c r="J306">
        <v>35.000000000000014</v>
      </c>
      <c r="K306">
        <v>30</v>
      </c>
      <c r="L306">
        <v>59</v>
      </c>
      <c r="M306">
        <v>8.1000000000000014</v>
      </c>
      <c r="N306">
        <v>99.1</v>
      </c>
      <c r="O306">
        <v>1.8000000000000007</v>
      </c>
      <c r="P306">
        <v>154.80000000000001</v>
      </c>
      <c r="Q306">
        <v>0</v>
      </c>
      <c r="R306">
        <v>215</v>
      </c>
      <c r="S306" s="30">
        <f>'Monthly Data'!F114/'Monthly Data'!G114/'Monthly Data'!BT114</f>
        <v>22.528606695263527</v>
      </c>
      <c r="T306" s="30">
        <f>'Monthly Data'!J114/'Monthly Data'!K114/'Monthly Data'!BT114</f>
        <v>82.264992579095676</v>
      </c>
      <c r="U306" s="31">
        <f>'Monthly Data'!N114/'Monthly Data'!P114/'Monthly Data'!BT114</f>
        <v>2317.2524183683081</v>
      </c>
      <c r="W306" s="14">
        <f t="shared" si="146"/>
        <v>14.935483870967746</v>
      </c>
      <c r="X306" s="31">
        <f t="shared" si="147"/>
        <v>82.264992579095676</v>
      </c>
      <c r="DP306" s="18">
        <f>'Monthly Data'!F114</f>
        <v>43725998.02090393</v>
      </c>
      <c r="DQ306" s="18">
        <f>'Monthly Data'!J114</f>
        <v>14561726.336425725</v>
      </c>
      <c r="DR306" s="18">
        <f>'Monthly Data'!N114</f>
        <v>69679780.220335022</v>
      </c>
      <c r="DS306" s="18">
        <f t="shared" si="139"/>
        <v>41652654.136057884</v>
      </c>
      <c r="DT306" s="18">
        <f t="shared" si="140"/>
        <v>13643386.018313659</v>
      </c>
      <c r="DU306" s="18">
        <f t="shared" si="141"/>
        <v>69636286.400887802</v>
      </c>
    </row>
    <row r="307" spans="1:125" x14ac:dyDescent="0.2">
      <c r="A307" s="9">
        <v>45444</v>
      </c>
      <c r="B307">
        <f t="shared" si="142"/>
        <v>2024</v>
      </c>
      <c r="C307">
        <f t="shared" si="143"/>
        <v>6</v>
      </c>
      <c r="D307" s="14">
        <v>19.479999999999997</v>
      </c>
      <c r="E307">
        <v>53.400000000000006</v>
      </c>
      <c r="F307">
        <v>37.799999999999997</v>
      </c>
      <c r="G307">
        <v>23.4</v>
      </c>
      <c r="H307">
        <v>67.8</v>
      </c>
      <c r="I307">
        <v>4.1000000000000014</v>
      </c>
      <c r="J307">
        <v>108.49999999999999</v>
      </c>
      <c r="K307">
        <v>0</v>
      </c>
      <c r="L307">
        <v>164.40000000000006</v>
      </c>
      <c r="M307">
        <v>0</v>
      </c>
      <c r="N307">
        <v>224.40000000000006</v>
      </c>
      <c r="O307">
        <v>0</v>
      </c>
      <c r="P307">
        <v>284.40000000000003</v>
      </c>
      <c r="Q307">
        <v>0</v>
      </c>
      <c r="R307">
        <v>344.40000000000003</v>
      </c>
      <c r="S307" s="30">
        <f>'Monthly Data'!F115/'Monthly Data'!G115/'Monthly Data'!BT115</f>
        <v>28.966085580902476</v>
      </c>
      <c r="T307" s="30">
        <f>'Monthly Data'!J115/'Monthly Data'!K115/'Monthly Data'!BT115</f>
        <v>90.827968894082318</v>
      </c>
      <c r="U307" s="31">
        <f>'Monthly Data'!N115/'Monthly Data'!P115/'Monthly Data'!BT115</f>
        <v>2497.4267942877732</v>
      </c>
      <c r="W307" s="14">
        <f t="shared" si="146"/>
        <v>19.479999999999997</v>
      </c>
      <c r="X307" s="31">
        <f t="shared" si="147"/>
        <v>90.827968894082318</v>
      </c>
      <c r="DP307" s="18">
        <f>'Monthly Data'!F115</f>
        <v>54316624.359596707</v>
      </c>
      <c r="DQ307" s="18">
        <f>'Monthly Data'!J115</f>
        <v>15556106.23248948</v>
      </c>
      <c r="DR307" s="18">
        <f>'Monthly Data'!N115</f>
        <v>72525274.106116936</v>
      </c>
      <c r="DS307" s="18">
        <f t="shared" si="139"/>
        <v>51323983.74990648</v>
      </c>
      <c r="DT307" s="18">
        <f t="shared" si="140"/>
        <v>14905117.518306067</v>
      </c>
      <c r="DU307" s="18">
        <f t="shared" si="141"/>
        <v>74885308.634031057</v>
      </c>
    </row>
    <row r="308" spans="1:125" x14ac:dyDescent="0.2">
      <c r="A308" s="9">
        <v>45474</v>
      </c>
      <c r="B308">
        <f t="shared" si="142"/>
        <v>2024</v>
      </c>
      <c r="C308">
        <f t="shared" si="143"/>
        <v>7</v>
      </c>
      <c r="D308" s="14">
        <v>22.445161290322577</v>
      </c>
      <c r="E308">
        <v>5.2000000000000028</v>
      </c>
      <c r="F308">
        <v>81</v>
      </c>
      <c r="G308">
        <v>0.90000000000000213</v>
      </c>
      <c r="H308">
        <v>138.70000000000002</v>
      </c>
      <c r="I308">
        <v>0</v>
      </c>
      <c r="J308">
        <v>199.79999999999998</v>
      </c>
      <c r="K308">
        <v>0</v>
      </c>
      <c r="L308">
        <v>261.8</v>
      </c>
      <c r="M308">
        <v>0</v>
      </c>
      <c r="N308">
        <v>323.8</v>
      </c>
      <c r="O308">
        <v>0</v>
      </c>
      <c r="P308">
        <v>385.8</v>
      </c>
      <c r="Q308">
        <v>0</v>
      </c>
      <c r="R308">
        <v>447.8</v>
      </c>
      <c r="S308" s="30">
        <f>'Monthly Data'!F116/'Monthly Data'!G116/'Monthly Data'!BT116</f>
        <v>33.258191626954392</v>
      </c>
      <c r="T308" s="30">
        <f>'Monthly Data'!J116/'Monthly Data'!K116/'Monthly Data'!BT116</f>
        <v>98.203220548941587</v>
      </c>
      <c r="U308" s="31">
        <f>'Monthly Data'!N116/'Monthly Data'!P116/'Monthly Data'!BT116</f>
        <v>2669.1682917915555</v>
      </c>
      <c r="W308" s="14">
        <f t="shared" si="146"/>
        <v>22.445161290322577</v>
      </c>
      <c r="X308" s="31">
        <f t="shared" si="147"/>
        <v>98.203220548941587</v>
      </c>
      <c r="DP308" s="18">
        <f>'Monthly Data'!F116</f>
        <v>64592396.868289471</v>
      </c>
      <c r="DQ308" s="18">
        <f>'Monthly Data'!J116</f>
        <v>17398173.568553235</v>
      </c>
      <c r="DR308" s="18">
        <f>'Monthly Data'!N116</f>
        <v>79765425.231898844</v>
      </c>
      <c r="DS308" s="18">
        <f t="shared" ref="DS308:DS313" si="148">$EF$17+K308*$EF$18+L308*$EF$19</f>
        <v>60818125.704052091</v>
      </c>
      <c r="DT308" s="18">
        <f t="shared" ref="DT308:DT313" si="149">$EF$37+K308*$EF$38+L308*$EF$39</f>
        <v>16221904.65330744</v>
      </c>
      <c r="DU308" s="18">
        <f t="shared" ref="DU308:DU313" si="150">$EF$60+O308*$EF$61+L308*$EF$62</f>
        <v>79766263.81353806</v>
      </c>
    </row>
    <row r="309" spans="1:125" x14ac:dyDescent="0.2">
      <c r="A309" s="9">
        <v>45505</v>
      </c>
      <c r="B309">
        <f t="shared" si="142"/>
        <v>2024</v>
      </c>
      <c r="C309">
        <f t="shared" si="143"/>
        <v>8</v>
      </c>
      <c r="D309" s="14">
        <v>21.751612903225805</v>
      </c>
      <c r="E309">
        <v>11.999999999999996</v>
      </c>
      <c r="F309">
        <v>66.3</v>
      </c>
      <c r="G309">
        <v>4.1999999999999993</v>
      </c>
      <c r="H309">
        <v>120.49999999999997</v>
      </c>
      <c r="I309">
        <v>0.19999999999999929</v>
      </c>
      <c r="J309">
        <v>178.5</v>
      </c>
      <c r="K309">
        <v>0</v>
      </c>
      <c r="L309">
        <v>240.3</v>
      </c>
      <c r="M309">
        <v>0</v>
      </c>
      <c r="N309">
        <v>302.30000000000007</v>
      </c>
      <c r="O309">
        <v>0</v>
      </c>
      <c r="P309">
        <v>364.30000000000007</v>
      </c>
      <c r="Q309">
        <v>0</v>
      </c>
      <c r="R309">
        <v>426.30000000000007</v>
      </c>
      <c r="S309" s="30">
        <f>'Monthly Data'!F117/'Monthly Data'!G117/'Monthly Data'!BT117</f>
        <v>31.149275263621654</v>
      </c>
      <c r="T309" s="30">
        <f>'Monthly Data'!J117/'Monthly Data'!K117/'Monthly Data'!BT117</f>
        <v>94.604394848519206</v>
      </c>
      <c r="U309" s="31">
        <f>'Monthly Data'!N117/'Monthly Data'!P117/'Monthly Data'!BT117</f>
        <v>2602.1212694980845</v>
      </c>
      <c r="W309" s="14">
        <f t="shared" si="146"/>
        <v>21.751612903225805</v>
      </c>
      <c r="X309" s="31">
        <f t="shared" si="147"/>
        <v>94.604394848519206</v>
      </c>
      <c r="DP309" s="18">
        <f>'Monthly Data'!F117</f>
        <v>60459871.106982246</v>
      </c>
      <c r="DQ309" s="18">
        <f>'Monthly Data'!J117</f>
        <v>16751789.404616991</v>
      </c>
      <c r="DR309" s="18">
        <f>'Monthly Data'!N117</f>
        <v>77761792.017680764</v>
      </c>
      <c r="DS309" s="18">
        <f t="shared" si="148"/>
        <v>58722396.217254043</v>
      </c>
      <c r="DT309" s="18">
        <f t="shared" si="149"/>
        <v>15931238.088599745</v>
      </c>
      <c r="DU309" s="18">
        <f t="shared" si="150"/>
        <v>78688845.575761884</v>
      </c>
    </row>
    <row r="310" spans="1:125" x14ac:dyDescent="0.2">
      <c r="A310" s="9">
        <v>45536</v>
      </c>
      <c r="B310">
        <f t="shared" si="142"/>
        <v>2024</v>
      </c>
      <c r="C310">
        <f t="shared" si="143"/>
        <v>9</v>
      </c>
      <c r="D310" s="14">
        <v>18.926666666666669</v>
      </c>
      <c r="E310">
        <v>37.4</v>
      </c>
      <c r="F310">
        <v>5.2000000000000028</v>
      </c>
      <c r="G310">
        <v>10.800000000000002</v>
      </c>
      <c r="H310">
        <v>38.6</v>
      </c>
      <c r="I310">
        <v>3.9000000000000004</v>
      </c>
      <c r="J310">
        <v>91.699999999999989</v>
      </c>
      <c r="K310">
        <v>0.40000000000000036</v>
      </c>
      <c r="L310">
        <v>148.19999999999999</v>
      </c>
      <c r="M310">
        <v>0</v>
      </c>
      <c r="N310">
        <v>207.79999999999995</v>
      </c>
      <c r="O310">
        <v>0</v>
      </c>
      <c r="P310">
        <v>267.79999999999995</v>
      </c>
      <c r="Q310">
        <v>0</v>
      </c>
      <c r="R310">
        <v>327.8</v>
      </c>
      <c r="S310" s="30">
        <f>'Monthly Data'!F118/'Monthly Data'!G118/'Monthly Data'!BT118</f>
        <v>25.789546843525418</v>
      </c>
      <c r="T310" s="30">
        <f>'Monthly Data'!J118/'Monthly Data'!K118/'Monthly Data'!BT118</f>
        <v>87.871169227572906</v>
      </c>
      <c r="U310" s="31">
        <f>'Monthly Data'!N118/'Monthly Data'!P118/'Monthly Data'!BT118</f>
        <v>2474.7238095941448</v>
      </c>
      <c r="W310" s="14">
        <f t="shared" si="146"/>
        <v>18.926666666666669</v>
      </c>
      <c r="X310" s="31">
        <f t="shared" si="147"/>
        <v>87.871169227572906</v>
      </c>
      <c r="DP310" s="18">
        <f>'Monthly Data'!F118</f>
        <v>48481511.215674996</v>
      </c>
      <c r="DQ310" s="18">
        <f>'Monthly Data'!J118</f>
        <v>15120870.800680745</v>
      </c>
      <c r="DR310" s="18">
        <f>'Monthly Data'!N118</f>
        <v>71569012.573462665</v>
      </c>
      <c r="DS310" s="18">
        <f t="shared" si="148"/>
        <v>49752910.866031207</v>
      </c>
      <c r="DT310" s="18">
        <f t="shared" si="149"/>
        <v>14688279.783453666</v>
      </c>
      <c r="DU310" s="18">
        <f t="shared" si="150"/>
        <v>74073486.51998575</v>
      </c>
    </row>
    <row r="311" spans="1:125" x14ac:dyDescent="0.2">
      <c r="A311" s="9">
        <v>45566</v>
      </c>
      <c r="B311">
        <f t="shared" si="142"/>
        <v>2024</v>
      </c>
      <c r="C311">
        <f t="shared" si="143"/>
        <v>10</v>
      </c>
      <c r="D311" s="14">
        <v>13.748387096774191</v>
      </c>
      <c r="E311">
        <v>194.8</v>
      </c>
      <c r="F311">
        <v>1</v>
      </c>
      <c r="G311">
        <v>141.79999999999998</v>
      </c>
      <c r="H311">
        <v>10</v>
      </c>
      <c r="I311">
        <v>94</v>
      </c>
      <c r="J311">
        <v>24.2</v>
      </c>
      <c r="K311">
        <v>55.2</v>
      </c>
      <c r="L311">
        <v>47.400000000000006</v>
      </c>
      <c r="M311">
        <v>27.900000000000002</v>
      </c>
      <c r="N311">
        <v>82.100000000000009</v>
      </c>
      <c r="O311">
        <v>8.6000000000000014</v>
      </c>
      <c r="P311">
        <v>124.80000000000001</v>
      </c>
      <c r="Q311">
        <v>0.29999999999999982</v>
      </c>
      <c r="R311">
        <v>178.5</v>
      </c>
      <c r="S311" s="30">
        <f>'Monthly Data'!F119/'Monthly Data'!G119/'Monthly Data'!BT119</f>
        <v>21.283805294765319</v>
      </c>
      <c r="T311" s="30">
        <f>'Monthly Data'!J119/'Monthly Data'!K119/'Monthly Data'!BT119</f>
        <v>81.190970987123208</v>
      </c>
      <c r="U311" s="31">
        <f>'Monthly Data'!N119/'Monthly Data'!P119/'Monthly Data'!BT119</f>
        <v>2307.2771334515655</v>
      </c>
      <c r="W311" s="14">
        <f t="shared" si="146"/>
        <v>13.748387096774191</v>
      </c>
      <c r="X311" s="31">
        <f t="shared" si="147"/>
        <v>81.190970987123208</v>
      </c>
      <c r="DP311" s="18">
        <f>'Monthly Data'!F119</f>
        <v>41352177.60436777</v>
      </c>
      <c r="DQ311" s="18">
        <f>'Monthly Data'!J119</f>
        <v>14429502.936744498</v>
      </c>
      <c r="DR311" s="18">
        <f>'Monthly Data'!N119</f>
        <v>68521516.309244588</v>
      </c>
      <c r="DS311" s="18">
        <f t="shared" si="148"/>
        <v>41028134.646299273</v>
      </c>
      <c r="DT311" s="18">
        <f t="shared" si="149"/>
        <v>13623658.201220097</v>
      </c>
      <c r="DU311" s="18">
        <f t="shared" si="150"/>
        <v>69179016.532377139</v>
      </c>
    </row>
    <row r="312" spans="1:125" x14ac:dyDescent="0.2">
      <c r="A312" s="9">
        <v>45597</v>
      </c>
      <c r="B312">
        <f t="shared" si="142"/>
        <v>2024</v>
      </c>
      <c r="C312">
        <f t="shared" si="143"/>
        <v>11</v>
      </c>
      <c r="D312" s="14">
        <v>7.8566666666666674</v>
      </c>
      <c r="E312">
        <v>364.90000000000003</v>
      </c>
      <c r="F312">
        <v>0.60000000000000142</v>
      </c>
      <c r="G312">
        <v>306.89999999999998</v>
      </c>
      <c r="H312">
        <v>2.6000000000000014</v>
      </c>
      <c r="I312">
        <v>250.19999999999996</v>
      </c>
      <c r="J312">
        <v>5.9000000000000021</v>
      </c>
      <c r="K312">
        <v>194.20000000000002</v>
      </c>
      <c r="L312">
        <v>9.9000000000000021</v>
      </c>
      <c r="M312">
        <v>140.29999999999998</v>
      </c>
      <c r="N312">
        <v>16</v>
      </c>
      <c r="O312">
        <v>90.7</v>
      </c>
      <c r="P312">
        <v>26.4</v>
      </c>
      <c r="Q312">
        <v>50.1</v>
      </c>
      <c r="R312">
        <v>45.800000000000011</v>
      </c>
      <c r="S312" s="30">
        <f>'Monthly Data'!F120/'Monthly Data'!G120/'Monthly Data'!BT120</f>
        <v>21.706158764482623</v>
      </c>
      <c r="T312" s="30">
        <f>'Monthly Data'!J120/'Monthly Data'!K120/'Monthly Data'!BT120</f>
        <v>83.676954712892865</v>
      </c>
      <c r="U312" s="31">
        <f>'Monthly Data'!N120/'Monthly Data'!P120/'Monthly Data'!BT120</f>
        <v>2318.9506172399069</v>
      </c>
      <c r="W312" s="14">
        <f t="shared" si="146"/>
        <v>7.8566666666666674</v>
      </c>
      <c r="X312" s="31">
        <f t="shared" si="147"/>
        <v>83.676954712892865</v>
      </c>
      <c r="DP312" s="18">
        <f>'Monthly Data'!F120</f>
        <v>40782399.333060533</v>
      </c>
      <c r="DQ312" s="18">
        <f>'Monthly Data'!J120</f>
        <v>14351434.502808254</v>
      </c>
      <c r="DR312" s="18">
        <f>'Monthly Data'!N120</f>
        <v>66855346.295026518</v>
      </c>
      <c r="DS312" s="18">
        <f t="shared" si="148"/>
        <v>40164925.647305943</v>
      </c>
      <c r="DT312" s="18">
        <f t="shared" si="149"/>
        <v>13872890.914217148</v>
      </c>
      <c r="DU312" s="18">
        <f t="shared" si="150"/>
        <v>68797337.147247314</v>
      </c>
    </row>
    <row r="313" spans="1:125" x14ac:dyDescent="0.2">
      <c r="A313" s="9">
        <v>45627</v>
      </c>
      <c r="B313">
        <f t="shared" si="142"/>
        <v>2024</v>
      </c>
      <c r="C313">
        <f t="shared" si="143"/>
        <v>12</v>
      </c>
      <c r="D313" s="14">
        <v>1.0709677419354837</v>
      </c>
      <c r="E313">
        <v>586.79999999999995</v>
      </c>
      <c r="F313">
        <v>0</v>
      </c>
      <c r="G313">
        <v>524.79999999999995</v>
      </c>
      <c r="H313">
        <v>0</v>
      </c>
      <c r="I313">
        <v>462.79999999999995</v>
      </c>
      <c r="J313">
        <v>0</v>
      </c>
      <c r="K313">
        <v>400.7999999999999</v>
      </c>
      <c r="L313">
        <v>0</v>
      </c>
      <c r="M313">
        <v>338.7999999999999</v>
      </c>
      <c r="N313">
        <v>0</v>
      </c>
      <c r="O313">
        <v>276.80000000000007</v>
      </c>
      <c r="P313">
        <v>0</v>
      </c>
      <c r="Q313">
        <v>215.20000000000005</v>
      </c>
      <c r="R313">
        <v>0.40000000000000036</v>
      </c>
      <c r="S313" s="30">
        <f>'Monthly Data'!F121/'Monthly Data'!G121/'Monthly Data'!BT121</f>
        <v>25.054737278221388</v>
      </c>
      <c r="T313" s="30">
        <f>'Monthly Data'!J121/'Monthly Data'!K121/'Monthly Data'!BT121</f>
        <v>90.099073608210588</v>
      </c>
      <c r="U313" s="31">
        <f>'Monthly Data'!N121/'Monthly Data'!P121/'Monthly Data'!BT121</f>
        <v>2334.0439577788825</v>
      </c>
      <c r="W313" s="14">
        <f t="shared" si="146"/>
        <v>1.0709677419354837</v>
      </c>
      <c r="X313" s="31">
        <f t="shared" si="147"/>
        <v>90.099073608210588</v>
      </c>
      <c r="DP313" s="18">
        <f>'Monthly Data'!F121</f>
        <v>48660834.701753296</v>
      </c>
      <c r="DQ313" s="18">
        <f>'Monthly Data'!J121</f>
        <v>16012677.658872008</v>
      </c>
      <c r="DR313" s="18">
        <f>'Monthly Data'!N121</f>
        <v>69388792.820808396</v>
      </c>
      <c r="DS313" s="18">
        <f t="shared" si="148"/>
        <v>43349949.170664378</v>
      </c>
      <c r="DT313" s="18">
        <f t="shared" si="149"/>
        <v>14863026.346119508</v>
      </c>
      <c r="DU313" s="18">
        <f t="shared" si="150"/>
        <v>71695765.771209165</v>
      </c>
    </row>
    <row r="314" spans="1:125" x14ac:dyDescent="0.2">
      <c r="A314" s="9"/>
    </row>
    <row r="315" spans="1:125" x14ac:dyDescent="0.2">
      <c r="A315" s="9"/>
    </row>
    <row r="316" spans="1:125" x14ac:dyDescent="0.2">
      <c r="A316" s="9"/>
    </row>
    <row r="317" spans="1:125" x14ac:dyDescent="0.2">
      <c r="A317" s="9"/>
    </row>
    <row r="318" spans="1:125" x14ac:dyDescent="0.2">
      <c r="A318" s="9"/>
    </row>
    <row r="319" spans="1:125" x14ac:dyDescent="0.2">
      <c r="A319" s="9"/>
    </row>
    <row r="320" spans="1:125" x14ac:dyDescent="0.2">
      <c r="A320" s="9"/>
    </row>
    <row r="321" spans="1:1" x14ac:dyDescent="0.2">
      <c r="A321" s="9"/>
    </row>
    <row r="322" spans="1:1" x14ac:dyDescent="0.2">
      <c r="A322" s="9"/>
    </row>
    <row r="323" spans="1:1" x14ac:dyDescent="0.2">
      <c r="A323" s="9"/>
    </row>
    <row r="324" spans="1:1" x14ac:dyDescent="0.2">
      <c r="A324" s="9"/>
    </row>
    <row r="325" spans="1:1" x14ac:dyDescent="0.2">
      <c r="A325" s="9"/>
    </row>
    <row r="326" spans="1:1" x14ac:dyDescent="0.2">
      <c r="A326" s="9"/>
    </row>
    <row r="327" spans="1:1" x14ac:dyDescent="0.2">
      <c r="A327" s="9"/>
    </row>
    <row r="328" spans="1:1" x14ac:dyDescent="0.2">
      <c r="A328" s="9"/>
    </row>
    <row r="329" spans="1:1" x14ac:dyDescent="0.2">
      <c r="A329" s="9"/>
    </row>
    <row r="330" spans="1:1" x14ac:dyDescent="0.2">
      <c r="A330" s="9"/>
    </row>
    <row r="331" spans="1:1" x14ac:dyDescent="0.2">
      <c r="A331" s="9"/>
    </row>
    <row r="332" spans="1:1" x14ac:dyDescent="0.2">
      <c r="A332" s="9"/>
    </row>
    <row r="333" spans="1:1" x14ac:dyDescent="0.2">
      <c r="A333" s="9"/>
    </row>
    <row r="334" spans="1:1" x14ac:dyDescent="0.2">
      <c r="A334" s="9"/>
    </row>
    <row r="335" spans="1:1" x14ac:dyDescent="0.2">
      <c r="A335" s="9"/>
    </row>
    <row r="336" spans="1:1" x14ac:dyDescent="0.2">
      <c r="A336" s="9"/>
    </row>
    <row r="337" spans="1:1" x14ac:dyDescent="0.2">
      <c r="A337" s="9"/>
    </row>
    <row r="338" spans="1:1" x14ac:dyDescent="0.2">
      <c r="A338" s="9"/>
    </row>
    <row r="339" spans="1:1" x14ac:dyDescent="0.2">
      <c r="A339" s="9"/>
    </row>
    <row r="340" spans="1:1" x14ac:dyDescent="0.2">
      <c r="A340" s="9"/>
    </row>
    <row r="341" spans="1:1" x14ac:dyDescent="0.2">
      <c r="A341" s="9"/>
    </row>
    <row r="342" spans="1:1" x14ac:dyDescent="0.2">
      <c r="A342" s="9"/>
    </row>
    <row r="343" spans="1:1" x14ac:dyDescent="0.2">
      <c r="A343" s="9"/>
    </row>
    <row r="344" spans="1:1" x14ac:dyDescent="0.2">
      <c r="A344" s="9"/>
    </row>
    <row r="345" spans="1:1" x14ac:dyDescent="0.2">
      <c r="A345" s="9"/>
    </row>
    <row r="346" spans="1:1" x14ac:dyDescent="0.2">
      <c r="A346" s="9"/>
    </row>
    <row r="347" spans="1:1" x14ac:dyDescent="0.2">
      <c r="A347" s="9"/>
    </row>
    <row r="348" spans="1:1" x14ac:dyDescent="0.2">
      <c r="A348" s="9"/>
    </row>
    <row r="349" spans="1:1" x14ac:dyDescent="0.2">
      <c r="A349" s="9"/>
    </row>
    <row r="350" spans="1:1" x14ac:dyDescent="0.2">
      <c r="A350" s="9"/>
    </row>
    <row r="351" spans="1:1" x14ac:dyDescent="0.2">
      <c r="A351" s="9"/>
    </row>
    <row r="352" spans="1:1" x14ac:dyDescent="0.2">
      <c r="A352" s="9"/>
    </row>
    <row r="353" spans="1:1" x14ac:dyDescent="0.2">
      <c r="A353" s="9"/>
    </row>
    <row r="354" spans="1:1" x14ac:dyDescent="0.2">
      <c r="A354" s="9"/>
    </row>
    <row r="355" spans="1:1" x14ac:dyDescent="0.2">
      <c r="A355" s="9"/>
    </row>
    <row r="356" spans="1:1" x14ac:dyDescent="0.2">
      <c r="A356" s="9"/>
    </row>
    <row r="357" spans="1:1" x14ac:dyDescent="0.2">
      <c r="A357" s="9"/>
    </row>
    <row r="358" spans="1:1" x14ac:dyDescent="0.2">
      <c r="A358" s="9"/>
    </row>
    <row r="359" spans="1:1" x14ac:dyDescent="0.2">
      <c r="A359" s="9"/>
    </row>
    <row r="360" spans="1:1" x14ac:dyDescent="0.2">
      <c r="A360" s="9"/>
    </row>
    <row r="361" spans="1:1" x14ac:dyDescent="0.2">
      <c r="A361" s="9"/>
    </row>
    <row r="362" spans="1:1" x14ac:dyDescent="0.2">
      <c r="A362" s="9"/>
    </row>
    <row r="363" spans="1:1" x14ac:dyDescent="0.2">
      <c r="A363" s="9"/>
    </row>
    <row r="364" spans="1:1" x14ac:dyDescent="0.2">
      <c r="A364" s="9"/>
    </row>
    <row r="365" spans="1:1" x14ac:dyDescent="0.2">
      <c r="A365" s="9"/>
    </row>
    <row r="366" spans="1:1" x14ac:dyDescent="0.2">
      <c r="A366" s="9"/>
    </row>
    <row r="367" spans="1:1" x14ac:dyDescent="0.2">
      <c r="A367" s="9"/>
    </row>
    <row r="368" spans="1:1" x14ac:dyDescent="0.2">
      <c r="A368" s="9"/>
    </row>
    <row r="369" spans="1:1" x14ac:dyDescent="0.2">
      <c r="A369" s="9"/>
    </row>
    <row r="370" spans="1:1" x14ac:dyDescent="0.2">
      <c r="A370" s="9"/>
    </row>
    <row r="371" spans="1:1" x14ac:dyDescent="0.2">
      <c r="A371" s="9"/>
    </row>
    <row r="372" spans="1:1" x14ac:dyDescent="0.2">
      <c r="A372" s="9"/>
    </row>
    <row r="373" spans="1:1" x14ac:dyDescent="0.2">
      <c r="A373" s="9"/>
    </row>
    <row r="374" spans="1:1" x14ac:dyDescent="0.2">
      <c r="A374" s="9"/>
    </row>
    <row r="375" spans="1:1" x14ac:dyDescent="0.2">
      <c r="A375" s="9"/>
    </row>
    <row r="376" spans="1:1" x14ac:dyDescent="0.2">
      <c r="A376" s="9"/>
    </row>
    <row r="377" spans="1:1" x14ac:dyDescent="0.2">
      <c r="A377" s="9"/>
    </row>
    <row r="378" spans="1:1" x14ac:dyDescent="0.2">
      <c r="A378" s="9"/>
    </row>
    <row r="379" spans="1:1" x14ac:dyDescent="0.2">
      <c r="A379" s="9"/>
    </row>
    <row r="380" spans="1:1" x14ac:dyDescent="0.2">
      <c r="A380" s="9"/>
    </row>
    <row r="381" spans="1:1" x14ac:dyDescent="0.2">
      <c r="A381" s="9"/>
    </row>
    <row r="382" spans="1:1" x14ac:dyDescent="0.2">
      <c r="A382" s="9"/>
    </row>
    <row r="383" spans="1:1" x14ac:dyDescent="0.2">
      <c r="A383" s="9"/>
    </row>
    <row r="384" spans="1:1" x14ac:dyDescent="0.2">
      <c r="A384" s="9"/>
    </row>
    <row r="385" spans="1:1" x14ac:dyDescent="0.2">
      <c r="A385" s="9"/>
    </row>
    <row r="386" spans="1:1" x14ac:dyDescent="0.2">
      <c r="A386" s="9"/>
    </row>
    <row r="387" spans="1:1" x14ac:dyDescent="0.2">
      <c r="A387" s="9"/>
    </row>
    <row r="388" spans="1:1" x14ac:dyDescent="0.2">
      <c r="A388" s="9"/>
    </row>
    <row r="389" spans="1:1" x14ac:dyDescent="0.2">
      <c r="A389" s="9"/>
    </row>
    <row r="390" spans="1:1" x14ac:dyDescent="0.2">
      <c r="A390" s="9"/>
    </row>
    <row r="391" spans="1:1" x14ac:dyDescent="0.2">
      <c r="A391" s="9"/>
    </row>
    <row r="392" spans="1:1" x14ac:dyDescent="0.2">
      <c r="A392" s="9"/>
    </row>
    <row r="393" spans="1:1" x14ac:dyDescent="0.2">
      <c r="A393" s="9"/>
    </row>
    <row r="394" spans="1:1" x14ac:dyDescent="0.2">
      <c r="A394" s="9"/>
    </row>
    <row r="395" spans="1:1" x14ac:dyDescent="0.2">
      <c r="A395" s="9"/>
    </row>
    <row r="396" spans="1:1" x14ac:dyDescent="0.2">
      <c r="A396" s="9"/>
    </row>
    <row r="397" spans="1:1" x14ac:dyDescent="0.2">
      <c r="A397" s="9"/>
    </row>
    <row r="398" spans="1:1" x14ac:dyDescent="0.2">
      <c r="A398" s="9"/>
    </row>
    <row r="399" spans="1:1" x14ac:dyDescent="0.2">
      <c r="A399" s="9"/>
    </row>
    <row r="400" spans="1:1" x14ac:dyDescent="0.2">
      <c r="A400" s="9"/>
    </row>
    <row r="401" spans="1:1" x14ac:dyDescent="0.2">
      <c r="A401" s="9"/>
    </row>
    <row r="402" spans="1:1" x14ac:dyDescent="0.2">
      <c r="A402" s="9"/>
    </row>
    <row r="403" spans="1:1" x14ac:dyDescent="0.2">
      <c r="A403" s="9"/>
    </row>
    <row r="404" spans="1:1" x14ac:dyDescent="0.2">
      <c r="A404" s="9"/>
    </row>
    <row r="405" spans="1:1" x14ac:dyDescent="0.2">
      <c r="A405" s="9"/>
    </row>
    <row r="406" spans="1:1" x14ac:dyDescent="0.2">
      <c r="A406" s="9"/>
    </row>
    <row r="407" spans="1:1" x14ac:dyDescent="0.2">
      <c r="A407" s="9"/>
    </row>
    <row r="408" spans="1:1" x14ac:dyDescent="0.2">
      <c r="A408" s="9"/>
    </row>
    <row r="409" spans="1:1" x14ac:dyDescent="0.2">
      <c r="A409" s="9"/>
    </row>
    <row r="410" spans="1:1" x14ac:dyDescent="0.2">
      <c r="A410" s="9"/>
    </row>
    <row r="411" spans="1:1" x14ac:dyDescent="0.2">
      <c r="A411" s="9"/>
    </row>
    <row r="412" spans="1:1" x14ac:dyDescent="0.2">
      <c r="A412" s="9"/>
    </row>
    <row r="413" spans="1:1" x14ac:dyDescent="0.2">
      <c r="A413" s="9"/>
    </row>
    <row r="414" spans="1:1" x14ac:dyDescent="0.2">
      <c r="A414" s="9"/>
    </row>
    <row r="415" spans="1:1" x14ac:dyDescent="0.2">
      <c r="A415" s="9"/>
    </row>
    <row r="416" spans="1:1" x14ac:dyDescent="0.2">
      <c r="A416" s="9"/>
    </row>
    <row r="417" spans="1:1" x14ac:dyDescent="0.2">
      <c r="A417" s="9"/>
    </row>
    <row r="418" spans="1:1" x14ac:dyDescent="0.2">
      <c r="A418" s="9"/>
    </row>
    <row r="419" spans="1:1" x14ac:dyDescent="0.2">
      <c r="A419" s="9"/>
    </row>
    <row r="420" spans="1:1" x14ac:dyDescent="0.2">
      <c r="A420" s="9"/>
    </row>
    <row r="421" spans="1:1" x14ac:dyDescent="0.2">
      <c r="A421" s="9"/>
    </row>
    <row r="422" spans="1:1" x14ac:dyDescent="0.2">
      <c r="A422" s="9"/>
    </row>
    <row r="423" spans="1:1" x14ac:dyDescent="0.2">
      <c r="A423" s="9"/>
    </row>
    <row r="424" spans="1:1" x14ac:dyDescent="0.2">
      <c r="A424" s="9"/>
    </row>
    <row r="425" spans="1:1" x14ac:dyDescent="0.2">
      <c r="A425" s="9"/>
    </row>
    <row r="426" spans="1:1" x14ac:dyDescent="0.2">
      <c r="A426" s="9"/>
    </row>
    <row r="427" spans="1:1" x14ac:dyDescent="0.2">
      <c r="A427" s="9"/>
    </row>
    <row r="428" spans="1:1" x14ac:dyDescent="0.2">
      <c r="A428" s="9"/>
    </row>
    <row r="429" spans="1:1" x14ac:dyDescent="0.2">
      <c r="A429" s="9"/>
    </row>
    <row r="430" spans="1:1" x14ac:dyDescent="0.2">
      <c r="A430" s="9"/>
    </row>
    <row r="431" spans="1:1" x14ac:dyDescent="0.2">
      <c r="A431" s="9"/>
    </row>
    <row r="432" spans="1:1" x14ac:dyDescent="0.2">
      <c r="A432" s="9"/>
    </row>
    <row r="433" spans="1:1" x14ac:dyDescent="0.2">
      <c r="A433" s="9"/>
    </row>
    <row r="434" spans="1:1" x14ac:dyDescent="0.2">
      <c r="A434" s="9"/>
    </row>
    <row r="435" spans="1:1" x14ac:dyDescent="0.2">
      <c r="A435" s="9"/>
    </row>
    <row r="436" spans="1:1" x14ac:dyDescent="0.2">
      <c r="A436" s="9"/>
    </row>
    <row r="437" spans="1:1" x14ac:dyDescent="0.2">
      <c r="A437" s="9"/>
    </row>
    <row r="438" spans="1:1" x14ac:dyDescent="0.2">
      <c r="A438" s="9"/>
    </row>
    <row r="439" spans="1:1" x14ac:dyDescent="0.2">
      <c r="A439" s="9"/>
    </row>
    <row r="440" spans="1:1" x14ac:dyDescent="0.2">
      <c r="A440" s="9"/>
    </row>
    <row r="441" spans="1:1" x14ac:dyDescent="0.2">
      <c r="A441" s="9"/>
    </row>
    <row r="442" spans="1:1" x14ac:dyDescent="0.2">
      <c r="A442" s="9"/>
    </row>
    <row r="443" spans="1:1" x14ac:dyDescent="0.2">
      <c r="A443" s="9"/>
    </row>
    <row r="444" spans="1:1" x14ac:dyDescent="0.2">
      <c r="A444" s="9"/>
    </row>
    <row r="445" spans="1:1" x14ac:dyDescent="0.2">
      <c r="A445" s="9"/>
    </row>
    <row r="446" spans="1:1" x14ac:dyDescent="0.2">
      <c r="A446" s="9"/>
    </row>
    <row r="447" spans="1:1" x14ac:dyDescent="0.2">
      <c r="A447" s="9"/>
    </row>
    <row r="448" spans="1:1" x14ac:dyDescent="0.2">
      <c r="A448" s="9"/>
    </row>
    <row r="449" spans="1:1" x14ac:dyDescent="0.2">
      <c r="A449" s="9"/>
    </row>
    <row r="450" spans="1:1" x14ac:dyDescent="0.2">
      <c r="A450" s="9"/>
    </row>
    <row r="451" spans="1:1" x14ac:dyDescent="0.2">
      <c r="A451" s="9"/>
    </row>
    <row r="452" spans="1:1" x14ac:dyDescent="0.2">
      <c r="A452" s="9"/>
    </row>
    <row r="453" spans="1:1" x14ac:dyDescent="0.2">
      <c r="A453" s="9"/>
    </row>
    <row r="454" spans="1:1" x14ac:dyDescent="0.2">
      <c r="A454" s="9"/>
    </row>
    <row r="455" spans="1:1" x14ac:dyDescent="0.2">
      <c r="A455" s="9"/>
    </row>
    <row r="456" spans="1:1" x14ac:dyDescent="0.2">
      <c r="A456" s="9"/>
    </row>
    <row r="457" spans="1:1" x14ac:dyDescent="0.2">
      <c r="A457" s="9"/>
    </row>
    <row r="458" spans="1:1" x14ac:dyDescent="0.2">
      <c r="A458" s="9"/>
    </row>
    <row r="459" spans="1:1" x14ac:dyDescent="0.2">
      <c r="A459" s="9"/>
    </row>
    <row r="460" spans="1:1" x14ac:dyDescent="0.2">
      <c r="A460" s="9"/>
    </row>
    <row r="461" spans="1:1" x14ac:dyDescent="0.2">
      <c r="A461" s="9"/>
    </row>
    <row r="462" spans="1:1" x14ac:dyDescent="0.2">
      <c r="A462" s="9"/>
    </row>
    <row r="463" spans="1:1" x14ac:dyDescent="0.2">
      <c r="A463" s="9"/>
    </row>
    <row r="464" spans="1:1" x14ac:dyDescent="0.2">
      <c r="A464" s="9"/>
    </row>
    <row r="465" spans="1:1" x14ac:dyDescent="0.2">
      <c r="A465" s="9"/>
    </row>
    <row r="466" spans="1:1" x14ac:dyDescent="0.2">
      <c r="A466" s="9"/>
    </row>
    <row r="467" spans="1:1" x14ac:dyDescent="0.2">
      <c r="A467" s="9"/>
    </row>
    <row r="468" spans="1:1" x14ac:dyDescent="0.2">
      <c r="A468" s="9"/>
    </row>
    <row r="469" spans="1:1" x14ac:dyDescent="0.2">
      <c r="A469" s="9"/>
    </row>
    <row r="470" spans="1:1" x14ac:dyDescent="0.2">
      <c r="A470" s="9"/>
    </row>
    <row r="471" spans="1:1" x14ac:dyDescent="0.2">
      <c r="A471" s="9"/>
    </row>
    <row r="472" spans="1:1" x14ac:dyDescent="0.2">
      <c r="A472" s="9"/>
    </row>
    <row r="473" spans="1:1" x14ac:dyDescent="0.2">
      <c r="A473" s="9"/>
    </row>
    <row r="474" spans="1:1" x14ac:dyDescent="0.2">
      <c r="A474" s="9"/>
    </row>
    <row r="475" spans="1:1" x14ac:dyDescent="0.2">
      <c r="A475" s="9"/>
    </row>
    <row r="476" spans="1:1" x14ac:dyDescent="0.2">
      <c r="A476" s="9"/>
    </row>
    <row r="477" spans="1:1" x14ac:dyDescent="0.2">
      <c r="A477" s="9"/>
    </row>
    <row r="478" spans="1:1" x14ac:dyDescent="0.2">
      <c r="A478" s="9"/>
    </row>
    <row r="479" spans="1:1" x14ac:dyDescent="0.2">
      <c r="A479" s="9"/>
    </row>
    <row r="480" spans="1:1" x14ac:dyDescent="0.2">
      <c r="A480" s="9"/>
    </row>
    <row r="481" spans="1:1" x14ac:dyDescent="0.2">
      <c r="A481" s="9"/>
    </row>
    <row r="482" spans="1:1" x14ac:dyDescent="0.2">
      <c r="A482" s="9"/>
    </row>
    <row r="483" spans="1:1" x14ac:dyDescent="0.2">
      <c r="A483" s="9"/>
    </row>
    <row r="484" spans="1:1" x14ac:dyDescent="0.2">
      <c r="A484" s="9"/>
    </row>
    <row r="485" spans="1:1" x14ac:dyDescent="0.2">
      <c r="A485" s="9"/>
    </row>
    <row r="486" spans="1:1" x14ac:dyDescent="0.2">
      <c r="A486" s="9"/>
    </row>
    <row r="487" spans="1:1" x14ac:dyDescent="0.2">
      <c r="A487" s="9"/>
    </row>
    <row r="488" spans="1:1" x14ac:dyDescent="0.2">
      <c r="A488" s="9"/>
    </row>
    <row r="489" spans="1:1" x14ac:dyDescent="0.2">
      <c r="A489" s="9"/>
    </row>
    <row r="490" spans="1:1" x14ac:dyDescent="0.2">
      <c r="A490" s="9"/>
    </row>
    <row r="491" spans="1:1" x14ac:dyDescent="0.2">
      <c r="A491" s="9"/>
    </row>
    <row r="492" spans="1:1" x14ac:dyDescent="0.2">
      <c r="A492" s="9"/>
    </row>
    <row r="493" spans="1:1" x14ac:dyDescent="0.2">
      <c r="A493" s="9"/>
    </row>
    <row r="494" spans="1:1" x14ac:dyDescent="0.2">
      <c r="A494" s="9"/>
    </row>
    <row r="495" spans="1:1" x14ac:dyDescent="0.2">
      <c r="A495" s="9"/>
    </row>
    <row r="496" spans="1:1" x14ac:dyDescent="0.2">
      <c r="A496" s="9"/>
    </row>
    <row r="497" spans="1:1" x14ac:dyDescent="0.2">
      <c r="A497" s="9"/>
    </row>
    <row r="498" spans="1:1" x14ac:dyDescent="0.2">
      <c r="A498" s="9"/>
    </row>
    <row r="499" spans="1:1" x14ac:dyDescent="0.2">
      <c r="A499" s="9"/>
    </row>
    <row r="500" spans="1:1" x14ac:dyDescent="0.2">
      <c r="A500" s="9"/>
    </row>
    <row r="501" spans="1:1" x14ac:dyDescent="0.2">
      <c r="A501" s="9"/>
    </row>
    <row r="502" spans="1:1" x14ac:dyDescent="0.2">
      <c r="A502" s="9"/>
    </row>
    <row r="503" spans="1:1" x14ac:dyDescent="0.2">
      <c r="A503" s="9"/>
    </row>
    <row r="504" spans="1:1" x14ac:dyDescent="0.2">
      <c r="A504" s="9"/>
    </row>
    <row r="505" spans="1:1" x14ac:dyDescent="0.2">
      <c r="A505" s="9"/>
    </row>
    <row r="506" spans="1:1" x14ac:dyDescent="0.2">
      <c r="A506" s="9"/>
    </row>
    <row r="507" spans="1:1" x14ac:dyDescent="0.2">
      <c r="A507" s="9"/>
    </row>
    <row r="508" spans="1:1" x14ac:dyDescent="0.2">
      <c r="A508" s="9"/>
    </row>
    <row r="509" spans="1:1" x14ac:dyDescent="0.2">
      <c r="A509" s="9"/>
    </row>
    <row r="510" spans="1:1" x14ac:dyDescent="0.2">
      <c r="A510" s="9"/>
    </row>
    <row r="511" spans="1:1" x14ac:dyDescent="0.2">
      <c r="A511" s="9"/>
    </row>
    <row r="512" spans="1:1" x14ac:dyDescent="0.2">
      <c r="A512" s="9"/>
    </row>
    <row r="513" spans="1:1" x14ac:dyDescent="0.2">
      <c r="A513" s="9"/>
    </row>
    <row r="514" spans="1:1" x14ac:dyDescent="0.2">
      <c r="A514" s="9"/>
    </row>
    <row r="515" spans="1:1" x14ac:dyDescent="0.2">
      <c r="A515" s="9"/>
    </row>
    <row r="516" spans="1:1" x14ac:dyDescent="0.2">
      <c r="A516" s="9"/>
    </row>
    <row r="517" spans="1:1" x14ac:dyDescent="0.2">
      <c r="A517" s="9"/>
    </row>
    <row r="518" spans="1:1" x14ac:dyDescent="0.2">
      <c r="A518" s="9"/>
    </row>
    <row r="519" spans="1:1" x14ac:dyDescent="0.2">
      <c r="A519" s="9"/>
    </row>
    <row r="520" spans="1:1" x14ac:dyDescent="0.2">
      <c r="A520" s="9"/>
    </row>
    <row r="521" spans="1:1" x14ac:dyDescent="0.2">
      <c r="A521" s="9"/>
    </row>
    <row r="522" spans="1:1" x14ac:dyDescent="0.2">
      <c r="A522" s="9"/>
    </row>
    <row r="523" spans="1:1" x14ac:dyDescent="0.2">
      <c r="A523" s="9"/>
    </row>
    <row r="524" spans="1:1" x14ac:dyDescent="0.2">
      <c r="A524" s="9"/>
    </row>
    <row r="525" spans="1:1" x14ac:dyDescent="0.2">
      <c r="A525" s="9"/>
    </row>
    <row r="526" spans="1:1" x14ac:dyDescent="0.2">
      <c r="A526" s="9"/>
    </row>
    <row r="527" spans="1:1" x14ac:dyDescent="0.2">
      <c r="A527" s="9"/>
    </row>
    <row r="528" spans="1:1" x14ac:dyDescent="0.2">
      <c r="A528" s="9"/>
    </row>
    <row r="529" spans="1:1" x14ac:dyDescent="0.2">
      <c r="A529" s="9"/>
    </row>
    <row r="530" spans="1:1" x14ac:dyDescent="0.2">
      <c r="A530" s="9"/>
    </row>
    <row r="531" spans="1:1" x14ac:dyDescent="0.2">
      <c r="A531" s="9"/>
    </row>
    <row r="532" spans="1:1" x14ac:dyDescent="0.2">
      <c r="A532" s="9"/>
    </row>
    <row r="533" spans="1:1" x14ac:dyDescent="0.2">
      <c r="A533" s="9"/>
    </row>
    <row r="534" spans="1:1" x14ac:dyDescent="0.2">
      <c r="A534" s="9"/>
    </row>
    <row r="535" spans="1:1" x14ac:dyDescent="0.2">
      <c r="A535" s="9"/>
    </row>
    <row r="536" spans="1:1" x14ac:dyDescent="0.2">
      <c r="A536" s="9"/>
    </row>
    <row r="537" spans="1:1" x14ac:dyDescent="0.2">
      <c r="A537" s="9"/>
    </row>
    <row r="538" spans="1:1" x14ac:dyDescent="0.2">
      <c r="A538" s="9"/>
    </row>
    <row r="539" spans="1:1" x14ac:dyDescent="0.2">
      <c r="A539" s="9"/>
    </row>
    <row r="540" spans="1:1" x14ac:dyDescent="0.2">
      <c r="A540" s="9"/>
    </row>
    <row r="541" spans="1:1" x14ac:dyDescent="0.2">
      <c r="A541" s="9"/>
    </row>
    <row r="542" spans="1:1" x14ac:dyDescent="0.2">
      <c r="A542" s="9"/>
    </row>
    <row r="543" spans="1:1" x14ac:dyDescent="0.2">
      <c r="A543" s="9"/>
    </row>
    <row r="544" spans="1:1" x14ac:dyDescent="0.2">
      <c r="A544" s="9"/>
    </row>
    <row r="545" spans="1:1" x14ac:dyDescent="0.2">
      <c r="A545" s="9"/>
    </row>
    <row r="546" spans="1:1" x14ac:dyDescent="0.2">
      <c r="A546" s="9"/>
    </row>
    <row r="547" spans="1:1" x14ac:dyDescent="0.2">
      <c r="A547" s="9"/>
    </row>
    <row r="548" spans="1:1" x14ac:dyDescent="0.2">
      <c r="A548" s="9"/>
    </row>
    <row r="549" spans="1:1" x14ac:dyDescent="0.2">
      <c r="A549" s="9"/>
    </row>
    <row r="550" spans="1:1" x14ac:dyDescent="0.2">
      <c r="A550" s="9"/>
    </row>
    <row r="551" spans="1:1" x14ac:dyDescent="0.2">
      <c r="A551" s="9"/>
    </row>
    <row r="552" spans="1:1" x14ac:dyDescent="0.2">
      <c r="A552" s="9"/>
    </row>
    <row r="553" spans="1:1" x14ac:dyDescent="0.2">
      <c r="A553" s="9"/>
    </row>
    <row r="554" spans="1:1" x14ac:dyDescent="0.2">
      <c r="A554" s="9"/>
    </row>
    <row r="555" spans="1:1" x14ac:dyDescent="0.2">
      <c r="A555" s="9"/>
    </row>
    <row r="556" spans="1:1" x14ac:dyDescent="0.2">
      <c r="A556" s="9"/>
    </row>
    <row r="557" spans="1:1" x14ac:dyDescent="0.2">
      <c r="A557" s="9"/>
    </row>
    <row r="558" spans="1:1" x14ac:dyDescent="0.2">
      <c r="A558" s="9"/>
    </row>
    <row r="559" spans="1:1" x14ac:dyDescent="0.2">
      <c r="A559" s="9"/>
    </row>
    <row r="560" spans="1:1" x14ac:dyDescent="0.2">
      <c r="A560" s="9"/>
    </row>
    <row r="561" spans="1:1" x14ac:dyDescent="0.2">
      <c r="A561" s="9"/>
    </row>
    <row r="562" spans="1:1" x14ac:dyDescent="0.2">
      <c r="A562" s="9"/>
    </row>
    <row r="563" spans="1:1" x14ac:dyDescent="0.2">
      <c r="A563" s="9"/>
    </row>
    <row r="564" spans="1:1" x14ac:dyDescent="0.2">
      <c r="A564" s="9"/>
    </row>
    <row r="565" spans="1:1" x14ac:dyDescent="0.2">
      <c r="A565" s="9"/>
    </row>
    <row r="566" spans="1:1" x14ac:dyDescent="0.2">
      <c r="A566" s="9"/>
    </row>
    <row r="567" spans="1:1" x14ac:dyDescent="0.2">
      <c r="A567" s="9"/>
    </row>
    <row r="568" spans="1:1" x14ac:dyDescent="0.2">
      <c r="A568" s="9"/>
    </row>
    <row r="569" spans="1:1" x14ac:dyDescent="0.2">
      <c r="A569" s="9"/>
    </row>
    <row r="570" spans="1:1" x14ac:dyDescent="0.2">
      <c r="A570" s="9"/>
    </row>
    <row r="571" spans="1:1" x14ac:dyDescent="0.2">
      <c r="A571" s="9"/>
    </row>
    <row r="572" spans="1:1" x14ac:dyDescent="0.2">
      <c r="A572" s="9"/>
    </row>
    <row r="573" spans="1:1" x14ac:dyDescent="0.2">
      <c r="A573" s="9"/>
    </row>
    <row r="574" spans="1:1" x14ac:dyDescent="0.2">
      <c r="A574" s="9"/>
    </row>
    <row r="575" spans="1:1" x14ac:dyDescent="0.2">
      <c r="A575" s="9"/>
    </row>
    <row r="576" spans="1:1" x14ac:dyDescent="0.2">
      <c r="A576" s="9"/>
    </row>
    <row r="577" spans="1:1" x14ac:dyDescent="0.2">
      <c r="A577" s="9"/>
    </row>
    <row r="578" spans="1:1" x14ac:dyDescent="0.2">
      <c r="A578" s="9"/>
    </row>
    <row r="579" spans="1:1" x14ac:dyDescent="0.2">
      <c r="A579" s="9"/>
    </row>
    <row r="580" spans="1:1" x14ac:dyDescent="0.2">
      <c r="A580" s="9"/>
    </row>
    <row r="581" spans="1:1" x14ac:dyDescent="0.2">
      <c r="A581" s="9"/>
    </row>
    <row r="582" spans="1:1" x14ac:dyDescent="0.2">
      <c r="A582" s="9"/>
    </row>
    <row r="583" spans="1:1" x14ac:dyDescent="0.2">
      <c r="A583" s="9"/>
    </row>
    <row r="584" spans="1:1" x14ac:dyDescent="0.2">
      <c r="A584" s="9"/>
    </row>
    <row r="585" spans="1:1" x14ac:dyDescent="0.2">
      <c r="A585" s="9"/>
    </row>
    <row r="586" spans="1:1" x14ac:dyDescent="0.2">
      <c r="A586" s="9"/>
    </row>
    <row r="587" spans="1:1" x14ac:dyDescent="0.2">
      <c r="A587" s="9"/>
    </row>
    <row r="588" spans="1:1" x14ac:dyDescent="0.2">
      <c r="A588" s="9"/>
    </row>
    <row r="589" spans="1:1" x14ac:dyDescent="0.2">
      <c r="A589" s="9"/>
    </row>
    <row r="590" spans="1:1" x14ac:dyDescent="0.2">
      <c r="A590" s="9"/>
    </row>
    <row r="591" spans="1:1" x14ac:dyDescent="0.2">
      <c r="A591" s="9"/>
    </row>
    <row r="592" spans="1:1" x14ac:dyDescent="0.2">
      <c r="A592" s="9"/>
    </row>
    <row r="593" spans="1:1" x14ac:dyDescent="0.2">
      <c r="A593" s="9"/>
    </row>
    <row r="594" spans="1:1" x14ac:dyDescent="0.2">
      <c r="A594" s="9"/>
    </row>
    <row r="595" spans="1:1" x14ac:dyDescent="0.2">
      <c r="A595" s="9"/>
    </row>
    <row r="596" spans="1:1" x14ac:dyDescent="0.2">
      <c r="A596" s="9"/>
    </row>
    <row r="597" spans="1:1" x14ac:dyDescent="0.2">
      <c r="A597" s="9"/>
    </row>
    <row r="598" spans="1:1" x14ac:dyDescent="0.2">
      <c r="A598" s="9"/>
    </row>
    <row r="599" spans="1:1" x14ac:dyDescent="0.2">
      <c r="A599" s="9"/>
    </row>
    <row r="600" spans="1:1" x14ac:dyDescent="0.2">
      <c r="A600" s="9"/>
    </row>
    <row r="601" spans="1:1" x14ac:dyDescent="0.2">
      <c r="A601" s="9"/>
    </row>
    <row r="602" spans="1:1" x14ac:dyDescent="0.2">
      <c r="A602" s="9"/>
    </row>
    <row r="603" spans="1:1" x14ac:dyDescent="0.2">
      <c r="A603" s="9"/>
    </row>
    <row r="604" spans="1:1" x14ac:dyDescent="0.2">
      <c r="A604" s="9"/>
    </row>
    <row r="605" spans="1:1" x14ac:dyDescent="0.2">
      <c r="A605" s="9"/>
    </row>
    <row r="606" spans="1:1" x14ac:dyDescent="0.2">
      <c r="A606" s="9"/>
    </row>
    <row r="607" spans="1:1" x14ac:dyDescent="0.2">
      <c r="A607" s="9"/>
    </row>
    <row r="608" spans="1:1" x14ac:dyDescent="0.2">
      <c r="A608" s="9"/>
    </row>
    <row r="609" spans="1:1" x14ac:dyDescent="0.2">
      <c r="A609" s="9"/>
    </row>
    <row r="610" spans="1:1" x14ac:dyDescent="0.2">
      <c r="A610" s="9"/>
    </row>
    <row r="611" spans="1:1" x14ac:dyDescent="0.2">
      <c r="A611" s="9"/>
    </row>
    <row r="612" spans="1:1" x14ac:dyDescent="0.2">
      <c r="A612" s="9"/>
    </row>
    <row r="613" spans="1:1" x14ac:dyDescent="0.2">
      <c r="A613" s="9"/>
    </row>
    <row r="614" spans="1:1" x14ac:dyDescent="0.2">
      <c r="A614" s="9"/>
    </row>
    <row r="615" spans="1:1" x14ac:dyDescent="0.2">
      <c r="A615" s="9"/>
    </row>
    <row r="616" spans="1:1" x14ac:dyDescent="0.2">
      <c r="A616" s="9"/>
    </row>
    <row r="617" spans="1:1" x14ac:dyDescent="0.2">
      <c r="A617" s="9"/>
    </row>
    <row r="618" spans="1:1" x14ac:dyDescent="0.2">
      <c r="A618" s="9"/>
    </row>
    <row r="619" spans="1:1" x14ac:dyDescent="0.2">
      <c r="A619" s="9"/>
    </row>
    <row r="620" spans="1:1" x14ac:dyDescent="0.2">
      <c r="A620" s="9"/>
    </row>
    <row r="621" spans="1:1" x14ac:dyDescent="0.2">
      <c r="A621" s="9"/>
    </row>
    <row r="622" spans="1:1" x14ac:dyDescent="0.2">
      <c r="A622" s="9"/>
    </row>
    <row r="623" spans="1:1" x14ac:dyDescent="0.2">
      <c r="A623" s="9"/>
    </row>
    <row r="624" spans="1:1" x14ac:dyDescent="0.2">
      <c r="A624" s="9"/>
    </row>
    <row r="625" spans="1:1" x14ac:dyDescent="0.2">
      <c r="A625" s="9"/>
    </row>
    <row r="626" spans="1:1" x14ac:dyDescent="0.2">
      <c r="A626" s="9"/>
    </row>
    <row r="627" spans="1:1" x14ac:dyDescent="0.2">
      <c r="A627" s="9"/>
    </row>
    <row r="628" spans="1:1" x14ac:dyDescent="0.2">
      <c r="A628" s="9"/>
    </row>
    <row r="629" spans="1:1" x14ac:dyDescent="0.2">
      <c r="A629" s="9"/>
    </row>
    <row r="630" spans="1:1" x14ac:dyDescent="0.2">
      <c r="A630" s="9"/>
    </row>
    <row r="631" spans="1:1" x14ac:dyDescent="0.2">
      <c r="A631" s="9"/>
    </row>
    <row r="632" spans="1:1" x14ac:dyDescent="0.2">
      <c r="A632" s="9"/>
    </row>
    <row r="633" spans="1:1" x14ac:dyDescent="0.2">
      <c r="A633" s="9"/>
    </row>
    <row r="634" spans="1:1" x14ac:dyDescent="0.2">
      <c r="A634" s="9"/>
    </row>
    <row r="635" spans="1:1" x14ac:dyDescent="0.2">
      <c r="A635" s="9"/>
    </row>
    <row r="636" spans="1:1" x14ac:dyDescent="0.2">
      <c r="A636" s="9"/>
    </row>
    <row r="637" spans="1:1" x14ac:dyDescent="0.2">
      <c r="A637" s="9"/>
    </row>
    <row r="638" spans="1:1" x14ac:dyDescent="0.2">
      <c r="A638" s="9"/>
    </row>
    <row r="639" spans="1:1" x14ac:dyDescent="0.2">
      <c r="A639" s="9"/>
    </row>
    <row r="640" spans="1:1" x14ac:dyDescent="0.2">
      <c r="A640" s="9"/>
    </row>
    <row r="641" spans="1:1" x14ac:dyDescent="0.2">
      <c r="A641" s="9"/>
    </row>
    <row r="642" spans="1:1" x14ac:dyDescent="0.2">
      <c r="A642" s="9"/>
    </row>
    <row r="643" spans="1:1" x14ac:dyDescent="0.2">
      <c r="A643" s="9"/>
    </row>
    <row r="644" spans="1:1" x14ac:dyDescent="0.2">
      <c r="A644" s="9"/>
    </row>
    <row r="645" spans="1:1" x14ac:dyDescent="0.2">
      <c r="A645" s="9"/>
    </row>
    <row r="646" spans="1:1" x14ac:dyDescent="0.2">
      <c r="A646" s="9"/>
    </row>
    <row r="647" spans="1:1" x14ac:dyDescent="0.2">
      <c r="A647" s="9"/>
    </row>
    <row r="648" spans="1:1" x14ac:dyDescent="0.2">
      <c r="A648" s="9"/>
    </row>
    <row r="649" spans="1:1" x14ac:dyDescent="0.2">
      <c r="A649" s="9"/>
    </row>
    <row r="650" spans="1:1" x14ac:dyDescent="0.2">
      <c r="A650" s="9"/>
    </row>
    <row r="651" spans="1:1" x14ac:dyDescent="0.2">
      <c r="A651" s="9"/>
    </row>
    <row r="652" spans="1:1" x14ac:dyDescent="0.2">
      <c r="A652" s="9"/>
    </row>
    <row r="653" spans="1:1" x14ac:dyDescent="0.2">
      <c r="A653" s="9"/>
    </row>
    <row r="654" spans="1:1" x14ac:dyDescent="0.2">
      <c r="A654" s="9"/>
    </row>
    <row r="655" spans="1:1" x14ac:dyDescent="0.2">
      <c r="A655" s="9"/>
    </row>
    <row r="656" spans="1:1" x14ac:dyDescent="0.2">
      <c r="A656" s="9"/>
    </row>
    <row r="657" spans="1:1" x14ac:dyDescent="0.2">
      <c r="A657" s="9"/>
    </row>
    <row r="658" spans="1:1" x14ac:dyDescent="0.2">
      <c r="A658" s="9"/>
    </row>
    <row r="659" spans="1:1" x14ac:dyDescent="0.2">
      <c r="A659" s="9"/>
    </row>
    <row r="660" spans="1:1" x14ac:dyDescent="0.2">
      <c r="A660" s="9"/>
    </row>
    <row r="661" spans="1:1" x14ac:dyDescent="0.2">
      <c r="A661" s="9"/>
    </row>
    <row r="662" spans="1:1" x14ac:dyDescent="0.2">
      <c r="A662" s="9"/>
    </row>
    <row r="663" spans="1:1" x14ac:dyDescent="0.2">
      <c r="A663" s="9"/>
    </row>
    <row r="664" spans="1:1" x14ac:dyDescent="0.2">
      <c r="A664" s="9"/>
    </row>
    <row r="665" spans="1:1" x14ac:dyDescent="0.2">
      <c r="A665" s="9"/>
    </row>
    <row r="666" spans="1:1" x14ac:dyDescent="0.2">
      <c r="A666" s="9"/>
    </row>
    <row r="667" spans="1:1" x14ac:dyDescent="0.2">
      <c r="A667" s="9"/>
    </row>
    <row r="668" spans="1:1" x14ac:dyDescent="0.2">
      <c r="A668" s="9"/>
    </row>
    <row r="669" spans="1:1" x14ac:dyDescent="0.2">
      <c r="A669" s="9"/>
    </row>
    <row r="670" spans="1:1" x14ac:dyDescent="0.2">
      <c r="A670" s="9"/>
    </row>
    <row r="671" spans="1:1" x14ac:dyDescent="0.2">
      <c r="A671" s="9"/>
    </row>
    <row r="672" spans="1:1" x14ac:dyDescent="0.2">
      <c r="A672" s="9"/>
    </row>
    <row r="673" spans="1:1" x14ac:dyDescent="0.2">
      <c r="A673" s="9"/>
    </row>
    <row r="674" spans="1:1" x14ac:dyDescent="0.2">
      <c r="A674" s="9"/>
    </row>
    <row r="675" spans="1:1" x14ac:dyDescent="0.2">
      <c r="A675" s="9"/>
    </row>
    <row r="676" spans="1:1" x14ac:dyDescent="0.2">
      <c r="A676" s="9"/>
    </row>
    <row r="677" spans="1:1" x14ac:dyDescent="0.2">
      <c r="A677" s="9"/>
    </row>
    <row r="678" spans="1:1" x14ac:dyDescent="0.2">
      <c r="A678" s="9"/>
    </row>
    <row r="679" spans="1:1" x14ac:dyDescent="0.2">
      <c r="A679" s="9"/>
    </row>
    <row r="680" spans="1:1" x14ac:dyDescent="0.2">
      <c r="A680" s="9"/>
    </row>
    <row r="681" spans="1:1" x14ac:dyDescent="0.2">
      <c r="A681" s="9"/>
    </row>
    <row r="682" spans="1:1" x14ac:dyDescent="0.2">
      <c r="A682" s="9"/>
    </row>
    <row r="683" spans="1:1" x14ac:dyDescent="0.2">
      <c r="A683" s="9"/>
    </row>
    <row r="684" spans="1:1" x14ac:dyDescent="0.2">
      <c r="A684" s="9"/>
    </row>
    <row r="685" spans="1:1" x14ac:dyDescent="0.2">
      <c r="A685" s="9"/>
    </row>
    <row r="686" spans="1:1" x14ac:dyDescent="0.2">
      <c r="A686" s="9"/>
    </row>
    <row r="687" spans="1:1" x14ac:dyDescent="0.2">
      <c r="A687" s="9"/>
    </row>
    <row r="688" spans="1:1" x14ac:dyDescent="0.2">
      <c r="A688" s="9"/>
    </row>
    <row r="689" spans="1:1" x14ac:dyDescent="0.2">
      <c r="A689" s="9"/>
    </row>
    <row r="690" spans="1:1" x14ac:dyDescent="0.2">
      <c r="A690" s="9"/>
    </row>
    <row r="691" spans="1:1" x14ac:dyDescent="0.2">
      <c r="A691" s="9"/>
    </row>
    <row r="692" spans="1:1" x14ac:dyDescent="0.2">
      <c r="A692" s="9"/>
    </row>
    <row r="693" spans="1:1" x14ac:dyDescent="0.2">
      <c r="A693" s="9"/>
    </row>
    <row r="694" spans="1:1" x14ac:dyDescent="0.2">
      <c r="A694" s="9"/>
    </row>
    <row r="695" spans="1:1" x14ac:dyDescent="0.2">
      <c r="A695" s="9"/>
    </row>
    <row r="696" spans="1:1" x14ac:dyDescent="0.2">
      <c r="A696" s="9"/>
    </row>
    <row r="697" spans="1:1" x14ac:dyDescent="0.2">
      <c r="A697" s="9"/>
    </row>
    <row r="698" spans="1:1" x14ac:dyDescent="0.2">
      <c r="A698" s="9"/>
    </row>
    <row r="699" spans="1:1" x14ac:dyDescent="0.2">
      <c r="A699" s="9"/>
    </row>
    <row r="700" spans="1:1" x14ac:dyDescent="0.2">
      <c r="A700" s="9"/>
    </row>
    <row r="701" spans="1:1" x14ac:dyDescent="0.2">
      <c r="A701" s="9"/>
    </row>
    <row r="702" spans="1:1" x14ac:dyDescent="0.2">
      <c r="A702" s="9"/>
    </row>
    <row r="703" spans="1:1" x14ac:dyDescent="0.2">
      <c r="A703" s="9"/>
    </row>
    <row r="704" spans="1:1" x14ac:dyDescent="0.2">
      <c r="A704" s="9"/>
    </row>
    <row r="705" spans="1:1" x14ac:dyDescent="0.2">
      <c r="A705" s="9"/>
    </row>
    <row r="706" spans="1:1" x14ac:dyDescent="0.2">
      <c r="A706" s="9"/>
    </row>
    <row r="707" spans="1:1" x14ac:dyDescent="0.2">
      <c r="A707" s="9"/>
    </row>
    <row r="708" spans="1:1" x14ac:dyDescent="0.2">
      <c r="A708" s="9"/>
    </row>
    <row r="709" spans="1:1" x14ac:dyDescent="0.2">
      <c r="A709" s="9"/>
    </row>
    <row r="710" spans="1:1" x14ac:dyDescent="0.2">
      <c r="A710" s="9"/>
    </row>
    <row r="711" spans="1:1" x14ac:dyDescent="0.2">
      <c r="A711" s="9"/>
    </row>
    <row r="712" spans="1:1" x14ac:dyDescent="0.2">
      <c r="A712" s="9"/>
    </row>
    <row r="713" spans="1:1" x14ac:dyDescent="0.2">
      <c r="A713" s="9"/>
    </row>
    <row r="714" spans="1:1" x14ac:dyDescent="0.2">
      <c r="A714" s="9"/>
    </row>
    <row r="715" spans="1:1" x14ac:dyDescent="0.2">
      <c r="A715" s="9"/>
    </row>
    <row r="716" spans="1:1" x14ac:dyDescent="0.2">
      <c r="A716" s="9"/>
    </row>
    <row r="717" spans="1:1" x14ac:dyDescent="0.2">
      <c r="A717" s="9"/>
    </row>
    <row r="718" spans="1:1" x14ac:dyDescent="0.2">
      <c r="A718" s="9"/>
    </row>
    <row r="719" spans="1:1" x14ac:dyDescent="0.2">
      <c r="A719" s="9"/>
    </row>
    <row r="720" spans="1:1" x14ac:dyDescent="0.2">
      <c r="A720" s="9"/>
    </row>
    <row r="721" spans="1:1" x14ac:dyDescent="0.2">
      <c r="A721" s="9"/>
    </row>
    <row r="722" spans="1:1" x14ac:dyDescent="0.2">
      <c r="A722" s="9"/>
    </row>
    <row r="723" spans="1:1" x14ac:dyDescent="0.2">
      <c r="A723" s="9"/>
    </row>
    <row r="724" spans="1:1" x14ac:dyDescent="0.2">
      <c r="A724" s="9"/>
    </row>
    <row r="725" spans="1:1" x14ac:dyDescent="0.2">
      <c r="A725" s="9"/>
    </row>
    <row r="726" spans="1:1" x14ac:dyDescent="0.2">
      <c r="A726" s="9"/>
    </row>
    <row r="727" spans="1:1" x14ac:dyDescent="0.2">
      <c r="A727" s="9"/>
    </row>
    <row r="728" spans="1:1" x14ac:dyDescent="0.2">
      <c r="A728" s="9"/>
    </row>
    <row r="729" spans="1:1" x14ac:dyDescent="0.2">
      <c r="A729" s="9"/>
    </row>
    <row r="730" spans="1:1" x14ac:dyDescent="0.2">
      <c r="A730" s="9"/>
    </row>
    <row r="731" spans="1:1" x14ac:dyDescent="0.2">
      <c r="A731" s="9"/>
    </row>
    <row r="732" spans="1:1" x14ac:dyDescent="0.2">
      <c r="A732" s="9"/>
    </row>
    <row r="733" spans="1:1" x14ac:dyDescent="0.2">
      <c r="A733" s="9"/>
    </row>
    <row r="734" spans="1:1" x14ac:dyDescent="0.2">
      <c r="A734" s="9"/>
    </row>
    <row r="735" spans="1:1" x14ac:dyDescent="0.2">
      <c r="A735" s="9"/>
    </row>
    <row r="736" spans="1:1" x14ac:dyDescent="0.2">
      <c r="A736" s="9"/>
    </row>
    <row r="737" spans="1:1" x14ac:dyDescent="0.2">
      <c r="A737" s="9"/>
    </row>
    <row r="738" spans="1:1" x14ac:dyDescent="0.2">
      <c r="A738" s="9"/>
    </row>
    <row r="739" spans="1:1" x14ac:dyDescent="0.2">
      <c r="A739" s="9"/>
    </row>
    <row r="740" spans="1:1" x14ac:dyDescent="0.2">
      <c r="A740" s="9"/>
    </row>
    <row r="741" spans="1:1" x14ac:dyDescent="0.2">
      <c r="A741" s="9"/>
    </row>
    <row r="742" spans="1:1" x14ac:dyDescent="0.2">
      <c r="A742" s="9"/>
    </row>
    <row r="743" spans="1:1" x14ac:dyDescent="0.2">
      <c r="A743" s="9"/>
    </row>
    <row r="744" spans="1:1" x14ac:dyDescent="0.2">
      <c r="A744" s="9"/>
    </row>
    <row r="745" spans="1:1" x14ac:dyDescent="0.2">
      <c r="A745" s="9"/>
    </row>
    <row r="746" spans="1:1" x14ac:dyDescent="0.2">
      <c r="A746" s="9"/>
    </row>
    <row r="747" spans="1:1" x14ac:dyDescent="0.2">
      <c r="A747" s="9"/>
    </row>
    <row r="748" spans="1:1" x14ac:dyDescent="0.2">
      <c r="A748" s="9"/>
    </row>
    <row r="749" spans="1:1" x14ac:dyDescent="0.2">
      <c r="A749" s="9"/>
    </row>
    <row r="750" spans="1:1" x14ac:dyDescent="0.2">
      <c r="A750" s="9"/>
    </row>
    <row r="751" spans="1:1" x14ac:dyDescent="0.2">
      <c r="A751" s="9"/>
    </row>
    <row r="752" spans="1:1" x14ac:dyDescent="0.2">
      <c r="A752" s="9"/>
    </row>
    <row r="753" spans="1:1" x14ac:dyDescent="0.2">
      <c r="A753" s="9"/>
    </row>
    <row r="754" spans="1:1" x14ac:dyDescent="0.2">
      <c r="A754" s="9"/>
    </row>
    <row r="755" spans="1:1" x14ac:dyDescent="0.2">
      <c r="A755" s="9"/>
    </row>
    <row r="756" spans="1:1" x14ac:dyDescent="0.2">
      <c r="A756" s="9"/>
    </row>
    <row r="757" spans="1:1" x14ac:dyDescent="0.2">
      <c r="A757" s="9"/>
    </row>
    <row r="758" spans="1:1" x14ac:dyDescent="0.2">
      <c r="A758" s="9"/>
    </row>
    <row r="759" spans="1:1" x14ac:dyDescent="0.2">
      <c r="A759" s="9"/>
    </row>
    <row r="760" spans="1:1" x14ac:dyDescent="0.2">
      <c r="A760" s="9"/>
    </row>
    <row r="761" spans="1:1" x14ac:dyDescent="0.2">
      <c r="A761" s="9"/>
    </row>
    <row r="762" spans="1:1" x14ac:dyDescent="0.2">
      <c r="A762" s="9"/>
    </row>
    <row r="763" spans="1:1" x14ac:dyDescent="0.2">
      <c r="A763" s="9"/>
    </row>
    <row r="764" spans="1:1" x14ac:dyDescent="0.2">
      <c r="A764" s="9"/>
    </row>
    <row r="765" spans="1:1" x14ac:dyDescent="0.2">
      <c r="A765" s="9"/>
    </row>
    <row r="766" spans="1:1" x14ac:dyDescent="0.2">
      <c r="A766" s="9"/>
    </row>
    <row r="767" spans="1:1" x14ac:dyDescent="0.2">
      <c r="A767" s="9"/>
    </row>
    <row r="768" spans="1:1" x14ac:dyDescent="0.2">
      <c r="A768" s="9"/>
    </row>
    <row r="769" spans="1:1" x14ac:dyDescent="0.2">
      <c r="A769" s="9"/>
    </row>
    <row r="770" spans="1:1" x14ac:dyDescent="0.2">
      <c r="A770" s="9"/>
    </row>
    <row r="771" spans="1:1" x14ac:dyDescent="0.2">
      <c r="A771" s="9"/>
    </row>
    <row r="772" spans="1:1" x14ac:dyDescent="0.2">
      <c r="A772" s="9"/>
    </row>
    <row r="773" spans="1:1" x14ac:dyDescent="0.2">
      <c r="A773" s="9"/>
    </row>
    <row r="774" spans="1:1" x14ac:dyDescent="0.2">
      <c r="A774" s="9"/>
    </row>
    <row r="775" spans="1:1" x14ac:dyDescent="0.2">
      <c r="A775" s="9"/>
    </row>
    <row r="776" spans="1:1" x14ac:dyDescent="0.2">
      <c r="A776" s="9"/>
    </row>
    <row r="777" spans="1:1" x14ac:dyDescent="0.2">
      <c r="A777" s="9"/>
    </row>
    <row r="778" spans="1:1" x14ac:dyDescent="0.2">
      <c r="A778" s="9"/>
    </row>
    <row r="779" spans="1:1" x14ac:dyDescent="0.2">
      <c r="A779" s="9"/>
    </row>
    <row r="780" spans="1:1" x14ac:dyDescent="0.2">
      <c r="A780" s="9"/>
    </row>
    <row r="781" spans="1:1" x14ac:dyDescent="0.2">
      <c r="A781" s="9"/>
    </row>
    <row r="782" spans="1:1" x14ac:dyDescent="0.2">
      <c r="A782" s="9"/>
    </row>
    <row r="783" spans="1:1" x14ac:dyDescent="0.2">
      <c r="A783" s="9"/>
    </row>
    <row r="784" spans="1:1" x14ac:dyDescent="0.2">
      <c r="A784" s="9"/>
    </row>
    <row r="785" spans="1:1" x14ac:dyDescent="0.2">
      <c r="A785" s="9"/>
    </row>
    <row r="786" spans="1:1" x14ac:dyDescent="0.2">
      <c r="A786" s="9"/>
    </row>
    <row r="787" spans="1:1" x14ac:dyDescent="0.2">
      <c r="A787" s="9"/>
    </row>
    <row r="788" spans="1:1" x14ac:dyDescent="0.2">
      <c r="A788" s="9"/>
    </row>
    <row r="789" spans="1:1" x14ac:dyDescent="0.2">
      <c r="A789" s="9"/>
    </row>
    <row r="790" spans="1:1" x14ac:dyDescent="0.2">
      <c r="A790" s="9"/>
    </row>
    <row r="791" spans="1:1" x14ac:dyDescent="0.2">
      <c r="A791" s="9"/>
    </row>
    <row r="792" spans="1:1" x14ac:dyDescent="0.2">
      <c r="A792" s="9"/>
    </row>
    <row r="793" spans="1:1" x14ac:dyDescent="0.2">
      <c r="A793" s="9"/>
    </row>
    <row r="794" spans="1:1" x14ac:dyDescent="0.2">
      <c r="A794" s="9"/>
    </row>
    <row r="795" spans="1:1" x14ac:dyDescent="0.2">
      <c r="A795" s="9"/>
    </row>
    <row r="796" spans="1:1" x14ac:dyDescent="0.2">
      <c r="A796" s="9"/>
    </row>
    <row r="797" spans="1:1" x14ac:dyDescent="0.2">
      <c r="A797" s="9"/>
    </row>
    <row r="798" spans="1:1" x14ac:dyDescent="0.2">
      <c r="A798" s="9"/>
    </row>
    <row r="799" spans="1:1" x14ac:dyDescent="0.2">
      <c r="A799" s="9"/>
    </row>
    <row r="800" spans="1:1" x14ac:dyDescent="0.2">
      <c r="A800" s="9"/>
    </row>
    <row r="801" spans="1:1" x14ac:dyDescent="0.2">
      <c r="A801" s="9"/>
    </row>
    <row r="802" spans="1:1" x14ac:dyDescent="0.2">
      <c r="A802" s="9"/>
    </row>
    <row r="803" spans="1:1" x14ac:dyDescent="0.2">
      <c r="A803" s="9"/>
    </row>
    <row r="804" spans="1:1" x14ac:dyDescent="0.2">
      <c r="A804" s="9"/>
    </row>
    <row r="805" spans="1:1" x14ac:dyDescent="0.2">
      <c r="A805" s="9"/>
    </row>
    <row r="806" spans="1:1" x14ac:dyDescent="0.2">
      <c r="A806" s="9"/>
    </row>
    <row r="807" spans="1:1" x14ac:dyDescent="0.2">
      <c r="A807" s="9"/>
    </row>
    <row r="808" spans="1:1" x14ac:dyDescent="0.2">
      <c r="A808" s="9"/>
    </row>
    <row r="809" spans="1:1" x14ac:dyDescent="0.2">
      <c r="A809" s="9"/>
    </row>
    <row r="810" spans="1:1" x14ac:dyDescent="0.2">
      <c r="A810" s="9"/>
    </row>
    <row r="811" spans="1:1" x14ac:dyDescent="0.2">
      <c r="A811" s="9"/>
    </row>
    <row r="812" spans="1:1" x14ac:dyDescent="0.2">
      <c r="A812" s="9"/>
    </row>
    <row r="813" spans="1:1" x14ac:dyDescent="0.2">
      <c r="A813" s="9"/>
    </row>
    <row r="814" spans="1:1" x14ac:dyDescent="0.2">
      <c r="A814" s="9"/>
    </row>
    <row r="815" spans="1:1" x14ac:dyDescent="0.2">
      <c r="A815" s="9"/>
    </row>
    <row r="816" spans="1:1" x14ac:dyDescent="0.2">
      <c r="A816" s="9"/>
    </row>
    <row r="817" spans="1:1" x14ac:dyDescent="0.2">
      <c r="A817" s="9"/>
    </row>
    <row r="818" spans="1:1" x14ac:dyDescent="0.2">
      <c r="A818" s="9"/>
    </row>
    <row r="819" spans="1:1" x14ac:dyDescent="0.2">
      <c r="A819" s="9"/>
    </row>
    <row r="820" spans="1:1" x14ac:dyDescent="0.2">
      <c r="A820" s="9"/>
    </row>
    <row r="821" spans="1:1" x14ac:dyDescent="0.2">
      <c r="A821" s="9"/>
    </row>
    <row r="822" spans="1:1" x14ac:dyDescent="0.2">
      <c r="A822" s="9"/>
    </row>
    <row r="823" spans="1:1" x14ac:dyDescent="0.2">
      <c r="A823" s="9"/>
    </row>
    <row r="824" spans="1:1" x14ac:dyDescent="0.2">
      <c r="A824" s="9"/>
    </row>
    <row r="825" spans="1:1" x14ac:dyDescent="0.2">
      <c r="A825" s="9"/>
    </row>
    <row r="826" spans="1:1" x14ac:dyDescent="0.2">
      <c r="A826" s="9"/>
    </row>
    <row r="827" spans="1:1" x14ac:dyDescent="0.2">
      <c r="A827" s="9"/>
    </row>
    <row r="828" spans="1:1" x14ac:dyDescent="0.2">
      <c r="A828" s="9"/>
    </row>
    <row r="829" spans="1:1" x14ac:dyDescent="0.2">
      <c r="A829" s="9"/>
    </row>
    <row r="830" spans="1:1" x14ac:dyDescent="0.2">
      <c r="A830" s="9"/>
    </row>
    <row r="831" spans="1:1" x14ac:dyDescent="0.2">
      <c r="A831" s="9"/>
    </row>
    <row r="832" spans="1:1" x14ac:dyDescent="0.2">
      <c r="A832" s="9"/>
    </row>
    <row r="833" spans="1:1" x14ac:dyDescent="0.2">
      <c r="A833" s="9"/>
    </row>
    <row r="834" spans="1:1" x14ac:dyDescent="0.2">
      <c r="A834" s="9"/>
    </row>
    <row r="835" spans="1:1" x14ac:dyDescent="0.2">
      <c r="A835" s="9"/>
    </row>
    <row r="836" spans="1:1" x14ac:dyDescent="0.2">
      <c r="A836" s="9"/>
    </row>
    <row r="837" spans="1:1" x14ac:dyDescent="0.2">
      <c r="A837" s="9"/>
    </row>
    <row r="838" spans="1:1" x14ac:dyDescent="0.2">
      <c r="A838" s="9"/>
    </row>
    <row r="839" spans="1:1" x14ac:dyDescent="0.2">
      <c r="A839" s="9"/>
    </row>
    <row r="840" spans="1:1" x14ac:dyDescent="0.2">
      <c r="A840" s="9"/>
    </row>
    <row r="841" spans="1:1" x14ac:dyDescent="0.2">
      <c r="A841" s="9"/>
    </row>
    <row r="842" spans="1:1" x14ac:dyDescent="0.2">
      <c r="A842" s="9"/>
    </row>
    <row r="843" spans="1:1" x14ac:dyDescent="0.2">
      <c r="A843" s="9"/>
    </row>
    <row r="844" spans="1:1" x14ac:dyDescent="0.2">
      <c r="A844" s="9"/>
    </row>
    <row r="845" spans="1:1" x14ac:dyDescent="0.2">
      <c r="A845" s="9"/>
    </row>
    <row r="846" spans="1:1" x14ac:dyDescent="0.2">
      <c r="A846" s="9"/>
    </row>
    <row r="847" spans="1:1" x14ac:dyDescent="0.2">
      <c r="A847" s="9"/>
    </row>
    <row r="848" spans="1:1" x14ac:dyDescent="0.2">
      <c r="A848" s="9"/>
    </row>
    <row r="849" spans="1:1" x14ac:dyDescent="0.2">
      <c r="A849" s="9"/>
    </row>
    <row r="850" spans="1:1" x14ac:dyDescent="0.2">
      <c r="A850" s="9"/>
    </row>
    <row r="851" spans="1:1" x14ac:dyDescent="0.2">
      <c r="A851" s="9"/>
    </row>
    <row r="852" spans="1:1" x14ac:dyDescent="0.2">
      <c r="A852" s="9"/>
    </row>
    <row r="853" spans="1:1" x14ac:dyDescent="0.2">
      <c r="A853" s="9"/>
    </row>
    <row r="854" spans="1:1" x14ac:dyDescent="0.2">
      <c r="A854" s="9"/>
    </row>
    <row r="855" spans="1:1" x14ac:dyDescent="0.2">
      <c r="A855" s="9"/>
    </row>
    <row r="856" spans="1:1" x14ac:dyDescent="0.2">
      <c r="A856" s="9"/>
    </row>
    <row r="857" spans="1:1" x14ac:dyDescent="0.2">
      <c r="A857" s="9"/>
    </row>
    <row r="858" spans="1:1" x14ac:dyDescent="0.2">
      <c r="A858" s="9"/>
    </row>
    <row r="859" spans="1:1" x14ac:dyDescent="0.2">
      <c r="A859" s="9"/>
    </row>
    <row r="860" spans="1:1" x14ac:dyDescent="0.2">
      <c r="A860" s="9"/>
    </row>
    <row r="861" spans="1:1" x14ac:dyDescent="0.2">
      <c r="A861" s="9"/>
    </row>
    <row r="862" spans="1:1" x14ac:dyDescent="0.2">
      <c r="A862" s="9"/>
    </row>
    <row r="863" spans="1:1" x14ac:dyDescent="0.2">
      <c r="A863" s="9"/>
    </row>
    <row r="864" spans="1:1" x14ac:dyDescent="0.2">
      <c r="A864" s="9"/>
    </row>
    <row r="865" spans="1:1" x14ac:dyDescent="0.2">
      <c r="A865" s="9"/>
    </row>
    <row r="866" spans="1:1" x14ac:dyDescent="0.2">
      <c r="A866" s="9"/>
    </row>
    <row r="867" spans="1:1" x14ac:dyDescent="0.2">
      <c r="A867" s="9"/>
    </row>
    <row r="868" spans="1:1" x14ac:dyDescent="0.2">
      <c r="A868" s="9"/>
    </row>
    <row r="869" spans="1:1" x14ac:dyDescent="0.2">
      <c r="A869" s="9"/>
    </row>
    <row r="870" spans="1:1" x14ac:dyDescent="0.2">
      <c r="A870" s="9"/>
    </row>
    <row r="871" spans="1:1" x14ac:dyDescent="0.2">
      <c r="A871" s="9"/>
    </row>
    <row r="872" spans="1:1" x14ac:dyDescent="0.2">
      <c r="A872" s="9"/>
    </row>
    <row r="873" spans="1:1" x14ac:dyDescent="0.2">
      <c r="A873" s="9"/>
    </row>
    <row r="874" spans="1:1" x14ac:dyDescent="0.2">
      <c r="A874" s="9"/>
    </row>
    <row r="875" spans="1:1" x14ac:dyDescent="0.2">
      <c r="A875" s="9"/>
    </row>
    <row r="876" spans="1:1" x14ac:dyDescent="0.2">
      <c r="A876" s="9"/>
    </row>
    <row r="877" spans="1:1" x14ac:dyDescent="0.2">
      <c r="A877" s="9"/>
    </row>
    <row r="878" spans="1:1" x14ac:dyDescent="0.2">
      <c r="A878" s="9"/>
    </row>
    <row r="879" spans="1:1" x14ac:dyDescent="0.2">
      <c r="A879" s="9"/>
    </row>
    <row r="880" spans="1:1" x14ac:dyDescent="0.2">
      <c r="A880" s="9"/>
    </row>
    <row r="881" spans="1:1" x14ac:dyDescent="0.2">
      <c r="A881" s="9"/>
    </row>
    <row r="882" spans="1:1" x14ac:dyDescent="0.2">
      <c r="A882" s="9"/>
    </row>
    <row r="883" spans="1:1" x14ac:dyDescent="0.2">
      <c r="A883" s="9"/>
    </row>
    <row r="884" spans="1:1" x14ac:dyDescent="0.2">
      <c r="A884" s="9"/>
    </row>
    <row r="885" spans="1:1" x14ac:dyDescent="0.2">
      <c r="A885" s="9"/>
    </row>
    <row r="886" spans="1:1" x14ac:dyDescent="0.2">
      <c r="A886" s="9"/>
    </row>
    <row r="887" spans="1:1" x14ac:dyDescent="0.2">
      <c r="A887" s="9"/>
    </row>
    <row r="888" spans="1:1" x14ac:dyDescent="0.2">
      <c r="A888" s="9"/>
    </row>
    <row r="889" spans="1:1" x14ac:dyDescent="0.2">
      <c r="A889" s="9"/>
    </row>
    <row r="890" spans="1:1" x14ac:dyDescent="0.2">
      <c r="A890" s="9"/>
    </row>
    <row r="891" spans="1:1" x14ac:dyDescent="0.2">
      <c r="A891" s="9"/>
    </row>
    <row r="892" spans="1:1" x14ac:dyDescent="0.2">
      <c r="A892" s="9"/>
    </row>
    <row r="893" spans="1:1" x14ac:dyDescent="0.2">
      <c r="A893" s="9"/>
    </row>
    <row r="894" spans="1:1" x14ac:dyDescent="0.2">
      <c r="A894" s="9"/>
    </row>
    <row r="895" spans="1:1" x14ac:dyDescent="0.2">
      <c r="A895" s="9"/>
    </row>
    <row r="896" spans="1:1" x14ac:dyDescent="0.2">
      <c r="A896" s="9"/>
    </row>
    <row r="897" spans="1:1" x14ac:dyDescent="0.2">
      <c r="A897" s="9"/>
    </row>
    <row r="898" spans="1:1" x14ac:dyDescent="0.2">
      <c r="A898" s="9"/>
    </row>
    <row r="899" spans="1:1" x14ac:dyDescent="0.2">
      <c r="A899" s="9"/>
    </row>
    <row r="900" spans="1:1" x14ac:dyDescent="0.2">
      <c r="A900" s="9"/>
    </row>
    <row r="901" spans="1:1" x14ac:dyDescent="0.2">
      <c r="A901" s="9"/>
    </row>
    <row r="902" spans="1:1" x14ac:dyDescent="0.2">
      <c r="A902" s="9"/>
    </row>
    <row r="903" spans="1:1" x14ac:dyDescent="0.2">
      <c r="A903" s="9"/>
    </row>
    <row r="904" spans="1:1" x14ac:dyDescent="0.2">
      <c r="A904" s="9"/>
    </row>
    <row r="905" spans="1:1" x14ac:dyDescent="0.2">
      <c r="A905" s="9"/>
    </row>
    <row r="906" spans="1:1" x14ac:dyDescent="0.2">
      <c r="A906" s="9"/>
    </row>
    <row r="907" spans="1:1" x14ac:dyDescent="0.2">
      <c r="A907" s="9"/>
    </row>
    <row r="908" spans="1:1" x14ac:dyDescent="0.2">
      <c r="A908" s="9"/>
    </row>
    <row r="909" spans="1:1" x14ac:dyDescent="0.2">
      <c r="A909" s="9"/>
    </row>
    <row r="910" spans="1:1" x14ac:dyDescent="0.2">
      <c r="A910" s="9"/>
    </row>
    <row r="911" spans="1:1" x14ac:dyDescent="0.2">
      <c r="A911" s="9"/>
    </row>
    <row r="912" spans="1:1" x14ac:dyDescent="0.2">
      <c r="A912" s="9"/>
    </row>
    <row r="913" spans="1:1" x14ac:dyDescent="0.2">
      <c r="A913" s="9"/>
    </row>
    <row r="914" spans="1:1" x14ac:dyDescent="0.2">
      <c r="A914" s="9"/>
    </row>
    <row r="915" spans="1:1" x14ac:dyDescent="0.2">
      <c r="A915" s="9"/>
    </row>
    <row r="916" spans="1:1" x14ac:dyDescent="0.2">
      <c r="A916" s="9"/>
    </row>
    <row r="917" spans="1:1" x14ac:dyDescent="0.2">
      <c r="A917" s="9"/>
    </row>
    <row r="918" spans="1:1" x14ac:dyDescent="0.2">
      <c r="A918" s="9"/>
    </row>
    <row r="919" spans="1:1" x14ac:dyDescent="0.2">
      <c r="A919" s="9"/>
    </row>
    <row r="920" spans="1:1" x14ac:dyDescent="0.2">
      <c r="A920" s="9"/>
    </row>
    <row r="921" spans="1:1" x14ac:dyDescent="0.2">
      <c r="A921" s="9"/>
    </row>
    <row r="922" spans="1:1" x14ac:dyDescent="0.2">
      <c r="A922" s="9"/>
    </row>
    <row r="923" spans="1:1" x14ac:dyDescent="0.2">
      <c r="A923" s="9"/>
    </row>
    <row r="924" spans="1:1" x14ac:dyDescent="0.2">
      <c r="A924" s="9"/>
    </row>
    <row r="925" spans="1:1" x14ac:dyDescent="0.2">
      <c r="A925" s="9"/>
    </row>
    <row r="926" spans="1:1" x14ac:dyDescent="0.2">
      <c r="A926" s="9"/>
    </row>
    <row r="927" spans="1:1" x14ac:dyDescent="0.2">
      <c r="A927" s="9"/>
    </row>
    <row r="928" spans="1:1" x14ac:dyDescent="0.2">
      <c r="A928" s="9"/>
    </row>
    <row r="929" spans="1:1" x14ac:dyDescent="0.2">
      <c r="A929" s="9"/>
    </row>
    <row r="930" spans="1:1" x14ac:dyDescent="0.2">
      <c r="A930" s="9"/>
    </row>
    <row r="931" spans="1:1" x14ac:dyDescent="0.2">
      <c r="A931" s="9"/>
    </row>
    <row r="932" spans="1:1" x14ac:dyDescent="0.2">
      <c r="A932" s="9"/>
    </row>
    <row r="933" spans="1:1" x14ac:dyDescent="0.2">
      <c r="A933" s="9"/>
    </row>
    <row r="934" spans="1:1" x14ac:dyDescent="0.2">
      <c r="A934" s="9"/>
    </row>
    <row r="935" spans="1:1" x14ac:dyDescent="0.2">
      <c r="A935" s="9"/>
    </row>
    <row r="936" spans="1:1" x14ac:dyDescent="0.2">
      <c r="A936" s="9"/>
    </row>
    <row r="937" spans="1:1" x14ac:dyDescent="0.2">
      <c r="A937" s="9"/>
    </row>
    <row r="938" spans="1:1" x14ac:dyDescent="0.2">
      <c r="A938" s="9"/>
    </row>
    <row r="939" spans="1:1" x14ac:dyDescent="0.2">
      <c r="A939" s="9"/>
    </row>
    <row r="940" spans="1:1" x14ac:dyDescent="0.2">
      <c r="A940" s="9"/>
    </row>
    <row r="941" spans="1:1" x14ac:dyDescent="0.2">
      <c r="A941" s="9"/>
    </row>
    <row r="942" spans="1:1" x14ac:dyDescent="0.2">
      <c r="A942" s="9"/>
    </row>
    <row r="943" spans="1:1" x14ac:dyDescent="0.2">
      <c r="A943" s="9"/>
    </row>
    <row r="944" spans="1:1" x14ac:dyDescent="0.2">
      <c r="A944" s="9"/>
    </row>
    <row r="945" spans="1:1" x14ac:dyDescent="0.2">
      <c r="A945" s="9"/>
    </row>
    <row r="946" spans="1:1" x14ac:dyDescent="0.2">
      <c r="A946" s="9"/>
    </row>
    <row r="947" spans="1:1" x14ac:dyDescent="0.2">
      <c r="A947" s="9"/>
    </row>
    <row r="948" spans="1:1" x14ac:dyDescent="0.2">
      <c r="A948" s="9"/>
    </row>
    <row r="949" spans="1:1" x14ac:dyDescent="0.2">
      <c r="A949" s="9"/>
    </row>
    <row r="950" spans="1:1" x14ac:dyDescent="0.2">
      <c r="A950" s="9"/>
    </row>
    <row r="951" spans="1:1" x14ac:dyDescent="0.2">
      <c r="A951" s="9"/>
    </row>
    <row r="952" spans="1:1" x14ac:dyDescent="0.2">
      <c r="A952" s="9"/>
    </row>
    <row r="953" spans="1:1" x14ac:dyDescent="0.2">
      <c r="A953" s="9"/>
    </row>
    <row r="954" spans="1:1" x14ac:dyDescent="0.2">
      <c r="A954" s="9"/>
    </row>
    <row r="955" spans="1:1" x14ac:dyDescent="0.2">
      <c r="A955" s="9"/>
    </row>
    <row r="956" spans="1:1" x14ac:dyDescent="0.2">
      <c r="A956" s="9"/>
    </row>
    <row r="957" spans="1:1" x14ac:dyDescent="0.2">
      <c r="A957" s="9"/>
    </row>
    <row r="958" spans="1:1" x14ac:dyDescent="0.2">
      <c r="A958" s="9"/>
    </row>
    <row r="959" spans="1:1" x14ac:dyDescent="0.2">
      <c r="A959" s="9"/>
    </row>
    <row r="960" spans="1:1" x14ac:dyDescent="0.2">
      <c r="A960" s="9"/>
    </row>
    <row r="961" spans="1:1" x14ac:dyDescent="0.2">
      <c r="A961" s="9"/>
    </row>
    <row r="962" spans="1:1" x14ac:dyDescent="0.2">
      <c r="A962" s="9"/>
    </row>
    <row r="963" spans="1:1" x14ac:dyDescent="0.2">
      <c r="A963" s="9"/>
    </row>
    <row r="964" spans="1:1" x14ac:dyDescent="0.2">
      <c r="A964" s="9"/>
    </row>
    <row r="965" spans="1:1" x14ac:dyDescent="0.2">
      <c r="A965" s="9"/>
    </row>
    <row r="966" spans="1:1" x14ac:dyDescent="0.2">
      <c r="A966" s="9"/>
    </row>
    <row r="967" spans="1:1" x14ac:dyDescent="0.2">
      <c r="A967" s="9"/>
    </row>
    <row r="968" spans="1:1" x14ac:dyDescent="0.2">
      <c r="A968" s="9"/>
    </row>
    <row r="969" spans="1:1" x14ac:dyDescent="0.2">
      <c r="A969" s="9"/>
    </row>
    <row r="970" spans="1:1" x14ac:dyDescent="0.2">
      <c r="A970" s="9"/>
    </row>
    <row r="971" spans="1:1" x14ac:dyDescent="0.2">
      <c r="A971" s="9"/>
    </row>
    <row r="972" spans="1:1" x14ac:dyDescent="0.2">
      <c r="A972" s="9"/>
    </row>
    <row r="973" spans="1:1" x14ac:dyDescent="0.2">
      <c r="A973" s="9"/>
    </row>
    <row r="974" spans="1:1" x14ac:dyDescent="0.2">
      <c r="A974" s="9"/>
    </row>
    <row r="975" spans="1:1" x14ac:dyDescent="0.2">
      <c r="A975" s="9"/>
    </row>
    <row r="976" spans="1:1" x14ac:dyDescent="0.2">
      <c r="A976" s="9"/>
    </row>
    <row r="977" spans="1:1" x14ac:dyDescent="0.2">
      <c r="A977" s="9"/>
    </row>
    <row r="978" spans="1:1" x14ac:dyDescent="0.2">
      <c r="A978" s="9"/>
    </row>
    <row r="979" spans="1:1" x14ac:dyDescent="0.2">
      <c r="A979" s="9"/>
    </row>
    <row r="980" spans="1:1" x14ac:dyDescent="0.2">
      <c r="A980" s="9"/>
    </row>
    <row r="981" spans="1:1" x14ac:dyDescent="0.2">
      <c r="A981" s="9"/>
    </row>
    <row r="982" spans="1:1" x14ac:dyDescent="0.2">
      <c r="A982" s="9"/>
    </row>
    <row r="983" spans="1:1" x14ac:dyDescent="0.2">
      <c r="A983" s="9"/>
    </row>
    <row r="984" spans="1:1" x14ac:dyDescent="0.2">
      <c r="A984" s="9"/>
    </row>
    <row r="985" spans="1:1" x14ac:dyDescent="0.2">
      <c r="A985" s="9"/>
    </row>
    <row r="986" spans="1:1" x14ac:dyDescent="0.2">
      <c r="A986" s="9"/>
    </row>
    <row r="987" spans="1:1" x14ac:dyDescent="0.2">
      <c r="A987" s="9"/>
    </row>
    <row r="988" spans="1:1" x14ac:dyDescent="0.2">
      <c r="A988" s="9"/>
    </row>
    <row r="989" spans="1:1" x14ac:dyDescent="0.2">
      <c r="A989" s="9"/>
    </row>
    <row r="990" spans="1:1" x14ac:dyDescent="0.2">
      <c r="A990" s="9"/>
    </row>
    <row r="991" spans="1:1" x14ac:dyDescent="0.2">
      <c r="A991" s="9"/>
    </row>
    <row r="992" spans="1:1" x14ac:dyDescent="0.2">
      <c r="A992" s="9"/>
    </row>
    <row r="993" spans="1:1" x14ac:dyDescent="0.2">
      <c r="A993" s="9"/>
    </row>
    <row r="994" spans="1:1" x14ac:dyDescent="0.2">
      <c r="A994" s="9"/>
    </row>
    <row r="995" spans="1:1" x14ac:dyDescent="0.2">
      <c r="A995" s="9"/>
    </row>
    <row r="996" spans="1:1" x14ac:dyDescent="0.2">
      <c r="A996" s="9"/>
    </row>
    <row r="997" spans="1:1" x14ac:dyDescent="0.2">
      <c r="A997" s="9"/>
    </row>
    <row r="998" spans="1:1" x14ac:dyDescent="0.2">
      <c r="A998" s="9"/>
    </row>
    <row r="999" spans="1:1" x14ac:dyDescent="0.2">
      <c r="A999" s="9"/>
    </row>
    <row r="1000" spans="1:1" x14ac:dyDescent="0.2">
      <c r="A1000" s="9"/>
    </row>
    <row r="1001" spans="1:1" x14ac:dyDescent="0.2">
      <c r="A1001" s="9"/>
    </row>
    <row r="1002" spans="1:1" x14ac:dyDescent="0.2">
      <c r="A1002" s="9"/>
    </row>
    <row r="1003" spans="1:1" x14ac:dyDescent="0.2">
      <c r="A1003" s="9"/>
    </row>
    <row r="1004" spans="1:1" x14ac:dyDescent="0.2">
      <c r="A1004" s="9"/>
    </row>
    <row r="1005" spans="1:1" x14ac:dyDescent="0.2">
      <c r="A1005" s="9"/>
    </row>
    <row r="1006" spans="1:1" x14ac:dyDescent="0.2">
      <c r="A1006" s="9"/>
    </row>
    <row r="1007" spans="1:1" x14ac:dyDescent="0.2">
      <c r="A1007" s="9"/>
    </row>
    <row r="1008" spans="1:1" x14ac:dyDescent="0.2">
      <c r="A1008" s="9"/>
    </row>
    <row r="1009" spans="1:1" x14ac:dyDescent="0.2">
      <c r="A1009" s="9"/>
    </row>
    <row r="1010" spans="1:1" x14ac:dyDescent="0.2">
      <c r="A1010" s="9"/>
    </row>
    <row r="1011" spans="1:1" x14ac:dyDescent="0.2">
      <c r="A1011" s="9"/>
    </row>
    <row r="1012" spans="1:1" x14ac:dyDescent="0.2">
      <c r="A1012" s="9"/>
    </row>
    <row r="1013" spans="1:1" x14ac:dyDescent="0.2">
      <c r="A1013" s="9"/>
    </row>
    <row r="1014" spans="1:1" x14ac:dyDescent="0.2">
      <c r="A1014" s="9"/>
    </row>
    <row r="1015" spans="1:1" x14ac:dyDescent="0.2">
      <c r="A1015" s="9"/>
    </row>
    <row r="1016" spans="1:1" x14ac:dyDescent="0.2">
      <c r="A1016" s="9"/>
    </row>
    <row r="1017" spans="1:1" x14ac:dyDescent="0.2">
      <c r="A1017" s="9"/>
    </row>
    <row r="1018" spans="1:1" x14ac:dyDescent="0.2">
      <c r="A1018" s="9"/>
    </row>
    <row r="1019" spans="1:1" x14ac:dyDescent="0.2">
      <c r="A1019" s="9"/>
    </row>
    <row r="1020" spans="1:1" x14ac:dyDescent="0.2">
      <c r="A1020" s="9"/>
    </row>
    <row r="1021" spans="1:1" x14ac:dyDescent="0.2">
      <c r="A1021" s="9"/>
    </row>
    <row r="1022" spans="1:1" x14ac:dyDescent="0.2">
      <c r="A1022" s="9"/>
    </row>
    <row r="1023" spans="1:1" x14ac:dyDescent="0.2">
      <c r="A1023" s="9"/>
    </row>
    <row r="1024" spans="1:1" x14ac:dyDescent="0.2">
      <c r="A1024" s="9"/>
    </row>
    <row r="1025" spans="1:1" x14ac:dyDescent="0.2">
      <c r="A1025" s="9"/>
    </row>
    <row r="1026" spans="1:1" x14ac:dyDescent="0.2">
      <c r="A1026" s="9"/>
    </row>
    <row r="1027" spans="1:1" x14ac:dyDescent="0.2">
      <c r="A1027" s="9"/>
    </row>
    <row r="1028" spans="1:1" x14ac:dyDescent="0.2">
      <c r="A1028" s="9"/>
    </row>
    <row r="1029" spans="1:1" x14ac:dyDescent="0.2">
      <c r="A1029" s="9"/>
    </row>
    <row r="1030" spans="1:1" x14ac:dyDescent="0.2">
      <c r="A1030" s="9"/>
    </row>
    <row r="1031" spans="1:1" x14ac:dyDescent="0.2">
      <c r="A1031" s="9"/>
    </row>
    <row r="1032" spans="1:1" x14ac:dyDescent="0.2">
      <c r="A1032" s="9"/>
    </row>
    <row r="1033" spans="1:1" x14ac:dyDescent="0.2">
      <c r="A1033" s="9"/>
    </row>
    <row r="1034" spans="1:1" x14ac:dyDescent="0.2">
      <c r="A1034" s="9"/>
    </row>
    <row r="1035" spans="1:1" x14ac:dyDescent="0.2">
      <c r="A1035" s="9"/>
    </row>
    <row r="1036" spans="1:1" x14ac:dyDescent="0.2">
      <c r="A1036" s="9"/>
    </row>
    <row r="1037" spans="1:1" x14ac:dyDescent="0.2">
      <c r="A1037" s="9"/>
    </row>
    <row r="1038" spans="1:1" x14ac:dyDescent="0.2">
      <c r="A1038" s="9"/>
    </row>
    <row r="1039" spans="1:1" x14ac:dyDescent="0.2">
      <c r="A1039" s="9"/>
    </row>
    <row r="1040" spans="1:1" x14ac:dyDescent="0.2">
      <c r="A1040" s="9"/>
    </row>
    <row r="1041" spans="1:1" x14ac:dyDescent="0.2">
      <c r="A1041" s="9"/>
    </row>
    <row r="1042" spans="1:1" x14ac:dyDescent="0.2">
      <c r="A1042" s="9"/>
    </row>
    <row r="1043" spans="1:1" x14ac:dyDescent="0.2">
      <c r="A1043" s="9"/>
    </row>
    <row r="1044" spans="1:1" x14ac:dyDescent="0.2">
      <c r="A1044" s="9"/>
    </row>
    <row r="1045" spans="1:1" x14ac:dyDescent="0.2">
      <c r="A1045" s="9"/>
    </row>
    <row r="1046" spans="1:1" x14ac:dyDescent="0.2">
      <c r="A1046" s="9"/>
    </row>
    <row r="1047" spans="1:1" x14ac:dyDescent="0.2">
      <c r="A1047" s="9"/>
    </row>
    <row r="1048" spans="1:1" x14ac:dyDescent="0.2">
      <c r="A1048" s="9"/>
    </row>
    <row r="1049" spans="1:1" x14ac:dyDescent="0.2">
      <c r="A1049" s="9"/>
    </row>
    <row r="1050" spans="1:1" x14ac:dyDescent="0.2">
      <c r="A1050" s="9"/>
    </row>
    <row r="1051" spans="1:1" x14ac:dyDescent="0.2">
      <c r="A1051" s="9"/>
    </row>
    <row r="1052" spans="1:1" x14ac:dyDescent="0.2">
      <c r="A1052" s="9"/>
    </row>
    <row r="1053" spans="1:1" x14ac:dyDescent="0.2">
      <c r="A1053" s="9"/>
    </row>
    <row r="1054" spans="1:1" x14ac:dyDescent="0.2">
      <c r="A1054" s="9"/>
    </row>
    <row r="1055" spans="1:1" x14ac:dyDescent="0.2">
      <c r="A1055" s="9"/>
    </row>
    <row r="1056" spans="1:1" x14ac:dyDescent="0.2">
      <c r="A1056" s="9"/>
    </row>
    <row r="1057" spans="1:1" x14ac:dyDescent="0.2">
      <c r="A1057" s="9"/>
    </row>
    <row r="1058" spans="1:1" x14ac:dyDescent="0.2">
      <c r="A1058" s="9"/>
    </row>
    <row r="1059" spans="1:1" x14ac:dyDescent="0.2">
      <c r="A1059" s="9"/>
    </row>
    <row r="1060" spans="1:1" x14ac:dyDescent="0.2">
      <c r="A1060" s="9"/>
    </row>
    <row r="1061" spans="1:1" x14ac:dyDescent="0.2">
      <c r="A1061" s="9"/>
    </row>
    <row r="1062" spans="1:1" x14ac:dyDescent="0.2">
      <c r="A1062" s="9"/>
    </row>
    <row r="1063" spans="1:1" x14ac:dyDescent="0.2">
      <c r="A1063" s="9"/>
    </row>
    <row r="1064" spans="1:1" x14ac:dyDescent="0.2">
      <c r="A1064" s="9"/>
    </row>
    <row r="1065" spans="1:1" x14ac:dyDescent="0.2">
      <c r="A1065" s="9"/>
    </row>
    <row r="1066" spans="1:1" x14ac:dyDescent="0.2">
      <c r="A1066" s="9"/>
    </row>
    <row r="1067" spans="1:1" x14ac:dyDescent="0.2">
      <c r="A1067" s="9"/>
    </row>
    <row r="1068" spans="1:1" x14ac:dyDescent="0.2">
      <c r="A1068" s="9"/>
    </row>
    <row r="1069" spans="1:1" x14ac:dyDescent="0.2">
      <c r="A1069" s="9"/>
    </row>
    <row r="1070" spans="1:1" x14ac:dyDescent="0.2">
      <c r="A1070" s="9"/>
    </row>
    <row r="1071" spans="1:1" x14ac:dyDescent="0.2">
      <c r="A1071" s="9"/>
    </row>
    <row r="1072" spans="1:1" x14ac:dyDescent="0.2">
      <c r="A1072" s="9"/>
    </row>
    <row r="1073" spans="1:1" x14ac:dyDescent="0.2">
      <c r="A1073" s="9"/>
    </row>
    <row r="1074" spans="1:1" x14ac:dyDescent="0.2">
      <c r="A1074" s="9"/>
    </row>
    <row r="1075" spans="1:1" x14ac:dyDescent="0.2">
      <c r="A1075" s="9"/>
    </row>
    <row r="1076" spans="1:1" x14ac:dyDescent="0.2">
      <c r="A1076" s="9"/>
    </row>
    <row r="1077" spans="1:1" x14ac:dyDescent="0.2">
      <c r="A1077" s="9"/>
    </row>
    <row r="1078" spans="1:1" x14ac:dyDescent="0.2">
      <c r="A1078" s="9"/>
    </row>
    <row r="1079" spans="1:1" x14ac:dyDescent="0.2">
      <c r="A1079" s="9"/>
    </row>
    <row r="1080" spans="1:1" x14ac:dyDescent="0.2">
      <c r="A1080" s="9"/>
    </row>
    <row r="1081" spans="1:1" x14ac:dyDescent="0.2">
      <c r="A1081" s="9"/>
    </row>
    <row r="1082" spans="1:1" x14ac:dyDescent="0.2">
      <c r="A1082" s="9"/>
    </row>
    <row r="1083" spans="1:1" x14ac:dyDescent="0.2">
      <c r="A1083" s="9"/>
    </row>
    <row r="1084" spans="1:1" x14ac:dyDescent="0.2">
      <c r="A1084" s="9"/>
    </row>
    <row r="1085" spans="1:1" x14ac:dyDescent="0.2">
      <c r="A1085" s="9"/>
    </row>
    <row r="1086" spans="1:1" x14ac:dyDescent="0.2">
      <c r="A1086" s="9"/>
    </row>
    <row r="1087" spans="1:1" x14ac:dyDescent="0.2">
      <c r="A1087" s="9"/>
    </row>
    <row r="1088" spans="1:1" x14ac:dyDescent="0.2">
      <c r="A1088" s="9"/>
    </row>
    <row r="1089" spans="1:1" x14ac:dyDescent="0.2">
      <c r="A1089" s="9"/>
    </row>
    <row r="1090" spans="1:1" x14ac:dyDescent="0.2">
      <c r="A1090" s="9"/>
    </row>
    <row r="1091" spans="1:1" x14ac:dyDescent="0.2">
      <c r="A1091" s="9"/>
    </row>
    <row r="1092" spans="1:1" x14ac:dyDescent="0.2">
      <c r="A1092" s="9"/>
    </row>
    <row r="1093" spans="1:1" x14ac:dyDescent="0.2">
      <c r="A1093" s="9"/>
    </row>
    <row r="1094" spans="1:1" x14ac:dyDescent="0.2">
      <c r="A1094" s="9"/>
    </row>
    <row r="1095" spans="1:1" x14ac:dyDescent="0.2">
      <c r="A1095" s="9"/>
    </row>
    <row r="1096" spans="1:1" x14ac:dyDescent="0.2">
      <c r="A1096" s="9"/>
    </row>
    <row r="1097" spans="1:1" x14ac:dyDescent="0.2">
      <c r="A1097" s="9"/>
    </row>
    <row r="1098" spans="1:1" x14ac:dyDescent="0.2">
      <c r="A1098" s="9"/>
    </row>
    <row r="1099" spans="1:1" x14ac:dyDescent="0.2">
      <c r="A1099" s="9"/>
    </row>
    <row r="1100" spans="1:1" x14ac:dyDescent="0.2">
      <c r="A1100" s="9"/>
    </row>
    <row r="1101" spans="1:1" x14ac:dyDescent="0.2">
      <c r="A1101" s="9"/>
    </row>
    <row r="1102" spans="1:1" x14ac:dyDescent="0.2">
      <c r="A1102" s="9"/>
    </row>
    <row r="1103" spans="1:1" x14ac:dyDescent="0.2">
      <c r="A1103" s="9"/>
    </row>
    <row r="1104" spans="1:1" x14ac:dyDescent="0.2">
      <c r="A1104" s="9"/>
    </row>
    <row r="1105" spans="1:1" x14ac:dyDescent="0.2">
      <c r="A1105" s="9"/>
    </row>
    <row r="1106" spans="1:1" x14ac:dyDescent="0.2">
      <c r="A1106" s="9"/>
    </row>
    <row r="1107" spans="1:1" x14ac:dyDescent="0.2">
      <c r="A1107" s="9"/>
    </row>
    <row r="1108" spans="1:1" x14ac:dyDescent="0.2">
      <c r="A1108" s="9"/>
    </row>
    <row r="1109" spans="1:1" x14ac:dyDescent="0.2">
      <c r="A1109" s="9"/>
    </row>
    <row r="1110" spans="1:1" x14ac:dyDescent="0.2">
      <c r="A1110" s="9"/>
    </row>
    <row r="1111" spans="1:1" x14ac:dyDescent="0.2">
      <c r="A1111" s="9"/>
    </row>
    <row r="1112" spans="1:1" x14ac:dyDescent="0.2">
      <c r="A1112" s="9"/>
    </row>
    <row r="1113" spans="1:1" x14ac:dyDescent="0.2">
      <c r="A1113" s="9"/>
    </row>
    <row r="1114" spans="1:1" x14ac:dyDescent="0.2">
      <c r="A1114" s="9"/>
    </row>
    <row r="1115" spans="1:1" x14ac:dyDescent="0.2">
      <c r="A1115" s="9"/>
    </row>
    <row r="1116" spans="1:1" x14ac:dyDescent="0.2">
      <c r="A1116" s="9"/>
    </row>
    <row r="1117" spans="1:1" x14ac:dyDescent="0.2">
      <c r="A1117" s="9"/>
    </row>
    <row r="1118" spans="1:1" x14ac:dyDescent="0.2">
      <c r="A1118" s="9"/>
    </row>
    <row r="1119" spans="1:1" x14ac:dyDescent="0.2">
      <c r="A1119" s="9"/>
    </row>
    <row r="1120" spans="1:1" x14ac:dyDescent="0.2">
      <c r="A1120" s="9"/>
    </row>
    <row r="1121" spans="1:1" x14ac:dyDescent="0.2">
      <c r="A1121" s="9"/>
    </row>
    <row r="1122" spans="1:1" x14ac:dyDescent="0.2">
      <c r="A1122" s="9"/>
    </row>
    <row r="1123" spans="1:1" x14ac:dyDescent="0.2">
      <c r="A1123" s="9"/>
    </row>
    <row r="1124" spans="1:1" x14ac:dyDescent="0.2">
      <c r="A1124" s="9"/>
    </row>
    <row r="1125" spans="1:1" x14ac:dyDescent="0.2">
      <c r="A1125" s="9"/>
    </row>
    <row r="1126" spans="1:1" x14ac:dyDescent="0.2">
      <c r="A1126" s="9"/>
    </row>
    <row r="1127" spans="1:1" x14ac:dyDescent="0.2">
      <c r="A1127" s="9"/>
    </row>
    <row r="1128" spans="1:1" x14ac:dyDescent="0.2">
      <c r="A1128" s="9"/>
    </row>
    <row r="1129" spans="1:1" x14ac:dyDescent="0.2">
      <c r="A1129" s="9"/>
    </row>
    <row r="1130" spans="1:1" x14ac:dyDescent="0.2">
      <c r="A1130" s="9"/>
    </row>
    <row r="1131" spans="1:1" x14ac:dyDescent="0.2">
      <c r="A1131" s="9"/>
    </row>
    <row r="1132" spans="1:1" x14ac:dyDescent="0.2">
      <c r="A1132" s="9"/>
    </row>
    <row r="1133" spans="1:1" x14ac:dyDescent="0.2">
      <c r="A1133" s="9"/>
    </row>
    <row r="1134" spans="1:1" x14ac:dyDescent="0.2">
      <c r="A1134" s="9"/>
    </row>
    <row r="1135" spans="1:1" x14ac:dyDescent="0.2">
      <c r="A1135" s="9"/>
    </row>
    <row r="1136" spans="1:1" x14ac:dyDescent="0.2">
      <c r="A1136" s="9"/>
    </row>
    <row r="1137" spans="1:1" x14ac:dyDescent="0.2">
      <c r="A1137" s="9"/>
    </row>
    <row r="1138" spans="1:1" x14ac:dyDescent="0.2">
      <c r="A1138" s="9"/>
    </row>
    <row r="1139" spans="1:1" x14ac:dyDescent="0.2">
      <c r="A1139" s="9"/>
    </row>
    <row r="1140" spans="1:1" x14ac:dyDescent="0.2">
      <c r="A1140" s="9"/>
    </row>
    <row r="1141" spans="1:1" x14ac:dyDescent="0.2">
      <c r="A1141" s="9"/>
    </row>
    <row r="1142" spans="1:1" x14ac:dyDescent="0.2">
      <c r="A1142" s="9"/>
    </row>
    <row r="1143" spans="1:1" x14ac:dyDescent="0.2">
      <c r="A1143" s="9"/>
    </row>
    <row r="1144" spans="1:1" x14ac:dyDescent="0.2">
      <c r="A1144" s="9"/>
    </row>
    <row r="1145" spans="1:1" x14ac:dyDescent="0.2">
      <c r="A1145" s="9"/>
    </row>
    <row r="1146" spans="1:1" x14ac:dyDescent="0.2">
      <c r="A1146" s="9"/>
    </row>
    <row r="1147" spans="1:1" x14ac:dyDescent="0.2">
      <c r="A1147" s="9"/>
    </row>
    <row r="1148" spans="1:1" x14ac:dyDescent="0.2">
      <c r="A1148" s="9"/>
    </row>
    <row r="1149" spans="1:1" x14ac:dyDescent="0.2">
      <c r="A1149" s="9"/>
    </row>
    <row r="1150" spans="1:1" x14ac:dyDescent="0.2">
      <c r="A1150" s="9"/>
    </row>
    <row r="1151" spans="1:1" x14ac:dyDescent="0.2">
      <c r="A1151" s="9"/>
    </row>
    <row r="1152" spans="1:1" x14ac:dyDescent="0.2">
      <c r="A1152" s="9"/>
    </row>
    <row r="1153" spans="1:1" x14ac:dyDescent="0.2">
      <c r="A1153" s="9"/>
    </row>
    <row r="1154" spans="1:1" x14ac:dyDescent="0.2">
      <c r="A1154" s="9"/>
    </row>
    <row r="1155" spans="1:1" x14ac:dyDescent="0.2">
      <c r="A1155" s="9"/>
    </row>
    <row r="1156" spans="1:1" x14ac:dyDescent="0.2">
      <c r="A1156" s="9"/>
    </row>
    <row r="1157" spans="1:1" x14ac:dyDescent="0.2">
      <c r="A1157" s="9"/>
    </row>
    <row r="1158" spans="1:1" x14ac:dyDescent="0.2">
      <c r="A1158" s="9"/>
    </row>
    <row r="1159" spans="1:1" x14ac:dyDescent="0.2">
      <c r="A1159" s="9"/>
    </row>
    <row r="1160" spans="1:1" x14ac:dyDescent="0.2">
      <c r="A1160" s="9"/>
    </row>
    <row r="1161" spans="1:1" x14ac:dyDescent="0.2">
      <c r="A1161" s="9"/>
    </row>
    <row r="1162" spans="1:1" x14ac:dyDescent="0.2">
      <c r="A1162" s="9"/>
    </row>
    <row r="1163" spans="1:1" x14ac:dyDescent="0.2">
      <c r="A1163" s="9"/>
    </row>
    <row r="1164" spans="1:1" x14ac:dyDescent="0.2">
      <c r="A1164" s="9"/>
    </row>
    <row r="1165" spans="1:1" x14ac:dyDescent="0.2">
      <c r="A1165" s="9"/>
    </row>
    <row r="1166" spans="1:1" x14ac:dyDescent="0.2">
      <c r="A1166" s="9"/>
    </row>
    <row r="1167" spans="1:1" x14ac:dyDescent="0.2">
      <c r="A1167" s="9"/>
    </row>
    <row r="1168" spans="1:1" x14ac:dyDescent="0.2">
      <c r="A1168" s="9"/>
    </row>
    <row r="1169" spans="1:1" x14ac:dyDescent="0.2">
      <c r="A1169" s="9"/>
    </row>
    <row r="1170" spans="1:1" x14ac:dyDescent="0.2">
      <c r="A1170" s="9"/>
    </row>
    <row r="1171" spans="1:1" x14ac:dyDescent="0.2">
      <c r="A1171" s="9"/>
    </row>
    <row r="1172" spans="1:1" x14ac:dyDescent="0.2">
      <c r="A1172" s="9"/>
    </row>
    <row r="1173" spans="1:1" x14ac:dyDescent="0.2">
      <c r="A1173" s="9"/>
    </row>
    <row r="1174" spans="1:1" x14ac:dyDescent="0.2">
      <c r="A1174" s="9"/>
    </row>
    <row r="1175" spans="1:1" x14ac:dyDescent="0.2">
      <c r="A1175" s="9"/>
    </row>
    <row r="1176" spans="1:1" x14ac:dyDescent="0.2">
      <c r="A1176" s="9"/>
    </row>
    <row r="1177" spans="1:1" x14ac:dyDescent="0.2">
      <c r="A1177" s="9"/>
    </row>
    <row r="1178" spans="1:1" x14ac:dyDescent="0.2">
      <c r="A1178" s="9"/>
    </row>
    <row r="1179" spans="1:1" x14ac:dyDescent="0.2">
      <c r="A1179" s="9"/>
    </row>
    <row r="1180" spans="1:1" x14ac:dyDescent="0.2">
      <c r="A1180" s="9"/>
    </row>
    <row r="1181" spans="1:1" x14ac:dyDescent="0.2">
      <c r="A1181" s="9"/>
    </row>
    <row r="1182" spans="1:1" x14ac:dyDescent="0.2">
      <c r="A1182" s="9"/>
    </row>
    <row r="1183" spans="1:1" x14ac:dyDescent="0.2">
      <c r="A1183" s="9"/>
    </row>
    <row r="1184" spans="1:1" x14ac:dyDescent="0.2">
      <c r="A1184" s="9"/>
    </row>
    <row r="1185" spans="1:1" x14ac:dyDescent="0.2">
      <c r="A1185" s="9"/>
    </row>
    <row r="1186" spans="1:1" x14ac:dyDescent="0.2">
      <c r="A1186" s="9"/>
    </row>
    <row r="1187" spans="1:1" x14ac:dyDescent="0.2">
      <c r="A1187" s="9"/>
    </row>
    <row r="1188" spans="1:1" x14ac:dyDescent="0.2">
      <c r="A1188" s="9"/>
    </row>
    <row r="1189" spans="1:1" x14ac:dyDescent="0.2">
      <c r="A1189" s="9"/>
    </row>
    <row r="1190" spans="1:1" x14ac:dyDescent="0.2">
      <c r="A1190" s="9"/>
    </row>
    <row r="1191" spans="1:1" x14ac:dyDescent="0.2">
      <c r="A1191" s="9"/>
    </row>
    <row r="1192" spans="1:1" x14ac:dyDescent="0.2">
      <c r="A1192" s="9"/>
    </row>
    <row r="1193" spans="1:1" x14ac:dyDescent="0.2">
      <c r="A1193" s="9"/>
    </row>
    <row r="1194" spans="1:1" x14ac:dyDescent="0.2">
      <c r="A1194" s="9"/>
    </row>
    <row r="1195" spans="1:1" x14ac:dyDescent="0.2">
      <c r="A1195" s="9"/>
    </row>
    <row r="1196" spans="1:1" x14ac:dyDescent="0.2">
      <c r="A1196" s="9"/>
    </row>
    <row r="1197" spans="1:1" x14ac:dyDescent="0.2">
      <c r="A1197" s="9"/>
    </row>
    <row r="1198" spans="1:1" x14ac:dyDescent="0.2">
      <c r="A1198" s="9"/>
    </row>
    <row r="1199" spans="1:1" x14ac:dyDescent="0.2">
      <c r="A1199" s="9"/>
    </row>
    <row r="1200" spans="1:1" x14ac:dyDescent="0.2">
      <c r="A1200" s="9"/>
    </row>
    <row r="1201" spans="1:1" x14ac:dyDescent="0.2">
      <c r="A1201" s="9"/>
    </row>
    <row r="1202" spans="1:1" x14ac:dyDescent="0.2">
      <c r="A1202" s="9"/>
    </row>
    <row r="1203" spans="1:1" x14ac:dyDescent="0.2">
      <c r="A1203" s="9"/>
    </row>
    <row r="1204" spans="1:1" x14ac:dyDescent="0.2">
      <c r="A1204" s="9"/>
    </row>
    <row r="1205" spans="1:1" x14ac:dyDescent="0.2">
      <c r="A1205" s="9"/>
    </row>
    <row r="1206" spans="1:1" x14ac:dyDescent="0.2">
      <c r="A1206" s="9"/>
    </row>
    <row r="1207" spans="1:1" x14ac:dyDescent="0.2">
      <c r="A1207" s="9"/>
    </row>
    <row r="1208" spans="1:1" x14ac:dyDescent="0.2">
      <c r="A1208" s="9"/>
    </row>
    <row r="1209" spans="1:1" x14ac:dyDescent="0.2">
      <c r="A1209" s="9"/>
    </row>
    <row r="1210" spans="1:1" x14ac:dyDescent="0.2">
      <c r="A1210" s="9"/>
    </row>
    <row r="1211" spans="1:1" x14ac:dyDescent="0.2">
      <c r="A1211" s="9"/>
    </row>
    <row r="1212" spans="1:1" x14ac:dyDescent="0.2">
      <c r="A1212" s="9"/>
    </row>
    <row r="1213" spans="1:1" x14ac:dyDescent="0.2">
      <c r="A1213" s="9"/>
    </row>
    <row r="1214" spans="1:1" x14ac:dyDescent="0.2">
      <c r="A1214" s="9"/>
    </row>
    <row r="1215" spans="1:1" x14ac:dyDescent="0.2">
      <c r="A1215" s="9"/>
    </row>
    <row r="1216" spans="1:1" x14ac:dyDescent="0.2">
      <c r="A1216" s="9"/>
    </row>
    <row r="1217" spans="1:1" x14ac:dyDescent="0.2">
      <c r="A1217" s="9"/>
    </row>
    <row r="1218" spans="1:1" x14ac:dyDescent="0.2">
      <c r="A1218" s="9"/>
    </row>
    <row r="1219" spans="1:1" x14ac:dyDescent="0.2">
      <c r="A1219" s="9"/>
    </row>
    <row r="1220" spans="1:1" x14ac:dyDescent="0.2">
      <c r="A1220" s="9"/>
    </row>
    <row r="1221" spans="1:1" x14ac:dyDescent="0.2">
      <c r="A1221" s="9"/>
    </row>
    <row r="1222" spans="1:1" x14ac:dyDescent="0.2">
      <c r="A1222" s="9"/>
    </row>
    <row r="1223" spans="1:1" x14ac:dyDescent="0.2">
      <c r="A1223" s="9"/>
    </row>
    <row r="1224" spans="1:1" x14ac:dyDescent="0.2">
      <c r="A1224" s="9"/>
    </row>
    <row r="1225" spans="1:1" x14ac:dyDescent="0.2">
      <c r="A1225" s="9"/>
    </row>
    <row r="1226" spans="1:1" x14ac:dyDescent="0.2">
      <c r="A1226" s="9"/>
    </row>
    <row r="1227" spans="1:1" x14ac:dyDescent="0.2">
      <c r="A1227" s="9"/>
    </row>
    <row r="1228" spans="1:1" x14ac:dyDescent="0.2">
      <c r="A1228" s="9"/>
    </row>
    <row r="1229" spans="1:1" x14ac:dyDescent="0.2">
      <c r="A1229" s="9"/>
    </row>
    <row r="1230" spans="1:1" x14ac:dyDescent="0.2">
      <c r="A1230" s="9"/>
    </row>
    <row r="1231" spans="1:1" x14ac:dyDescent="0.2">
      <c r="A1231" s="9"/>
    </row>
    <row r="1232" spans="1:1" x14ac:dyDescent="0.2">
      <c r="A1232" s="9"/>
    </row>
    <row r="1233" spans="1:1" x14ac:dyDescent="0.2">
      <c r="A1233" s="9"/>
    </row>
    <row r="1234" spans="1:1" x14ac:dyDescent="0.2">
      <c r="A1234" s="9"/>
    </row>
    <row r="1235" spans="1:1" x14ac:dyDescent="0.2">
      <c r="A1235" s="9"/>
    </row>
    <row r="1236" spans="1:1" x14ac:dyDescent="0.2">
      <c r="A1236" s="9"/>
    </row>
    <row r="1237" spans="1:1" x14ac:dyDescent="0.2">
      <c r="A1237" s="9"/>
    </row>
    <row r="1238" spans="1:1" x14ac:dyDescent="0.2">
      <c r="A1238" s="9"/>
    </row>
    <row r="1239" spans="1:1" x14ac:dyDescent="0.2">
      <c r="A1239" s="9"/>
    </row>
    <row r="1240" spans="1:1" x14ac:dyDescent="0.2">
      <c r="A1240" s="9"/>
    </row>
    <row r="1241" spans="1:1" x14ac:dyDescent="0.2">
      <c r="A1241" s="9"/>
    </row>
    <row r="1242" spans="1:1" x14ac:dyDescent="0.2">
      <c r="A1242" s="9"/>
    </row>
    <row r="1243" spans="1:1" x14ac:dyDescent="0.2">
      <c r="A1243" s="9"/>
    </row>
    <row r="1244" spans="1:1" x14ac:dyDescent="0.2">
      <c r="A1244" s="9"/>
    </row>
    <row r="1245" spans="1:1" x14ac:dyDescent="0.2">
      <c r="A1245" s="9"/>
    </row>
    <row r="1246" spans="1:1" x14ac:dyDescent="0.2">
      <c r="A1246" s="9"/>
    </row>
    <row r="1247" spans="1:1" x14ac:dyDescent="0.2">
      <c r="A1247" s="9"/>
    </row>
    <row r="1248" spans="1:1" x14ac:dyDescent="0.2">
      <c r="A1248" s="9"/>
    </row>
    <row r="1249" spans="1:1" x14ac:dyDescent="0.2">
      <c r="A1249" s="9"/>
    </row>
    <row r="1250" spans="1:1" x14ac:dyDescent="0.2">
      <c r="A1250" s="9"/>
    </row>
    <row r="1251" spans="1:1" x14ac:dyDescent="0.2">
      <c r="A1251" s="9"/>
    </row>
    <row r="1252" spans="1:1" x14ac:dyDescent="0.2">
      <c r="A1252" s="9"/>
    </row>
    <row r="1253" spans="1:1" x14ac:dyDescent="0.2">
      <c r="A1253" s="9"/>
    </row>
    <row r="1254" spans="1:1" x14ac:dyDescent="0.2">
      <c r="A1254" s="9"/>
    </row>
    <row r="1255" spans="1:1" x14ac:dyDescent="0.2">
      <c r="A1255" s="9"/>
    </row>
    <row r="1256" spans="1:1" x14ac:dyDescent="0.2">
      <c r="A1256" s="9"/>
    </row>
    <row r="1257" spans="1:1" x14ac:dyDescent="0.2">
      <c r="A1257" s="9"/>
    </row>
    <row r="1258" spans="1:1" x14ac:dyDescent="0.2">
      <c r="A1258" s="9"/>
    </row>
    <row r="1259" spans="1:1" x14ac:dyDescent="0.2">
      <c r="A1259" s="9"/>
    </row>
    <row r="1260" spans="1:1" x14ac:dyDescent="0.2">
      <c r="A1260" s="9"/>
    </row>
    <row r="1261" spans="1:1" x14ac:dyDescent="0.2">
      <c r="A1261" s="9"/>
    </row>
    <row r="1262" spans="1:1" x14ac:dyDescent="0.2">
      <c r="A1262" s="9"/>
    </row>
    <row r="1263" spans="1:1" x14ac:dyDescent="0.2">
      <c r="A1263" s="9"/>
    </row>
    <row r="1264" spans="1:1" x14ac:dyDescent="0.2">
      <c r="A1264" s="9"/>
    </row>
    <row r="1265" spans="1:1" x14ac:dyDescent="0.2">
      <c r="A1265" s="9"/>
    </row>
    <row r="1266" spans="1:1" x14ac:dyDescent="0.2">
      <c r="A1266" s="9"/>
    </row>
    <row r="1267" spans="1:1" x14ac:dyDescent="0.2">
      <c r="A1267" s="9"/>
    </row>
    <row r="1268" spans="1:1" x14ac:dyDescent="0.2">
      <c r="A1268" s="9"/>
    </row>
    <row r="1269" spans="1:1" x14ac:dyDescent="0.2">
      <c r="A1269" s="9"/>
    </row>
    <row r="1270" spans="1:1" x14ac:dyDescent="0.2">
      <c r="A1270" s="9"/>
    </row>
    <row r="1271" spans="1:1" x14ac:dyDescent="0.2">
      <c r="A1271" s="9"/>
    </row>
    <row r="1272" spans="1:1" x14ac:dyDescent="0.2">
      <c r="A1272" s="9"/>
    </row>
    <row r="1273" spans="1:1" x14ac:dyDescent="0.2">
      <c r="A1273" s="9"/>
    </row>
    <row r="1274" spans="1:1" x14ac:dyDescent="0.2">
      <c r="A1274" s="9"/>
    </row>
    <row r="1275" spans="1:1" x14ac:dyDescent="0.2">
      <c r="A1275" s="9"/>
    </row>
    <row r="1276" spans="1:1" x14ac:dyDescent="0.2">
      <c r="A1276" s="9"/>
    </row>
    <row r="1277" spans="1:1" x14ac:dyDescent="0.2">
      <c r="A1277" s="9"/>
    </row>
    <row r="1278" spans="1:1" x14ac:dyDescent="0.2">
      <c r="A1278" s="9"/>
    </row>
    <row r="1279" spans="1:1" x14ac:dyDescent="0.2">
      <c r="A1279" s="9"/>
    </row>
    <row r="1280" spans="1:1" x14ac:dyDescent="0.2">
      <c r="A1280" s="9"/>
    </row>
    <row r="1281" spans="1:1" x14ac:dyDescent="0.2">
      <c r="A1281" s="9"/>
    </row>
    <row r="1282" spans="1:1" x14ac:dyDescent="0.2">
      <c r="A1282" s="9"/>
    </row>
    <row r="1283" spans="1:1" x14ac:dyDescent="0.2">
      <c r="A1283" s="9"/>
    </row>
    <row r="1284" spans="1:1" x14ac:dyDescent="0.2">
      <c r="A1284" s="9"/>
    </row>
    <row r="1285" spans="1:1" x14ac:dyDescent="0.2">
      <c r="A1285" s="9"/>
    </row>
    <row r="1286" spans="1:1" x14ac:dyDescent="0.2">
      <c r="A1286" s="9"/>
    </row>
    <row r="1287" spans="1:1" x14ac:dyDescent="0.2">
      <c r="A1287" s="9"/>
    </row>
    <row r="1288" spans="1:1" x14ac:dyDescent="0.2">
      <c r="A1288" s="9"/>
    </row>
    <row r="1289" spans="1:1" x14ac:dyDescent="0.2">
      <c r="A1289" s="9"/>
    </row>
    <row r="1290" spans="1:1" x14ac:dyDescent="0.2">
      <c r="A1290" s="9"/>
    </row>
    <row r="1291" spans="1:1" x14ac:dyDescent="0.2">
      <c r="A1291" s="9"/>
    </row>
    <row r="1292" spans="1:1" x14ac:dyDescent="0.2">
      <c r="A1292" s="9"/>
    </row>
    <row r="1293" spans="1:1" x14ac:dyDescent="0.2">
      <c r="A1293" s="9"/>
    </row>
    <row r="1294" spans="1:1" x14ac:dyDescent="0.2">
      <c r="A1294" s="9"/>
    </row>
    <row r="1295" spans="1:1" x14ac:dyDescent="0.2">
      <c r="A1295" s="9"/>
    </row>
    <row r="1296" spans="1:1" x14ac:dyDescent="0.2">
      <c r="A1296" s="9"/>
    </row>
    <row r="1297" spans="1:1" x14ac:dyDescent="0.2">
      <c r="A1297" s="9"/>
    </row>
    <row r="1298" spans="1:1" x14ac:dyDescent="0.2">
      <c r="A1298" s="9"/>
    </row>
    <row r="1299" spans="1:1" x14ac:dyDescent="0.2">
      <c r="A1299" s="9"/>
    </row>
    <row r="1300" spans="1:1" x14ac:dyDescent="0.2">
      <c r="A1300" s="9"/>
    </row>
    <row r="1301" spans="1:1" x14ac:dyDescent="0.2">
      <c r="A1301" s="9"/>
    </row>
    <row r="1302" spans="1:1" x14ac:dyDescent="0.2">
      <c r="A1302" s="9"/>
    </row>
    <row r="1303" spans="1:1" x14ac:dyDescent="0.2">
      <c r="A1303" s="9"/>
    </row>
    <row r="1304" spans="1:1" x14ac:dyDescent="0.2">
      <c r="A1304" s="9"/>
    </row>
    <row r="1305" spans="1:1" x14ac:dyDescent="0.2">
      <c r="A1305" s="9"/>
    </row>
    <row r="1306" spans="1:1" x14ac:dyDescent="0.2">
      <c r="A1306" s="9"/>
    </row>
    <row r="1307" spans="1:1" x14ac:dyDescent="0.2">
      <c r="A1307" s="9"/>
    </row>
    <row r="1308" spans="1:1" x14ac:dyDescent="0.2">
      <c r="A1308" s="9"/>
    </row>
    <row r="1309" spans="1:1" x14ac:dyDescent="0.2">
      <c r="A1309" s="9"/>
    </row>
    <row r="1310" spans="1:1" x14ac:dyDescent="0.2">
      <c r="A1310" s="9"/>
    </row>
    <row r="1311" spans="1:1" x14ac:dyDescent="0.2">
      <c r="A1311" s="9"/>
    </row>
    <row r="1312" spans="1:1" x14ac:dyDescent="0.2">
      <c r="A1312" s="9"/>
    </row>
    <row r="1313" spans="1:1" x14ac:dyDescent="0.2">
      <c r="A1313" s="9"/>
    </row>
    <row r="1314" spans="1:1" x14ac:dyDescent="0.2">
      <c r="A1314" s="9"/>
    </row>
    <row r="1315" spans="1:1" x14ac:dyDescent="0.2">
      <c r="A1315" s="9"/>
    </row>
    <row r="1316" spans="1:1" x14ac:dyDescent="0.2">
      <c r="A1316" s="9"/>
    </row>
    <row r="1317" spans="1:1" x14ac:dyDescent="0.2">
      <c r="A1317" s="9"/>
    </row>
    <row r="1318" spans="1:1" x14ac:dyDescent="0.2">
      <c r="A1318" s="9"/>
    </row>
    <row r="1319" spans="1:1" x14ac:dyDescent="0.2">
      <c r="A1319" s="9"/>
    </row>
    <row r="1320" spans="1:1" x14ac:dyDescent="0.2">
      <c r="A1320" s="9"/>
    </row>
    <row r="1321" spans="1:1" x14ac:dyDescent="0.2">
      <c r="A1321" s="9"/>
    </row>
    <row r="1322" spans="1:1" x14ac:dyDescent="0.2">
      <c r="A1322" s="9"/>
    </row>
    <row r="1323" spans="1:1" x14ac:dyDescent="0.2">
      <c r="A1323" s="9"/>
    </row>
    <row r="1324" spans="1:1" x14ac:dyDescent="0.2">
      <c r="A1324" s="9"/>
    </row>
    <row r="1325" spans="1:1" x14ac:dyDescent="0.2">
      <c r="A1325" s="9"/>
    </row>
    <row r="1326" spans="1:1" x14ac:dyDescent="0.2">
      <c r="A1326" s="9"/>
    </row>
    <row r="1327" spans="1:1" x14ac:dyDescent="0.2">
      <c r="A1327" s="9"/>
    </row>
    <row r="1328" spans="1:1" x14ac:dyDescent="0.2">
      <c r="A1328" s="9"/>
    </row>
    <row r="1329" spans="1:1" x14ac:dyDescent="0.2">
      <c r="A1329" s="9"/>
    </row>
    <row r="1330" spans="1:1" x14ac:dyDescent="0.2">
      <c r="A1330" s="9"/>
    </row>
    <row r="1331" spans="1:1" x14ac:dyDescent="0.2">
      <c r="A1331" s="9"/>
    </row>
    <row r="1332" spans="1:1" x14ac:dyDescent="0.2">
      <c r="A1332" s="9"/>
    </row>
    <row r="1333" spans="1:1" x14ac:dyDescent="0.2">
      <c r="A1333" s="9"/>
    </row>
    <row r="1334" spans="1:1" x14ac:dyDescent="0.2">
      <c r="A1334" s="9"/>
    </row>
    <row r="1335" spans="1:1" x14ac:dyDescent="0.2">
      <c r="A1335" s="9"/>
    </row>
    <row r="1336" spans="1:1" x14ac:dyDescent="0.2">
      <c r="A1336" s="9"/>
    </row>
    <row r="1337" spans="1:1" x14ac:dyDescent="0.2">
      <c r="A1337" s="9"/>
    </row>
    <row r="1338" spans="1:1" x14ac:dyDescent="0.2">
      <c r="A1338" s="9"/>
    </row>
    <row r="1339" spans="1:1" x14ac:dyDescent="0.2">
      <c r="A1339" s="9"/>
    </row>
    <row r="1340" spans="1:1" x14ac:dyDescent="0.2">
      <c r="A1340" s="9"/>
    </row>
    <row r="1341" spans="1:1" x14ac:dyDescent="0.2">
      <c r="A1341" s="9"/>
    </row>
    <row r="1342" spans="1:1" x14ac:dyDescent="0.2">
      <c r="A1342" s="9"/>
    </row>
    <row r="1343" spans="1:1" x14ac:dyDescent="0.2">
      <c r="A1343" s="9"/>
    </row>
    <row r="1344" spans="1:1" x14ac:dyDescent="0.2">
      <c r="A1344" s="9"/>
    </row>
    <row r="1345" spans="1:1" x14ac:dyDescent="0.2">
      <c r="A1345" s="9"/>
    </row>
    <row r="1346" spans="1:1" x14ac:dyDescent="0.2">
      <c r="A1346" s="9"/>
    </row>
    <row r="1347" spans="1:1" x14ac:dyDescent="0.2">
      <c r="A1347" s="9"/>
    </row>
    <row r="1348" spans="1:1" x14ac:dyDescent="0.2">
      <c r="A1348" s="9"/>
    </row>
    <row r="1349" spans="1:1" x14ac:dyDescent="0.2">
      <c r="A1349" s="9"/>
    </row>
    <row r="1350" spans="1:1" x14ac:dyDescent="0.2">
      <c r="A1350" s="9"/>
    </row>
    <row r="1351" spans="1:1" x14ac:dyDescent="0.2">
      <c r="A1351" s="9"/>
    </row>
    <row r="1352" spans="1:1" x14ac:dyDescent="0.2">
      <c r="A1352" s="9"/>
    </row>
    <row r="1353" spans="1:1" x14ac:dyDescent="0.2">
      <c r="A1353" s="9"/>
    </row>
    <row r="1354" spans="1:1" x14ac:dyDescent="0.2">
      <c r="A1354" s="9"/>
    </row>
    <row r="1355" spans="1:1" x14ac:dyDescent="0.2">
      <c r="A1355" s="9"/>
    </row>
    <row r="1356" spans="1:1" x14ac:dyDescent="0.2">
      <c r="A1356" s="9"/>
    </row>
    <row r="1357" spans="1:1" x14ac:dyDescent="0.2">
      <c r="A1357" s="9"/>
    </row>
    <row r="1358" spans="1:1" x14ac:dyDescent="0.2">
      <c r="A1358" s="9"/>
    </row>
    <row r="1359" spans="1:1" x14ac:dyDescent="0.2">
      <c r="A1359" s="9"/>
    </row>
    <row r="1360" spans="1:1" x14ac:dyDescent="0.2">
      <c r="A1360" s="9"/>
    </row>
    <row r="1361" spans="1:1" x14ac:dyDescent="0.2">
      <c r="A1361" s="9"/>
    </row>
    <row r="1362" spans="1:1" x14ac:dyDescent="0.2">
      <c r="A1362" s="9"/>
    </row>
    <row r="1363" spans="1:1" x14ac:dyDescent="0.2">
      <c r="A1363" s="9"/>
    </row>
    <row r="1364" spans="1:1" x14ac:dyDescent="0.2">
      <c r="A1364" s="9"/>
    </row>
    <row r="1365" spans="1:1" x14ac:dyDescent="0.2">
      <c r="A1365" s="9"/>
    </row>
    <row r="1366" spans="1:1" x14ac:dyDescent="0.2">
      <c r="A1366" s="9"/>
    </row>
    <row r="1367" spans="1:1" x14ac:dyDescent="0.2">
      <c r="A1367" s="9"/>
    </row>
    <row r="1368" spans="1:1" x14ac:dyDescent="0.2">
      <c r="A1368" s="9"/>
    </row>
    <row r="1369" spans="1:1" x14ac:dyDescent="0.2">
      <c r="A1369" s="9"/>
    </row>
    <row r="1370" spans="1:1" x14ac:dyDescent="0.2">
      <c r="A1370" s="9"/>
    </row>
    <row r="1371" spans="1:1" x14ac:dyDescent="0.2">
      <c r="A1371" s="9"/>
    </row>
    <row r="1372" spans="1:1" x14ac:dyDescent="0.2">
      <c r="A1372" s="9"/>
    </row>
    <row r="1373" spans="1:1" x14ac:dyDescent="0.2">
      <c r="A1373" s="9"/>
    </row>
    <row r="1374" spans="1:1" x14ac:dyDescent="0.2">
      <c r="A1374" s="9"/>
    </row>
    <row r="1375" spans="1:1" x14ac:dyDescent="0.2">
      <c r="A1375" s="9"/>
    </row>
    <row r="1376" spans="1:1" x14ac:dyDescent="0.2">
      <c r="A1376" s="9"/>
    </row>
    <row r="1377" spans="1:1" x14ac:dyDescent="0.2">
      <c r="A1377" s="9"/>
    </row>
    <row r="1378" spans="1:1" x14ac:dyDescent="0.2">
      <c r="A1378" s="9"/>
    </row>
    <row r="1379" spans="1:1" x14ac:dyDescent="0.2">
      <c r="A1379" s="9"/>
    </row>
    <row r="1380" spans="1:1" x14ac:dyDescent="0.2">
      <c r="A1380" s="9"/>
    </row>
    <row r="1381" spans="1:1" x14ac:dyDescent="0.2">
      <c r="A1381" s="9"/>
    </row>
    <row r="1382" spans="1:1" x14ac:dyDescent="0.2">
      <c r="A1382" s="9"/>
    </row>
    <row r="1383" spans="1:1" x14ac:dyDescent="0.2">
      <c r="A1383" s="9"/>
    </row>
    <row r="1384" spans="1:1" x14ac:dyDescent="0.2">
      <c r="A1384" s="9"/>
    </row>
    <row r="1385" spans="1:1" x14ac:dyDescent="0.2">
      <c r="A1385" s="9"/>
    </row>
    <row r="1386" spans="1:1" x14ac:dyDescent="0.2">
      <c r="A1386" s="9"/>
    </row>
    <row r="1387" spans="1:1" x14ac:dyDescent="0.2">
      <c r="A1387" s="9"/>
    </row>
    <row r="1388" spans="1:1" x14ac:dyDescent="0.2">
      <c r="A1388" s="9"/>
    </row>
    <row r="1389" spans="1:1" x14ac:dyDescent="0.2">
      <c r="A1389" s="9"/>
    </row>
    <row r="1390" spans="1:1" x14ac:dyDescent="0.2">
      <c r="A1390" s="9"/>
    </row>
    <row r="1391" spans="1:1" x14ac:dyDescent="0.2">
      <c r="A1391" s="9"/>
    </row>
    <row r="1392" spans="1:1" x14ac:dyDescent="0.2">
      <c r="A1392" s="9"/>
    </row>
    <row r="1393" spans="1:1" x14ac:dyDescent="0.2">
      <c r="A1393" s="9"/>
    </row>
    <row r="1394" spans="1:1" x14ac:dyDescent="0.2">
      <c r="A1394" s="9"/>
    </row>
    <row r="1395" spans="1:1" x14ac:dyDescent="0.2">
      <c r="A1395" s="9"/>
    </row>
    <row r="1396" spans="1:1" x14ac:dyDescent="0.2">
      <c r="A1396" s="9"/>
    </row>
    <row r="1397" spans="1:1" x14ac:dyDescent="0.2">
      <c r="A1397" s="9"/>
    </row>
    <row r="1398" spans="1:1" x14ac:dyDescent="0.2">
      <c r="A1398" s="9"/>
    </row>
    <row r="1399" spans="1:1" x14ac:dyDescent="0.2">
      <c r="A1399" s="9"/>
    </row>
    <row r="1400" spans="1:1" x14ac:dyDescent="0.2">
      <c r="A1400" s="9"/>
    </row>
    <row r="1401" spans="1:1" x14ac:dyDescent="0.2">
      <c r="A1401" s="9"/>
    </row>
    <row r="1402" spans="1:1" x14ac:dyDescent="0.2">
      <c r="A1402" s="9"/>
    </row>
    <row r="1403" spans="1:1" x14ac:dyDescent="0.2">
      <c r="A1403" s="9"/>
    </row>
    <row r="1404" spans="1:1" x14ac:dyDescent="0.2">
      <c r="A1404" s="9"/>
    </row>
    <row r="1405" spans="1:1" x14ac:dyDescent="0.2">
      <c r="A1405" s="9"/>
    </row>
    <row r="1406" spans="1:1" x14ac:dyDescent="0.2">
      <c r="A1406" s="9"/>
    </row>
    <row r="1407" spans="1:1" x14ac:dyDescent="0.2">
      <c r="A1407" s="9"/>
    </row>
    <row r="1408" spans="1:1" x14ac:dyDescent="0.2">
      <c r="A1408" s="9"/>
    </row>
    <row r="1409" spans="1:1" x14ac:dyDescent="0.2">
      <c r="A1409" s="9"/>
    </row>
    <row r="1410" spans="1:1" x14ac:dyDescent="0.2">
      <c r="A1410" s="9"/>
    </row>
    <row r="1411" spans="1:1" x14ac:dyDescent="0.2">
      <c r="A1411" s="9"/>
    </row>
    <row r="1412" spans="1:1" x14ac:dyDescent="0.2">
      <c r="A1412" s="9"/>
    </row>
    <row r="1413" spans="1:1" x14ac:dyDescent="0.2">
      <c r="A1413" s="9"/>
    </row>
    <row r="1414" spans="1:1" x14ac:dyDescent="0.2">
      <c r="A1414" s="9"/>
    </row>
    <row r="1415" spans="1:1" x14ac:dyDescent="0.2">
      <c r="A1415" s="9"/>
    </row>
    <row r="1416" spans="1:1" x14ac:dyDescent="0.2">
      <c r="A1416" s="9"/>
    </row>
    <row r="1417" spans="1:1" x14ac:dyDescent="0.2">
      <c r="A1417" s="9"/>
    </row>
    <row r="1418" spans="1:1" x14ac:dyDescent="0.2">
      <c r="A1418" s="9"/>
    </row>
    <row r="1419" spans="1:1" x14ac:dyDescent="0.2">
      <c r="A1419" s="9"/>
    </row>
    <row r="1420" spans="1:1" x14ac:dyDescent="0.2">
      <c r="A1420" s="9"/>
    </row>
    <row r="1421" spans="1:1" x14ac:dyDescent="0.2">
      <c r="A1421" s="9"/>
    </row>
    <row r="1422" spans="1:1" x14ac:dyDescent="0.2">
      <c r="A1422" s="9"/>
    </row>
    <row r="1423" spans="1:1" x14ac:dyDescent="0.2">
      <c r="A1423" s="9"/>
    </row>
    <row r="1424" spans="1:1" x14ac:dyDescent="0.2">
      <c r="A1424" s="9"/>
    </row>
    <row r="1425" spans="1:1" x14ac:dyDescent="0.2">
      <c r="A1425" s="9"/>
    </row>
    <row r="1426" spans="1:1" x14ac:dyDescent="0.2">
      <c r="A1426" s="9"/>
    </row>
    <row r="1427" spans="1:1" x14ac:dyDescent="0.2">
      <c r="A1427" s="9"/>
    </row>
    <row r="1428" spans="1:1" x14ac:dyDescent="0.2">
      <c r="A1428" s="9"/>
    </row>
    <row r="1429" spans="1:1" x14ac:dyDescent="0.2">
      <c r="A1429" s="9"/>
    </row>
    <row r="1430" spans="1:1" x14ac:dyDescent="0.2">
      <c r="A1430" s="9"/>
    </row>
    <row r="1431" spans="1:1" x14ac:dyDescent="0.2">
      <c r="A1431" s="9"/>
    </row>
    <row r="1432" spans="1:1" x14ac:dyDescent="0.2">
      <c r="A1432" s="9"/>
    </row>
    <row r="1433" spans="1:1" x14ac:dyDescent="0.2">
      <c r="A1433" s="9"/>
    </row>
    <row r="1434" spans="1:1" x14ac:dyDescent="0.2">
      <c r="A1434" s="9"/>
    </row>
    <row r="1435" spans="1:1" x14ac:dyDescent="0.2">
      <c r="A1435" s="9"/>
    </row>
    <row r="1436" spans="1:1" x14ac:dyDescent="0.2">
      <c r="A1436" s="9"/>
    </row>
    <row r="1437" spans="1:1" x14ac:dyDescent="0.2">
      <c r="A1437" s="9"/>
    </row>
    <row r="1438" spans="1:1" x14ac:dyDescent="0.2">
      <c r="A1438" s="9"/>
    </row>
    <row r="1439" spans="1:1" x14ac:dyDescent="0.2">
      <c r="A1439" s="9"/>
    </row>
    <row r="1440" spans="1:1" x14ac:dyDescent="0.2">
      <c r="A1440" s="9"/>
    </row>
    <row r="1441" spans="1:1" x14ac:dyDescent="0.2">
      <c r="A1441" s="9"/>
    </row>
    <row r="1442" spans="1:1" x14ac:dyDescent="0.2">
      <c r="A1442" s="9"/>
    </row>
    <row r="1443" spans="1:1" x14ac:dyDescent="0.2">
      <c r="A1443" s="9"/>
    </row>
    <row r="1444" spans="1:1" x14ac:dyDescent="0.2">
      <c r="A1444" s="9"/>
    </row>
    <row r="1445" spans="1:1" x14ac:dyDescent="0.2">
      <c r="A1445" s="9"/>
    </row>
    <row r="1446" spans="1:1" x14ac:dyDescent="0.2">
      <c r="A1446" s="9"/>
    </row>
    <row r="1447" spans="1:1" x14ac:dyDescent="0.2">
      <c r="A1447" s="9"/>
    </row>
    <row r="1448" spans="1:1" x14ac:dyDescent="0.2">
      <c r="A1448" s="9"/>
    </row>
    <row r="1449" spans="1:1" x14ac:dyDescent="0.2">
      <c r="A1449" s="9"/>
    </row>
    <row r="1450" spans="1:1" x14ac:dyDescent="0.2">
      <c r="A1450" s="9"/>
    </row>
    <row r="1451" spans="1:1" x14ac:dyDescent="0.2">
      <c r="A1451" s="9"/>
    </row>
    <row r="1452" spans="1:1" x14ac:dyDescent="0.2">
      <c r="A1452" s="9"/>
    </row>
    <row r="1453" spans="1:1" x14ac:dyDescent="0.2">
      <c r="A1453" s="9"/>
    </row>
    <row r="1454" spans="1:1" x14ac:dyDescent="0.2">
      <c r="A1454" s="9"/>
    </row>
    <row r="1455" spans="1:1" x14ac:dyDescent="0.2">
      <c r="A1455" s="9"/>
    </row>
    <row r="1456" spans="1:1" x14ac:dyDescent="0.2">
      <c r="A1456" s="9"/>
    </row>
    <row r="1457" spans="1:1" x14ac:dyDescent="0.2">
      <c r="A1457" s="9"/>
    </row>
    <row r="1458" spans="1:1" x14ac:dyDescent="0.2">
      <c r="A1458" s="9"/>
    </row>
    <row r="1459" spans="1:1" x14ac:dyDescent="0.2">
      <c r="A1459" s="9"/>
    </row>
    <row r="1460" spans="1:1" x14ac:dyDescent="0.2">
      <c r="A1460" s="9"/>
    </row>
    <row r="1461" spans="1:1" x14ac:dyDescent="0.2">
      <c r="A1461" s="9"/>
    </row>
    <row r="1462" spans="1:1" x14ac:dyDescent="0.2">
      <c r="A1462" s="9"/>
    </row>
    <row r="1463" spans="1:1" x14ac:dyDescent="0.2">
      <c r="A1463" s="9"/>
    </row>
    <row r="1464" spans="1:1" x14ac:dyDescent="0.2">
      <c r="A1464" s="9"/>
    </row>
    <row r="1465" spans="1:1" x14ac:dyDescent="0.2">
      <c r="A1465" s="9"/>
    </row>
    <row r="1466" spans="1:1" x14ac:dyDescent="0.2">
      <c r="A1466" s="9"/>
    </row>
    <row r="1467" spans="1:1" x14ac:dyDescent="0.2">
      <c r="A1467" s="9"/>
    </row>
    <row r="1468" spans="1:1" x14ac:dyDescent="0.2">
      <c r="A1468" s="9"/>
    </row>
    <row r="1469" spans="1:1" x14ac:dyDescent="0.2">
      <c r="A1469" s="9"/>
    </row>
    <row r="1470" spans="1:1" x14ac:dyDescent="0.2">
      <c r="A1470" s="9"/>
    </row>
    <row r="1471" spans="1:1" x14ac:dyDescent="0.2">
      <c r="A1471" s="9"/>
    </row>
    <row r="1472" spans="1:1" x14ac:dyDescent="0.2">
      <c r="A1472" s="9"/>
    </row>
    <row r="1473" spans="1:1" x14ac:dyDescent="0.2">
      <c r="A1473" s="9"/>
    </row>
    <row r="1474" spans="1:1" x14ac:dyDescent="0.2">
      <c r="A1474" s="9"/>
    </row>
    <row r="1475" spans="1:1" x14ac:dyDescent="0.2">
      <c r="A1475" s="9"/>
    </row>
    <row r="1476" spans="1:1" x14ac:dyDescent="0.2">
      <c r="A1476" s="9"/>
    </row>
    <row r="1477" spans="1:1" x14ac:dyDescent="0.2">
      <c r="A1477" s="9"/>
    </row>
    <row r="1478" spans="1:1" x14ac:dyDescent="0.2">
      <c r="A1478" s="9"/>
    </row>
    <row r="1479" spans="1:1" x14ac:dyDescent="0.2">
      <c r="A1479" s="9"/>
    </row>
    <row r="1480" spans="1:1" x14ac:dyDescent="0.2">
      <c r="A1480" s="9"/>
    </row>
    <row r="1481" spans="1:1" x14ac:dyDescent="0.2">
      <c r="A1481" s="9"/>
    </row>
    <row r="1482" spans="1:1" x14ac:dyDescent="0.2">
      <c r="A1482" s="9"/>
    </row>
    <row r="1483" spans="1:1" x14ac:dyDescent="0.2">
      <c r="A1483" s="9"/>
    </row>
    <row r="1484" spans="1:1" x14ac:dyDescent="0.2">
      <c r="A1484" s="9"/>
    </row>
    <row r="1485" spans="1:1" x14ac:dyDescent="0.2">
      <c r="A1485" s="9"/>
    </row>
    <row r="1486" spans="1:1" x14ac:dyDescent="0.2">
      <c r="A1486" s="9"/>
    </row>
    <row r="1487" spans="1:1" x14ac:dyDescent="0.2">
      <c r="A1487" s="9"/>
    </row>
    <row r="1488" spans="1:1" x14ac:dyDescent="0.2">
      <c r="A1488" s="9"/>
    </row>
    <row r="1489" spans="1:1" x14ac:dyDescent="0.2">
      <c r="A1489" s="9"/>
    </row>
    <row r="1490" spans="1:1" x14ac:dyDescent="0.2">
      <c r="A1490" s="9"/>
    </row>
    <row r="1491" spans="1:1" x14ac:dyDescent="0.2">
      <c r="A1491" s="9"/>
    </row>
    <row r="1492" spans="1:1" x14ac:dyDescent="0.2">
      <c r="A1492" s="9"/>
    </row>
    <row r="1493" spans="1:1" x14ac:dyDescent="0.2">
      <c r="A1493" s="9"/>
    </row>
    <row r="1494" spans="1:1" x14ac:dyDescent="0.2">
      <c r="A1494" s="9"/>
    </row>
    <row r="1495" spans="1:1" x14ac:dyDescent="0.2">
      <c r="A1495" s="9"/>
    </row>
    <row r="1496" spans="1:1" x14ac:dyDescent="0.2">
      <c r="A1496" s="9"/>
    </row>
    <row r="1497" spans="1:1" x14ac:dyDescent="0.2">
      <c r="A1497" s="9"/>
    </row>
    <row r="1498" spans="1:1" x14ac:dyDescent="0.2">
      <c r="A1498" s="9"/>
    </row>
    <row r="1499" spans="1:1" x14ac:dyDescent="0.2">
      <c r="A1499" s="9"/>
    </row>
    <row r="1500" spans="1:1" x14ac:dyDescent="0.2">
      <c r="A1500" s="9"/>
    </row>
    <row r="1501" spans="1:1" x14ac:dyDescent="0.2">
      <c r="A1501" s="9"/>
    </row>
    <row r="1502" spans="1:1" x14ac:dyDescent="0.2">
      <c r="A1502" s="9"/>
    </row>
    <row r="1503" spans="1:1" x14ac:dyDescent="0.2">
      <c r="A1503" s="9"/>
    </row>
    <row r="1504" spans="1:1" x14ac:dyDescent="0.2">
      <c r="A1504" s="9"/>
    </row>
    <row r="1505" spans="1:1" x14ac:dyDescent="0.2">
      <c r="A1505" s="9"/>
    </row>
    <row r="1506" spans="1:1" x14ac:dyDescent="0.2">
      <c r="A1506" s="9"/>
    </row>
    <row r="1507" spans="1:1" x14ac:dyDescent="0.2">
      <c r="A1507" s="9"/>
    </row>
    <row r="1508" spans="1:1" x14ac:dyDescent="0.2">
      <c r="A1508" s="9"/>
    </row>
    <row r="1509" spans="1:1" x14ac:dyDescent="0.2">
      <c r="A1509" s="9"/>
    </row>
    <row r="1510" spans="1:1" x14ac:dyDescent="0.2">
      <c r="A1510" s="9"/>
    </row>
    <row r="1511" spans="1:1" x14ac:dyDescent="0.2">
      <c r="A1511" s="9"/>
    </row>
    <row r="1512" spans="1:1" x14ac:dyDescent="0.2">
      <c r="A1512" s="9"/>
    </row>
    <row r="1513" spans="1:1" x14ac:dyDescent="0.2">
      <c r="A1513" s="9"/>
    </row>
    <row r="1514" spans="1:1" x14ac:dyDescent="0.2">
      <c r="A1514" s="9"/>
    </row>
    <row r="1515" spans="1:1" x14ac:dyDescent="0.2">
      <c r="A1515" s="9"/>
    </row>
    <row r="1516" spans="1:1" x14ac:dyDescent="0.2">
      <c r="A1516" s="9"/>
    </row>
    <row r="1517" spans="1:1" x14ac:dyDescent="0.2">
      <c r="A1517" s="9"/>
    </row>
    <row r="1518" spans="1:1" x14ac:dyDescent="0.2">
      <c r="A1518" s="9"/>
    </row>
    <row r="1519" spans="1:1" x14ac:dyDescent="0.2">
      <c r="A1519" s="9"/>
    </row>
    <row r="1520" spans="1:1" x14ac:dyDescent="0.2">
      <c r="A1520" s="9"/>
    </row>
    <row r="1521" spans="1:1" x14ac:dyDescent="0.2">
      <c r="A1521" s="9"/>
    </row>
    <row r="1522" spans="1:1" x14ac:dyDescent="0.2">
      <c r="A1522" s="9"/>
    </row>
    <row r="1523" spans="1:1" x14ac:dyDescent="0.2">
      <c r="A1523" s="9"/>
    </row>
    <row r="1524" spans="1:1" x14ac:dyDescent="0.2">
      <c r="A1524" s="9"/>
    </row>
    <row r="1525" spans="1:1" x14ac:dyDescent="0.2">
      <c r="A1525" s="9"/>
    </row>
    <row r="1526" spans="1:1" x14ac:dyDescent="0.2">
      <c r="A1526" s="9"/>
    </row>
    <row r="1527" spans="1:1" x14ac:dyDescent="0.2">
      <c r="A1527" s="9"/>
    </row>
    <row r="1528" spans="1:1" x14ac:dyDescent="0.2">
      <c r="A1528" s="9"/>
    </row>
    <row r="1529" spans="1:1" x14ac:dyDescent="0.2">
      <c r="A1529" s="9"/>
    </row>
    <row r="1530" spans="1:1" x14ac:dyDescent="0.2">
      <c r="A1530" s="9"/>
    </row>
    <row r="1531" spans="1:1" x14ac:dyDescent="0.2">
      <c r="A1531" s="9"/>
    </row>
    <row r="1532" spans="1:1" x14ac:dyDescent="0.2">
      <c r="A1532" s="9"/>
    </row>
    <row r="1533" spans="1:1" x14ac:dyDescent="0.2">
      <c r="A1533" s="9"/>
    </row>
    <row r="1534" spans="1:1" x14ac:dyDescent="0.2">
      <c r="A1534" s="9"/>
    </row>
    <row r="1535" spans="1:1" x14ac:dyDescent="0.2">
      <c r="A1535" s="9"/>
    </row>
    <row r="1536" spans="1:1" x14ac:dyDescent="0.2">
      <c r="A1536" s="9"/>
    </row>
    <row r="1537" spans="1:1" x14ac:dyDescent="0.2">
      <c r="A1537" s="9"/>
    </row>
    <row r="1538" spans="1:1" x14ac:dyDescent="0.2">
      <c r="A1538" s="9"/>
    </row>
    <row r="1539" spans="1:1" x14ac:dyDescent="0.2">
      <c r="A1539" s="9"/>
    </row>
    <row r="1540" spans="1:1" x14ac:dyDescent="0.2">
      <c r="A1540" s="9"/>
    </row>
    <row r="1541" spans="1:1" x14ac:dyDescent="0.2">
      <c r="A1541" s="9"/>
    </row>
    <row r="1542" spans="1:1" x14ac:dyDescent="0.2">
      <c r="A1542" s="9"/>
    </row>
    <row r="1543" spans="1:1" x14ac:dyDescent="0.2">
      <c r="A1543" s="9"/>
    </row>
    <row r="1544" spans="1:1" x14ac:dyDescent="0.2">
      <c r="A1544" s="9"/>
    </row>
    <row r="1545" spans="1:1" x14ac:dyDescent="0.2">
      <c r="A1545" s="9"/>
    </row>
    <row r="1546" spans="1:1" x14ac:dyDescent="0.2">
      <c r="A1546" s="9"/>
    </row>
    <row r="1547" spans="1:1" x14ac:dyDescent="0.2">
      <c r="A1547" s="9"/>
    </row>
    <row r="1548" spans="1:1" x14ac:dyDescent="0.2">
      <c r="A1548" s="9"/>
    </row>
    <row r="1549" spans="1:1" x14ac:dyDescent="0.2">
      <c r="A1549" s="9"/>
    </row>
    <row r="1550" spans="1:1" x14ac:dyDescent="0.2">
      <c r="A1550" s="9"/>
    </row>
    <row r="1551" spans="1:1" x14ac:dyDescent="0.2">
      <c r="A1551" s="9"/>
    </row>
    <row r="1552" spans="1:1" x14ac:dyDescent="0.2">
      <c r="A1552" s="9"/>
    </row>
    <row r="1553" spans="1:1" x14ac:dyDescent="0.2">
      <c r="A1553" s="9"/>
    </row>
    <row r="1554" spans="1:1" x14ac:dyDescent="0.2">
      <c r="A1554" s="9"/>
    </row>
    <row r="1555" spans="1:1" x14ac:dyDescent="0.2">
      <c r="A1555" s="9"/>
    </row>
    <row r="1556" spans="1:1" x14ac:dyDescent="0.2">
      <c r="A1556" s="9"/>
    </row>
    <row r="1557" spans="1:1" x14ac:dyDescent="0.2">
      <c r="A1557" s="9"/>
    </row>
    <row r="1558" spans="1:1" x14ac:dyDescent="0.2">
      <c r="A1558" s="9"/>
    </row>
    <row r="1559" spans="1:1" x14ac:dyDescent="0.2">
      <c r="A1559" s="9"/>
    </row>
    <row r="1560" spans="1:1" x14ac:dyDescent="0.2">
      <c r="A1560" s="9"/>
    </row>
    <row r="1561" spans="1:1" x14ac:dyDescent="0.2">
      <c r="A1561" s="9"/>
    </row>
    <row r="1562" spans="1:1" x14ac:dyDescent="0.2">
      <c r="A1562" s="9"/>
    </row>
    <row r="1563" spans="1:1" x14ac:dyDescent="0.2">
      <c r="A1563" s="9"/>
    </row>
    <row r="1564" spans="1:1" x14ac:dyDescent="0.2">
      <c r="A1564" s="9"/>
    </row>
    <row r="1565" spans="1:1" x14ac:dyDescent="0.2">
      <c r="A1565" s="9"/>
    </row>
    <row r="1566" spans="1:1" x14ac:dyDescent="0.2">
      <c r="A1566" s="9"/>
    </row>
    <row r="1567" spans="1:1" x14ac:dyDescent="0.2">
      <c r="A1567" s="9"/>
    </row>
    <row r="1568" spans="1:1" x14ac:dyDescent="0.2">
      <c r="A1568" s="9"/>
    </row>
    <row r="1569" spans="1:1" x14ac:dyDescent="0.2">
      <c r="A1569" s="9"/>
    </row>
    <row r="1570" spans="1:1" x14ac:dyDescent="0.2">
      <c r="A1570" s="9"/>
    </row>
    <row r="1571" spans="1:1" x14ac:dyDescent="0.2">
      <c r="A1571" s="9"/>
    </row>
    <row r="1572" spans="1:1" x14ac:dyDescent="0.2">
      <c r="A1572" s="9"/>
    </row>
    <row r="1573" spans="1:1" x14ac:dyDescent="0.2">
      <c r="A1573" s="9"/>
    </row>
    <row r="1574" spans="1:1" x14ac:dyDescent="0.2">
      <c r="A1574" s="9"/>
    </row>
    <row r="1575" spans="1:1" x14ac:dyDescent="0.2">
      <c r="A1575" s="9"/>
    </row>
    <row r="1576" spans="1:1" x14ac:dyDescent="0.2">
      <c r="A1576" s="9"/>
    </row>
    <row r="1577" spans="1:1" x14ac:dyDescent="0.2">
      <c r="A1577" s="9"/>
    </row>
    <row r="1578" spans="1:1" x14ac:dyDescent="0.2">
      <c r="A1578" s="9"/>
    </row>
    <row r="1579" spans="1:1" x14ac:dyDescent="0.2">
      <c r="A1579" s="9"/>
    </row>
    <row r="1580" spans="1:1" x14ac:dyDescent="0.2">
      <c r="A1580" s="9"/>
    </row>
    <row r="1581" spans="1:1" x14ac:dyDescent="0.2">
      <c r="A1581" s="9"/>
    </row>
    <row r="1582" spans="1:1" x14ac:dyDescent="0.2">
      <c r="A1582" s="9"/>
    </row>
    <row r="1583" spans="1:1" x14ac:dyDescent="0.2">
      <c r="A1583" s="9"/>
    </row>
    <row r="1584" spans="1:1" x14ac:dyDescent="0.2">
      <c r="A1584" s="9"/>
    </row>
    <row r="1585" spans="1:1" x14ac:dyDescent="0.2">
      <c r="A1585" s="9"/>
    </row>
    <row r="1586" spans="1:1" x14ac:dyDescent="0.2">
      <c r="A1586" s="9"/>
    </row>
    <row r="1587" spans="1:1" x14ac:dyDescent="0.2">
      <c r="A1587" s="9"/>
    </row>
    <row r="1588" spans="1:1" x14ac:dyDescent="0.2">
      <c r="A1588" s="9"/>
    </row>
    <row r="1589" spans="1:1" x14ac:dyDescent="0.2">
      <c r="A1589" s="9"/>
    </row>
    <row r="1590" spans="1:1" x14ac:dyDescent="0.2">
      <c r="A1590" s="9"/>
    </row>
    <row r="1591" spans="1:1" x14ac:dyDescent="0.2">
      <c r="A1591" s="9"/>
    </row>
    <row r="1592" spans="1:1" x14ac:dyDescent="0.2">
      <c r="A1592" s="9"/>
    </row>
    <row r="1593" spans="1:1" x14ac:dyDescent="0.2">
      <c r="A1593" s="9"/>
    </row>
    <row r="1594" spans="1:1" x14ac:dyDescent="0.2">
      <c r="A1594" s="9"/>
    </row>
    <row r="1595" spans="1:1" x14ac:dyDescent="0.2">
      <c r="A1595" s="9"/>
    </row>
    <row r="1596" spans="1:1" x14ac:dyDescent="0.2">
      <c r="A1596" s="9"/>
    </row>
    <row r="1597" spans="1:1" x14ac:dyDescent="0.2">
      <c r="A1597" s="9"/>
    </row>
    <row r="1598" spans="1:1" x14ac:dyDescent="0.2">
      <c r="A1598" s="9"/>
    </row>
    <row r="1599" spans="1:1" x14ac:dyDescent="0.2">
      <c r="A1599" s="9"/>
    </row>
    <row r="1600" spans="1:1" x14ac:dyDescent="0.2">
      <c r="A1600" s="9"/>
    </row>
    <row r="1601" spans="1:1" x14ac:dyDescent="0.2">
      <c r="A1601" s="9"/>
    </row>
    <row r="1602" spans="1:1" x14ac:dyDescent="0.2">
      <c r="A1602" s="9"/>
    </row>
    <row r="1603" spans="1:1" x14ac:dyDescent="0.2">
      <c r="A1603" s="9"/>
    </row>
    <row r="1604" spans="1:1" x14ac:dyDescent="0.2">
      <c r="A1604" s="9"/>
    </row>
    <row r="1605" spans="1:1" x14ac:dyDescent="0.2">
      <c r="A1605" s="9"/>
    </row>
    <row r="1606" spans="1:1" x14ac:dyDescent="0.2">
      <c r="A1606" s="9"/>
    </row>
    <row r="1607" spans="1:1" x14ac:dyDescent="0.2">
      <c r="A1607" s="9"/>
    </row>
    <row r="1608" spans="1:1" x14ac:dyDescent="0.2">
      <c r="A1608" s="9"/>
    </row>
    <row r="1609" spans="1:1" x14ac:dyDescent="0.2">
      <c r="A1609" s="9"/>
    </row>
    <row r="1610" spans="1:1" x14ac:dyDescent="0.2">
      <c r="A1610" s="9"/>
    </row>
    <row r="1611" spans="1:1" x14ac:dyDescent="0.2">
      <c r="A1611" s="9"/>
    </row>
    <row r="1612" spans="1:1" x14ac:dyDescent="0.2">
      <c r="A1612" s="9"/>
    </row>
    <row r="1613" spans="1:1" x14ac:dyDescent="0.2">
      <c r="A1613" s="9"/>
    </row>
    <row r="1614" spans="1:1" x14ac:dyDescent="0.2">
      <c r="A1614" s="9"/>
    </row>
    <row r="1615" spans="1:1" x14ac:dyDescent="0.2">
      <c r="A1615" s="9"/>
    </row>
    <row r="1616" spans="1:1" x14ac:dyDescent="0.2">
      <c r="A1616" s="9"/>
    </row>
    <row r="1617" spans="1:1" x14ac:dyDescent="0.2">
      <c r="A1617" s="9"/>
    </row>
    <row r="1618" spans="1:1" x14ac:dyDescent="0.2">
      <c r="A1618" s="9"/>
    </row>
    <row r="1619" spans="1:1" x14ac:dyDescent="0.2">
      <c r="A1619" s="9"/>
    </row>
    <row r="1620" spans="1:1" x14ac:dyDescent="0.2">
      <c r="A1620" s="9"/>
    </row>
    <row r="1621" spans="1:1" x14ac:dyDescent="0.2">
      <c r="A1621" s="9"/>
    </row>
    <row r="1622" spans="1:1" x14ac:dyDescent="0.2">
      <c r="A1622" s="9"/>
    </row>
    <row r="1623" spans="1:1" x14ac:dyDescent="0.2">
      <c r="A1623" s="9"/>
    </row>
    <row r="1624" spans="1:1" x14ac:dyDescent="0.2">
      <c r="A1624" s="9"/>
    </row>
    <row r="1625" spans="1:1" x14ac:dyDescent="0.2">
      <c r="A1625" s="9"/>
    </row>
    <row r="1626" spans="1:1" x14ac:dyDescent="0.2">
      <c r="A1626" s="9"/>
    </row>
    <row r="1627" spans="1:1" x14ac:dyDescent="0.2">
      <c r="A1627" s="9"/>
    </row>
    <row r="1628" spans="1:1" x14ac:dyDescent="0.2">
      <c r="A1628" s="9"/>
    </row>
    <row r="1629" spans="1:1" x14ac:dyDescent="0.2">
      <c r="A1629" s="9"/>
    </row>
    <row r="1630" spans="1:1" x14ac:dyDescent="0.2">
      <c r="A1630" s="9"/>
    </row>
    <row r="1631" spans="1:1" x14ac:dyDescent="0.2">
      <c r="A1631" s="9"/>
    </row>
    <row r="1632" spans="1:1" x14ac:dyDescent="0.2">
      <c r="A1632" s="9"/>
    </row>
    <row r="1633" spans="1:1" x14ac:dyDescent="0.2">
      <c r="A1633" s="9"/>
    </row>
    <row r="1634" spans="1:1" x14ac:dyDescent="0.2">
      <c r="A1634" s="9"/>
    </row>
    <row r="1635" spans="1:1" x14ac:dyDescent="0.2">
      <c r="A1635" s="9"/>
    </row>
    <row r="1636" spans="1:1" x14ac:dyDescent="0.2">
      <c r="A1636" s="9"/>
    </row>
    <row r="1637" spans="1:1" x14ac:dyDescent="0.2">
      <c r="A1637" s="9"/>
    </row>
    <row r="1638" spans="1:1" x14ac:dyDescent="0.2">
      <c r="A1638" s="9"/>
    </row>
    <row r="1639" spans="1:1" x14ac:dyDescent="0.2">
      <c r="A1639" s="9"/>
    </row>
    <row r="1640" spans="1:1" x14ac:dyDescent="0.2">
      <c r="A1640" s="9"/>
    </row>
    <row r="1641" spans="1:1" x14ac:dyDescent="0.2">
      <c r="A1641" s="9"/>
    </row>
    <row r="1642" spans="1:1" x14ac:dyDescent="0.2">
      <c r="A1642" s="9"/>
    </row>
    <row r="1643" spans="1:1" x14ac:dyDescent="0.2">
      <c r="A1643" s="9"/>
    </row>
    <row r="1644" spans="1:1" x14ac:dyDescent="0.2">
      <c r="A1644" s="9"/>
    </row>
    <row r="1645" spans="1:1" x14ac:dyDescent="0.2">
      <c r="A1645" s="9"/>
    </row>
    <row r="1646" spans="1:1" x14ac:dyDescent="0.2">
      <c r="A1646" s="9"/>
    </row>
    <row r="1647" spans="1:1" x14ac:dyDescent="0.2">
      <c r="A1647" s="9"/>
    </row>
    <row r="1648" spans="1:1" x14ac:dyDescent="0.2">
      <c r="A1648" s="9"/>
    </row>
    <row r="1649" spans="1:1" x14ac:dyDescent="0.2">
      <c r="A1649" s="9"/>
    </row>
    <row r="1650" spans="1:1" x14ac:dyDescent="0.2">
      <c r="A1650" s="9"/>
    </row>
    <row r="1651" spans="1:1" x14ac:dyDescent="0.2">
      <c r="A1651" s="9"/>
    </row>
    <row r="1652" spans="1:1" x14ac:dyDescent="0.2">
      <c r="A1652" s="9"/>
    </row>
    <row r="1653" spans="1:1" x14ac:dyDescent="0.2">
      <c r="A1653" s="9"/>
    </row>
    <row r="1654" spans="1:1" x14ac:dyDescent="0.2">
      <c r="A1654" s="9"/>
    </row>
    <row r="1655" spans="1:1" x14ac:dyDescent="0.2">
      <c r="A1655" s="9"/>
    </row>
    <row r="1656" spans="1:1" x14ac:dyDescent="0.2">
      <c r="A1656" s="9"/>
    </row>
    <row r="1657" spans="1:1" x14ac:dyDescent="0.2">
      <c r="A1657" s="9"/>
    </row>
    <row r="1658" spans="1:1" x14ac:dyDescent="0.2">
      <c r="A1658" s="9"/>
    </row>
    <row r="1659" spans="1:1" x14ac:dyDescent="0.2">
      <c r="A1659" s="9"/>
    </row>
    <row r="1660" spans="1:1" x14ac:dyDescent="0.2">
      <c r="A1660" s="9"/>
    </row>
    <row r="1661" spans="1:1" x14ac:dyDescent="0.2">
      <c r="A1661" s="9"/>
    </row>
    <row r="1662" spans="1:1" x14ac:dyDescent="0.2">
      <c r="A1662" s="9"/>
    </row>
    <row r="1663" spans="1:1" x14ac:dyDescent="0.2">
      <c r="A1663" s="9"/>
    </row>
    <row r="1664" spans="1:1" x14ac:dyDescent="0.2">
      <c r="A1664" s="9"/>
    </row>
    <row r="1665" spans="1:1" x14ac:dyDescent="0.2">
      <c r="A1665" s="9"/>
    </row>
    <row r="1666" spans="1:1" x14ac:dyDescent="0.2">
      <c r="A1666" s="9"/>
    </row>
    <row r="1667" spans="1:1" x14ac:dyDescent="0.2">
      <c r="A1667" s="9"/>
    </row>
    <row r="1668" spans="1:1" x14ac:dyDescent="0.2">
      <c r="A1668" s="9"/>
    </row>
    <row r="1669" spans="1:1" x14ac:dyDescent="0.2">
      <c r="A1669" s="9"/>
    </row>
    <row r="1670" spans="1:1" x14ac:dyDescent="0.2">
      <c r="A1670" s="9"/>
    </row>
    <row r="1671" spans="1:1" x14ac:dyDescent="0.2">
      <c r="A1671" s="9"/>
    </row>
    <row r="1672" spans="1:1" x14ac:dyDescent="0.2">
      <c r="A1672" s="9"/>
    </row>
    <row r="1673" spans="1:1" x14ac:dyDescent="0.2">
      <c r="A1673" s="9"/>
    </row>
    <row r="1674" spans="1:1" x14ac:dyDescent="0.2">
      <c r="A1674" s="9"/>
    </row>
    <row r="1675" spans="1:1" x14ac:dyDescent="0.2">
      <c r="A1675" s="9"/>
    </row>
    <row r="1676" spans="1:1" x14ac:dyDescent="0.2">
      <c r="A1676" s="9"/>
    </row>
    <row r="1677" spans="1:1" x14ac:dyDescent="0.2">
      <c r="A1677" s="9"/>
    </row>
    <row r="1678" spans="1:1" x14ac:dyDescent="0.2">
      <c r="A1678" s="9"/>
    </row>
    <row r="1679" spans="1:1" x14ac:dyDescent="0.2">
      <c r="A1679" s="9"/>
    </row>
    <row r="1680" spans="1:1" x14ac:dyDescent="0.2">
      <c r="A1680" s="9"/>
    </row>
    <row r="1681" spans="1:1" x14ac:dyDescent="0.2">
      <c r="A1681" s="9"/>
    </row>
    <row r="1682" spans="1:1" x14ac:dyDescent="0.2">
      <c r="A1682" s="9"/>
    </row>
    <row r="1683" spans="1:1" x14ac:dyDescent="0.2">
      <c r="A1683" s="9"/>
    </row>
    <row r="1684" spans="1:1" x14ac:dyDescent="0.2">
      <c r="A1684" s="9"/>
    </row>
    <row r="1685" spans="1:1" x14ac:dyDescent="0.2">
      <c r="A1685" s="9"/>
    </row>
    <row r="1686" spans="1:1" x14ac:dyDescent="0.2">
      <c r="A1686" s="9"/>
    </row>
    <row r="1687" spans="1:1" x14ac:dyDescent="0.2">
      <c r="A1687" s="9"/>
    </row>
    <row r="1688" spans="1:1" x14ac:dyDescent="0.2">
      <c r="A1688" s="9"/>
    </row>
    <row r="1689" spans="1:1" x14ac:dyDescent="0.2">
      <c r="A1689" s="9"/>
    </row>
    <row r="1690" spans="1:1" x14ac:dyDescent="0.2">
      <c r="A1690" s="9"/>
    </row>
    <row r="1691" spans="1:1" x14ac:dyDescent="0.2">
      <c r="A1691" s="9"/>
    </row>
    <row r="1692" spans="1:1" x14ac:dyDescent="0.2">
      <c r="A1692" s="9"/>
    </row>
    <row r="1693" spans="1:1" x14ac:dyDescent="0.2">
      <c r="A1693" s="9"/>
    </row>
    <row r="1694" spans="1:1" x14ac:dyDescent="0.2">
      <c r="A1694" s="9"/>
    </row>
    <row r="1695" spans="1:1" x14ac:dyDescent="0.2">
      <c r="A1695" s="9"/>
    </row>
    <row r="1696" spans="1:1" x14ac:dyDescent="0.2">
      <c r="A1696" s="9"/>
    </row>
    <row r="1697" spans="1:1" x14ac:dyDescent="0.2">
      <c r="A1697" s="9"/>
    </row>
    <row r="1698" spans="1:1" x14ac:dyDescent="0.2">
      <c r="A1698" s="9"/>
    </row>
    <row r="1699" spans="1:1" x14ac:dyDescent="0.2">
      <c r="A1699" s="9"/>
    </row>
    <row r="1700" spans="1:1" x14ac:dyDescent="0.2">
      <c r="A1700" s="9"/>
    </row>
    <row r="1701" spans="1:1" x14ac:dyDescent="0.2">
      <c r="A1701" s="9"/>
    </row>
    <row r="1702" spans="1:1" x14ac:dyDescent="0.2">
      <c r="A1702" s="9"/>
    </row>
    <row r="1703" spans="1:1" x14ac:dyDescent="0.2">
      <c r="A1703" s="9"/>
    </row>
    <row r="1704" spans="1:1" x14ac:dyDescent="0.2">
      <c r="A1704" s="9"/>
    </row>
    <row r="1705" spans="1:1" x14ac:dyDescent="0.2">
      <c r="A1705" s="9"/>
    </row>
    <row r="1706" spans="1:1" x14ac:dyDescent="0.2">
      <c r="A1706" s="9"/>
    </row>
    <row r="1707" spans="1:1" x14ac:dyDescent="0.2">
      <c r="A1707" s="9"/>
    </row>
    <row r="1708" spans="1:1" x14ac:dyDescent="0.2">
      <c r="A1708" s="9"/>
    </row>
    <row r="1709" spans="1:1" x14ac:dyDescent="0.2">
      <c r="A1709" s="9"/>
    </row>
    <row r="1710" spans="1:1" x14ac:dyDescent="0.2">
      <c r="A1710" s="9"/>
    </row>
    <row r="1711" spans="1:1" x14ac:dyDescent="0.2">
      <c r="A1711" s="9"/>
    </row>
    <row r="1712" spans="1:1" x14ac:dyDescent="0.2">
      <c r="A1712" s="9"/>
    </row>
    <row r="1713" spans="1:1" x14ac:dyDescent="0.2">
      <c r="A1713" s="9"/>
    </row>
    <row r="1714" spans="1:1" x14ac:dyDescent="0.2">
      <c r="A1714" s="9"/>
    </row>
    <row r="1715" spans="1:1" x14ac:dyDescent="0.2">
      <c r="A1715" s="9"/>
    </row>
    <row r="1716" spans="1:1" x14ac:dyDescent="0.2">
      <c r="A1716" s="9"/>
    </row>
    <row r="1717" spans="1:1" x14ac:dyDescent="0.2">
      <c r="A1717" s="9"/>
    </row>
    <row r="1718" spans="1:1" x14ac:dyDescent="0.2">
      <c r="A1718" s="9"/>
    </row>
    <row r="1719" spans="1:1" x14ac:dyDescent="0.2">
      <c r="A1719" s="9"/>
    </row>
    <row r="1720" spans="1:1" x14ac:dyDescent="0.2">
      <c r="A1720" s="9"/>
    </row>
    <row r="1721" spans="1:1" x14ac:dyDescent="0.2">
      <c r="A1721" s="9"/>
    </row>
    <row r="1722" spans="1:1" x14ac:dyDescent="0.2">
      <c r="A1722" s="9"/>
    </row>
    <row r="1723" spans="1:1" x14ac:dyDescent="0.2">
      <c r="A1723" s="9"/>
    </row>
    <row r="1724" spans="1:1" x14ac:dyDescent="0.2">
      <c r="A1724" s="9"/>
    </row>
    <row r="1725" spans="1:1" x14ac:dyDescent="0.2">
      <c r="A1725" s="9"/>
    </row>
    <row r="1726" spans="1:1" x14ac:dyDescent="0.2">
      <c r="A1726" s="9"/>
    </row>
    <row r="1727" spans="1:1" x14ac:dyDescent="0.2">
      <c r="A1727" s="9"/>
    </row>
    <row r="1728" spans="1:1" x14ac:dyDescent="0.2">
      <c r="A1728" s="9"/>
    </row>
    <row r="1729" spans="1:1" x14ac:dyDescent="0.2">
      <c r="A1729" s="9"/>
    </row>
    <row r="1730" spans="1:1" x14ac:dyDescent="0.2">
      <c r="A1730" s="9"/>
    </row>
    <row r="1731" spans="1:1" x14ac:dyDescent="0.2">
      <c r="A1731" s="9"/>
    </row>
    <row r="1732" spans="1:1" x14ac:dyDescent="0.2">
      <c r="A1732" s="9"/>
    </row>
    <row r="1733" spans="1:1" x14ac:dyDescent="0.2">
      <c r="A1733" s="9"/>
    </row>
    <row r="1734" spans="1:1" x14ac:dyDescent="0.2">
      <c r="A1734" s="9"/>
    </row>
    <row r="1735" spans="1:1" x14ac:dyDescent="0.2">
      <c r="A1735" s="9"/>
    </row>
    <row r="1736" spans="1:1" x14ac:dyDescent="0.2">
      <c r="A1736" s="9"/>
    </row>
    <row r="1737" spans="1:1" x14ac:dyDescent="0.2">
      <c r="A1737" s="9"/>
    </row>
    <row r="1738" spans="1:1" x14ac:dyDescent="0.2">
      <c r="A1738" s="9"/>
    </row>
    <row r="1739" spans="1:1" x14ac:dyDescent="0.2">
      <c r="A1739" s="9"/>
    </row>
    <row r="1740" spans="1:1" x14ac:dyDescent="0.2">
      <c r="A1740" s="9"/>
    </row>
    <row r="1741" spans="1:1" x14ac:dyDescent="0.2">
      <c r="A1741" s="9"/>
    </row>
    <row r="1742" spans="1:1" x14ac:dyDescent="0.2">
      <c r="A1742" s="9"/>
    </row>
    <row r="1743" spans="1:1" x14ac:dyDescent="0.2">
      <c r="A1743" s="9"/>
    </row>
    <row r="1744" spans="1:1" x14ac:dyDescent="0.2">
      <c r="A1744" s="9"/>
    </row>
    <row r="1745" spans="1:1" x14ac:dyDescent="0.2">
      <c r="A1745" s="9"/>
    </row>
    <row r="1746" spans="1:1" x14ac:dyDescent="0.2">
      <c r="A1746" s="9"/>
    </row>
    <row r="1747" spans="1:1" x14ac:dyDescent="0.2">
      <c r="A1747" s="9"/>
    </row>
    <row r="1748" spans="1:1" x14ac:dyDescent="0.2">
      <c r="A1748" s="9"/>
    </row>
    <row r="1749" spans="1:1" x14ac:dyDescent="0.2">
      <c r="A1749" s="9"/>
    </row>
    <row r="1750" spans="1:1" x14ac:dyDescent="0.2">
      <c r="A1750" s="9"/>
    </row>
    <row r="1751" spans="1:1" x14ac:dyDescent="0.2">
      <c r="A1751" s="9"/>
    </row>
    <row r="1752" spans="1:1" x14ac:dyDescent="0.2">
      <c r="A1752" s="9"/>
    </row>
    <row r="1753" spans="1:1" x14ac:dyDescent="0.2">
      <c r="A1753" s="9"/>
    </row>
    <row r="1754" spans="1:1" x14ac:dyDescent="0.2">
      <c r="A1754" s="9"/>
    </row>
    <row r="1755" spans="1:1" x14ac:dyDescent="0.2">
      <c r="A1755" s="9"/>
    </row>
    <row r="1756" spans="1:1" x14ac:dyDescent="0.2">
      <c r="A1756" s="9"/>
    </row>
    <row r="1757" spans="1:1" x14ac:dyDescent="0.2">
      <c r="A1757" s="9"/>
    </row>
    <row r="1758" spans="1:1" x14ac:dyDescent="0.2">
      <c r="A1758" s="9"/>
    </row>
    <row r="1759" spans="1:1" x14ac:dyDescent="0.2">
      <c r="A1759" s="9"/>
    </row>
    <row r="1760" spans="1:1" x14ac:dyDescent="0.2">
      <c r="A1760" s="9"/>
    </row>
    <row r="1761" spans="1:1" x14ac:dyDescent="0.2">
      <c r="A1761" s="9"/>
    </row>
    <row r="1762" spans="1:1" x14ac:dyDescent="0.2">
      <c r="A1762" s="9"/>
    </row>
    <row r="1763" spans="1:1" x14ac:dyDescent="0.2">
      <c r="A1763" s="9"/>
    </row>
    <row r="1764" spans="1:1" x14ac:dyDescent="0.2">
      <c r="A1764" s="9"/>
    </row>
    <row r="1765" spans="1:1" x14ac:dyDescent="0.2">
      <c r="A1765" s="9"/>
    </row>
    <row r="1766" spans="1:1" x14ac:dyDescent="0.2">
      <c r="A1766" s="9"/>
    </row>
    <row r="1767" spans="1:1" x14ac:dyDescent="0.2">
      <c r="A1767" s="9"/>
    </row>
    <row r="1768" spans="1:1" x14ac:dyDescent="0.2">
      <c r="A1768" s="9"/>
    </row>
    <row r="1769" spans="1:1" x14ac:dyDescent="0.2">
      <c r="A1769" s="9"/>
    </row>
    <row r="1770" spans="1:1" x14ac:dyDescent="0.2">
      <c r="A1770" s="9"/>
    </row>
    <row r="1771" spans="1:1" x14ac:dyDescent="0.2">
      <c r="A1771" s="9"/>
    </row>
    <row r="1772" spans="1:1" x14ac:dyDescent="0.2">
      <c r="A1772" s="9"/>
    </row>
    <row r="1773" spans="1:1" x14ac:dyDescent="0.2">
      <c r="A1773" s="9"/>
    </row>
    <row r="1774" spans="1:1" x14ac:dyDescent="0.2">
      <c r="A1774" s="9"/>
    </row>
    <row r="1775" spans="1:1" x14ac:dyDescent="0.2">
      <c r="A1775" s="9"/>
    </row>
    <row r="1776" spans="1:1" x14ac:dyDescent="0.2">
      <c r="A1776" s="9"/>
    </row>
    <row r="1777" spans="1:1" x14ac:dyDescent="0.2">
      <c r="A1777" s="9"/>
    </row>
    <row r="1778" spans="1:1" x14ac:dyDescent="0.2">
      <c r="A1778" s="9"/>
    </row>
    <row r="1779" spans="1:1" x14ac:dyDescent="0.2">
      <c r="A1779" s="9"/>
    </row>
    <row r="1780" spans="1:1" x14ac:dyDescent="0.2">
      <c r="A1780" s="9"/>
    </row>
    <row r="1781" spans="1:1" x14ac:dyDescent="0.2">
      <c r="A1781" s="9"/>
    </row>
    <row r="1782" spans="1:1" x14ac:dyDescent="0.2">
      <c r="A1782" s="9"/>
    </row>
    <row r="1783" spans="1:1" x14ac:dyDescent="0.2">
      <c r="A1783" s="9"/>
    </row>
    <row r="1784" spans="1:1" x14ac:dyDescent="0.2">
      <c r="A1784" s="9"/>
    </row>
    <row r="1785" spans="1:1" x14ac:dyDescent="0.2">
      <c r="A1785" s="9"/>
    </row>
    <row r="1786" spans="1:1" x14ac:dyDescent="0.2">
      <c r="A1786" s="9"/>
    </row>
    <row r="1787" spans="1:1" x14ac:dyDescent="0.2">
      <c r="A1787" s="9"/>
    </row>
    <row r="1788" spans="1:1" x14ac:dyDescent="0.2">
      <c r="A1788" s="9"/>
    </row>
    <row r="1789" spans="1:1" x14ac:dyDescent="0.2">
      <c r="A1789" s="9"/>
    </row>
    <row r="1790" spans="1:1" x14ac:dyDescent="0.2">
      <c r="A1790" s="9"/>
    </row>
    <row r="1791" spans="1:1" x14ac:dyDescent="0.2">
      <c r="A1791" s="9"/>
    </row>
    <row r="1792" spans="1:1" x14ac:dyDescent="0.2">
      <c r="A1792" s="9"/>
    </row>
    <row r="1793" spans="1:1" x14ac:dyDescent="0.2">
      <c r="A1793" s="9"/>
    </row>
    <row r="1794" spans="1:1" x14ac:dyDescent="0.2">
      <c r="A1794" s="9"/>
    </row>
    <row r="1795" spans="1:1" x14ac:dyDescent="0.2">
      <c r="A1795" s="9"/>
    </row>
    <row r="1796" spans="1:1" x14ac:dyDescent="0.2">
      <c r="A1796" s="9"/>
    </row>
    <row r="1797" spans="1:1" x14ac:dyDescent="0.2">
      <c r="A1797" s="9"/>
    </row>
    <row r="1798" spans="1:1" x14ac:dyDescent="0.2">
      <c r="A1798" s="9"/>
    </row>
    <row r="1799" spans="1:1" x14ac:dyDescent="0.2">
      <c r="A1799" s="9"/>
    </row>
    <row r="1800" spans="1:1" x14ac:dyDescent="0.2">
      <c r="A1800" s="9"/>
    </row>
    <row r="1801" spans="1:1" x14ac:dyDescent="0.2">
      <c r="A1801" s="9"/>
    </row>
    <row r="1802" spans="1:1" x14ac:dyDescent="0.2">
      <c r="A1802" s="9"/>
    </row>
    <row r="1803" spans="1:1" x14ac:dyDescent="0.2">
      <c r="A1803" s="9"/>
    </row>
    <row r="1804" spans="1:1" x14ac:dyDescent="0.2">
      <c r="A1804" s="9"/>
    </row>
    <row r="1805" spans="1:1" x14ac:dyDescent="0.2">
      <c r="A1805" s="9"/>
    </row>
    <row r="1806" spans="1:1" x14ac:dyDescent="0.2">
      <c r="A1806" s="9"/>
    </row>
    <row r="1807" spans="1:1" x14ac:dyDescent="0.2">
      <c r="A1807" s="9"/>
    </row>
    <row r="1808" spans="1:1" x14ac:dyDescent="0.2">
      <c r="A1808" s="9"/>
    </row>
    <row r="1809" spans="1:1" x14ac:dyDescent="0.2">
      <c r="A1809" s="9"/>
    </row>
    <row r="1810" spans="1:1" x14ac:dyDescent="0.2">
      <c r="A1810" s="9"/>
    </row>
    <row r="1811" spans="1:1" x14ac:dyDescent="0.2">
      <c r="A1811" s="9"/>
    </row>
    <row r="1812" spans="1:1" x14ac:dyDescent="0.2">
      <c r="A1812" s="9"/>
    </row>
    <row r="1813" spans="1:1" x14ac:dyDescent="0.2">
      <c r="A1813" s="9"/>
    </row>
    <row r="1814" spans="1:1" x14ac:dyDescent="0.2">
      <c r="A1814" s="9"/>
    </row>
    <row r="1815" spans="1:1" x14ac:dyDescent="0.2">
      <c r="A1815" s="9"/>
    </row>
    <row r="1816" spans="1:1" x14ac:dyDescent="0.2">
      <c r="A1816" s="9"/>
    </row>
    <row r="1817" spans="1:1" x14ac:dyDescent="0.2">
      <c r="A1817" s="9"/>
    </row>
    <row r="1818" spans="1:1" x14ac:dyDescent="0.2">
      <c r="A1818" s="9"/>
    </row>
    <row r="1819" spans="1:1" x14ac:dyDescent="0.2">
      <c r="A1819" s="9"/>
    </row>
    <row r="1820" spans="1:1" x14ac:dyDescent="0.2">
      <c r="A1820" s="9"/>
    </row>
    <row r="1821" spans="1:1" x14ac:dyDescent="0.2">
      <c r="A1821" s="9"/>
    </row>
    <row r="1822" spans="1:1" x14ac:dyDescent="0.2">
      <c r="A1822" s="9"/>
    </row>
    <row r="1823" spans="1:1" x14ac:dyDescent="0.2">
      <c r="A1823" s="9"/>
    </row>
    <row r="1824" spans="1:1" x14ac:dyDescent="0.2">
      <c r="A1824" s="9"/>
    </row>
    <row r="1825" spans="1:1" x14ac:dyDescent="0.2">
      <c r="A1825" s="9"/>
    </row>
    <row r="1826" spans="1:1" x14ac:dyDescent="0.2">
      <c r="A1826" s="9"/>
    </row>
    <row r="1827" spans="1:1" x14ac:dyDescent="0.2">
      <c r="A1827" s="9"/>
    </row>
    <row r="1828" spans="1:1" x14ac:dyDescent="0.2">
      <c r="A1828" s="9"/>
    </row>
    <row r="1829" spans="1:1" x14ac:dyDescent="0.2">
      <c r="A1829" s="9"/>
    </row>
    <row r="1830" spans="1:1" x14ac:dyDescent="0.2">
      <c r="A1830" s="9"/>
    </row>
    <row r="1831" spans="1:1" x14ac:dyDescent="0.2">
      <c r="A1831" s="9"/>
    </row>
    <row r="1832" spans="1:1" x14ac:dyDescent="0.2">
      <c r="A1832" s="9"/>
    </row>
    <row r="1833" spans="1:1" x14ac:dyDescent="0.2">
      <c r="A1833" s="9"/>
    </row>
    <row r="1834" spans="1:1" x14ac:dyDescent="0.2">
      <c r="A1834" s="9"/>
    </row>
    <row r="1835" spans="1:1" x14ac:dyDescent="0.2">
      <c r="A1835" s="9"/>
    </row>
    <row r="1836" spans="1:1" x14ac:dyDescent="0.2">
      <c r="A1836" s="9"/>
    </row>
    <row r="1837" spans="1:1" x14ac:dyDescent="0.2">
      <c r="A1837" s="9"/>
    </row>
    <row r="1838" spans="1:1" x14ac:dyDescent="0.2">
      <c r="A1838" s="9"/>
    </row>
    <row r="1839" spans="1:1" x14ac:dyDescent="0.2">
      <c r="A1839" s="9"/>
    </row>
    <row r="1840" spans="1:1" x14ac:dyDescent="0.2">
      <c r="A1840" s="9"/>
    </row>
    <row r="1841" spans="1:1" x14ac:dyDescent="0.2">
      <c r="A1841" s="9"/>
    </row>
    <row r="1842" spans="1:1" x14ac:dyDescent="0.2">
      <c r="A1842" s="9"/>
    </row>
    <row r="1843" spans="1:1" x14ac:dyDescent="0.2">
      <c r="A1843" s="9"/>
    </row>
    <row r="1844" spans="1:1" x14ac:dyDescent="0.2">
      <c r="A1844" s="9"/>
    </row>
    <row r="1845" spans="1:1" x14ac:dyDescent="0.2">
      <c r="A1845" s="9"/>
    </row>
    <row r="1846" spans="1:1" x14ac:dyDescent="0.2">
      <c r="A1846" s="9"/>
    </row>
    <row r="1847" spans="1:1" x14ac:dyDescent="0.2">
      <c r="A1847" s="9"/>
    </row>
    <row r="1848" spans="1:1" x14ac:dyDescent="0.2">
      <c r="A1848" s="9"/>
    </row>
    <row r="1849" spans="1:1" x14ac:dyDescent="0.2">
      <c r="A1849" s="9"/>
    </row>
    <row r="1850" spans="1:1" x14ac:dyDescent="0.2">
      <c r="A1850" s="9"/>
    </row>
    <row r="1851" spans="1:1" x14ac:dyDescent="0.2">
      <c r="A1851" s="9"/>
    </row>
    <row r="1852" spans="1:1" x14ac:dyDescent="0.2">
      <c r="A1852" s="9"/>
    </row>
    <row r="1853" spans="1:1" x14ac:dyDescent="0.2">
      <c r="A1853" s="9"/>
    </row>
    <row r="1854" spans="1:1" x14ac:dyDescent="0.2">
      <c r="A1854" s="9"/>
    </row>
    <row r="1855" spans="1:1" x14ac:dyDescent="0.2">
      <c r="A1855" s="9"/>
    </row>
    <row r="1856" spans="1:1" x14ac:dyDescent="0.2">
      <c r="A1856" s="9"/>
    </row>
    <row r="1857" spans="1:1" x14ac:dyDescent="0.2">
      <c r="A1857" s="9"/>
    </row>
    <row r="1858" spans="1:1" x14ac:dyDescent="0.2">
      <c r="A1858" s="9"/>
    </row>
    <row r="1859" spans="1:1" x14ac:dyDescent="0.2">
      <c r="A1859" s="9"/>
    </row>
    <row r="1860" spans="1:1" x14ac:dyDescent="0.2">
      <c r="A1860" s="9"/>
    </row>
    <row r="1861" spans="1:1" x14ac:dyDescent="0.2">
      <c r="A1861" s="9"/>
    </row>
    <row r="1862" spans="1:1" x14ac:dyDescent="0.2">
      <c r="A1862" s="9"/>
    </row>
    <row r="1863" spans="1:1" x14ac:dyDescent="0.2">
      <c r="A1863" s="9"/>
    </row>
    <row r="1864" spans="1:1" x14ac:dyDescent="0.2">
      <c r="A1864" s="9"/>
    </row>
    <row r="1865" spans="1:1" x14ac:dyDescent="0.2">
      <c r="A1865" s="9"/>
    </row>
    <row r="1866" spans="1:1" x14ac:dyDescent="0.2">
      <c r="A1866" s="9"/>
    </row>
    <row r="1867" spans="1:1" x14ac:dyDescent="0.2">
      <c r="A1867" s="9"/>
    </row>
    <row r="1868" spans="1:1" x14ac:dyDescent="0.2">
      <c r="A1868" s="9"/>
    </row>
    <row r="1869" spans="1:1" x14ac:dyDescent="0.2">
      <c r="A1869" s="9"/>
    </row>
    <row r="1870" spans="1:1" x14ac:dyDescent="0.2">
      <c r="A1870" s="9"/>
    </row>
    <row r="1871" spans="1:1" x14ac:dyDescent="0.2">
      <c r="A1871" s="9"/>
    </row>
    <row r="1872" spans="1:1" x14ac:dyDescent="0.2">
      <c r="A1872" s="9"/>
    </row>
    <row r="1873" spans="1:1" x14ac:dyDescent="0.2">
      <c r="A1873" s="9"/>
    </row>
    <row r="1874" spans="1:1" x14ac:dyDescent="0.2">
      <c r="A1874" s="9"/>
    </row>
    <row r="1875" spans="1:1" x14ac:dyDescent="0.2">
      <c r="A1875" s="9"/>
    </row>
    <row r="1876" spans="1:1" x14ac:dyDescent="0.2">
      <c r="A1876" s="9"/>
    </row>
    <row r="1877" spans="1:1" x14ac:dyDescent="0.2">
      <c r="A1877" s="9"/>
    </row>
    <row r="1878" spans="1:1" x14ac:dyDescent="0.2">
      <c r="A1878" s="9"/>
    </row>
    <row r="1879" spans="1:1" x14ac:dyDescent="0.2">
      <c r="A1879" s="9"/>
    </row>
    <row r="1880" spans="1:1" x14ac:dyDescent="0.2">
      <c r="A1880" s="9"/>
    </row>
    <row r="1881" spans="1:1" x14ac:dyDescent="0.2">
      <c r="A1881" s="9"/>
    </row>
    <row r="1882" spans="1:1" x14ac:dyDescent="0.2">
      <c r="A1882" s="9"/>
    </row>
    <row r="1883" spans="1:1" x14ac:dyDescent="0.2">
      <c r="A1883" s="9"/>
    </row>
    <row r="1884" spans="1:1" x14ac:dyDescent="0.2">
      <c r="A1884" s="9"/>
    </row>
    <row r="1885" spans="1:1" x14ac:dyDescent="0.2">
      <c r="A1885" s="9"/>
    </row>
    <row r="1886" spans="1:1" x14ac:dyDescent="0.2">
      <c r="A1886" s="9"/>
    </row>
    <row r="1887" spans="1:1" x14ac:dyDescent="0.2">
      <c r="A1887" s="9"/>
    </row>
    <row r="1888" spans="1:1" x14ac:dyDescent="0.2">
      <c r="A1888" s="9"/>
    </row>
    <row r="1889" spans="1:1" x14ac:dyDescent="0.2">
      <c r="A1889" s="9"/>
    </row>
    <row r="1890" spans="1:1" x14ac:dyDescent="0.2">
      <c r="A1890" s="9"/>
    </row>
    <row r="1891" spans="1:1" x14ac:dyDescent="0.2">
      <c r="A1891" s="9"/>
    </row>
    <row r="1892" spans="1:1" x14ac:dyDescent="0.2">
      <c r="A1892" s="9"/>
    </row>
    <row r="1893" spans="1:1" x14ac:dyDescent="0.2">
      <c r="A1893" s="9"/>
    </row>
    <row r="1894" spans="1:1" x14ac:dyDescent="0.2">
      <c r="A1894" s="9"/>
    </row>
    <row r="1895" spans="1:1" x14ac:dyDescent="0.2">
      <c r="A1895" s="9"/>
    </row>
    <row r="1896" spans="1:1" x14ac:dyDescent="0.2">
      <c r="A1896" s="9"/>
    </row>
    <row r="1897" spans="1:1" x14ac:dyDescent="0.2">
      <c r="A1897" s="9"/>
    </row>
    <row r="1898" spans="1:1" x14ac:dyDescent="0.2">
      <c r="A1898" s="9"/>
    </row>
    <row r="1899" spans="1:1" x14ac:dyDescent="0.2">
      <c r="A1899" s="9"/>
    </row>
    <row r="1900" spans="1:1" x14ac:dyDescent="0.2">
      <c r="A1900" s="9"/>
    </row>
    <row r="1901" spans="1:1" x14ac:dyDescent="0.2">
      <c r="A1901" s="9"/>
    </row>
    <row r="1902" spans="1:1" x14ac:dyDescent="0.2">
      <c r="A1902" s="9"/>
    </row>
    <row r="1903" spans="1:1" x14ac:dyDescent="0.2">
      <c r="A1903" s="9"/>
    </row>
    <row r="1904" spans="1:1" x14ac:dyDescent="0.2">
      <c r="A1904" s="9"/>
    </row>
    <row r="1905" spans="1:1" x14ac:dyDescent="0.2">
      <c r="A1905" s="9"/>
    </row>
    <row r="1906" spans="1:1" x14ac:dyDescent="0.2">
      <c r="A1906" s="9"/>
    </row>
    <row r="1907" spans="1:1" x14ac:dyDescent="0.2">
      <c r="A1907" s="9"/>
    </row>
    <row r="1908" spans="1:1" x14ac:dyDescent="0.2">
      <c r="A1908" s="9"/>
    </row>
    <row r="1909" spans="1:1" x14ac:dyDescent="0.2">
      <c r="A1909" s="9"/>
    </row>
    <row r="1910" spans="1:1" x14ac:dyDescent="0.2">
      <c r="A1910" s="9"/>
    </row>
    <row r="1911" spans="1:1" x14ac:dyDescent="0.2">
      <c r="A1911" s="9"/>
    </row>
    <row r="1912" spans="1:1" x14ac:dyDescent="0.2">
      <c r="A1912" s="9"/>
    </row>
    <row r="1913" spans="1:1" x14ac:dyDescent="0.2">
      <c r="A1913" s="9"/>
    </row>
    <row r="1914" spans="1:1" x14ac:dyDescent="0.2">
      <c r="A1914" s="9"/>
    </row>
    <row r="1915" spans="1:1" x14ac:dyDescent="0.2">
      <c r="A1915" s="9"/>
    </row>
    <row r="1916" spans="1:1" x14ac:dyDescent="0.2">
      <c r="A1916" s="9"/>
    </row>
    <row r="1917" spans="1:1" x14ac:dyDescent="0.2">
      <c r="A1917" s="9"/>
    </row>
    <row r="1918" spans="1:1" x14ac:dyDescent="0.2">
      <c r="A1918" s="9"/>
    </row>
    <row r="1919" spans="1:1" x14ac:dyDescent="0.2">
      <c r="A1919" s="9"/>
    </row>
    <row r="1920" spans="1:1" x14ac:dyDescent="0.2">
      <c r="A1920" s="9"/>
    </row>
    <row r="1921" spans="1:1" x14ac:dyDescent="0.2">
      <c r="A1921" s="9"/>
    </row>
    <row r="1922" spans="1:1" x14ac:dyDescent="0.2">
      <c r="A1922" s="9"/>
    </row>
    <row r="1923" spans="1:1" x14ac:dyDescent="0.2">
      <c r="A1923" s="9"/>
    </row>
    <row r="1924" spans="1:1" x14ac:dyDescent="0.2">
      <c r="A1924" s="9"/>
    </row>
    <row r="1925" spans="1:1" x14ac:dyDescent="0.2">
      <c r="A1925" s="9"/>
    </row>
    <row r="1926" spans="1:1" x14ac:dyDescent="0.2">
      <c r="A1926" s="9"/>
    </row>
    <row r="1927" spans="1:1" x14ac:dyDescent="0.2">
      <c r="A1927" s="9"/>
    </row>
    <row r="1928" spans="1:1" x14ac:dyDescent="0.2">
      <c r="A1928" s="9"/>
    </row>
    <row r="1929" spans="1:1" x14ac:dyDescent="0.2">
      <c r="A1929" s="9"/>
    </row>
    <row r="1930" spans="1:1" x14ac:dyDescent="0.2">
      <c r="A1930" s="9"/>
    </row>
    <row r="1931" spans="1:1" x14ac:dyDescent="0.2">
      <c r="A1931" s="9"/>
    </row>
    <row r="1932" spans="1:1" x14ac:dyDescent="0.2">
      <c r="A1932" s="9"/>
    </row>
    <row r="1933" spans="1:1" x14ac:dyDescent="0.2">
      <c r="A1933" s="9"/>
    </row>
    <row r="1934" spans="1:1" x14ac:dyDescent="0.2">
      <c r="A1934" s="9"/>
    </row>
    <row r="1935" spans="1:1" x14ac:dyDescent="0.2">
      <c r="A1935" s="9"/>
    </row>
    <row r="1936" spans="1:1" x14ac:dyDescent="0.2">
      <c r="A1936" s="9"/>
    </row>
    <row r="1937" spans="1:1" x14ac:dyDescent="0.2">
      <c r="A1937" s="9"/>
    </row>
    <row r="1938" spans="1:1" x14ac:dyDescent="0.2">
      <c r="A1938" s="9"/>
    </row>
    <row r="1939" spans="1:1" x14ac:dyDescent="0.2">
      <c r="A1939" s="9"/>
    </row>
    <row r="1940" spans="1:1" x14ac:dyDescent="0.2">
      <c r="A1940" s="9"/>
    </row>
    <row r="1941" spans="1:1" x14ac:dyDescent="0.2">
      <c r="A1941" s="9"/>
    </row>
    <row r="1942" spans="1:1" x14ac:dyDescent="0.2">
      <c r="A1942" s="9"/>
    </row>
    <row r="1943" spans="1:1" x14ac:dyDescent="0.2">
      <c r="A1943" s="9"/>
    </row>
    <row r="1944" spans="1:1" x14ac:dyDescent="0.2">
      <c r="A1944" s="9"/>
    </row>
    <row r="1945" spans="1:1" x14ac:dyDescent="0.2">
      <c r="A1945" s="9"/>
    </row>
    <row r="1946" spans="1:1" x14ac:dyDescent="0.2">
      <c r="A1946" s="9"/>
    </row>
    <row r="1947" spans="1:1" x14ac:dyDescent="0.2">
      <c r="A1947" s="9"/>
    </row>
    <row r="1948" spans="1:1" x14ac:dyDescent="0.2">
      <c r="A1948" s="9"/>
    </row>
    <row r="1949" spans="1:1" x14ac:dyDescent="0.2">
      <c r="A1949" s="9"/>
    </row>
    <row r="1950" spans="1:1" x14ac:dyDescent="0.2">
      <c r="A1950" s="9"/>
    </row>
    <row r="1951" spans="1:1" x14ac:dyDescent="0.2">
      <c r="A1951" s="9"/>
    </row>
    <row r="1952" spans="1:1" x14ac:dyDescent="0.2">
      <c r="A1952" s="9"/>
    </row>
    <row r="1953" spans="1:1" x14ac:dyDescent="0.2">
      <c r="A1953" s="9"/>
    </row>
    <row r="1954" spans="1:1" x14ac:dyDescent="0.2">
      <c r="A1954" s="9"/>
    </row>
    <row r="1955" spans="1:1" x14ac:dyDescent="0.2">
      <c r="A1955" s="9"/>
    </row>
    <row r="1956" spans="1:1" x14ac:dyDescent="0.2">
      <c r="A1956" s="9"/>
    </row>
    <row r="1957" spans="1:1" x14ac:dyDescent="0.2">
      <c r="A1957" s="9"/>
    </row>
    <row r="1958" spans="1:1" x14ac:dyDescent="0.2">
      <c r="A1958" s="9"/>
    </row>
    <row r="1959" spans="1:1" x14ac:dyDescent="0.2">
      <c r="A1959" s="9"/>
    </row>
    <row r="1960" spans="1:1" x14ac:dyDescent="0.2">
      <c r="A1960" s="9"/>
    </row>
    <row r="1961" spans="1:1" x14ac:dyDescent="0.2">
      <c r="A1961" s="9"/>
    </row>
    <row r="1962" spans="1:1" x14ac:dyDescent="0.2">
      <c r="A1962" s="9"/>
    </row>
    <row r="1963" spans="1:1" x14ac:dyDescent="0.2">
      <c r="A1963" s="9"/>
    </row>
    <row r="1964" spans="1:1" x14ac:dyDescent="0.2">
      <c r="A1964" s="9"/>
    </row>
    <row r="1965" spans="1:1" x14ac:dyDescent="0.2">
      <c r="A1965" s="9"/>
    </row>
    <row r="1966" spans="1:1" x14ac:dyDescent="0.2">
      <c r="A1966" s="9"/>
    </row>
    <row r="1967" spans="1:1" x14ac:dyDescent="0.2">
      <c r="A1967" s="9"/>
    </row>
    <row r="1968" spans="1:1" x14ac:dyDescent="0.2">
      <c r="A1968" s="9"/>
    </row>
    <row r="1969" spans="1:1" x14ac:dyDescent="0.2">
      <c r="A1969" s="9"/>
    </row>
    <row r="1970" spans="1:1" x14ac:dyDescent="0.2">
      <c r="A1970" s="9"/>
    </row>
    <row r="1971" spans="1:1" x14ac:dyDescent="0.2">
      <c r="A1971" s="9"/>
    </row>
    <row r="1972" spans="1:1" x14ac:dyDescent="0.2">
      <c r="A1972" s="9"/>
    </row>
    <row r="1973" spans="1:1" x14ac:dyDescent="0.2">
      <c r="A1973" s="9"/>
    </row>
    <row r="1974" spans="1:1" x14ac:dyDescent="0.2">
      <c r="A1974" s="9"/>
    </row>
    <row r="1975" spans="1:1" x14ac:dyDescent="0.2">
      <c r="A1975" s="9"/>
    </row>
    <row r="1976" spans="1:1" x14ac:dyDescent="0.2">
      <c r="A1976" s="9"/>
    </row>
    <row r="1977" spans="1:1" x14ac:dyDescent="0.2">
      <c r="A1977" s="9"/>
    </row>
    <row r="1978" spans="1:1" x14ac:dyDescent="0.2">
      <c r="A1978" s="9"/>
    </row>
    <row r="1979" spans="1:1" x14ac:dyDescent="0.2">
      <c r="A1979" s="9"/>
    </row>
    <row r="1980" spans="1:1" x14ac:dyDescent="0.2">
      <c r="A1980" s="9"/>
    </row>
    <row r="1981" spans="1:1" x14ac:dyDescent="0.2">
      <c r="A1981" s="9"/>
    </row>
    <row r="1982" spans="1:1" x14ac:dyDescent="0.2">
      <c r="A1982" s="9"/>
    </row>
    <row r="1983" spans="1:1" x14ac:dyDescent="0.2">
      <c r="A1983" s="9"/>
    </row>
    <row r="1984" spans="1:1" x14ac:dyDescent="0.2">
      <c r="A1984" s="9"/>
    </row>
    <row r="1985" spans="1:1" x14ac:dyDescent="0.2">
      <c r="A1985" s="9"/>
    </row>
    <row r="1986" spans="1:1" x14ac:dyDescent="0.2">
      <c r="A1986" s="9"/>
    </row>
    <row r="1987" spans="1:1" x14ac:dyDescent="0.2">
      <c r="A1987" s="9"/>
    </row>
    <row r="1988" spans="1:1" x14ac:dyDescent="0.2">
      <c r="A1988" s="9"/>
    </row>
    <row r="1989" spans="1:1" x14ac:dyDescent="0.2">
      <c r="A1989" s="9"/>
    </row>
    <row r="1990" spans="1:1" x14ac:dyDescent="0.2">
      <c r="A1990" s="9"/>
    </row>
    <row r="1991" spans="1:1" x14ac:dyDescent="0.2">
      <c r="A1991" s="9"/>
    </row>
    <row r="1992" spans="1:1" x14ac:dyDescent="0.2">
      <c r="A1992" s="9"/>
    </row>
    <row r="1993" spans="1:1" x14ac:dyDescent="0.2">
      <c r="A1993" s="9"/>
    </row>
    <row r="1994" spans="1:1" x14ac:dyDescent="0.2">
      <c r="A1994" s="9"/>
    </row>
    <row r="1995" spans="1:1" x14ac:dyDescent="0.2">
      <c r="A1995" s="9"/>
    </row>
    <row r="1996" spans="1:1" x14ac:dyDescent="0.2">
      <c r="A1996" s="9"/>
    </row>
    <row r="1997" spans="1:1" x14ac:dyDescent="0.2">
      <c r="A1997" s="9"/>
    </row>
    <row r="1998" spans="1:1" x14ac:dyDescent="0.2">
      <c r="A1998" s="9"/>
    </row>
    <row r="1999" spans="1:1" x14ac:dyDescent="0.2">
      <c r="A1999" s="9"/>
    </row>
    <row r="2000" spans="1:1" x14ac:dyDescent="0.2">
      <c r="A2000" s="9"/>
    </row>
    <row r="2001" spans="1:1" x14ac:dyDescent="0.2">
      <c r="A2001" s="9"/>
    </row>
    <row r="2002" spans="1:1" x14ac:dyDescent="0.2">
      <c r="A2002" s="9"/>
    </row>
    <row r="2003" spans="1:1" x14ac:dyDescent="0.2">
      <c r="A2003" s="9"/>
    </row>
    <row r="2004" spans="1:1" x14ac:dyDescent="0.2">
      <c r="A2004" s="9"/>
    </row>
    <row r="2005" spans="1:1" x14ac:dyDescent="0.2">
      <c r="A2005" s="9"/>
    </row>
    <row r="2006" spans="1:1" x14ac:dyDescent="0.2">
      <c r="A2006" s="9"/>
    </row>
    <row r="2007" spans="1:1" x14ac:dyDescent="0.2">
      <c r="A2007" s="9"/>
    </row>
    <row r="2008" spans="1:1" x14ac:dyDescent="0.2">
      <c r="A2008" s="9"/>
    </row>
    <row r="2009" spans="1:1" x14ac:dyDescent="0.2">
      <c r="A2009" s="9"/>
    </row>
    <row r="2010" spans="1:1" x14ac:dyDescent="0.2">
      <c r="A2010" s="9"/>
    </row>
    <row r="2011" spans="1:1" x14ac:dyDescent="0.2">
      <c r="A2011" s="9"/>
    </row>
    <row r="2012" spans="1:1" x14ac:dyDescent="0.2">
      <c r="A2012" s="9"/>
    </row>
    <row r="2013" spans="1:1" x14ac:dyDescent="0.2">
      <c r="A2013" s="9"/>
    </row>
    <row r="2014" spans="1:1" x14ac:dyDescent="0.2">
      <c r="A2014" s="9"/>
    </row>
    <row r="2015" spans="1:1" x14ac:dyDescent="0.2">
      <c r="A2015" s="9"/>
    </row>
    <row r="2016" spans="1:1" x14ac:dyDescent="0.2">
      <c r="A2016" s="9"/>
    </row>
    <row r="2017" spans="1:1" x14ac:dyDescent="0.2">
      <c r="A2017" s="9"/>
    </row>
    <row r="2018" spans="1:1" x14ac:dyDescent="0.2">
      <c r="A2018" s="9"/>
    </row>
    <row r="2019" spans="1:1" x14ac:dyDescent="0.2">
      <c r="A2019" s="9"/>
    </row>
    <row r="2020" spans="1:1" x14ac:dyDescent="0.2">
      <c r="A2020" s="9"/>
    </row>
    <row r="2021" spans="1:1" x14ac:dyDescent="0.2">
      <c r="A2021" s="9"/>
    </row>
    <row r="2022" spans="1:1" x14ac:dyDescent="0.2">
      <c r="A2022" s="9"/>
    </row>
    <row r="2023" spans="1:1" x14ac:dyDescent="0.2">
      <c r="A2023" s="9"/>
    </row>
    <row r="2024" spans="1:1" x14ac:dyDescent="0.2">
      <c r="A2024" s="9"/>
    </row>
    <row r="2025" spans="1:1" x14ac:dyDescent="0.2">
      <c r="A2025" s="9"/>
    </row>
    <row r="2026" spans="1:1" x14ac:dyDescent="0.2">
      <c r="A2026" s="9"/>
    </row>
    <row r="2027" spans="1:1" x14ac:dyDescent="0.2">
      <c r="A2027" s="9"/>
    </row>
    <row r="2028" spans="1:1" x14ac:dyDescent="0.2">
      <c r="A2028" s="9"/>
    </row>
    <row r="2029" spans="1:1" x14ac:dyDescent="0.2">
      <c r="A2029" s="9"/>
    </row>
    <row r="2030" spans="1:1" x14ac:dyDescent="0.2">
      <c r="A2030" s="9"/>
    </row>
    <row r="2031" spans="1:1" x14ac:dyDescent="0.2">
      <c r="A2031" s="9"/>
    </row>
    <row r="2032" spans="1:1" x14ac:dyDescent="0.2">
      <c r="A2032" s="9"/>
    </row>
    <row r="2033" spans="1:1" x14ac:dyDescent="0.2">
      <c r="A2033" s="9"/>
    </row>
    <row r="2034" spans="1:1" x14ac:dyDescent="0.2">
      <c r="A2034" s="9"/>
    </row>
    <row r="2035" spans="1:1" x14ac:dyDescent="0.2">
      <c r="A2035" s="9"/>
    </row>
    <row r="2036" spans="1:1" x14ac:dyDescent="0.2">
      <c r="A2036" s="9"/>
    </row>
    <row r="2037" spans="1:1" x14ac:dyDescent="0.2">
      <c r="A2037" s="9"/>
    </row>
    <row r="2038" spans="1:1" x14ac:dyDescent="0.2">
      <c r="A2038" s="9"/>
    </row>
    <row r="2039" spans="1:1" x14ac:dyDescent="0.2">
      <c r="A2039" s="9"/>
    </row>
    <row r="2040" spans="1:1" x14ac:dyDescent="0.2">
      <c r="A2040" s="9"/>
    </row>
    <row r="2041" spans="1:1" x14ac:dyDescent="0.2">
      <c r="A2041" s="9"/>
    </row>
    <row r="2042" spans="1:1" x14ac:dyDescent="0.2">
      <c r="A2042" s="9"/>
    </row>
    <row r="2043" spans="1:1" x14ac:dyDescent="0.2">
      <c r="A2043" s="9"/>
    </row>
    <row r="2044" spans="1:1" x14ac:dyDescent="0.2">
      <c r="A2044" s="9"/>
    </row>
    <row r="2045" spans="1:1" x14ac:dyDescent="0.2">
      <c r="A2045" s="9"/>
    </row>
    <row r="2046" spans="1:1" x14ac:dyDescent="0.2">
      <c r="A2046" s="9"/>
    </row>
    <row r="2047" spans="1:1" x14ac:dyDescent="0.2">
      <c r="A2047" s="9"/>
    </row>
    <row r="2048" spans="1:1" x14ac:dyDescent="0.2">
      <c r="A2048" s="9"/>
    </row>
    <row r="2049" spans="1:1" x14ac:dyDescent="0.2">
      <c r="A2049" s="9"/>
    </row>
    <row r="2050" spans="1:1" x14ac:dyDescent="0.2">
      <c r="A2050" s="9"/>
    </row>
    <row r="2051" spans="1:1" x14ac:dyDescent="0.2">
      <c r="A2051" s="9"/>
    </row>
    <row r="2052" spans="1:1" x14ac:dyDescent="0.2">
      <c r="A2052" s="9"/>
    </row>
    <row r="2053" spans="1:1" x14ac:dyDescent="0.2">
      <c r="A2053" s="9"/>
    </row>
    <row r="2054" spans="1:1" x14ac:dyDescent="0.2">
      <c r="A2054" s="9"/>
    </row>
    <row r="2055" spans="1:1" x14ac:dyDescent="0.2">
      <c r="A2055" s="9"/>
    </row>
    <row r="2056" spans="1:1" x14ac:dyDescent="0.2">
      <c r="A2056" s="9"/>
    </row>
    <row r="2057" spans="1:1" x14ac:dyDescent="0.2">
      <c r="A2057" s="9"/>
    </row>
    <row r="2058" spans="1:1" x14ac:dyDescent="0.2">
      <c r="A2058" s="9"/>
    </row>
    <row r="2059" spans="1:1" x14ac:dyDescent="0.2">
      <c r="A2059" s="9"/>
    </row>
    <row r="2060" spans="1:1" x14ac:dyDescent="0.2">
      <c r="A2060" s="9"/>
    </row>
    <row r="2061" spans="1:1" x14ac:dyDescent="0.2">
      <c r="A2061" s="9"/>
    </row>
    <row r="2062" spans="1:1" x14ac:dyDescent="0.2">
      <c r="A2062" s="9"/>
    </row>
    <row r="2063" spans="1:1" x14ac:dyDescent="0.2">
      <c r="A2063" s="9"/>
    </row>
    <row r="2064" spans="1:1" x14ac:dyDescent="0.2">
      <c r="A2064" s="9"/>
    </row>
    <row r="2065" spans="1:1" x14ac:dyDescent="0.2">
      <c r="A2065" s="9"/>
    </row>
    <row r="2066" spans="1:1" x14ac:dyDescent="0.2">
      <c r="A2066" s="9"/>
    </row>
    <row r="2067" spans="1:1" x14ac:dyDescent="0.2">
      <c r="A2067" s="9"/>
    </row>
    <row r="2068" spans="1:1" x14ac:dyDescent="0.2">
      <c r="A2068" s="9"/>
    </row>
    <row r="2069" spans="1:1" x14ac:dyDescent="0.2">
      <c r="A2069" s="9"/>
    </row>
    <row r="2070" spans="1:1" x14ac:dyDescent="0.2">
      <c r="A2070" s="9"/>
    </row>
    <row r="2071" spans="1:1" x14ac:dyDescent="0.2">
      <c r="A2071" s="9"/>
    </row>
    <row r="2072" spans="1:1" x14ac:dyDescent="0.2">
      <c r="A2072" s="9"/>
    </row>
    <row r="2073" spans="1:1" x14ac:dyDescent="0.2">
      <c r="A2073" s="9"/>
    </row>
    <row r="2074" spans="1:1" x14ac:dyDescent="0.2">
      <c r="A2074" s="9"/>
    </row>
    <row r="2075" spans="1:1" x14ac:dyDescent="0.2">
      <c r="A2075" s="9"/>
    </row>
    <row r="2076" spans="1:1" x14ac:dyDescent="0.2">
      <c r="A2076" s="9"/>
    </row>
    <row r="2077" spans="1:1" x14ac:dyDescent="0.2">
      <c r="A2077" s="9"/>
    </row>
    <row r="2078" spans="1:1" x14ac:dyDescent="0.2">
      <c r="A2078" s="9"/>
    </row>
    <row r="2079" spans="1:1" x14ac:dyDescent="0.2">
      <c r="A2079" s="9"/>
    </row>
    <row r="2080" spans="1:1" x14ac:dyDescent="0.2">
      <c r="A2080" s="9"/>
    </row>
    <row r="2081" spans="1:1" x14ac:dyDescent="0.2">
      <c r="A2081" s="9"/>
    </row>
    <row r="2082" spans="1:1" x14ac:dyDescent="0.2">
      <c r="A2082" s="9"/>
    </row>
    <row r="2083" spans="1:1" x14ac:dyDescent="0.2">
      <c r="A2083" s="9"/>
    </row>
    <row r="2084" spans="1:1" x14ac:dyDescent="0.2">
      <c r="A2084" s="9"/>
    </row>
    <row r="2085" spans="1:1" x14ac:dyDescent="0.2">
      <c r="A2085" s="9"/>
    </row>
    <row r="2086" spans="1:1" x14ac:dyDescent="0.2">
      <c r="A2086" s="9"/>
    </row>
    <row r="2087" spans="1:1" x14ac:dyDescent="0.2">
      <c r="A2087" s="9"/>
    </row>
    <row r="2088" spans="1:1" x14ac:dyDescent="0.2">
      <c r="A2088" s="9"/>
    </row>
    <row r="2089" spans="1:1" x14ac:dyDescent="0.2">
      <c r="A2089" s="9"/>
    </row>
    <row r="2090" spans="1:1" x14ac:dyDescent="0.2">
      <c r="A2090" s="9"/>
    </row>
    <row r="2091" spans="1:1" x14ac:dyDescent="0.2">
      <c r="A2091" s="9"/>
    </row>
    <row r="2092" spans="1:1" x14ac:dyDescent="0.2">
      <c r="A2092" s="9"/>
    </row>
    <row r="2093" spans="1:1" x14ac:dyDescent="0.2">
      <c r="A2093" s="9"/>
    </row>
    <row r="2094" spans="1:1" x14ac:dyDescent="0.2">
      <c r="A2094" s="9"/>
    </row>
    <row r="2095" spans="1:1" x14ac:dyDescent="0.2">
      <c r="A2095" s="9"/>
    </row>
    <row r="2096" spans="1:1" x14ac:dyDescent="0.2">
      <c r="A2096" s="9"/>
    </row>
    <row r="2097" spans="1:1" x14ac:dyDescent="0.2">
      <c r="A2097" s="9"/>
    </row>
    <row r="2098" spans="1:1" x14ac:dyDescent="0.2">
      <c r="A2098" s="9"/>
    </row>
    <row r="2099" spans="1:1" x14ac:dyDescent="0.2">
      <c r="A2099" s="9"/>
    </row>
    <row r="2100" spans="1:1" x14ac:dyDescent="0.2">
      <c r="A2100" s="9"/>
    </row>
    <row r="2101" spans="1:1" x14ac:dyDescent="0.2">
      <c r="A2101" s="9"/>
    </row>
    <row r="2102" spans="1:1" x14ac:dyDescent="0.2">
      <c r="A2102" s="9"/>
    </row>
    <row r="2103" spans="1:1" x14ac:dyDescent="0.2">
      <c r="A2103" s="9"/>
    </row>
    <row r="2104" spans="1:1" x14ac:dyDescent="0.2">
      <c r="A2104" s="9"/>
    </row>
    <row r="2105" spans="1:1" x14ac:dyDescent="0.2">
      <c r="A2105" s="9"/>
    </row>
    <row r="2106" spans="1:1" x14ac:dyDescent="0.2">
      <c r="A2106" s="9"/>
    </row>
    <row r="2107" spans="1:1" x14ac:dyDescent="0.2">
      <c r="A2107" s="9"/>
    </row>
    <row r="2108" spans="1:1" x14ac:dyDescent="0.2">
      <c r="A2108" s="9"/>
    </row>
    <row r="2109" spans="1:1" x14ac:dyDescent="0.2">
      <c r="A2109" s="9"/>
    </row>
    <row r="2110" spans="1:1" x14ac:dyDescent="0.2">
      <c r="A2110" s="9"/>
    </row>
    <row r="2111" spans="1:1" x14ac:dyDescent="0.2">
      <c r="A2111" s="9"/>
    </row>
    <row r="2112" spans="1:1" x14ac:dyDescent="0.2">
      <c r="A2112" s="9"/>
    </row>
    <row r="2113" spans="1:1" x14ac:dyDescent="0.2">
      <c r="A2113" s="9"/>
    </row>
    <row r="2114" spans="1:1" x14ac:dyDescent="0.2">
      <c r="A2114" s="9"/>
    </row>
    <row r="2115" spans="1:1" x14ac:dyDescent="0.2">
      <c r="A2115" s="9"/>
    </row>
    <row r="2116" spans="1:1" x14ac:dyDescent="0.2">
      <c r="A2116" s="9"/>
    </row>
    <row r="2117" spans="1:1" x14ac:dyDescent="0.2">
      <c r="A2117" s="9"/>
    </row>
    <row r="2118" spans="1:1" x14ac:dyDescent="0.2">
      <c r="A2118" s="9"/>
    </row>
    <row r="2119" spans="1:1" x14ac:dyDescent="0.2">
      <c r="A2119" s="9"/>
    </row>
    <row r="2120" spans="1:1" x14ac:dyDescent="0.2">
      <c r="A2120" s="9"/>
    </row>
    <row r="2121" spans="1:1" x14ac:dyDescent="0.2">
      <c r="A2121" s="9"/>
    </row>
    <row r="2122" spans="1:1" x14ac:dyDescent="0.2">
      <c r="A2122" s="9"/>
    </row>
    <row r="2123" spans="1:1" x14ac:dyDescent="0.2">
      <c r="A2123" s="9"/>
    </row>
    <row r="2124" spans="1:1" x14ac:dyDescent="0.2">
      <c r="A2124" s="9"/>
    </row>
    <row r="2125" spans="1:1" x14ac:dyDescent="0.2">
      <c r="A2125" s="9"/>
    </row>
    <row r="2126" spans="1:1" x14ac:dyDescent="0.2">
      <c r="A2126" s="9"/>
    </row>
    <row r="2127" spans="1:1" x14ac:dyDescent="0.2">
      <c r="A2127" s="9"/>
    </row>
    <row r="2128" spans="1:1" x14ac:dyDescent="0.2">
      <c r="A2128" s="9"/>
    </row>
    <row r="2129" spans="1:1" x14ac:dyDescent="0.2">
      <c r="A2129" s="9"/>
    </row>
    <row r="2130" spans="1:1" x14ac:dyDescent="0.2">
      <c r="A2130" s="9"/>
    </row>
    <row r="2131" spans="1:1" x14ac:dyDescent="0.2">
      <c r="A2131" s="9"/>
    </row>
    <row r="2132" spans="1:1" x14ac:dyDescent="0.2">
      <c r="A2132" s="9"/>
    </row>
    <row r="2133" spans="1:1" x14ac:dyDescent="0.2">
      <c r="A2133" s="9"/>
    </row>
    <row r="2134" spans="1:1" x14ac:dyDescent="0.2">
      <c r="A2134" s="9"/>
    </row>
    <row r="2135" spans="1:1" x14ac:dyDescent="0.2">
      <c r="A2135" s="9"/>
    </row>
    <row r="2136" spans="1:1" x14ac:dyDescent="0.2">
      <c r="A2136" s="9"/>
    </row>
    <row r="2137" spans="1:1" x14ac:dyDescent="0.2">
      <c r="A2137" s="9"/>
    </row>
    <row r="2138" spans="1:1" x14ac:dyDescent="0.2">
      <c r="A2138" s="9"/>
    </row>
    <row r="2139" spans="1:1" x14ac:dyDescent="0.2">
      <c r="A2139" s="9"/>
    </row>
    <row r="2140" spans="1:1" x14ac:dyDescent="0.2">
      <c r="A2140" s="9"/>
    </row>
    <row r="2141" spans="1:1" x14ac:dyDescent="0.2">
      <c r="A2141" s="9"/>
    </row>
    <row r="2142" spans="1:1" x14ac:dyDescent="0.2">
      <c r="A2142" s="9"/>
    </row>
    <row r="2143" spans="1:1" x14ac:dyDescent="0.2">
      <c r="A2143" s="9"/>
    </row>
    <row r="2144" spans="1:1" x14ac:dyDescent="0.2">
      <c r="A2144" s="9"/>
    </row>
    <row r="2145" spans="1:1" x14ac:dyDescent="0.2">
      <c r="A2145" s="9"/>
    </row>
    <row r="2146" spans="1:1" x14ac:dyDescent="0.2">
      <c r="A2146" s="9"/>
    </row>
    <row r="2147" spans="1:1" x14ac:dyDescent="0.2">
      <c r="A2147" s="9"/>
    </row>
    <row r="2148" spans="1:1" x14ac:dyDescent="0.2">
      <c r="A2148" s="9"/>
    </row>
    <row r="2149" spans="1:1" x14ac:dyDescent="0.2">
      <c r="A2149" s="9"/>
    </row>
    <row r="2150" spans="1:1" x14ac:dyDescent="0.2">
      <c r="A2150" s="9"/>
    </row>
    <row r="2151" spans="1:1" x14ac:dyDescent="0.2">
      <c r="A2151" s="9"/>
    </row>
    <row r="2152" spans="1:1" x14ac:dyDescent="0.2">
      <c r="A2152" s="9"/>
    </row>
    <row r="2153" spans="1:1" x14ac:dyDescent="0.2">
      <c r="A2153" s="9"/>
    </row>
    <row r="2154" spans="1:1" x14ac:dyDescent="0.2">
      <c r="A2154" s="9"/>
    </row>
    <row r="2155" spans="1:1" x14ac:dyDescent="0.2">
      <c r="A2155" s="9"/>
    </row>
    <row r="2156" spans="1:1" x14ac:dyDescent="0.2">
      <c r="A2156" s="9"/>
    </row>
    <row r="2157" spans="1:1" x14ac:dyDescent="0.2">
      <c r="A2157" s="9"/>
    </row>
    <row r="2158" spans="1:1" x14ac:dyDescent="0.2">
      <c r="A2158" s="9"/>
    </row>
    <row r="2159" spans="1:1" x14ac:dyDescent="0.2">
      <c r="A2159" s="9"/>
    </row>
    <row r="2160" spans="1:1" x14ac:dyDescent="0.2">
      <c r="A2160" s="9"/>
    </row>
    <row r="2161" spans="1:1" x14ac:dyDescent="0.2">
      <c r="A2161" s="9"/>
    </row>
    <row r="2162" spans="1:1" x14ac:dyDescent="0.2">
      <c r="A2162" s="9"/>
    </row>
    <row r="2163" spans="1:1" x14ac:dyDescent="0.2">
      <c r="A2163" s="9"/>
    </row>
    <row r="2164" spans="1:1" x14ac:dyDescent="0.2">
      <c r="A2164" s="9"/>
    </row>
    <row r="2165" spans="1:1" x14ac:dyDescent="0.2">
      <c r="A2165" s="9"/>
    </row>
    <row r="2166" spans="1:1" x14ac:dyDescent="0.2">
      <c r="A2166" s="9"/>
    </row>
    <row r="2167" spans="1:1" x14ac:dyDescent="0.2">
      <c r="A2167" s="9"/>
    </row>
    <row r="2168" spans="1:1" x14ac:dyDescent="0.2">
      <c r="A2168" s="9"/>
    </row>
    <row r="2169" spans="1:1" x14ac:dyDescent="0.2">
      <c r="A2169" s="9"/>
    </row>
    <row r="2170" spans="1:1" x14ac:dyDescent="0.2">
      <c r="A2170" s="9"/>
    </row>
    <row r="2171" spans="1:1" x14ac:dyDescent="0.2">
      <c r="A2171" s="9"/>
    </row>
    <row r="2172" spans="1:1" x14ac:dyDescent="0.2">
      <c r="A2172" s="9"/>
    </row>
    <row r="2173" spans="1:1" x14ac:dyDescent="0.2">
      <c r="A2173" s="9"/>
    </row>
    <row r="2174" spans="1:1" x14ac:dyDescent="0.2">
      <c r="A2174" s="9"/>
    </row>
    <row r="2175" spans="1:1" x14ac:dyDescent="0.2">
      <c r="A2175" s="9"/>
    </row>
    <row r="2176" spans="1:1" x14ac:dyDescent="0.2">
      <c r="A2176" s="9"/>
    </row>
    <row r="2177" spans="1:1" x14ac:dyDescent="0.2">
      <c r="A2177" s="9"/>
    </row>
    <row r="2178" spans="1:1" x14ac:dyDescent="0.2">
      <c r="A2178" s="9"/>
    </row>
    <row r="2179" spans="1:1" x14ac:dyDescent="0.2">
      <c r="A2179" s="9"/>
    </row>
    <row r="2180" spans="1:1" x14ac:dyDescent="0.2">
      <c r="A2180" s="9"/>
    </row>
    <row r="2181" spans="1:1" x14ac:dyDescent="0.2">
      <c r="A2181" s="9"/>
    </row>
    <row r="2182" spans="1:1" x14ac:dyDescent="0.2">
      <c r="A2182" s="9"/>
    </row>
    <row r="2183" spans="1:1" x14ac:dyDescent="0.2">
      <c r="A2183" s="9"/>
    </row>
    <row r="2184" spans="1:1" x14ac:dyDescent="0.2">
      <c r="A2184" s="9"/>
    </row>
    <row r="2185" spans="1:1" x14ac:dyDescent="0.2">
      <c r="A2185" s="9"/>
    </row>
    <row r="2186" spans="1:1" x14ac:dyDescent="0.2">
      <c r="A2186" s="9"/>
    </row>
    <row r="2187" spans="1:1" x14ac:dyDescent="0.2">
      <c r="A2187" s="9"/>
    </row>
    <row r="2188" spans="1:1" x14ac:dyDescent="0.2">
      <c r="A2188" s="9"/>
    </row>
    <row r="2189" spans="1:1" x14ac:dyDescent="0.2">
      <c r="A2189" s="9"/>
    </row>
    <row r="2190" spans="1:1" x14ac:dyDescent="0.2">
      <c r="A2190" s="9"/>
    </row>
    <row r="2191" spans="1:1" x14ac:dyDescent="0.2">
      <c r="A2191" s="9"/>
    </row>
    <row r="2192" spans="1:1" x14ac:dyDescent="0.2">
      <c r="A2192" s="9"/>
    </row>
    <row r="2193" spans="1:1" x14ac:dyDescent="0.2">
      <c r="A2193" s="9"/>
    </row>
    <row r="2194" spans="1:1" x14ac:dyDescent="0.2">
      <c r="A2194" s="9"/>
    </row>
    <row r="2195" spans="1:1" x14ac:dyDescent="0.2">
      <c r="A2195" s="9"/>
    </row>
    <row r="2196" spans="1:1" x14ac:dyDescent="0.2">
      <c r="A2196" s="9"/>
    </row>
    <row r="2197" spans="1:1" x14ac:dyDescent="0.2">
      <c r="A2197" s="9"/>
    </row>
    <row r="2198" spans="1:1" x14ac:dyDescent="0.2">
      <c r="A2198" s="9"/>
    </row>
    <row r="2199" spans="1:1" x14ac:dyDescent="0.2">
      <c r="A2199" s="9"/>
    </row>
    <row r="2200" spans="1:1" x14ac:dyDescent="0.2">
      <c r="A2200" s="9"/>
    </row>
    <row r="2201" spans="1:1" x14ac:dyDescent="0.2">
      <c r="A2201" s="9"/>
    </row>
    <row r="2202" spans="1:1" x14ac:dyDescent="0.2">
      <c r="A2202" s="9"/>
    </row>
    <row r="2203" spans="1:1" x14ac:dyDescent="0.2">
      <c r="A2203" s="9"/>
    </row>
    <row r="2204" spans="1:1" x14ac:dyDescent="0.2">
      <c r="A2204" s="9"/>
    </row>
    <row r="2205" spans="1:1" x14ac:dyDescent="0.2">
      <c r="A2205" s="9"/>
    </row>
    <row r="2206" spans="1:1" x14ac:dyDescent="0.2">
      <c r="A2206" s="9"/>
    </row>
    <row r="2207" spans="1:1" x14ac:dyDescent="0.2">
      <c r="A2207" s="9"/>
    </row>
    <row r="2208" spans="1:1" x14ac:dyDescent="0.2">
      <c r="A2208" s="9"/>
    </row>
    <row r="2209" spans="1:1" x14ac:dyDescent="0.2">
      <c r="A2209" s="9"/>
    </row>
    <row r="2210" spans="1:1" x14ac:dyDescent="0.2">
      <c r="A2210" s="9"/>
    </row>
    <row r="2211" spans="1:1" x14ac:dyDescent="0.2">
      <c r="A2211" s="9"/>
    </row>
    <row r="2212" spans="1:1" x14ac:dyDescent="0.2">
      <c r="A2212" s="9"/>
    </row>
    <row r="2213" spans="1:1" x14ac:dyDescent="0.2">
      <c r="A2213" s="9"/>
    </row>
    <row r="2214" spans="1:1" x14ac:dyDescent="0.2">
      <c r="A2214" s="9"/>
    </row>
    <row r="2215" spans="1:1" x14ac:dyDescent="0.2">
      <c r="A2215" s="9"/>
    </row>
    <row r="2216" spans="1:1" x14ac:dyDescent="0.2">
      <c r="A2216" s="9"/>
    </row>
    <row r="2217" spans="1:1" x14ac:dyDescent="0.2">
      <c r="A2217" s="9"/>
    </row>
    <row r="2218" spans="1:1" x14ac:dyDescent="0.2">
      <c r="A2218" s="9"/>
    </row>
    <row r="2219" spans="1:1" x14ac:dyDescent="0.2">
      <c r="A2219" s="9"/>
    </row>
    <row r="2220" spans="1:1" x14ac:dyDescent="0.2">
      <c r="A2220" s="9"/>
    </row>
    <row r="2221" spans="1:1" x14ac:dyDescent="0.2">
      <c r="A2221" s="9"/>
    </row>
    <row r="2222" spans="1:1" x14ac:dyDescent="0.2">
      <c r="A2222" s="9"/>
    </row>
    <row r="2223" spans="1:1" x14ac:dyDescent="0.2">
      <c r="A2223" s="9"/>
    </row>
    <row r="2224" spans="1:1" x14ac:dyDescent="0.2">
      <c r="A2224" s="9"/>
    </row>
    <row r="2225" spans="1:1" x14ac:dyDescent="0.2">
      <c r="A2225" s="9"/>
    </row>
    <row r="2226" spans="1:1" x14ac:dyDescent="0.2">
      <c r="A2226" s="9"/>
    </row>
    <row r="2227" spans="1:1" x14ac:dyDescent="0.2">
      <c r="A2227" s="9"/>
    </row>
    <row r="2228" spans="1:1" x14ac:dyDescent="0.2">
      <c r="A2228" s="9"/>
    </row>
    <row r="2229" spans="1:1" x14ac:dyDescent="0.2">
      <c r="A2229" s="9"/>
    </row>
    <row r="2230" spans="1:1" x14ac:dyDescent="0.2">
      <c r="A2230" s="9"/>
    </row>
    <row r="2231" spans="1:1" x14ac:dyDescent="0.2">
      <c r="A2231" s="9"/>
    </row>
    <row r="2232" spans="1:1" x14ac:dyDescent="0.2">
      <c r="A2232" s="9"/>
    </row>
    <row r="2233" spans="1:1" x14ac:dyDescent="0.2">
      <c r="A2233" s="9"/>
    </row>
    <row r="2234" spans="1:1" x14ac:dyDescent="0.2">
      <c r="A2234" s="9"/>
    </row>
    <row r="2235" spans="1:1" x14ac:dyDescent="0.2">
      <c r="A2235" s="9"/>
    </row>
    <row r="2236" spans="1:1" x14ac:dyDescent="0.2">
      <c r="A2236" s="9"/>
    </row>
    <row r="2237" spans="1:1" x14ac:dyDescent="0.2">
      <c r="A2237" s="9"/>
    </row>
    <row r="2238" spans="1:1" x14ac:dyDescent="0.2">
      <c r="A2238" s="9"/>
    </row>
    <row r="2239" spans="1:1" x14ac:dyDescent="0.2">
      <c r="A2239" s="9"/>
    </row>
    <row r="2240" spans="1:1" x14ac:dyDescent="0.2">
      <c r="A2240" s="9"/>
    </row>
    <row r="2241" spans="1:1" x14ac:dyDescent="0.2">
      <c r="A2241" s="9"/>
    </row>
    <row r="2242" spans="1:1" x14ac:dyDescent="0.2">
      <c r="A2242" s="9"/>
    </row>
    <row r="2243" spans="1:1" x14ac:dyDescent="0.2">
      <c r="A2243" s="9"/>
    </row>
    <row r="2244" spans="1:1" x14ac:dyDescent="0.2">
      <c r="A2244" s="9"/>
    </row>
    <row r="2245" spans="1:1" x14ac:dyDescent="0.2">
      <c r="A2245" s="9"/>
    </row>
    <row r="2246" spans="1:1" x14ac:dyDescent="0.2">
      <c r="A2246" s="9"/>
    </row>
    <row r="2247" spans="1:1" x14ac:dyDescent="0.2">
      <c r="A2247" s="9"/>
    </row>
    <row r="2248" spans="1:1" x14ac:dyDescent="0.2">
      <c r="A2248" s="9"/>
    </row>
    <row r="2249" spans="1:1" x14ac:dyDescent="0.2">
      <c r="A2249" s="9"/>
    </row>
    <row r="2250" spans="1:1" x14ac:dyDescent="0.2">
      <c r="A2250" s="9"/>
    </row>
    <row r="2251" spans="1:1" x14ac:dyDescent="0.2">
      <c r="A2251" s="9"/>
    </row>
    <row r="2252" spans="1:1" x14ac:dyDescent="0.2">
      <c r="A2252" s="9"/>
    </row>
    <row r="2253" spans="1:1" x14ac:dyDescent="0.2">
      <c r="A2253" s="9"/>
    </row>
    <row r="2254" spans="1:1" x14ac:dyDescent="0.2">
      <c r="A2254" s="9"/>
    </row>
    <row r="2255" spans="1:1" x14ac:dyDescent="0.2">
      <c r="A2255" s="9"/>
    </row>
    <row r="2256" spans="1:1" x14ac:dyDescent="0.2">
      <c r="A2256" s="9"/>
    </row>
    <row r="2257" spans="1:1" x14ac:dyDescent="0.2">
      <c r="A2257" s="9"/>
    </row>
    <row r="2258" spans="1:1" x14ac:dyDescent="0.2">
      <c r="A2258" s="9"/>
    </row>
    <row r="2259" spans="1:1" x14ac:dyDescent="0.2">
      <c r="A2259" s="9"/>
    </row>
    <row r="2260" spans="1:1" x14ac:dyDescent="0.2">
      <c r="A2260" s="9"/>
    </row>
    <row r="2261" spans="1:1" x14ac:dyDescent="0.2">
      <c r="A2261" s="9"/>
    </row>
    <row r="2262" spans="1:1" x14ac:dyDescent="0.2">
      <c r="A2262" s="9"/>
    </row>
    <row r="2263" spans="1:1" x14ac:dyDescent="0.2">
      <c r="A2263" s="9"/>
    </row>
    <row r="2264" spans="1:1" x14ac:dyDescent="0.2">
      <c r="A2264" s="9"/>
    </row>
    <row r="2265" spans="1:1" x14ac:dyDescent="0.2">
      <c r="A2265" s="9"/>
    </row>
    <row r="2266" spans="1:1" x14ac:dyDescent="0.2">
      <c r="A2266" s="9"/>
    </row>
    <row r="2267" spans="1:1" x14ac:dyDescent="0.2">
      <c r="A2267" s="9"/>
    </row>
    <row r="2268" spans="1:1" x14ac:dyDescent="0.2">
      <c r="A2268" s="9"/>
    </row>
    <row r="2269" spans="1:1" x14ac:dyDescent="0.2">
      <c r="A2269" s="9"/>
    </row>
    <row r="2270" spans="1:1" x14ac:dyDescent="0.2">
      <c r="A2270" s="9"/>
    </row>
    <row r="2271" spans="1:1" x14ac:dyDescent="0.2">
      <c r="A2271" s="9"/>
    </row>
    <row r="2272" spans="1:1" x14ac:dyDescent="0.2">
      <c r="A2272" s="9"/>
    </row>
    <row r="2273" spans="1:1" x14ac:dyDescent="0.2">
      <c r="A2273" s="9"/>
    </row>
    <row r="2274" spans="1:1" x14ac:dyDescent="0.2">
      <c r="A2274" s="9"/>
    </row>
    <row r="2275" spans="1:1" x14ac:dyDescent="0.2">
      <c r="A2275" s="9"/>
    </row>
    <row r="2276" spans="1:1" x14ac:dyDescent="0.2">
      <c r="A2276" s="9"/>
    </row>
    <row r="2277" spans="1:1" x14ac:dyDescent="0.2">
      <c r="A2277" s="9"/>
    </row>
    <row r="2278" spans="1:1" x14ac:dyDescent="0.2">
      <c r="A2278" s="9"/>
    </row>
    <row r="2279" spans="1:1" x14ac:dyDescent="0.2">
      <c r="A2279" s="9"/>
    </row>
    <row r="2280" spans="1:1" x14ac:dyDescent="0.2">
      <c r="A2280" s="9"/>
    </row>
    <row r="2281" spans="1:1" x14ac:dyDescent="0.2">
      <c r="A2281" s="9"/>
    </row>
    <row r="2282" spans="1:1" x14ac:dyDescent="0.2">
      <c r="A2282" s="9"/>
    </row>
    <row r="2283" spans="1:1" x14ac:dyDescent="0.2">
      <c r="A2283" s="9"/>
    </row>
    <row r="2284" spans="1:1" x14ac:dyDescent="0.2">
      <c r="A2284" s="9"/>
    </row>
    <row r="2285" spans="1:1" x14ac:dyDescent="0.2">
      <c r="A2285" s="9"/>
    </row>
    <row r="2286" spans="1:1" x14ac:dyDescent="0.2">
      <c r="A2286" s="9"/>
    </row>
    <row r="2287" spans="1:1" x14ac:dyDescent="0.2">
      <c r="A2287" s="9"/>
    </row>
    <row r="2288" spans="1:1" x14ac:dyDescent="0.2">
      <c r="A2288" s="9"/>
    </row>
    <row r="2289" spans="1:1" x14ac:dyDescent="0.2">
      <c r="A2289" s="9"/>
    </row>
    <row r="2290" spans="1:1" x14ac:dyDescent="0.2">
      <c r="A2290" s="9"/>
    </row>
    <row r="2291" spans="1:1" x14ac:dyDescent="0.2">
      <c r="A2291" s="9"/>
    </row>
    <row r="2292" spans="1:1" x14ac:dyDescent="0.2">
      <c r="A2292" s="9"/>
    </row>
    <row r="2293" spans="1:1" x14ac:dyDescent="0.2">
      <c r="A2293" s="9"/>
    </row>
    <row r="2294" spans="1:1" x14ac:dyDescent="0.2">
      <c r="A2294" s="9"/>
    </row>
    <row r="2295" spans="1:1" x14ac:dyDescent="0.2">
      <c r="A2295" s="9"/>
    </row>
    <row r="2296" spans="1:1" x14ac:dyDescent="0.2">
      <c r="A2296" s="9"/>
    </row>
    <row r="2297" spans="1:1" x14ac:dyDescent="0.2">
      <c r="A2297" s="9"/>
    </row>
    <row r="2298" spans="1:1" x14ac:dyDescent="0.2">
      <c r="A2298" s="9"/>
    </row>
    <row r="2299" spans="1:1" x14ac:dyDescent="0.2">
      <c r="A2299" s="9"/>
    </row>
    <row r="2300" spans="1:1" x14ac:dyDescent="0.2">
      <c r="A2300" s="9"/>
    </row>
    <row r="2301" spans="1:1" x14ac:dyDescent="0.2">
      <c r="A2301" s="9"/>
    </row>
    <row r="2302" spans="1:1" x14ac:dyDescent="0.2">
      <c r="A2302" s="9"/>
    </row>
    <row r="2303" spans="1:1" x14ac:dyDescent="0.2">
      <c r="A2303" s="9"/>
    </row>
    <row r="2304" spans="1:1" x14ac:dyDescent="0.2">
      <c r="A2304" s="9"/>
    </row>
    <row r="2305" spans="1:1" x14ac:dyDescent="0.2">
      <c r="A2305" s="9"/>
    </row>
    <row r="2306" spans="1:1" x14ac:dyDescent="0.2">
      <c r="A2306" s="9"/>
    </row>
    <row r="2307" spans="1:1" x14ac:dyDescent="0.2">
      <c r="A2307" s="9"/>
    </row>
    <row r="2308" spans="1:1" x14ac:dyDescent="0.2">
      <c r="A2308" s="9"/>
    </row>
    <row r="2309" spans="1:1" x14ac:dyDescent="0.2">
      <c r="A2309" s="9"/>
    </row>
    <row r="2310" spans="1:1" x14ac:dyDescent="0.2">
      <c r="A2310" s="9"/>
    </row>
    <row r="2311" spans="1:1" x14ac:dyDescent="0.2">
      <c r="A2311" s="9"/>
    </row>
    <row r="2312" spans="1:1" x14ac:dyDescent="0.2">
      <c r="A2312" s="9"/>
    </row>
    <row r="2313" spans="1:1" x14ac:dyDescent="0.2">
      <c r="A2313" s="9"/>
    </row>
    <row r="2314" spans="1:1" x14ac:dyDescent="0.2">
      <c r="A2314" s="9"/>
    </row>
    <row r="2315" spans="1:1" x14ac:dyDescent="0.2">
      <c r="A2315" s="9"/>
    </row>
    <row r="2316" spans="1:1" x14ac:dyDescent="0.2">
      <c r="A2316" s="9"/>
    </row>
    <row r="2317" spans="1:1" x14ac:dyDescent="0.2">
      <c r="A2317" s="9"/>
    </row>
    <row r="2318" spans="1:1" x14ac:dyDescent="0.2">
      <c r="A2318" s="9"/>
    </row>
    <row r="2319" spans="1:1" x14ac:dyDescent="0.2">
      <c r="A2319" s="9"/>
    </row>
    <row r="2320" spans="1:1" x14ac:dyDescent="0.2">
      <c r="A2320" s="9"/>
    </row>
    <row r="2321" spans="1:1" x14ac:dyDescent="0.2">
      <c r="A2321" s="9"/>
    </row>
    <row r="2322" spans="1:1" x14ac:dyDescent="0.2">
      <c r="A2322" s="9"/>
    </row>
    <row r="2323" spans="1:1" x14ac:dyDescent="0.2">
      <c r="A2323" s="9"/>
    </row>
    <row r="2324" spans="1:1" x14ac:dyDescent="0.2">
      <c r="A2324" s="9"/>
    </row>
    <row r="2325" spans="1:1" x14ac:dyDescent="0.2">
      <c r="A2325" s="9"/>
    </row>
    <row r="2326" spans="1:1" x14ac:dyDescent="0.2">
      <c r="A2326" s="9"/>
    </row>
    <row r="2327" spans="1:1" x14ac:dyDescent="0.2">
      <c r="A2327" s="9"/>
    </row>
    <row r="2328" spans="1:1" x14ac:dyDescent="0.2">
      <c r="A2328" s="9"/>
    </row>
    <row r="2329" spans="1:1" x14ac:dyDescent="0.2">
      <c r="A2329" s="9"/>
    </row>
    <row r="2330" spans="1:1" x14ac:dyDescent="0.2">
      <c r="A2330" s="9"/>
    </row>
    <row r="2331" spans="1:1" x14ac:dyDescent="0.2">
      <c r="A2331" s="9"/>
    </row>
    <row r="2332" spans="1:1" x14ac:dyDescent="0.2">
      <c r="A2332" s="9"/>
    </row>
    <row r="2333" spans="1:1" x14ac:dyDescent="0.2">
      <c r="A2333" s="9"/>
    </row>
    <row r="2334" spans="1:1" x14ac:dyDescent="0.2">
      <c r="A2334" s="9"/>
    </row>
    <row r="2335" spans="1:1" x14ac:dyDescent="0.2">
      <c r="A2335" s="9"/>
    </row>
    <row r="2336" spans="1:1" x14ac:dyDescent="0.2">
      <c r="A2336" s="9"/>
    </row>
    <row r="2337" spans="1:1" x14ac:dyDescent="0.2">
      <c r="A2337" s="9"/>
    </row>
    <row r="2338" spans="1:1" x14ac:dyDescent="0.2">
      <c r="A2338" s="9"/>
    </row>
    <row r="2339" spans="1:1" x14ac:dyDescent="0.2">
      <c r="A2339" s="9"/>
    </row>
    <row r="2340" spans="1:1" x14ac:dyDescent="0.2">
      <c r="A2340" s="9"/>
    </row>
    <row r="2341" spans="1:1" x14ac:dyDescent="0.2">
      <c r="A2341" s="9"/>
    </row>
    <row r="2342" spans="1:1" x14ac:dyDescent="0.2">
      <c r="A2342" s="9"/>
    </row>
    <row r="2343" spans="1:1" x14ac:dyDescent="0.2">
      <c r="A2343" s="9"/>
    </row>
    <row r="2344" spans="1:1" x14ac:dyDescent="0.2">
      <c r="A2344" s="9"/>
    </row>
    <row r="2345" spans="1:1" x14ac:dyDescent="0.2">
      <c r="A2345" s="9"/>
    </row>
    <row r="2346" spans="1:1" x14ac:dyDescent="0.2">
      <c r="A2346" s="9"/>
    </row>
    <row r="2347" spans="1:1" x14ac:dyDescent="0.2">
      <c r="A2347" s="9"/>
    </row>
    <row r="2348" spans="1:1" x14ac:dyDescent="0.2">
      <c r="A2348" s="9"/>
    </row>
    <row r="2349" spans="1:1" x14ac:dyDescent="0.2">
      <c r="A2349" s="9"/>
    </row>
    <row r="2350" spans="1:1" x14ac:dyDescent="0.2">
      <c r="A2350" s="9"/>
    </row>
    <row r="2351" spans="1:1" x14ac:dyDescent="0.2">
      <c r="A2351" s="9"/>
    </row>
    <row r="2352" spans="1:1" x14ac:dyDescent="0.2">
      <c r="A2352" s="9"/>
    </row>
    <row r="2353" spans="1:1" x14ac:dyDescent="0.2">
      <c r="A2353" s="9"/>
    </row>
    <row r="2354" spans="1:1" x14ac:dyDescent="0.2">
      <c r="A2354" s="9"/>
    </row>
    <row r="2355" spans="1:1" x14ac:dyDescent="0.2">
      <c r="A2355" s="9"/>
    </row>
    <row r="2356" spans="1:1" x14ac:dyDescent="0.2">
      <c r="A2356" s="9"/>
    </row>
    <row r="2357" spans="1:1" x14ac:dyDescent="0.2">
      <c r="A2357" s="9"/>
    </row>
    <row r="2358" spans="1:1" x14ac:dyDescent="0.2">
      <c r="A2358" s="9"/>
    </row>
    <row r="2359" spans="1:1" x14ac:dyDescent="0.2">
      <c r="A2359" s="9"/>
    </row>
    <row r="2360" spans="1:1" x14ac:dyDescent="0.2">
      <c r="A2360" s="9"/>
    </row>
    <row r="2361" spans="1:1" x14ac:dyDescent="0.2">
      <c r="A2361" s="9"/>
    </row>
    <row r="2362" spans="1:1" x14ac:dyDescent="0.2">
      <c r="A2362" s="9"/>
    </row>
    <row r="2363" spans="1:1" x14ac:dyDescent="0.2">
      <c r="A2363" s="9"/>
    </row>
    <row r="2364" spans="1:1" x14ac:dyDescent="0.2">
      <c r="A2364" s="9"/>
    </row>
    <row r="2365" spans="1:1" x14ac:dyDescent="0.2">
      <c r="A2365" s="9"/>
    </row>
    <row r="2366" spans="1:1" x14ac:dyDescent="0.2">
      <c r="A2366" s="9"/>
    </row>
    <row r="2367" spans="1:1" x14ac:dyDescent="0.2">
      <c r="A2367" s="9"/>
    </row>
    <row r="2368" spans="1:1" x14ac:dyDescent="0.2">
      <c r="A2368" s="9"/>
    </row>
    <row r="2369" spans="1:1" x14ac:dyDescent="0.2">
      <c r="A2369" s="9"/>
    </row>
    <row r="2370" spans="1:1" x14ac:dyDescent="0.2">
      <c r="A2370" s="9"/>
    </row>
    <row r="2371" spans="1:1" x14ac:dyDescent="0.2">
      <c r="A2371" s="9"/>
    </row>
    <row r="2372" spans="1:1" x14ac:dyDescent="0.2">
      <c r="A2372" s="9"/>
    </row>
    <row r="2373" spans="1:1" x14ac:dyDescent="0.2">
      <c r="A2373" s="9"/>
    </row>
    <row r="2374" spans="1:1" x14ac:dyDescent="0.2">
      <c r="A2374" s="9"/>
    </row>
    <row r="2375" spans="1:1" x14ac:dyDescent="0.2">
      <c r="A2375" s="9"/>
    </row>
    <row r="2376" spans="1:1" x14ac:dyDescent="0.2">
      <c r="A2376" s="9"/>
    </row>
    <row r="2377" spans="1:1" x14ac:dyDescent="0.2">
      <c r="A2377" s="9"/>
    </row>
    <row r="2378" spans="1:1" x14ac:dyDescent="0.2">
      <c r="A2378" s="9"/>
    </row>
    <row r="2379" spans="1:1" x14ac:dyDescent="0.2">
      <c r="A2379" s="9"/>
    </row>
    <row r="2380" spans="1:1" x14ac:dyDescent="0.2">
      <c r="A2380" s="9"/>
    </row>
    <row r="2381" spans="1:1" x14ac:dyDescent="0.2">
      <c r="A2381" s="9"/>
    </row>
    <row r="2382" spans="1:1" x14ac:dyDescent="0.2">
      <c r="A2382" s="9"/>
    </row>
    <row r="2383" spans="1:1" x14ac:dyDescent="0.2">
      <c r="A2383" s="9"/>
    </row>
    <row r="2384" spans="1:1" x14ac:dyDescent="0.2">
      <c r="A2384" s="9"/>
    </row>
    <row r="2385" spans="1:1" x14ac:dyDescent="0.2">
      <c r="A2385" s="9"/>
    </row>
    <row r="2386" spans="1:1" x14ac:dyDescent="0.2">
      <c r="A2386" s="9"/>
    </row>
    <row r="2387" spans="1:1" x14ac:dyDescent="0.2">
      <c r="A2387" s="9"/>
    </row>
    <row r="2388" spans="1:1" x14ac:dyDescent="0.2">
      <c r="A2388" s="9"/>
    </row>
    <row r="2389" spans="1:1" x14ac:dyDescent="0.2">
      <c r="A2389" s="9"/>
    </row>
    <row r="2390" spans="1:1" x14ac:dyDescent="0.2">
      <c r="A2390" s="9"/>
    </row>
    <row r="2391" spans="1:1" x14ac:dyDescent="0.2">
      <c r="A2391" s="9"/>
    </row>
    <row r="2392" spans="1:1" x14ac:dyDescent="0.2">
      <c r="A2392" s="9"/>
    </row>
    <row r="2393" spans="1:1" x14ac:dyDescent="0.2">
      <c r="A2393" s="9"/>
    </row>
    <row r="2394" spans="1:1" x14ac:dyDescent="0.2">
      <c r="A2394" s="9"/>
    </row>
    <row r="2395" spans="1:1" x14ac:dyDescent="0.2">
      <c r="A2395" s="9"/>
    </row>
    <row r="2396" spans="1:1" x14ac:dyDescent="0.2">
      <c r="A2396" s="9"/>
    </row>
    <row r="2397" spans="1:1" x14ac:dyDescent="0.2">
      <c r="A2397" s="9"/>
    </row>
    <row r="2398" spans="1:1" x14ac:dyDescent="0.2">
      <c r="A2398" s="9"/>
    </row>
    <row r="2399" spans="1:1" x14ac:dyDescent="0.2">
      <c r="A2399" s="9"/>
    </row>
    <row r="2400" spans="1:1" x14ac:dyDescent="0.2">
      <c r="A2400" s="9"/>
    </row>
    <row r="2401" spans="1:1" x14ac:dyDescent="0.2">
      <c r="A2401" s="9"/>
    </row>
    <row r="2402" spans="1:1" x14ac:dyDescent="0.2">
      <c r="A2402" s="9"/>
    </row>
    <row r="2403" spans="1:1" x14ac:dyDescent="0.2">
      <c r="A2403" s="9"/>
    </row>
    <row r="2404" spans="1:1" x14ac:dyDescent="0.2">
      <c r="A2404" s="9"/>
    </row>
    <row r="2405" spans="1:1" x14ac:dyDescent="0.2">
      <c r="A2405" s="9"/>
    </row>
    <row r="2406" spans="1:1" x14ac:dyDescent="0.2">
      <c r="A2406" s="9"/>
    </row>
    <row r="2407" spans="1:1" x14ac:dyDescent="0.2">
      <c r="A2407" s="9"/>
    </row>
    <row r="2408" spans="1:1" x14ac:dyDescent="0.2">
      <c r="A2408" s="9"/>
    </row>
    <row r="2409" spans="1:1" x14ac:dyDescent="0.2">
      <c r="A2409" s="9"/>
    </row>
    <row r="2410" spans="1:1" x14ac:dyDescent="0.2">
      <c r="A2410" s="9"/>
    </row>
    <row r="2411" spans="1:1" x14ac:dyDescent="0.2">
      <c r="A2411" s="9"/>
    </row>
    <row r="2412" spans="1:1" x14ac:dyDescent="0.2">
      <c r="A2412" s="9"/>
    </row>
    <row r="2413" spans="1:1" x14ac:dyDescent="0.2">
      <c r="A2413" s="9"/>
    </row>
    <row r="2414" spans="1:1" x14ac:dyDescent="0.2">
      <c r="A2414" s="9"/>
    </row>
    <row r="2415" spans="1:1" x14ac:dyDescent="0.2">
      <c r="A2415" s="9"/>
    </row>
    <row r="2416" spans="1:1" x14ac:dyDescent="0.2">
      <c r="A2416" s="9"/>
    </row>
    <row r="2417" spans="1:1" x14ac:dyDescent="0.2">
      <c r="A2417" s="9"/>
    </row>
    <row r="2418" spans="1:1" x14ac:dyDescent="0.2">
      <c r="A2418" s="9"/>
    </row>
    <row r="2419" spans="1:1" x14ac:dyDescent="0.2">
      <c r="A2419" s="9"/>
    </row>
    <row r="2420" spans="1:1" x14ac:dyDescent="0.2">
      <c r="A2420" s="9"/>
    </row>
    <row r="2421" spans="1:1" x14ac:dyDescent="0.2">
      <c r="A2421" s="9"/>
    </row>
    <row r="2422" spans="1:1" x14ac:dyDescent="0.2">
      <c r="A2422" s="9"/>
    </row>
    <row r="2423" spans="1:1" x14ac:dyDescent="0.2">
      <c r="A2423" s="9"/>
    </row>
    <row r="2424" spans="1:1" x14ac:dyDescent="0.2">
      <c r="A2424" s="9"/>
    </row>
    <row r="2425" spans="1:1" x14ac:dyDescent="0.2">
      <c r="A2425" s="9"/>
    </row>
    <row r="2426" spans="1:1" x14ac:dyDescent="0.2">
      <c r="A2426" s="9"/>
    </row>
    <row r="2427" spans="1:1" x14ac:dyDescent="0.2">
      <c r="A2427" s="9"/>
    </row>
    <row r="2428" spans="1:1" x14ac:dyDescent="0.2">
      <c r="A2428" s="9"/>
    </row>
    <row r="2429" spans="1:1" x14ac:dyDescent="0.2">
      <c r="A2429" s="9"/>
    </row>
    <row r="2430" spans="1:1" x14ac:dyDescent="0.2">
      <c r="A2430" s="9"/>
    </row>
    <row r="2431" spans="1:1" x14ac:dyDescent="0.2">
      <c r="A2431" s="9"/>
    </row>
    <row r="2432" spans="1:1" x14ac:dyDescent="0.2">
      <c r="A2432" s="9"/>
    </row>
    <row r="2433" spans="1:1" x14ac:dyDescent="0.2">
      <c r="A2433" s="9"/>
    </row>
    <row r="2434" spans="1:1" x14ac:dyDescent="0.2">
      <c r="A2434" s="9"/>
    </row>
    <row r="2435" spans="1:1" x14ac:dyDescent="0.2">
      <c r="A2435" s="9"/>
    </row>
    <row r="2436" spans="1:1" x14ac:dyDescent="0.2">
      <c r="A2436" s="9"/>
    </row>
    <row r="2437" spans="1:1" x14ac:dyDescent="0.2">
      <c r="A2437" s="9"/>
    </row>
    <row r="2438" spans="1:1" x14ac:dyDescent="0.2">
      <c r="A2438" s="9"/>
    </row>
    <row r="2439" spans="1:1" x14ac:dyDescent="0.2">
      <c r="A2439" s="9"/>
    </row>
    <row r="2440" spans="1:1" x14ac:dyDescent="0.2">
      <c r="A2440" s="9"/>
    </row>
    <row r="2441" spans="1:1" x14ac:dyDescent="0.2">
      <c r="A2441" s="9"/>
    </row>
    <row r="2442" spans="1:1" x14ac:dyDescent="0.2">
      <c r="A2442" s="9"/>
    </row>
    <row r="2443" spans="1:1" x14ac:dyDescent="0.2">
      <c r="A2443" s="9"/>
    </row>
    <row r="2444" spans="1:1" x14ac:dyDescent="0.2">
      <c r="A2444" s="9"/>
    </row>
    <row r="2445" spans="1:1" x14ac:dyDescent="0.2">
      <c r="A2445" s="9"/>
    </row>
    <row r="2446" spans="1:1" x14ac:dyDescent="0.2">
      <c r="A2446" s="9"/>
    </row>
    <row r="2447" spans="1:1" x14ac:dyDescent="0.2">
      <c r="A2447" s="9"/>
    </row>
    <row r="2448" spans="1:1" x14ac:dyDescent="0.2">
      <c r="A2448" s="9"/>
    </row>
    <row r="2449" spans="1:1" x14ac:dyDescent="0.2">
      <c r="A2449" s="9"/>
    </row>
    <row r="2450" spans="1:1" x14ac:dyDescent="0.2">
      <c r="A2450" s="9"/>
    </row>
    <row r="2451" spans="1:1" x14ac:dyDescent="0.2">
      <c r="A2451" s="9"/>
    </row>
    <row r="2452" spans="1:1" x14ac:dyDescent="0.2">
      <c r="A2452" s="9"/>
    </row>
    <row r="2453" spans="1:1" x14ac:dyDescent="0.2">
      <c r="A2453" s="9"/>
    </row>
    <row r="2454" spans="1:1" x14ac:dyDescent="0.2">
      <c r="A2454" s="9"/>
    </row>
    <row r="2455" spans="1:1" x14ac:dyDescent="0.2">
      <c r="A2455" s="9"/>
    </row>
    <row r="2456" spans="1:1" x14ac:dyDescent="0.2">
      <c r="A2456" s="9"/>
    </row>
    <row r="2457" spans="1:1" x14ac:dyDescent="0.2">
      <c r="A2457" s="9"/>
    </row>
    <row r="2458" spans="1:1" x14ac:dyDescent="0.2">
      <c r="A2458" s="9"/>
    </row>
    <row r="2459" spans="1:1" x14ac:dyDescent="0.2">
      <c r="A2459" s="9"/>
    </row>
    <row r="2460" spans="1:1" x14ac:dyDescent="0.2">
      <c r="A2460" s="9"/>
    </row>
    <row r="2461" spans="1:1" x14ac:dyDescent="0.2">
      <c r="A2461" s="9"/>
    </row>
    <row r="2462" spans="1:1" x14ac:dyDescent="0.2">
      <c r="A2462" s="9"/>
    </row>
    <row r="2463" spans="1:1" x14ac:dyDescent="0.2">
      <c r="A2463" s="9"/>
    </row>
    <row r="2464" spans="1:1" x14ac:dyDescent="0.2">
      <c r="A2464" s="9"/>
    </row>
    <row r="2465" spans="1:1" x14ac:dyDescent="0.2">
      <c r="A2465" s="9"/>
    </row>
    <row r="2466" spans="1:1" x14ac:dyDescent="0.2">
      <c r="A2466" s="9"/>
    </row>
    <row r="2467" spans="1:1" x14ac:dyDescent="0.2">
      <c r="A2467" s="9"/>
    </row>
    <row r="2468" spans="1:1" x14ac:dyDescent="0.2">
      <c r="A2468" s="9"/>
    </row>
    <row r="2469" spans="1:1" x14ac:dyDescent="0.2">
      <c r="A2469" s="9"/>
    </row>
    <row r="2470" spans="1:1" x14ac:dyDescent="0.2">
      <c r="A2470" s="9"/>
    </row>
    <row r="2471" spans="1:1" x14ac:dyDescent="0.2">
      <c r="A2471" s="9"/>
    </row>
    <row r="2472" spans="1:1" x14ac:dyDescent="0.2">
      <c r="A2472" s="9"/>
    </row>
    <row r="2473" spans="1:1" x14ac:dyDescent="0.2">
      <c r="A2473" s="9"/>
    </row>
    <row r="2474" spans="1:1" x14ac:dyDescent="0.2">
      <c r="A2474" s="9"/>
    </row>
    <row r="2475" spans="1:1" x14ac:dyDescent="0.2">
      <c r="A2475" s="9"/>
    </row>
    <row r="2476" spans="1:1" x14ac:dyDescent="0.2">
      <c r="A2476" s="9"/>
    </row>
    <row r="2477" spans="1:1" x14ac:dyDescent="0.2">
      <c r="A2477" s="9"/>
    </row>
    <row r="2478" spans="1:1" x14ac:dyDescent="0.2">
      <c r="A2478" s="9"/>
    </row>
    <row r="2479" spans="1:1" x14ac:dyDescent="0.2">
      <c r="A2479" s="9"/>
    </row>
    <row r="2480" spans="1:1" x14ac:dyDescent="0.2">
      <c r="A2480" s="9"/>
    </row>
    <row r="2481" spans="1:1" x14ac:dyDescent="0.2">
      <c r="A2481" s="9"/>
    </row>
    <row r="2482" spans="1:1" x14ac:dyDescent="0.2">
      <c r="A2482" s="9"/>
    </row>
    <row r="2483" spans="1:1" x14ac:dyDescent="0.2">
      <c r="A2483" s="9"/>
    </row>
    <row r="2484" spans="1:1" x14ac:dyDescent="0.2">
      <c r="A2484" s="9"/>
    </row>
    <row r="2485" spans="1:1" x14ac:dyDescent="0.2">
      <c r="A2485" s="9"/>
    </row>
    <row r="2486" spans="1:1" x14ac:dyDescent="0.2">
      <c r="A2486" s="9"/>
    </row>
    <row r="2487" spans="1:1" x14ac:dyDescent="0.2">
      <c r="A2487" s="9"/>
    </row>
    <row r="2488" spans="1:1" x14ac:dyDescent="0.2">
      <c r="A2488" s="9"/>
    </row>
    <row r="2489" spans="1:1" x14ac:dyDescent="0.2">
      <c r="A2489" s="9"/>
    </row>
    <row r="2490" spans="1:1" x14ac:dyDescent="0.2">
      <c r="A2490" s="9"/>
    </row>
    <row r="2491" spans="1:1" x14ac:dyDescent="0.2">
      <c r="A2491" s="9"/>
    </row>
    <row r="2492" spans="1:1" x14ac:dyDescent="0.2">
      <c r="A2492" s="9"/>
    </row>
    <row r="2493" spans="1:1" x14ac:dyDescent="0.2">
      <c r="A2493" s="9"/>
    </row>
    <row r="2494" spans="1:1" x14ac:dyDescent="0.2">
      <c r="A2494" s="9"/>
    </row>
    <row r="2495" spans="1:1" x14ac:dyDescent="0.2">
      <c r="A2495" s="9"/>
    </row>
    <row r="2496" spans="1:1" x14ac:dyDescent="0.2">
      <c r="A2496" s="9"/>
    </row>
    <row r="2497" spans="1:1" x14ac:dyDescent="0.2">
      <c r="A2497" s="9"/>
    </row>
    <row r="2498" spans="1:1" x14ac:dyDescent="0.2">
      <c r="A2498" s="9"/>
    </row>
    <row r="2499" spans="1:1" x14ac:dyDescent="0.2">
      <c r="A2499" s="9"/>
    </row>
    <row r="2500" spans="1:1" x14ac:dyDescent="0.2">
      <c r="A2500" s="9"/>
    </row>
    <row r="2501" spans="1:1" x14ac:dyDescent="0.2">
      <c r="A2501" s="9"/>
    </row>
    <row r="2502" spans="1:1" x14ac:dyDescent="0.2">
      <c r="A2502" s="9"/>
    </row>
    <row r="2503" spans="1:1" x14ac:dyDescent="0.2">
      <c r="A2503" s="9"/>
    </row>
    <row r="2504" spans="1:1" x14ac:dyDescent="0.2">
      <c r="A2504" s="9"/>
    </row>
    <row r="2505" spans="1:1" x14ac:dyDescent="0.2">
      <c r="A2505" s="9"/>
    </row>
    <row r="2506" spans="1:1" x14ac:dyDescent="0.2">
      <c r="A2506" s="9"/>
    </row>
    <row r="2507" spans="1:1" x14ac:dyDescent="0.2">
      <c r="A2507" s="9"/>
    </row>
    <row r="2508" spans="1:1" x14ac:dyDescent="0.2">
      <c r="A2508" s="9"/>
    </row>
    <row r="2509" spans="1:1" x14ac:dyDescent="0.2">
      <c r="A2509" s="9"/>
    </row>
    <row r="2510" spans="1:1" x14ac:dyDescent="0.2">
      <c r="A2510" s="9"/>
    </row>
    <row r="2511" spans="1:1" x14ac:dyDescent="0.2">
      <c r="A2511" s="9"/>
    </row>
    <row r="2512" spans="1:1" x14ac:dyDescent="0.2">
      <c r="A2512" s="9"/>
    </row>
    <row r="2513" spans="1:1" x14ac:dyDescent="0.2">
      <c r="A2513" s="9"/>
    </row>
    <row r="2514" spans="1:1" x14ac:dyDescent="0.2">
      <c r="A2514" s="9"/>
    </row>
    <row r="2515" spans="1:1" x14ac:dyDescent="0.2">
      <c r="A2515" s="9"/>
    </row>
    <row r="2516" spans="1:1" x14ac:dyDescent="0.2">
      <c r="A2516" s="9"/>
    </row>
    <row r="2517" spans="1:1" x14ac:dyDescent="0.2">
      <c r="A2517" s="9"/>
    </row>
    <row r="2518" spans="1:1" x14ac:dyDescent="0.2">
      <c r="A2518" s="9"/>
    </row>
    <row r="2519" spans="1:1" x14ac:dyDescent="0.2">
      <c r="A2519" s="9"/>
    </row>
    <row r="2520" spans="1:1" x14ac:dyDescent="0.2">
      <c r="A2520" s="9"/>
    </row>
    <row r="2521" spans="1:1" x14ac:dyDescent="0.2">
      <c r="A2521" s="9"/>
    </row>
    <row r="2522" spans="1:1" x14ac:dyDescent="0.2">
      <c r="A2522" s="9"/>
    </row>
    <row r="2523" spans="1:1" x14ac:dyDescent="0.2">
      <c r="A2523" s="9"/>
    </row>
    <row r="2524" spans="1:1" x14ac:dyDescent="0.2">
      <c r="A2524" s="9"/>
    </row>
    <row r="2525" spans="1:1" x14ac:dyDescent="0.2">
      <c r="A2525" s="9"/>
    </row>
    <row r="2526" spans="1:1" x14ac:dyDescent="0.2">
      <c r="A2526" s="9"/>
    </row>
    <row r="2527" spans="1:1" x14ac:dyDescent="0.2">
      <c r="A2527" s="9"/>
    </row>
    <row r="2528" spans="1:1" x14ac:dyDescent="0.2">
      <c r="A2528" s="9"/>
    </row>
    <row r="2529" spans="1:1" x14ac:dyDescent="0.2">
      <c r="A2529" s="9"/>
    </row>
    <row r="2530" spans="1:1" x14ac:dyDescent="0.2">
      <c r="A2530" s="9"/>
    </row>
    <row r="2531" spans="1:1" x14ac:dyDescent="0.2">
      <c r="A2531" s="9"/>
    </row>
    <row r="2532" spans="1:1" x14ac:dyDescent="0.2">
      <c r="A2532" s="9"/>
    </row>
    <row r="2533" spans="1:1" x14ac:dyDescent="0.2">
      <c r="A2533" s="9"/>
    </row>
    <row r="2534" spans="1:1" x14ac:dyDescent="0.2">
      <c r="A2534" s="9"/>
    </row>
    <row r="2535" spans="1:1" x14ac:dyDescent="0.2">
      <c r="A2535" s="9"/>
    </row>
    <row r="2536" spans="1:1" x14ac:dyDescent="0.2">
      <c r="A2536" s="9"/>
    </row>
    <row r="2537" spans="1:1" x14ac:dyDescent="0.2">
      <c r="A2537" s="9"/>
    </row>
    <row r="2538" spans="1:1" x14ac:dyDescent="0.2">
      <c r="A2538" s="9"/>
    </row>
    <row r="2539" spans="1:1" x14ac:dyDescent="0.2">
      <c r="A2539" s="9"/>
    </row>
    <row r="2540" spans="1:1" x14ac:dyDescent="0.2">
      <c r="A2540" s="9"/>
    </row>
    <row r="2541" spans="1:1" x14ac:dyDescent="0.2">
      <c r="A2541" s="9"/>
    </row>
    <row r="2542" spans="1:1" x14ac:dyDescent="0.2">
      <c r="A2542" s="9"/>
    </row>
    <row r="2543" spans="1:1" x14ac:dyDescent="0.2">
      <c r="A2543" s="9"/>
    </row>
    <row r="2544" spans="1:1" x14ac:dyDescent="0.2">
      <c r="A2544" s="9"/>
    </row>
    <row r="2545" spans="1:1" x14ac:dyDescent="0.2">
      <c r="A2545" s="9"/>
    </row>
    <row r="2546" spans="1:1" x14ac:dyDescent="0.2">
      <c r="A2546" s="9"/>
    </row>
    <row r="2547" spans="1:1" x14ac:dyDescent="0.2">
      <c r="A2547" s="9"/>
    </row>
    <row r="2548" spans="1:1" x14ac:dyDescent="0.2">
      <c r="A2548" s="9"/>
    </row>
    <row r="2549" spans="1:1" x14ac:dyDescent="0.2">
      <c r="A2549" s="9"/>
    </row>
    <row r="2550" spans="1:1" x14ac:dyDescent="0.2">
      <c r="A2550" s="9"/>
    </row>
    <row r="2551" spans="1:1" x14ac:dyDescent="0.2">
      <c r="A2551" s="9"/>
    </row>
    <row r="2552" spans="1:1" x14ac:dyDescent="0.2">
      <c r="A2552" s="9"/>
    </row>
    <row r="2553" spans="1:1" x14ac:dyDescent="0.2">
      <c r="A2553" s="9"/>
    </row>
    <row r="2554" spans="1:1" x14ac:dyDescent="0.2">
      <c r="A2554" s="9"/>
    </row>
    <row r="2555" spans="1:1" x14ac:dyDescent="0.2">
      <c r="A2555" s="9"/>
    </row>
    <row r="2556" spans="1:1" x14ac:dyDescent="0.2">
      <c r="A2556" s="9"/>
    </row>
    <row r="2557" spans="1:1" x14ac:dyDescent="0.2">
      <c r="A2557" s="9"/>
    </row>
    <row r="2558" spans="1:1" x14ac:dyDescent="0.2">
      <c r="A2558" s="9"/>
    </row>
    <row r="2559" spans="1:1" x14ac:dyDescent="0.2">
      <c r="A2559" s="9"/>
    </row>
    <row r="2560" spans="1:1" x14ac:dyDescent="0.2">
      <c r="A2560" s="9"/>
    </row>
    <row r="2561" spans="1:1" x14ac:dyDescent="0.2">
      <c r="A2561" s="9"/>
    </row>
    <row r="2562" spans="1:1" x14ac:dyDescent="0.2">
      <c r="A2562" s="9"/>
    </row>
    <row r="2563" spans="1:1" x14ac:dyDescent="0.2">
      <c r="A2563" s="9"/>
    </row>
    <row r="2564" spans="1:1" x14ac:dyDescent="0.2">
      <c r="A2564" s="9"/>
    </row>
    <row r="2565" spans="1:1" x14ac:dyDescent="0.2">
      <c r="A2565" s="9"/>
    </row>
    <row r="2566" spans="1:1" x14ac:dyDescent="0.2">
      <c r="A2566" s="9"/>
    </row>
    <row r="2567" spans="1:1" x14ac:dyDescent="0.2">
      <c r="A2567" s="9"/>
    </row>
    <row r="2568" spans="1:1" x14ac:dyDescent="0.2">
      <c r="A2568" s="9"/>
    </row>
    <row r="2569" spans="1:1" x14ac:dyDescent="0.2">
      <c r="A2569" s="9"/>
    </row>
    <row r="2570" spans="1:1" x14ac:dyDescent="0.2">
      <c r="A2570" s="9"/>
    </row>
    <row r="2571" spans="1:1" x14ac:dyDescent="0.2">
      <c r="A2571" s="9"/>
    </row>
    <row r="2572" spans="1:1" x14ac:dyDescent="0.2">
      <c r="A2572" s="9"/>
    </row>
    <row r="2573" spans="1:1" x14ac:dyDescent="0.2">
      <c r="A2573" s="9"/>
    </row>
    <row r="2574" spans="1:1" x14ac:dyDescent="0.2">
      <c r="A2574" s="9"/>
    </row>
    <row r="2575" spans="1:1" x14ac:dyDescent="0.2">
      <c r="A2575" s="9"/>
    </row>
    <row r="2576" spans="1:1" x14ac:dyDescent="0.2">
      <c r="A2576" s="9"/>
    </row>
    <row r="2577" spans="1:1" x14ac:dyDescent="0.2">
      <c r="A2577" s="9"/>
    </row>
    <row r="2578" spans="1:1" x14ac:dyDescent="0.2">
      <c r="A2578" s="9"/>
    </row>
    <row r="2579" spans="1:1" x14ac:dyDescent="0.2">
      <c r="A2579" s="9"/>
    </row>
    <row r="2580" spans="1:1" x14ac:dyDescent="0.2">
      <c r="A2580" s="9"/>
    </row>
    <row r="2581" spans="1:1" x14ac:dyDescent="0.2">
      <c r="A2581" s="9"/>
    </row>
    <row r="2582" spans="1:1" x14ac:dyDescent="0.2">
      <c r="A2582" s="9"/>
    </row>
    <row r="2583" spans="1:1" x14ac:dyDescent="0.2">
      <c r="A2583" s="9"/>
    </row>
    <row r="2584" spans="1:1" x14ac:dyDescent="0.2">
      <c r="A2584" s="9"/>
    </row>
    <row r="2585" spans="1:1" x14ac:dyDescent="0.2">
      <c r="A2585" s="9"/>
    </row>
    <row r="2586" spans="1:1" x14ac:dyDescent="0.2">
      <c r="A2586" s="9"/>
    </row>
    <row r="2587" spans="1:1" x14ac:dyDescent="0.2">
      <c r="A2587" s="9"/>
    </row>
    <row r="2588" spans="1:1" x14ac:dyDescent="0.2">
      <c r="A2588" s="9"/>
    </row>
    <row r="2589" spans="1:1" x14ac:dyDescent="0.2">
      <c r="A2589" s="9"/>
    </row>
    <row r="2590" spans="1:1" x14ac:dyDescent="0.2">
      <c r="A2590" s="9"/>
    </row>
    <row r="2591" spans="1:1" x14ac:dyDescent="0.2">
      <c r="A2591" s="9"/>
    </row>
    <row r="2592" spans="1:1" x14ac:dyDescent="0.2">
      <c r="A2592" s="9"/>
    </row>
    <row r="2593" spans="1:1" x14ac:dyDescent="0.2">
      <c r="A2593" s="9"/>
    </row>
    <row r="2594" spans="1:1" x14ac:dyDescent="0.2">
      <c r="A2594" s="9"/>
    </row>
    <row r="2595" spans="1:1" x14ac:dyDescent="0.2">
      <c r="A2595" s="9"/>
    </row>
    <row r="2596" spans="1:1" x14ac:dyDescent="0.2">
      <c r="A2596" s="9"/>
    </row>
    <row r="2597" spans="1:1" x14ac:dyDescent="0.2">
      <c r="A2597" s="9"/>
    </row>
    <row r="2598" spans="1:1" x14ac:dyDescent="0.2">
      <c r="A2598" s="9"/>
    </row>
    <row r="2599" spans="1:1" x14ac:dyDescent="0.2">
      <c r="A2599" s="9"/>
    </row>
    <row r="2600" spans="1:1" x14ac:dyDescent="0.2">
      <c r="A2600" s="9"/>
    </row>
    <row r="2601" spans="1:1" x14ac:dyDescent="0.2">
      <c r="A2601" s="9"/>
    </row>
    <row r="2602" spans="1:1" x14ac:dyDescent="0.2">
      <c r="A2602" s="9"/>
    </row>
    <row r="2603" spans="1:1" x14ac:dyDescent="0.2">
      <c r="A2603" s="9"/>
    </row>
    <row r="2604" spans="1:1" x14ac:dyDescent="0.2">
      <c r="A2604" s="9"/>
    </row>
    <row r="2605" spans="1:1" x14ac:dyDescent="0.2">
      <c r="A2605" s="9"/>
    </row>
    <row r="2606" spans="1:1" x14ac:dyDescent="0.2">
      <c r="A2606" s="9"/>
    </row>
    <row r="2607" spans="1:1" x14ac:dyDescent="0.2">
      <c r="A2607" s="9"/>
    </row>
    <row r="2608" spans="1:1" x14ac:dyDescent="0.2">
      <c r="A2608" s="9"/>
    </row>
    <row r="2609" spans="1:1" x14ac:dyDescent="0.2">
      <c r="A2609" s="9"/>
    </row>
    <row r="2610" spans="1:1" x14ac:dyDescent="0.2">
      <c r="A2610" s="9"/>
    </row>
    <row r="2611" spans="1:1" x14ac:dyDescent="0.2">
      <c r="A2611" s="9"/>
    </row>
    <row r="2612" spans="1:1" x14ac:dyDescent="0.2">
      <c r="A2612" s="9"/>
    </row>
    <row r="2613" spans="1:1" x14ac:dyDescent="0.2">
      <c r="A2613" s="9"/>
    </row>
    <row r="2614" spans="1:1" x14ac:dyDescent="0.2">
      <c r="A2614" s="9"/>
    </row>
    <row r="2615" spans="1:1" x14ac:dyDescent="0.2">
      <c r="A2615" s="9"/>
    </row>
    <row r="2616" spans="1:1" x14ac:dyDescent="0.2">
      <c r="A2616" s="9"/>
    </row>
    <row r="2617" spans="1:1" x14ac:dyDescent="0.2">
      <c r="A2617" s="9"/>
    </row>
    <row r="2618" spans="1:1" x14ac:dyDescent="0.2">
      <c r="A2618" s="9"/>
    </row>
    <row r="2619" spans="1:1" x14ac:dyDescent="0.2">
      <c r="A2619" s="9"/>
    </row>
    <row r="2620" spans="1:1" x14ac:dyDescent="0.2">
      <c r="A2620" s="9"/>
    </row>
    <row r="2621" spans="1:1" x14ac:dyDescent="0.2">
      <c r="A2621" s="9"/>
    </row>
    <row r="2622" spans="1:1" x14ac:dyDescent="0.2">
      <c r="A2622" s="9"/>
    </row>
    <row r="2623" spans="1:1" x14ac:dyDescent="0.2">
      <c r="A2623" s="9"/>
    </row>
    <row r="2624" spans="1:1" x14ac:dyDescent="0.2">
      <c r="A2624" s="9"/>
    </row>
    <row r="2625" spans="1:1" x14ac:dyDescent="0.2">
      <c r="A2625" s="9"/>
    </row>
    <row r="2626" spans="1:1" x14ac:dyDescent="0.2">
      <c r="A2626" s="9"/>
    </row>
    <row r="2627" spans="1:1" x14ac:dyDescent="0.2">
      <c r="A2627" s="9"/>
    </row>
    <row r="2628" spans="1:1" x14ac:dyDescent="0.2">
      <c r="A2628" s="9"/>
    </row>
    <row r="2629" spans="1:1" x14ac:dyDescent="0.2">
      <c r="A2629" s="9"/>
    </row>
    <row r="2630" spans="1:1" x14ac:dyDescent="0.2">
      <c r="A2630" s="9"/>
    </row>
    <row r="2631" spans="1:1" x14ac:dyDescent="0.2">
      <c r="A2631" s="9"/>
    </row>
    <row r="2632" spans="1:1" x14ac:dyDescent="0.2">
      <c r="A2632" s="9"/>
    </row>
    <row r="2633" spans="1:1" x14ac:dyDescent="0.2">
      <c r="A2633" s="9"/>
    </row>
    <row r="2634" spans="1:1" x14ac:dyDescent="0.2">
      <c r="A2634" s="9"/>
    </row>
    <row r="2635" spans="1:1" x14ac:dyDescent="0.2">
      <c r="A2635" s="9"/>
    </row>
    <row r="2636" spans="1:1" x14ac:dyDescent="0.2">
      <c r="A2636" s="9"/>
    </row>
    <row r="2637" spans="1:1" x14ac:dyDescent="0.2">
      <c r="A2637" s="9"/>
    </row>
    <row r="2638" spans="1:1" x14ac:dyDescent="0.2">
      <c r="A2638" s="9"/>
    </row>
    <row r="2639" spans="1:1" x14ac:dyDescent="0.2">
      <c r="A2639" s="9"/>
    </row>
    <row r="2640" spans="1:1" x14ac:dyDescent="0.2">
      <c r="A2640" s="9"/>
    </row>
    <row r="2641" spans="1:1" x14ac:dyDescent="0.2">
      <c r="A2641" s="9"/>
    </row>
    <row r="2642" spans="1:1" x14ac:dyDescent="0.2">
      <c r="A2642" s="9"/>
    </row>
    <row r="2643" spans="1:1" x14ac:dyDescent="0.2">
      <c r="A2643" s="9"/>
    </row>
    <row r="2644" spans="1:1" x14ac:dyDescent="0.2">
      <c r="A2644" s="9"/>
    </row>
    <row r="2645" spans="1:1" x14ac:dyDescent="0.2">
      <c r="A2645" s="9"/>
    </row>
    <row r="2646" spans="1:1" x14ac:dyDescent="0.2">
      <c r="A2646" s="9"/>
    </row>
    <row r="2647" spans="1:1" x14ac:dyDescent="0.2">
      <c r="A2647" s="9"/>
    </row>
    <row r="2648" spans="1:1" x14ac:dyDescent="0.2">
      <c r="A2648" s="9"/>
    </row>
    <row r="2649" spans="1:1" x14ac:dyDescent="0.2">
      <c r="A2649" s="9"/>
    </row>
    <row r="2650" spans="1:1" x14ac:dyDescent="0.2">
      <c r="A2650" s="9"/>
    </row>
    <row r="2651" spans="1:1" x14ac:dyDescent="0.2">
      <c r="A2651" s="9"/>
    </row>
    <row r="2652" spans="1:1" x14ac:dyDescent="0.2">
      <c r="A2652" s="9"/>
    </row>
    <row r="2653" spans="1:1" x14ac:dyDescent="0.2">
      <c r="A2653" s="9"/>
    </row>
    <row r="2654" spans="1:1" x14ac:dyDescent="0.2">
      <c r="A2654" s="9"/>
    </row>
    <row r="2655" spans="1:1" x14ac:dyDescent="0.2">
      <c r="A2655" s="9"/>
    </row>
    <row r="2656" spans="1:1" x14ac:dyDescent="0.2">
      <c r="A2656" s="9"/>
    </row>
    <row r="2657" spans="1:1" x14ac:dyDescent="0.2">
      <c r="A2657" s="9"/>
    </row>
    <row r="2658" spans="1:1" x14ac:dyDescent="0.2">
      <c r="A2658" s="9"/>
    </row>
    <row r="2659" spans="1:1" x14ac:dyDescent="0.2">
      <c r="A2659" s="9"/>
    </row>
    <row r="2660" spans="1:1" x14ac:dyDescent="0.2">
      <c r="A2660" s="9"/>
    </row>
    <row r="2661" spans="1:1" x14ac:dyDescent="0.2">
      <c r="A2661" s="9"/>
    </row>
    <row r="2662" spans="1:1" x14ac:dyDescent="0.2">
      <c r="A2662" s="9"/>
    </row>
    <row r="2663" spans="1:1" x14ac:dyDescent="0.2">
      <c r="A2663" s="9"/>
    </row>
    <row r="2664" spans="1:1" x14ac:dyDescent="0.2">
      <c r="A2664" s="9"/>
    </row>
    <row r="2665" spans="1:1" x14ac:dyDescent="0.2">
      <c r="A2665" s="9"/>
    </row>
    <row r="2666" spans="1:1" x14ac:dyDescent="0.2">
      <c r="A2666" s="9"/>
    </row>
    <row r="2667" spans="1:1" x14ac:dyDescent="0.2">
      <c r="A2667" s="9"/>
    </row>
    <row r="2668" spans="1:1" x14ac:dyDescent="0.2">
      <c r="A2668" s="9"/>
    </row>
    <row r="2669" spans="1:1" x14ac:dyDescent="0.2">
      <c r="A2669" s="9"/>
    </row>
    <row r="2670" spans="1:1" x14ac:dyDescent="0.2">
      <c r="A2670" s="9"/>
    </row>
    <row r="2671" spans="1:1" x14ac:dyDescent="0.2">
      <c r="A2671" s="9"/>
    </row>
    <row r="2672" spans="1:1" x14ac:dyDescent="0.2">
      <c r="A2672" s="9"/>
    </row>
    <row r="2673" spans="1:1" x14ac:dyDescent="0.2">
      <c r="A2673" s="9"/>
    </row>
    <row r="2674" spans="1:1" x14ac:dyDescent="0.2">
      <c r="A2674" s="9"/>
    </row>
    <row r="2675" spans="1:1" x14ac:dyDescent="0.2">
      <c r="A2675" s="9"/>
    </row>
    <row r="2676" spans="1:1" x14ac:dyDescent="0.2">
      <c r="A2676" s="9"/>
    </row>
    <row r="2677" spans="1:1" x14ac:dyDescent="0.2">
      <c r="A2677" s="9"/>
    </row>
    <row r="2678" spans="1:1" x14ac:dyDescent="0.2">
      <c r="A2678" s="9"/>
    </row>
    <row r="2679" spans="1:1" x14ac:dyDescent="0.2">
      <c r="A2679" s="9"/>
    </row>
    <row r="2680" spans="1:1" x14ac:dyDescent="0.2">
      <c r="A2680" s="9"/>
    </row>
    <row r="2681" spans="1:1" x14ac:dyDescent="0.2">
      <c r="A2681" s="9"/>
    </row>
    <row r="2682" spans="1:1" x14ac:dyDescent="0.2">
      <c r="A2682" s="9"/>
    </row>
    <row r="2683" spans="1:1" x14ac:dyDescent="0.2">
      <c r="A2683" s="9"/>
    </row>
    <row r="2684" spans="1:1" x14ac:dyDescent="0.2">
      <c r="A2684" s="9"/>
    </row>
    <row r="2685" spans="1:1" x14ac:dyDescent="0.2">
      <c r="A2685" s="9"/>
    </row>
    <row r="2686" spans="1:1" x14ac:dyDescent="0.2">
      <c r="A2686" s="9"/>
    </row>
    <row r="2687" spans="1:1" x14ac:dyDescent="0.2">
      <c r="A2687" s="9"/>
    </row>
    <row r="2688" spans="1:1" x14ac:dyDescent="0.2">
      <c r="A2688" s="9"/>
    </row>
    <row r="2689" spans="1:1" x14ac:dyDescent="0.2">
      <c r="A2689" s="9"/>
    </row>
    <row r="2690" spans="1:1" x14ac:dyDescent="0.2">
      <c r="A2690" s="9"/>
    </row>
    <row r="2691" spans="1:1" x14ac:dyDescent="0.2">
      <c r="A2691" s="9"/>
    </row>
    <row r="2692" spans="1:1" x14ac:dyDescent="0.2">
      <c r="A2692" s="9"/>
    </row>
    <row r="2693" spans="1:1" x14ac:dyDescent="0.2">
      <c r="A2693" s="9"/>
    </row>
    <row r="2694" spans="1:1" x14ac:dyDescent="0.2">
      <c r="A2694" s="9"/>
    </row>
    <row r="2695" spans="1:1" x14ac:dyDescent="0.2">
      <c r="A2695" s="9"/>
    </row>
    <row r="2696" spans="1:1" x14ac:dyDescent="0.2">
      <c r="A2696" s="9"/>
    </row>
    <row r="2697" spans="1:1" x14ac:dyDescent="0.2">
      <c r="A2697" s="9"/>
    </row>
    <row r="2698" spans="1:1" x14ac:dyDescent="0.2">
      <c r="A2698" s="9"/>
    </row>
    <row r="2699" spans="1:1" x14ac:dyDescent="0.2">
      <c r="A2699" s="9"/>
    </row>
    <row r="2700" spans="1:1" x14ac:dyDescent="0.2">
      <c r="A2700" s="9"/>
    </row>
    <row r="2701" spans="1:1" x14ac:dyDescent="0.2">
      <c r="A2701" s="9"/>
    </row>
    <row r="2702" spans="1:1" x14ac:dyDescent="0.2">
      <c r="A2702" s="9"/>
    </row>
    <row r="2703" spans="1:1" x14ac:dyDescent="0.2">
      <c r="A2703" s="9"/>
    </row>
    <row r="2704" spans="1:1" x14ac:dyDescent="0.2">
      <c r="A2704" s="9"/>
    </row>
    <row r="2705" spans="1:1" x14ac:dyDescent="0.2">
      <c r="A2705" s="9"/>
    </row>
    <row r="2706" spans="1:1" x14ac:dyDescent="0.2">
      <c r="A2706" s="9"/>
    </row>
    <row r="2707" spans="1:1" x14ac:dyDescent="0.2">
      <c r="A2707" s="9"/>
    </row>
    <row r="2708" spans="1:1" x14ac:dyDescent="0.2">
      <c r="A2708" s="9"/>
    </row>
    <row r="2709" spans="1:1" x14ac:dyDescent="0.2">
      <c r="A2709" s="9"/>
    </row>
    <row r="2710" spans="1:1" x14ac:dyDescent="0.2">
      <c r="A2710" s="9"/>
    </row>
    <row r="2711" spans="1:1" x14ac:dyDescent="0.2">
      <c r="A2711" s="9"/>
    </row>
    <row r="2712" spans="1:1" x14ac:dyDescent="0.2">
      <c r="A2712" s="9"/>
    </row>
    <row r="2713" spans="1:1" x14ac:dyDescent="0.2">
      <c r="A2713" s="9"/>
    </row>
    <row r="2714" spans="1:1" x14ac:dyDescent="0.2">
      <c r="A2714" s="9"/>
    </row>
    <row r="2715" spans="1:1" x14ac:dyDescent="0.2">
      <c r="A2715" s="9"/>
    </row>
    <row r="2716" spans="1:1" x14ac:dyDescent="0.2">
      <c r="A2716" s="9"/>
    </row>
    <row r="2717" spans="1:1" x14ac:dyDescent="0.2">
      <c r="A2717" s="9"/>
    </row>
    <row r="2718" spans="1:1" x14ac:dyDescent="0.2">
      <c r="A2718" s="9"/>
    </row>
    <row r="2719" spans="1:1" x14ac:dyDescent="0.2">
      <c r="A2719" s="9"/>
    </row>
    <row r="2720" spans="1:1" x14ac:dyDescent="0.2">
      <c r="A2720" s="9"/>
    </row>
    <row r="2721" spans="1:1" x14ac:dyDescent="0.2">
      <c r="A2721" s="9"/>
    </row>
    <row r="2722" spans="1:1" x14ac:dyDescent="0.2">
      <c r="A2722" s="9"/>
    </row>
    <row r="2723" spans="1:1" x14ac:dyDescent="0.2">
      <c r="A2723" s="9"/>
    </row>
    <row r="2724" spans="1:1" x14ac:dyDescent="0.2">
      <c r="A2724" s="9"/>
    </row>
    <row r="2725" spans="1:1" x14ac:dyDescent="0.2">
      <c r="A2725" s="9"/>
    </row>
    <row r="2726" spans="1:1" x14ac:dyDescent="0.2">
      <c r="A2726" s="9"/>
    </row>
    <row r="2727" spans="1:1" x14ac:dyDescent="0.2">
      <c r="A2727" s="9"/>
    </row>
    <row r="2728" spans="1:1" x14ac:dyDescent="0.2">
      <c r="A2728" s="9"/>
    </row>
    <row r="2729" spans="1:1" x14ac:dyDescent="0.2">
      <c r="A2729" s="9"/>
    </row>
    <row r="2730" spans="1:1" x14ac:dyDescent="0.2">
      <c r="A2730" s="9"/>
    </row>
    <row r="2731" spans="1:1" x14ac:dyDescent="0.2">
      <c r="A2731" s="9"/>
    </row>
    <row r="2732" spans="1:1" x14ac:dyDescent="0.2">
      <c r="A2732" s="9"/>
    </row>
    <row r="2733" spans="1:1" x14ac:dyDescent="0.2">
      <c r="A2733" s="9"/>
    </row>
    <row r="2734" spans="1:1" x14ac:dyDescent="0.2">
      <c r="A2734" s="9"/>
    </row>
    <row r="2735" spans="1:1" x14ac:dyDescent="0.2">
      <c r="A2735" s="9"/>
    </row>
    <row r="2736" spans="1:1" x14ac:dyDescent="0.2">
      <c r="A2736" s="9"/>
    </row>
    <row r="2737" spans="1:1" x14ac:dyDescent="0.2">
      <c r="A2737" s="9"/>
    </row>
    <row r="2738" spans="1:1" x14ac:dyDescent="0.2">
      <c r="A2738" s="9"/>
    </row>
    <row r="2739" spans="1:1" x14ac:dyDescent="0.2">
      <c r="A2739" s="9"/>
    </row>
    <row r="2740" spans="1:1" x14ac:dyDescent="0.2">
      <c r="A2740" s="9"/>
    </row>
    <row r="2741" spans="1:1" x14ac:dyDescent="0.2">
      <c r="A2741" s="9"/>
    </row>
    <row r="2742" spans="1:1" x14ac:dyDescent="0.2">
      <c r="A2742" s="9"/>
    </row>
    <row r="2743" spans="1:1" x14ac:dyDescent="0.2">
      <c r="A2743" s="9"/>
    </row>
    <row r="2744" spans="1:1" x14ac:dyDescent="0.2">
      <c r="A2744" s="9"/>
    </row>
    <row r="2745" spans="1:1" x14ac:dyDescent="0.2">
      <c r="A2745" s="9"/>
    </row>
    <row r="2746" spans="1:1" x14ac:dyDescent="0.2">
      <c r="A2746" s="9"/>
    </row>
    <row r="2747" spans="1:1" x14ac:dyDescent="0.2">
      <c r="A2747" s="9"/>
    </row>
    <row r="2748" spans="1:1" x14ac:dyDescent="0.2">
      <c r="A2748" s="9"/>
    </row>
    <row r="2749" spans="1:1" x14ac:dyDescent="0.2">
      <c r="A2749" s="9"/>
    </row>
    <row r="2750" spans="1:1" x14ac:dyDescent="0.2">
      <c r="A2750" s="9"/>
    </row>
    <row r="2751" spans="1:1" x14ac:dyDescent="0.2">
      <c r="A2751" s="9"/>
    </row>
    <row r="2752" spans="1:1" x14ac:dyDescent="0.2">
      <c r="A2752" s="9"/>
    </row>
    <row r="2753" spans="1:1" x14ac:dyDescent="0.2">
      <c r="A2753" s="9"/>
    </row>
    <row r="2754" spans="1:1" x14ac:dyDescent="0.2">
      <c r="A2754" s="9"/>
    </row>
    <row r="2755" spans="1:1" x14ac:dyDescent="0.2">
      <c r="A2755" s="9"/>
    </row>
    <row r="2756" spans="1:1" x14ac:dyDescent="0.2">
      <c r="A2756" s="9"/>
    </row>
    <row r="2757" spans="1:1" x14ac:dyDescent="0.2">
      <c r="A2757" s="9"/>
    </row>
    <row r="2758" spans="1:1" x14ac:dyDescent="0.2">
      <c r="A2758" s="9"/>
    </row>
    <row r="2759" spans="1:1" x14ac:dyDescent="0.2">
      <c r="A2759" s="9"/>
    </row>
    <row r="2760" spans="1:1" x14ac:dyDescent="0.2">
      <c r="A2760" s="9"/>
    </row>
    <row r="2761" spans="1:1" x14ac:dyDescent="0.2">
      <c r="A2761" s="9"/>
    </row>
    <row r="2762" spans="1:1" x14ac:dyDescent="0.2">
      <c r="A2762" s="9"/>
    </row>
    <row r="2763" spans="1:1" x14ac:dyDescent="0.2">
      <c r="A2763" s="9"/>
    </row>
    <row r="2764" spans="1:1" x14ac:dyDescent="0.2">
      <c r="A2764" s="9"/>
    </row>
    <row r="2765" spans="1:1" x14ac:dyDescent="0.2">
      <c r="A2765" s="9"/>
    </row>
    <row r="2766" spans="1:1" x14ac:dyDescent="0.2">
      <c r="A2766" s="9"/>
    </row>
    <row r="2767" spans="1:1" x14ac:dyDescent="0.2">
      <c r="A2767" s="9"/>
    </row>
    <row r="2768" spans="1:1" x14ac:dyDescent="0.2">
      <c r="A2768" s="9"/>
    </row>
    <row r="2769" spans="1:1" x14ac:dyDescent="0.2">
      <c r="A2769" s="9"/>
    </row>
    <row r="2770" spans="1:1" x14ac:dyDescent="0.2">
      <c r="A2770" s="9"/>
    </row>
    <row r="2771" spans="1:1" x14ac:dyDescent="0.2">
      <c r="A2771" s="9"/>
    </row>
    <row r="2772" spans="1:1" x14ac:dyDescent="0.2">
      <c r="A2772" s="9"/>
    </row>
    <row r="2773" spans="1:1" x14ac:dyDescent="0.2">
      <c r="A2773" s="9"/>
    </row>
    <row r="2774" spans="1:1" x14ac:dyDescent="0.2">
      <c r="A2774" s="9"/>
    </row>
    <row r="2775" spans="1:1" x14ac:dyDescent="0.2">
      <c r="A2775" s="9"/>
    </row>
    <row r="2776" spans="1:1" x14ac:dyDescent="0.2">
      <c r="A2776" s="9"/>
    </row>
    <row r="2777" spans="1:1" x14ac:dyDescent="0.2">
      <c r="A2777" s="9"/>
    </row>
    <row r="2778" spans="1:1" x14ac:dyDescent="0.2">
      <c r="A2778" s="9"/>
    </row>
    <row r="2779" spans="1:1" x14ac:dyDescent="0.2">
      <c r="A2779" s="9"/>
    </row>
    <row r="2780" spans="1:1" x14ac:dyDescent="0.2">
      <c r="A2780" s="9"/>
    </row>
    <row r="2781" spans="1:1" x14ac:dyDescent="0.2">
      <c r="A2781" s="9"/>
    </row>
    <row r="2782" spans="1:1" x14ac:dyDescent="0.2">
      <c r="A2782" s="9"/>
    </row>
    <row r="2783" spans="1:1" x14ac:dyDescent="0.2">
      <c r="A2783" s="9"/>
    </row>
    <row r="2784" spans="1:1" x14ac:dyDescent="0.2">
      <c r="A2784" s="9"/>
    </row>
    <row r="2785" spans="1:1" x14ac:dyDescent="0.2">
      <c r="A2785" s="9"/>
    </row>
    <row r="2786" spans="1:1" x14ac:dyDescent="0.2">
      <c r="A2786" s="9"/>
    </row>
    <row r="2787" spans="1:1" x14ac:dyDescent="0.2">
      <c r="A2787" s="9"/>
    </row>
    <row r="2788" spans="1:1" x14ac:dyDescent="0.2">
      <c r="A2788" s="9"/>
    </row>
    <row r="2789" spans="1:1" x14ac:dyDescent="0.2">
      <c r="A2789" s="9"/>
    </row>
    <row r="2790" spans="1:1" x14ac:dyDescent="0.2">
      <c r="A2790" s="9"/>
    </row>
    <row r="2791" spans="1:1" x14ac:dyDescent="0.2">
      <c r="A2791" s="9"/>
    </row>
    <row r="2792" spans="1:1" x14ac:dyDescent="0.2">
      <c r="A2792" s="9"/>
    </row>
    <row r="2793" spans="1:1" x14ac:dyDescent="0.2">
      <c r="A2793" s="9"/>
    </row>
    <row r="2794" spans="1:1" x14ac:dyDescent="0.2">
      <c r="A2794" s="9"/>
    </row>
    <row r="2795" spans="1:1" x14ac:dyDescent="0.2">
      <c r="A2795" s="9"/>
    </row>
    <row r="2796" spans="1:1" x14ac:dyDescent="0.2">
      <c r="A2796" s="9"/>
    </row>
    <row r="2797" spans="1:1" x14ac:dyDescent="0.2">
      <c r="A2797" s="9"/>
    </row>
    <row r="2798" spans="1:1" x14ac:dyDescent="0.2">
      <c r="A2798" s="9"/>
    </row>
    <row r="2799" spans="1:1" x14ac:dyDescent="0.2">
      <c r="A2799" s="9"/>
    </row>
    <row r="2800" spans="1:1" x14ac:dyDescent="0.2">
      <c r="A2800" s="9"/>
    </row>
    <row r="2801" spans="1:1" x14ac:dyDescent="0.2">
      <c r="A2801" s="9"/>
    </row>
    <row r="2802" spans="1:1" x14ac:dyDescent="0.2">
      <c r="A2802" s="9"/>
    </row>
    <row r="2803" spans="1:1" x14ac:dyDescent="0.2">
      <c r="A2803" s="9"/>
    </row>
    <row r="2804" spans="1:1" x14ac:dyDescent="0.2">
      <c r="A2804" s="9"/>
    </row>
    <row r="2805" spans="1:1" x14ac:dyDescent="0.2">
      <c r="A2805" s="9"/>
    </row>
    <row r="2806" spans="1:1" x14ac:dyDescent="0.2">
      <c r="A2806" s="9"/>
    </row>
    <row r="2807" spans="1:1" x14ac:dyDescent="0.2">
      <c r="A2807" s="9"/>
    </row>
    <row r="2808" spans="1:1" x14ac:dyDescent="0.2">
      <c r="A2808" s="9"/>
    </row>
    <row r="2809" spans="1:1" x14ac:dyDescent="0.2">
      <c r="A2809" s="9"/>
    </row>
    <row r="2810" spans="1:1" x14ac:dyDescent="0.2">
      <c r="A2810" s="9"/>
    </row>
    <row r="2811" spans="1:1" x14ac:dyDescent="0.2">
      <c r="A2811" s="9"/>
    </row>
    <row r="2812" spans="1:1" x14ac:dyDescent="0.2">
      <c r="A2812" s="9"/>
    </row>
    <row r="2813" spans="1:1" x14ac:dyDescent="0.2">
      <c r="A2813" s="9"/>
    </row>
    <row r="2814" spans="1:1" x14ac:dyDescent="0.2">
      <c r="A2814" s="9"/>
    </row>
    <row r="2815" spans="1:1" x14ac:dyDescent="0.2">
      <c r="A2815" s="9"/>
    </row>
    <row r="2816" spans="1:1" x14ac:dyDescent="0.2">
      <c r="A2816" s="9"/>
    </row>
    <row r="2817" spans="1:1" x14ac:dyDescent="0.2">
      <c r="A2817" s="9"/>
    </row>
    <row r="2818" spans="1:1" x14ac:dyDescent="0.2">
      <c r="A2818" s="9"/>
    </row>
    <row r="2819" spans="1:1" x14ac:dyDescent="0.2">
      <c r="A2819" s="9"/>
    </row>
    <row r="2820" spans="1:1" x14ac:dyDescent="0.2">
      <c r="A2820" s="9"/>
    </row>
    <row r="2821" spans="1:1" x14ac:dyDescent="0.2">
      <c r="A2821" s="9"/>
    </row>
    <row r="2822" spans="1:1" x14ac:dyDescent="0.2">
      <c r="A2822" s="9"/>
    </row>
    <row r="2823" spans="1:1" x14ac:dyDescent="0.2">
      <c r="A2823" s="9"/>
    </row>
    <row r="2824" spans="1:1" x14ac:dyDescent="0.2">
      <c r="A2824" s="9"/>
    </row>
    <row r="2825" spans="1:1" x14ac:dyDescent="0.2">
      <c r="A2825" s="9"/>
    </row>
    <row r="2826" spans="1:1" x14ac:dyDescent="0.2">
      <c r="A2826" s="9"/>
    </row>
    <row r="2827" spans="1:1" x14ac:dyDescent="0.2">
      <c r="A2827" s="9"/>
    </row>
    <row r="2828" spans="1:1" x14ac:dyDescent="0.2">
      <c r="A2828" s="9"/>
    </row>
    <row r="2829" spans="1:1" x14ac:dyDescent="0.2">
      <c r="A2829" s="9"/>
    </row>
    <row r="2830" spans="1:1" x14ac:dyDescent="0.2">
      <c r="A2830" s="9"/>
    </row>
    <row r="2831" spans="1:1" x14ac:dyDescent="0.2">
      <c r="A2831" s="9"/>
    </row>
    <row r="2832" spans="1:1" x14ac:dyDescent="0.2">
      <c r="A2832" s="9"/>
    </row>
    <row r="2833" spans="1:1" x14ac:dyDescent="0.2">
      <c r="A2833" s="9"/>
    </row>
    <row r="2834" spans="1:1" x14ac:dyDescent="0.2">
      <c r="A2834" s="9"/>
    </row>
    <row r="2835" spans="1:1" x14ac:dyDescent="0.2">
      <c r="A2835" s="9"/>
    </row>
    <row r="2836" spans="1:1" x14ac:dyDescent="0.2">
      <c r="A2836" s="9"/>
    </row>
    <row r="2837" spans="1:1" x14ac:dyDescent="0.2">
      <c r="A2837" s="9"/>
    </row>
    <row r="2838" spans="1:1" x14ac:dyDescent="0.2">
      <c r="A2838" s="9"/>
    </row>
    <row r="2839" spans="1:1" x14ac:dyDescent="0.2">
      <c r="A2839" s="9"/>
    </row>
    <row r="2840" spans="1:1" x14ac:dyDescent="0.2">
      <c r="A2840" s="9"/>
    </row>
    <row r="2841" spans="1:1" x14ac:dyDescent="0.2">
      <c r="A2841" s="9"/>
    </row>
    <row r="2842" spans="1:1" x14ac:dyDescent="0.2">
      <c r="A2842" s="9"/>
    </row>
    <row r="2843" spans="1:1" x14ac:dyDescent="0.2">
      <c r="A2843" s="9"/>
    </row>
    <row r="2844" spans="1:1" x14ac:dyDescent="0.2">
      <c r="A2844" s="9"/>
    </row>
    <row r="2845" spans="1:1" x14ac:dyDescent="0.2">
      <c r="A2845" s="9"/>
    </row>
    <row r="2846" spans="1:1" x14ac:dyDescent="0.2">
      <c r="A2846" s="9"/>
    </row>
    <row r="2847" spans="1:1" x14ac:dyDescent="0.2">
      <c r="A2847" s="9"/>
    </row>
    <row r="2848" spans="1:1" x14ac:dyDescent="0.2">
      <c r="A2848" s="9"/>
    </row>
    <row r="2849" spans="1:1" x14ac:dyDescent="0.2">
      <c r="A2849" s="9"/>
    </row>
    <row r="2850" spans="1:1" x14ac:dyDescent="0.2">
      <c r="A2850" s="9"/>
    </row>
    <row r="2851" spans="1:1" x14ac:dyDescent="0.2">
      <c r="A2851" s="9"/>
    </row>
    <row r="2852" spans="1:1" x14ac:dyDescent="0.2">
      <c r="A2852" s="9"/>
    </row>
    <row r="2853" spans="1:1" x14ac:dyDescent="0.2">
      <c r="A2853" s="9"/>
    </row>
    <row r="2854" spans="1:1" x14ac:dyDescent="0.2">
      <c r="A2854" s="9"/>
    </row>
    <row r="2855" spans="1:1" x14ac:dyDescent="0.2">
      <c r="A2855" s="9"/>
    </row>
    <row r="2856" spans="1:1" x14ac:dyDescent="0.2">
      <c r="A2856" s="9"/>
    </row>
    <row r="2857" spans="1:1" x14ac:dyDescent="0.2">
      <c r="A2857" s="9"/>
    </row>
    <row r="2858" spans="1:1" x14ac:dyDescent="0.2">
      <c r="A2858" s="9"/>
    </row>
    <row r="2859" spans="1:1" x14ac:dyDescent="0.2">
      <c r="A2859" s="9"/>
    </row>
    <row r="2860" spans="1:1" x14ac:dyDescent="0.2">
      <c r="A2860" s="9"/>
    </row>
    <row r="2861" spans="1:1" x14ac:dyDescent="0.2">
      <c r="A2861" s="9"/>
    </row>
    <row r="2862" spans="1:1" x14ac:dyDescent="0.2">
      <c r="A2862" s="9"/>
    </row>
    <row r="2863" spans="1:1" x14ac:dyDescent="0.2">
      <c r="A2863" s="9"/>
    </row>
    <row r="2864" spans="1:1" x14ac:dyDescent="0.2">
      <c r="A2864" s="9"/>
    </row>
    <row r="2865" spans="1:1" x14ac:dyDescent="0.2">
      <c r="A2865" s="9"/>
    </row>
    <row r="2866" spans="1:1" x14ac:dyDescent="0.2">
      <c r="A2866" s="9"/>
    </row>
    <row r="2867" spans="1:1" x14ac:dyDescent="0.2">
      <c r="A2867" s="9"/>
    </row>
    <row r="2868" spans="1:1" x14ac:dyDescent="0.2">
      <c r="A2868" s="9"/>
    </row>
    <row r="2869" spans="1:1" x14ac:dyDescent="0.2">
      <c r="A2869" s="9"/>
    </row>
    <row r="2870" spans="1:1" x14ac:dyDescent="0.2">
      <c r="A2870" s="9"/>
    </row>
    <row r="2871" spans="1:1" x14ac:dyDescent="0.2">
      <c r="A2871" s="9"/>
    </row>
    <row r="2872" spans="1:1" x14ac:dyDescent="0.2">
      <c r="A2872" s="9"/>
    </row>
    <row r="2873" spans="1:1" x14ac:dyDescent="0.2">
      <c r="A2873" s="9"/>
    </row>
    <row r="2874" spans="1:1" x14ac:dyDescent="0.2">
      <c r="A2874" s="9"/>
    </row>
    <row r="2875" spans="1:1" x14ac:dyDescent="0.2">
      <c r="A2875" s="9"/>
    </row>
    <row r="2876" spans="1:1" x14ac:dyDescent="0.2">
      <c r="A2876" s="9"/>
    </row>
    <row r="2877" spans="1:1" x14ac:dyDescent="0.2">
      <c r="A2877" s="9"/>
    </row>
    <row r="2878" spans="1:1" x14ac:dyDescent="0.2">
      <c r="A2878" s="9"/>
    </row>
    <row r="2879" spans="1:1" x14ac:dyDescent="0.2">
      <c r="A2879" s="9"/>
    </row>
    <row r="2880" spans="1:1" x14ac:dyDescent="0.2">
      <c r="A2880" s="9"/>
    </row>
    <row r="2881" spans="1:1" x14ac:dyDescent="0.2">
      <c r="A2881" s="9"/>
    </row>
    <row r="2882" spans="1:1" x14ac:dyDescent="0.2">
      <c r="A2882" s="9"/>
    </row>
    <row r="2883" spans="1:1" x14ac:dyDescent="0.2">
      <c r="A2883" s="9"/>
    </row>
    <row r="2884" spans="1:1" x14ac:dyDescent="0.2">
      <c r="A2884" s="9"/>
    </row>
    <row r="2885" spans="1:1" x14ac:dyDescent="0.2">
      <c r="A2885" s="9"/>
    </row>
    <row r="2886" spans="1:1" x14ac:dyDescent="0.2">
      <c r="A2886" s="9"/>
    </row>
    <row r="2887" spans="1:1" x14ac:dyDescent="0.2">
      <c r="A2887" s="9"/>
    </row>
    <row r="2888" spans="1:1" x14ac:dyDescent="0.2">
      <c r="A2888" s="9"/>
    </row>
    <row r="2889" spans="1:1" x14ac:dyDescent="0.2">
      <c r="A2889" s="9"/>
    </row>
    <row r="2890" spans="1:1" x14ac:dyDescent="0.2">
      <c r="A2890" s="9"/>
    </row>
    <row r="2891" spans="1:1" x14ac:dyDescent="0.2">
      <c r="A2891" s="9"/>
    </row>
    <row r="2892" spans="1:1" x14ac:dyDescent="0.2">
      <c r="A2892" s="9"/>
    </row>
    <row r="2893" spans="1:1" x14ac:dyDescent="0.2">
      <c r="A2893" s="9"/>
    </row>
    <row r="2894" spans="1:1" x14ac:dyDescent="0.2">
      <c r="A2894" s="9"/>
    </row>
    <row r="2895" spans="1:1" x14ac:dyDescent="0.2">
      <c r="A2895" s="9"/>
    </row>
    <row r="2896" spans="1:1" x14ac:dyDescent="0.2">
      <c r="A2896" s="9"/>
    </row>
    <row r="2897" spans="1:1" x14ac:dyDescent="0.2">
      <c r="A2897" s="9"/>
    </row>
    <row r="2898" spans="1:1" x14ac:dyDescent="0.2">
      <c r="A2898" s="9"/>
    </row>
    <row r="2899" spans="1:1" x14ac:dyDescent="0.2">
      <c r="A2899" s="9"/>
    </row>
    <row r="2900" spans="1:1" x14ac:dyDescent="0.2">
      <c r="A2900" s="9"/>
    </row>
    <row r="2901" spans="1:1" x14ac:dyDescent="0.2">
      <c r="A2901" s="9"/>
    </row>
    <row r="2902" spans="1:1" x14ac:dyDescent="0.2">
      <c r="A2902" s="9"/>
    </row>
    <row r="2903" spans="1:1" x14ac:dyDescent="0.2">
      <c r="A2903" s="9"/>
    </row>
    <row r="2904" spans="1:1" x14ac:dyDescent="0.2">
      <c r="A2904" s="9"/>
    </row>
    <row r="2905" spans="1:1" x14ac:dyDescent="0.2">
      <c r="A2905" s="9"/>
    </row>
    <row r="2906" spans="1:1" x14ac:dyDescent="0.2">
      <c r="A2906" s="9"/>
    </row>
    <row r="2907" spans="1:1" x14ac:dyDescent="0.2">
      <c r="A2907" s="9"/>
    </row>
    <row r="2908" spans="1:1" x14ac:dyDescent="0.2">
      <c r="A2908" s="9"/>
    </row>
    <row r="2909" spans="1:1" x14ac:dyDescent="0.2">
      <c r="A2909" s="9"/>
    </row>
    <row r="2910" spans="1:1" x14ac:dyDescent="0.2">
      <c r="A2910" s="9"/>
    </row>
    <row r="2911" spans="1:1" x14ac:dyDescent="0.2">
      <c r="A2911" s="9"/>
    </row>
    <row r="2912" spans="1:1" x14ac:dyDescent="0.2">
      <c r="A2912" s="9"/>
    </row>
    <row r="2913" spans="1:1" x14ac:dyDescent="0.2">
      <c r="A2913" s="9"/>
    </row>
    <row r="2914" spans="1:1" x14ac:dyDescent="0.2">
      <c r="A2914" s="9"/>
    </row>
    <row r="2915" spans="1:1" x14ac:dyDescent="0.2">
      <c r="A2915" s="9"/>
    </row>
    <row r="2916" spans="1:1" x14ac:dyDescent="0.2">
      <c r="A2916" s="9"/>
    </row>
    <row r="2917" spans="1:1" x14ac:dyDescent="0.2">
      <c r="A2917" s="9"/>
    </row>
    <row r="2918" spans="1:1" x14ac:dyDescent="0.2">
      <c r="A2918" s="9"/>
    </row>
    <row r="2919" spans="1:1" x14ac:dyDescent="0.2">
      <c r="A2919" s="9"/>
    </row>
    <row r="2920" spans="1:1" x14ac:dyDescent="0.2">
      <c r="A2920" s="9"/>
    </row>
    <row r="2921" spans="1:1" x14ac:dyDescent="0.2">
      <c r="A2921" s="9"/>
    </row>
    <row r="2922" spans="1:1" x14ac:dyDescent="0.2">
      <c r="A2922" s="9"/>
    </row>
    <row r="2923" spans="1:1" x14ac:dyDescent="0.2">
      <c r="A2923" s="9"/>
    </row>
    <row r="2924" spans="1:1" x14ac:dyDescent="0.2">
      <c r="A2924" s="9"/>
    </row>
    <row r="2925" spans="1:1" x14ac:dyDescent="0.2">
      <c r="A2925" s="9"/>
    </row>
    <row r="2926" spans="1:1" x14ac:dyDescent="0.2">
      <c r="A2926" s="9"/>
    </row>
    <row r="2927" spans="1:1" x14ac:dyDescent="0.2">
      <c r="A2927" s="9"/>
    </row>
    <row r="2928" spans="1:1" x14ac:dyDescent="0.2">
      <c r="A2928" s="9"/>
    </row>
    <row r="2929" spans="1:1" x14ac:dyDescent="0.2">
      <c r="A2929" s="9"/>
    </row>
    <row r="2930" spans="1:1" x14ac:dyDescent="0.2">
      <c r="A2930" s="9"/>
    </row>
    <row r="2931" spans="1:1" x14ac:dyDescent="0.2">
      <c r="A2931" s="9"/>
    </row>
    <row r="2932" spans="1:1" x14ac:dyDescent="0.2">
      <c r="A2932" s="9"/>
    </row>
    <row r="2933" spans="1:1" x14ac:dyDescent="0.2">
      <c r="A2933" s="9"/>
    </row>
    <row r="2934" spans="1:1" x14ac:dyDescent="0.2">
      <c r="A2934" s="9"/>
    </row>
    <row r="2935" spans="1:1" x14ac:dyDescent="0.2">
      <c r="A2935" s="9"/>
    </row>
    <row r="2936" spans="1:1" x14ac:dyDescent="0.2">
      <c r="A2936" s="9"/>
    </row>
    <row r="2937" spans="1:1" x14ac:dyDescent="0.2">
      <c r="A2937" s="9"/>
    </row>
    <row r="2938" spans="1:1" x14ac:dyDescent="0.2">
      <c r="A2938" s="9"/>
    </row>
    <row r="2939" spans="1:1" x14ac:dyDescent="0.2">
      <c r="A2939" s="9"/>
    </row>
    <row r="2940" spans="1:1" x14ac:dyDescent="0.2">
      <c r="A2940" s="9"/>
    </row>
    <row r="2941" spans="1:1" x14ac:dyDescent="0.2">
      <c r="A2941" s="9"/>
    </row>
    <row r="2942" spans="1:1" x14ac:dyDescent="0.2">
      <c r="A2942" s="9"/>
    </row>
    <row r="2943" spans="1:1" x14ac:dyDescent="0.2">
      <c r="A2943" s="9"/>
    </row>
    <row r="2944" spans="1:1" x14ac:dyDescent="0.2">
      <c r="A2944" s="9"/>
    </row>
    <row r="2945" spans="1:1" x14ac:dyDescent="0.2">
      <c r="A2945" s="9"/>
    </row>
    <row r="2946" spans="1:1" x14ac:dyDescent="0.2">
      <c r="A2946" s="9"/>
    </row>
    <row r="2947" spans="1:1" x14ac:dyDescent="0.2">
      <c r="A2947" s="9"/>
    </row>
    <row r="2948" spans="1:1" x14ac:dyDescent="0.2">
      <c r="A2948" s="9"/>
    </row>
    <row r="2949" spans="1:1" x14ac:dyDescent="0.2">
      <c r="A2949" s="9"/>
    </row>
    <row r="2950" spans="1:1" x14ac:dyDescent="0.2">
      <c r="A2950" s="9"/>
    </row>
    <row r="2951" spans="1:1" x14ac:dyDescent="0.2">
      <c r="A2951" s="9"/>
    </row>
    <row r="2952" spans="1:1" x14ac:dyDescent="0.2">
      <c r="A2952" s="9"/>
    </row>
    <row r="2953" spans="1:1" x14ac:dyDescent="0.2">
      <c r="A2953" s="9"/>
    </row>
    <row r="2954" spans="1:1" x14ac:dyDescent="0.2">
      <c r="A2954" s="9"/>
    </row>
    <row r="2955" spans="1:1" x14ac:dyDescent="0.2">
      <c r="A2955" s="9"/>
    </row>
    <row r="2956" spans="1:1" x14ac:dyDescent="0.2">
      <c r="A2956" s="9"/>
    </row>
    <row r="2957" spans="1:1" x14ac:dyDescent="0.2">
      <c r="A2957" s="9"/>
    </row>
    <row r="2958" spans="1:1" x14ac:dyDescent="0.2">
      <c r="A2958" s="9"/>
    </row>
    <row r="2959" spans="1:1" x14ac:dyDescent="0.2">
      <c r="A2959" s="9"/>
    </row>
    <row r="2960" spans="1:1" x14ac:dyDescent="0.2">
      <c r="A2960" s="9"/>
    </row>
    <row r="2961" spans="1:1" x14ac:dyDescent="0.2">
      <c r="A2961" s="9"/>
    </row>
    <row r="2962" spans="1:1" x14ac:dyDescent="0.2">
      <c r="A2962" s="9"/>
    </row>
    <row r="2963" spans="1:1" x14ac:dyDescent="0.2">
      <c r="A2963" s="9"/>
    </row>
    <row r="2964" spans="1:1" x14ac:dyDescent="0.2">
      <c r="A2964" s="9"/>
    </row>
    <row r="2965" spans="1:1" x14ac:dyDescent="0.2">
      <c r="A2965" s="9"/>
    </row>
    <row r="2966" spans="1:1" x14ac:dyDescent="0.2">
      <c r="A2966" s="9"/>
    </row>
    <row r="2967" spans="1:1" x14ac:dyDescent="0.2">
      <c r="A2967" s="9"/>
    </row>
    <row r="2968" spans="1:1" x14ac:dyDescent="0.2">
      <c r="A2968" s="9"/>
    </row>
    <row r="2969" spans="1:1" x14ac:dyDescent="0.2">
      <c r="A2969" s="9"/>
    </row>
    <row r="2970" spans="1:1" x14ac:dyDescent="0.2">
      <c r="A2970" s="9"/>
    </row>
    <row r="2971" spans="1:1" x14ac:dyDescent="0.2">
      <c r="A2971" s="9"/>
    </row>
    <row r="2972" spans="1:1" x14ac:dyDescent="0.2">
      <c r="A2972" s="9"/>
    </row>
    <row r="2973" spans="1:1" x14ac:dyDescent="0.2">
      <c r="A2973" s="9"/>
    </row>
    <row r="2974" spans="1:1" x14ac:dyDescent="0.2">
      <c r="A2974" s="9"/>
    </row>
    <row r="2975" spans="1:1" x14ac:dyDescent="0.2">
      <c r="A2975" s="9"/>
    </row>
    <row r="2976" spans="1:1" x14ac:dyDescent="0.2">
      <c r="A2976" s="9"/>
    </row>
    <row r="2977" spans="1:1" x14ac:dyDescent="0.2">
      <c r="A2977" s="9"/>
    </row>
    <row r="2978" spans="1:1" x14ac:dyDescent="0.2">
      <c r="A2978" s="9"/>
    </row>
    <row r="2979" spans="1:1" x14ac:dyDescent="0.2">
      <c r="A2979" s="9"/>
    </row>
    <row r="2980" spans="1:1" x14ac:dyDescent="0.2">
      <c r="A2980" s="9"/>
    </row>
    <row r="2981" spans="1:1" x14ac:dyDescent="0.2">
      <c r="A2981" s="9"/>
    </row>
    <row r="2982" spans="1:1" x14ac:dyDescent="0.2">
      <c r="A2982" s="9"/>
    </row>
    <row r="2983" spans="1:1" x14ac:dyDescent="0.2">
      <c r="A2983" s="9"/>
    </row>
    <row r="2984" spans="1:1" x14ac:dyDescent="0.2">
      <c r="A2984" s="9"/>
    </row>
    <row r="2985" spans="1:1" x14ac:dyDescent="0.2">
      <c r="A2985" s="9"/>
    </row>
    <row r="2986" spans="1:1" x14ac:dyDescent="0.2">
      <c r="A2986" s="9"/>
    </row>
    <row r="2987" spans="1:1" x14ac:dyDescent="0.2">
      <c r="A2987" s="9"/>
    </row>
    <row r="2988" spans="1:1" x14ac:dyDescent="0.2">
      <c r="A2988" s="9"/>
    </row>
    <row r="2989" spans="1:1" x14ac:dyDescent="0.2">
      <c r="A2989" s="9"/>
    </row>
    <row r="2990" spans="1:1" x14ac:dyDescent="0.2">
      <c r="A2990" s="9"/>
    </row>
    <row r="2991" spans="1:1" x14ac:dyDescent="0.2">
      <c r="A2991" s="9"/>
    </row>
    <row r="2992" spans="1:1" x14ac:dyDescent="0.2">
      <c r="A2992" s="9"/>
    </row>
    <row r="2993" spans="1:1" x14ac:dyDescent="0.2">
      <c r="A2993" s="9"/>
    </row>
    <row r="2994" spans="1:1" x14ac:dyDescent="0.2">
      <c r="A2994" s="9"/>
    </row>
    <row r="2995" spans="1:1" x14ac:dyDescent="0.2">
      <c r="A2995" s="9"/>
    </row>
    <row r="2996" spans="1:1" x14ac:dyDescent="0.2">
      <c r="A2996" s="9"/>
    </row>
    <row r="2997" spans="1:1" x14ac:dyDescent="0.2">
      <c r="A2997" s="9"/>
    </row>
    <row r="2998" spans="1:1" x14ac:dyDescent="0.2">
      <c r="A2998" s="9"/>
    </row>
    <row r="2999" spans="1:1" x14ac:dyDescent="0.2">
      <c r="A2999" s="9"/>
    </row>
    <row r="3000" spans="1:1" x14ac:dyDescent="0.2">
      <c r="A3000" s="9"/>
    </row>
    <row r="3001" spans="1:1" x14ac:dyDescent="0.2">
      <c r="A3001" s="9"/>
    </row>
    <row r="3002" spans="1:1" x14ac:dyDescent="0.2">
      <c r="A3002" s="9"/>
    </row>
    <row r="3003" spans="1:1" x14ac:dyDescent="0.2">
      <c r="A3003" s="9"/>
    </row>
    <row r="3004" spans="1:1" x14ac:dyDescent="0.2">
      <c r="A3004" s="9"/>
    </row>
    <row r="3005" spans="1:1" x14ac:dyDescent="0.2">
      <c r="A3005" s="9"/>
    </row>
    <row r="3006" spans="1:1" x14ac:dyDescent="0.2">
      <c r="A3006" s="9"/>
    </row>
    <row r="3007" spans="1:1" x14ac:dyDescent="0.2">
      <c r="A3007" s="9"/>
    </row>
    <row r="3008" spans="1:1" x14ac:dyDescent="0.2">
      <c r="A3008" s="9"/>
    </row>
    <row r="3009" spans="1:1" x14ac:dyDescent="0.2">
      <c r="A3009" s="9"/>
    </row>
    <row r="3010" spans="1:1" x14ac:dyDescent="0.2">
      <c r="A3010" s="9"/>
    </row>
    <row r="3011" spans="1:1" x14ac:dyDescent="0.2">
      <c r="A3011" s="9"/>
    </row>
    <row r="3012" spans="1:1" x14ac:dyDescent="0.2">
      <c r="A3012" s="9"/>
    </row>
    <row r="3013" spans="1:1" x14ac:dyDescent="0.2">
      <c r="A3013" s="9"/>
    </row>
    <row r="3014" spans="1:1" x14ac:dyDescent="0.2">
      <c r="A3014" s="9"/>
    </row>
    <row r="3015" spans="1:1" x14ac:dyDescent="0.2">
      <c r="A3015" s="9"/>
    </row>
    <row r="3016" spans="1:1" x14ac:dyDescent="0.2">
      <c r="A3016" s="9"/>
    </row>
    <row r="3017" spans="1:1" x14ac:dyDescent="0.2">
      <c r="A3017" s="9"/>
    </row>
    <row r="3018" spans="1:1" x14ac:dyDescent="0.2">
      <c r="A3018" s="9"/>
    </row>
    <row r="3019" spans="1:1" x14ac:dyDescent="0.2">
      <c r="A3019" s="9"/>
    </row>
    <row r="3020" spans="1:1" x14ac:dyDescent="0.2">
      <c r="A3020" s="9"/>
    </row>
    <row r="3021" spans="1:1" x14ac:dyDescent="0.2">
      <c r="A3021" s="9"/>
    </row>
    <row r="3022" spans="1:1" x14ac:dyDescent="0.2">
      <c r="A3022" s="9"/>
    </row>
    <row r="3023" spans="1:1" x14ac:dyDescent="0.2">
      <c r="A3023" s="9"/>
    </row>
    <row r="3024" spans="1:1" x14ac:dyDescent="0.2">
      <c r="A3024" s="9"/>
    </row>
    <row r="3025" spans="1:1" x14ac:dyDescent="0.2">
      <c r="A3025" s="9"/>
    </row>
    <row r="3026" spans="1:1" x14ac:dyDescent="0.2">
      <c r="A3026" s="9"/>
    </row>
    <row r="3027" spans="1:1" x14ac:dyDescent="0.2">
      <c r="A3027" s="9"/>
    </row>
    <row r="3028" spans="1:1" x14ac:dyDescent="0.2">
      <c r="A3028" s="9"/>
    </row>
    <row r="3029" spans="1:1" x14ac:dyDescent="0.2">
      <c r="A3029" s="9"/>
    </row>
    <row r="3030" spans="1:1" x14ac:dyDescent="0.2">
      <c r="A3030" s="9"/>
    </row>
    <row r="3031" spans="1:1" x14ac:dyDescent="0.2">
      <c r="A3031" s="9"/>
    </row>
    <row r="3032" spans="1:1" x14ac:dyDescent="0.2">
      <c r="A3032" s="9"/>
    </row>
    <row r="3033" spans="1:1" x14ac:dyDescent="0.2">
      <c r="A3033" s="9"/>
    </row>
    <row r="3034" spans="1:1" x14ac:dyDescent="0.2">
      <c r="A3034" s="9"/>
    </row>
    <row r="3035" spans="1:1" x14ac:dyDescent="0.2">
      <c r="A3035" s="9"/>
    </row>
    <row r="3036" spans="1:1" x14ac:dyDescent="0.2">
      <c r="A3036" s="9"/>
    </row>
    <row r="3037" spans="1:1" x14ac:dyDescent="0.2">
      <c r="A3037" s="9"/>
    </row>
    <row r="3038" spans="1:1" x14ac:dyDescent="0.2">
      <c r="A3038" s="9"/>
    </row>
    <row r="3039" spans="1:1" x14ac:dyDescent="0.2">
      <c r="A3039" s="9"/>
    </row>
    <row r="3040" spans="1:1" x14ac:dyDescent="0.2">
      <c r="A3040" s="9"/>
    </row>
    <row r="3041" spans="1:1" x14ac:dyDescent="0.2">
      <c r="A3041" s="9"/>
    </row>
    <row r="3042" spans="1:1" x14ac:dyDescent="0.2">
      <c r="A3042" s="9"/>
    </row>
    <row r="3043" spans="1:1" x14ac:dyDescent="0.2">
      <c r="A3043" s="9"/>
    </row>
    <row r="3044" spans="1:1" x14ac:dyDescent="0.2">
      <c r="A3044" s="9"/>
    </row>
    <row r="3045" spans="1:1" x14ac:dyDescent="0.2">
      <c r="A3045" s="9"/>
    </row>
    <row r="3046" spans="1:1" x14ac:dyDescent="0.2">
      <c r="A3046" s="9"/>
    </row>
    <row r="3047" spans="1:1" x14ac:dyDescent="0.2">
      <c r="A3047" s="9"/>
    </row>
    <row r="3048" spans="1:1" x14ac:dyDescent="0.2">
      <c r="A3048" s="9"/>
    </row>
    <row r="3049" spans="1:1" x14ac:dyDescent="0.2">
      <c r="A3049" s="9"/>
    </row>
    <row r="3050" spans="1:1" x14ac:dyDescent="0.2">
      <c r="A3050" s="9"/>
    </row>
    <row r="3051" spans="1:1" x14ac:dyDescent="0.2">
      <c r="A3051" s="9"/>
    </row>
    <row r="3052" spans="1:1" x14ac:dyDescent="0.2">
      <c r="A3052" s="9"/>
    </row>
    <row r="3053" spans="1:1" x14ac:dyDescent="0.2">
      <c r="A3053" s="9"/>
    </row>
    <row r="3054" spans="1:1" x14ac:dyDescent="0.2">
      <c r="A3054" s="9"/>
    </row>
    <row r="3055" spans="1:1" x14ac:dyDescent="0.2">
      <c r="A3055" s="9"/>
    </row>
    <row r="3056" spans="1:1" x14ac:dyDescent="0.2">
      <c r="A3056" s="9"/>
    </row>
    <row r="3057" spans="1:1" x14ac:dyDescent="0.2">
      <c r="A3057" s="9"/>
    </row>
    <row r="3058" spans="1:1" x14ac:dyDescent="0.2">
      <c r="A3058" s="9"/>
    </row>
    <row r="3059" spans="1:1" x14ac:dyDescent="0.2">
      <c r="A3059" s="9"/>
    </row>
    <row r="3060" spans="1:1" x14ac:dyDescent="0.2">
      <c r="A3060" s="9"/>
    </row>
    <row r="3061" spans="1:1" x14ac:dyDescent="0.2">
      <c r="A3061" s="9"/>
    </row>
    <row r="3062" spans="1:1" x14ac:dyDescent="0.2">
      <c r="A3062" s="9"/>
    </row>
    <row r="3063" spans="1:1" x14ac:dyDescent="0.2">
      <c r="A3063" s="9"/>
    </row>
    <row r="3064" spans="1:1" x14ac:dyDescent="0.2">
      <c r="A3064" s="9"/>
    </row>
    <row r="3065" spans="1:1" x14ac:dyDescent="0.2">
      <c r="A3065" s="9"/>
    </row>
    <row r="3066" spans="1:1" x14ac:dyDescent="0.2">
      <c r="A3066" s="9"/>
    </row>
    <row r="3067" spans="1:1" x14ac:dyDescent="0.2">
      <c r="A3067" s="9"/>
    </row>
    <row r="3068" spans="1:1" x14ac:dyDescent="0.2">
      <c r="A3068" s="9"/>
    </row>
    <row r="3069" spans="1:1" x14ac:dyDescent="0.2">
      <c r="A3069" s="9"/>
    </row>
    <row r="3070" spans="1:1" x14ac:dyDescent="0.2">
      <c r="A3070" s="9"/>
    </row>
    <row r="3071" spans="1:1" x14ac:dyDescent="0.2">
      <c r="A3071" s="9"/>
    </row>
    <row r="3072" spans="1:1" x14ac:dyDescent="0.2">
      <c r="A3072" s="9"/>
    </row>
    <row r="3073" spans="1:1" x14ac:dyDescent="0.2">
      <c r="A3073" s="9"/>
    </row>
    <row r="3074" spans="1:1" x14ac:dyDescent="0.2">
      <c r="A3074" s="9"/>
    </row>
    <row r="3075" spans="1:1" x14ac:dyDescent="0.2">
      <c r="A3075" s="9"/>
    </row>
    <row r="3076" spans="1:1" x14ac:dyDescent="0.2">
      <c r="A3076" s="9"/>
    </row>
    <row r="3077" spans="1:1" x14ac:dyDescent="0.2">
      <c r="A3077" s="9"/>
    </row>
    <row r="3078" spans="1:1" x14ac:dyDescent="0.2">
      <c r="A3078" s="9"/>
    </row>
    <row r="3079" spans="1:1" x14ac:dyDescent="0.2">
      <c r="A3079" s="9"/>
    </row>
    <row r="3080" spans="1:1" x14ac:dyDescent="0.2">
      <c r="A3080" s="9"/>
    </row>
    <row r="3081" spans="1:1" x14ac:dyDescent="0.2">
      <c r="A3081" s="9"/>
    </row>
    <row r="3082" spans="1:1" x14ac:dyDescent="0.2">
      <c r="A3082" s="9"/>
    </row>
    <row r="3083" spans="1:1" x14ac:dyDescent="0.2">
      <c r="A3083" s="9"/>
    </row>
    <row r="3084" spans="1:1" x14ac:dyDescent="0.2">
      <c r="A3084" s="9"/>
    </row>
    <row r="3085" spans="1:1" x14ac:dyDescent="0.2">
      <c r="A3085" s="9"/>
    </row>
    <row r="3086" spans="1:1" x14ac:dyDescent="0.2">
      <c r="A3086" s="9"/>
    </row>
    <row r="3087" spans="1:1" x14ac:dyDescent="0.2">
      <c r="A3087" s="9"/>
    </row>
    <row r="3088" spans="1:1" x14ac:dyDescent="0.2">
      <c r="A3088" s="9"/>
    </row>
    <row r="3089" spans="1:1" x14ac:dyDescent="0.2">
      <c r="A3089" s="9"/>
    </row>
    <row r="3090" spans="1:1" x14ac:dyDescent="0.2">
      <c r="A3090" s="9"/>
    </row>
    <row r="3091" spans="1:1" x14ac:dyDescent="0.2">
      <c r="A3091" s="9"/>
    </row>
    <row r="3092" spans="1:1" x14ac:dyDescent="0.2">
      <c r="A3092" s="9"/>
    </row>
    <row r="3093" spans="1:1" x14ac:dyDescent="0.2">
      <c r="A3093" s="9"/>
    </row>
    <row r="3094" spans="1:1" x14ac:dyDescent="0.2">
      <c r="A3094" s="9"/>
    </row>
    <row r="3095" spans="1:1" x14ac:dyDescent="0.2">
      <c r="A3095" s="9"/>
    </row>
    <row r="3096" spans="1:1" x14ac:dyDescent="0.2">
      <c r="A3096" s="9"/>
    </row>
    <row r="3097" spans="1:1" x14ac:dyDescent="0.2">
      <c r="A3097" s="9"/>
    </row>
    <row r="3098" spans="1:1" x14ac:dyDescent="0.2">
      <c r="A3098" s="9"/>
    </row>
    <row r="3099" spans="1:1" x14ac:dyDescent="0.2">
      <c r="A3099" s="9"/>
    </row>
    <row r="3100" spans="1:1" x14ac:dyDescent="0.2">
      <c r="A3100" s="9"/>
    </row>
    <row r="3101" spans="1:1" x14ac:dyDescent="0.2">
      <c r="A3101" s="9"/>
    </row>
    <row r="3102" spans="1:1" x14ac:dyDescent="0.2">
      <c r="A3102" s="9"/>
    </row>
    <row r="3103" spans="1:1" x14ac:dyDescent="0.2">
      <c r="A3103" s="9"/>
    </row>
    <row r="3104" spans="1:1" x14ac:dyDescent="0.2">
      <c r="A3104" s="9"/>
    </row>
    <row r="3105" spans="1:1" x14ac:dyDescent="0.2">
      <c r="A3105" s="9"/>
    </row>
    <row r="3106" spans="1:1" x14ac:dyDescent="0.2">
      <c r="A3106" s="9"/>
    </row>
    <row r="3107" spans="1:1" x14ac:dyDescent="0.2">
      <c r="A3107" s="9"/>
    </row>
    <row r="3108" spans="1:1" x14ac:dyDescent="0.2">
      <c r="A3108" s="9"/>
    </row>
    <row r="3109" spans="1:1" x14ac:dyDescent="0.2">
      <c r="A3109" s="9"/>
    </row>
    <row r="3110" spans="1:1" x14ac:dyDescent="0.2">
      <c r="A3110" s="9"/>
    </row>
    <row r="3111" spans="1:1" x14ac:dyDescent="0.2">
      <c r="A3111" s="9"/>
    </row>
    <row r="3112" spans="1:1" x14ac:dyDescent="0.2">
      <c r="A3112" s="9"/>
    </row>
    <row r="3113" spans="1:1" x14ac:dyDescent="0.2">
      <c r="A3113" s="9"/>
    </row>
    <row r="3114" spans="1:1" x14ac:dyDescent="0.2">
      <c r="A3114" s="9"/>
    </row>
    <row r="3115" spans="1:1" x14ac:dyDescent="0.2">
      <c r="A3115" s="9"/>
    </row>
    <row r="3116" spans="1:1" x14ac:dyDescent="0.2">
      <c r="A3116" s="9"/>
    </row>
    <row r="3117" spans="1:1" x14ac:dyDescent="0.2">
      <c r="A3117" s="9"/>
    </row>
    <row r="3118" spans="1:1" x14ac:dyDescent="0.2">
      <c r="A3118" s="9"/>
    </row>
    <row r="3119" spans="1:1" x14ac:dyDescent="0.2">
      <c r="A3119" s="9"/>
    </row>
    <row r="3120" spans="1:1" x14ac:dyDescent="0.2">
      <c r="A3120" s="9"/>
    </row>
    <row r="3121" spans="1:1" x14ac:dyDescent="0.2">
      <c r="A3121" s="9"/>
    </row>
    <row r="3122" spans="1:1" x14ac:dyDescent="0.2">
      <c r="A3122" s="9"/>
    </row>
    <row r="3123" spans="1:1" x14ac:dyDescent="0.2">
      <c r="A3123" s="9"/>
    </row>
    <row r="3124" spans="1:1" x14ac:dyDescent="0.2">
      <c r="A3124" s="9"/>
    </row>
    <row r="3125" spans="1:1" x14ac:dyDescent="0.2">
      <c r="A3125" s="9"/>
    </row>
    <row r="3126" spans="1:1" x14ac:dyDescent="0.2">
      <c r="A3126" s="9"/>
    </row>
    <row r="3127" spans="1:1" x14ac:dyDescent="0.2">
      <c r="A3127" s="9"/>
    </row>
    <row r="3128" spans="1:1" x14ac:dyDescent="0.2">
      <c r="A3128" s="9"/>
    </row>
    <row r="3129" spans="1:1" x14ac:dyDescent="0.2">
      <c r="A3129" s="9"/>
    </row>
    <row r="3130" spans="1:1" x14ac:dyDescent="0.2">
      <c r="A3130" s="9"/>
    </row>
    <row r="3131" spans="1:1" x14ac:dyDescent="0.2">
      <c r="A3131" s="9"/>
    </row>
    <row r="3132" spans="1:1" x14ac:dyDescent="0.2">
      <c r="A3132" s="9"/>
    </row>
    <row r="3133" spans="1:1" x14ac:dyDescent="0.2">
      <c r="A3133" s="9"/>
    </row>
    <row r="3134" spans="1:1" x14ac:dyDescent="0.2">
      <c r="A3134" s="9"/>
    </row>
    <row r="3135" spans="1:1" x14ac:dyDescent="0.2">
      <c r="A3135" s="9"/>
    </row>
    <row r="3136" spans="1:1" x14ac:dyDescent="0.2">
      <c r="A3136" s="9"/>
    </row>
    <row r="3137" spans="1:1" x14ac:dyDescent="0.2">
      <c r="A3137" s="9"/>
    </row>
    <row r="3138" spans="1:1" x14ac:dyDescent="0.2">
      <c r="A3138" s="9"/>
    </row>
    <row r="3139" spans="1:1" x14ac:dyDescent="0.2">
      <c r="A3139" s="9"/>
    </row>
    <row r="3140" spans="1:1" x14ac:dyDescent="0.2">
      <c r="A3140" s="9"/>
    </row>
    <row r="3141" spans="1:1" x14ac:dyDescent="0.2">
      <c r="A3141" s="9"/>
    </row>
    <row r="3142" spans="1:1" x14ac:dyDescent="0.2">
      <c r="A3142" s="9"/>
    </row>
    <row r="3143" spans="1:1" x14ac:dyDescent="0.2">
      <c r="A3143" s="9"/>
    </row>
    <row r="3144" spans="1:1" x14ac:dyDescent="0.2">
      <c r="A3144" s="9"/>
    </row>
    <row r="3145" spans="1:1" x14ac:dyDescent="0.2">
      <c r="A3145" s="9"/>
    </row>
    <row r="3146" spans="1:1" x14ac:dyDescent="0.2">
      <c r="A3146" s="9"/>
    </row>
    <row r="3147" spans="1:1" x14ac:dyDescent="0.2">
      <c r="A3147" s="9"/>
    </row>
    <row r="3148" spans="1:1" x14ac:dyDescent="0.2">
      <c r="A3148" s="9"/>
    </row>
    <row r="3149" spans="1:1" x14ac:dyDescent="0.2">
      <c r="A3149" s="9"/>
    </row>
    <row r="3150" spans="1:1" x14ac:dyDescent="0.2">
      <c r="A3150" s="9"/>
    </row>
    <row r="3151" spans="1:1" x14ac:dyDescent="0.2">
      <c r="A3151" s="9"/>
    </row>
    <row r="3152" spans="1:1" x14ac:dyDescent="0.2">
      <c r="A3152" s="9"/>
    </row>
    <row r="3153" spans="1:1" x14ac:dyDescent="0.2">
      <c r="A3153" s="9"/>
    </row>
    <row r="3154" spans="1:1" x14ac:dyDescent="0.2">
      <c r="A3154" s="9"/>
    </row>
    <row r="3155" spans="1:1" x14ac:dyDescent="0.2">
      <c r="A3155" s="9"/>
    </row>
    <row r="3156" spans="1:1" x14ac:dyDescent="0.2">
      <c r="A3156" s="9"/>
    </row>
    <row r="3157" spans="1:1" x14ac:dyDescent="0.2">
      <c r="A3157" s="9"/>
    </row>
    <row r="3158" spans="1:1" x14ac:dyDescent="0.2">
      <c r="A3158" s="9"/>
    </row>
    <row r="3159" spans="1:1" x14ac:dyDescent="0.2">
      <c r="A3159" s="9"/>
    </row>
    <row r="3160" spans="1:1" x14ac:dyDescent="0.2">
      <c r="A3160" s="9"/>
    </row>
    <row r="3161" spans="1:1" x14ac:dyDescent="0.2">
      <c r="A3161" s="9"/>
    </row>
    <row r="3162" spans="1:1" x14ac:dyDescent="0.2">
      <c r="A3162" s="9"/>
    </row>
    <row r="3163" spans="1:1" x14ac:dyDescent="0.2">
      <c r="A3163" s="9"/>
    </row>
    <row r="3164" spans="1:1" x14ac:dyDescent="0.2">
      <c r="A3164" s="9"/>
    </row>
    <row r="3165" spans="1:1" x14ac:dyDescent="0.2">
      <c r="A3165" s="9"/>
    </row>
    <row r="3166" spans="1:1" x14ac:dyDescent="0.2">
      <c r="A3166" s="9"/>
    </row>
    <row r="3167" spans="1:1" x14ac:dyDescent="0.2">
      <c r="A3167" s="9"/>
    </row>
    <row r="3168" spans="1:1" x14ac:dyDescent="0.2">
      <c r="A3168" s="9"/>
    </row>
    <row r="3169" spans="1:1" x14ac:dyDescent="0.2">
      <c r="A3169" s="9"/>
    </row>
    <row r="3170" spans="1:1" x14ac:dyDescent="0.2">
      <c r="A3170" s="9"/>
    </row>
    <row r="3171" spans="1:1" x14ac:dyDescent="0.2">
      <c r="A3171" s="9"/>
    </row>
    <row r="3172" spans="1:1" x14ac:dyDescent="0.2">
      <c r="A3172" s="9"/>
    </row>
    <row r="3173" spans="1:1" x14ac:dyDescent="0.2">
      <c r="A3173" s="9"/>
    </row>
    <row r="3174" spans="1:1" x14ac:dyDescent="0.2">
      <c r="A3174" s="9"/>
    </row>
    <row r="3175" spans="1:1" x14ac:dyDescent="0.2">
      <c r="A3175" s="9"/>
    </row>
    <row r="3176" spans="1:1" x14ac:dyDescent="0.2">
      <c r="A3176" s="9"/>
    </row>
    <row r="3177" spans="1:1" x14ac:dyDescent="0.2">
      <c r="A3177" s="9"/>
    </row>
    <row r="3178" spans="1:1" x14ac:dyDescent="0.2">
      <c r="A3178" s="9"/>
    </row>
    <row r="3179" spans="1:1" x14ac:dyDescent="0.2">
      <c r="A3179" s="9"/>
    </row>
    <row r="3180" spans="1:1" x14ac:dyDescent="0.2">
      <c r="A3180" s="9"/>
    </row>
    <row r="3181" spans="1:1" x14ac:dyDescent="0.2">
      <c r="A3181" s="9"/>
    </row>
    <row r="3182" spans="1:1" x14ac:dyDescent="0.2">
      <c r="A3182" s="9"/>
    </row>
    <row r="3183" spans="1:1" x14ac:dyDescent="0.2">
      <c r="A3183" s="9"/>
    </row>
    <row r="3184" spans="1:1" x14ac:dyDescent="0.2">
      <c r="A3184" s="9"/>
    </row>
    <row r="3185" spans="1:1" x14ac:dyDescent="0.2">
      <c r="A3185" s="9"/>
    </row>
    <row r="3186" spans="1:1" x14ac:dyDescent="0.2">
      <c r="A3186" s="9"/>
    </row>
    <row r="3187" spans="1:1" x14ac:dyDescent="0.2">
      <c r="A3187" s="9"/>
    </row>
    <row r="3188" spans="1:1" x14ac:dyDescent="0.2">
      <c r="A3188" s="9"/>
    </row>
    <row r="3189" spans="1:1" x14ac:dyDescent="0.2">
      <c r="A3189" s="9"/>
    </row>
    <row r="3190" spans="1:1" x14ac:dyDescent="0.2">
      <c r="A3190" s="9"/>
    </row>
    <row r="3191" spans="1:1" x14ac:dyDescent="0.2">
      <c r="A3191" s="9"/>
    </row>
    <row r="3192" spans="1:1" x14ac:dyDescent="0.2">
      <c r="A3192" s="9"/>
    </row>
    <row r="3193" spans="1:1" x14ac:dyDescent="0.2">
      <c r="A3193" s="9"/>
    </row>
    <row r="3194" spans="1:1" x14ac:dyDescent="0.2">
      <c r="A3194" s="9"/>
    </row>
    <row r="3195" spans="1:1" x14ac:dyDescent="0.2">
      <c r="A3195" s="9"/>
    </row>
    <row r="3196" spans="1:1" x14ac:dyDescent="0.2">
      <c r="A3196" s="9"/>
    </row>
    <row r="3197" spans="1:1" x14ac:dyDescent="0.2">
      <c r="A3197" s="9"/>
    </row>
    <row r="3198" spans="1:1" x14ac:dyDescent="0.2">
      <c r="A3198" s="9"/>
    </row>
    <row r="3199" spans="1:1" x14ac:dyDescent="0.2">
      <c r="A3199" s="9"/>
    </row>
    <row r="3200" spans="1:1" x14ac:dyDescent="0.2">
      <c r="A3200" s="9"/>
    </row>
    <row r="3201" spans="1:1" x14ac:dyDescent="0.2">
      <c r="A3201" s="9"/>
    </row>
    <row r="3202" spans="1:1" x14ac:dyDescent="0.2">
      <c r="A3202" s="9"/>
    </row>
    <row r="3203" spans="1:1" x14ac:dyDescent="0.2">
      <c r="A3203" s="9"/>
    </row>
    <row r="3204" spans="1:1" x14ac:dyDescent="0.2">
      <c r="A3204" s="9"/>
    </row>
    <row r="3205" spans="1:1" x14ac:dyDescent="0.2">
      <c r="A3205" s="9"/>
    </row>
    <row r="3206" spans="1:1" x14ac:dyDescent="0.2">
      <c r="A3206" s="9"/>
    </row>
    <row r="3207" spans="1:1" x14ac:dyDescent="0.2">
      <c r="A3207" s="9"/>
    </row>
    <row r="3208" spans="1:1" x14ac:dyDescent="0.2">
      <c r="A3208" s="9"/>
    </row>
    <row r="3209" spans="1:1" x14ac:dyDescent="0.2">
      <c r="A3209" s="9"/>
    </row>
    <row r="3210" spans="1:1" x14ac:dyDescent="0.2">
      <c r="A3210" s="9"/>
    </row>
    <row r="3211" spans="1:1" x14ac:dyDescent="0.2">
      <c r="A3211" s="9"/>
    </row>
    <row r="3212" spans="1:1" x14ac:dyDescent="0.2">
      <c r="A3212" s="9"/>
    </row>
    <row r="3213" spans="1:1" x14ac:dyDescent="0.2">
      <c r="A3213" s="9"/>
    </row>
    <row r="3214" spans="1:1" x14ac:dyDescent="0.2">
      <c r="A3214" s="9"/>
    </row>
    <row r="3215" spans="1:1" x14ac:dyDescent="0.2">
      <c r="A3215" s="9"/>
    </row>
    <row r="3216" spans="1:1" x14ac:dyDescent="0.2">
      <c r="A3216" s="9"/>
    </row>
    <row r="3217" spans="1:1" x14ac:dyDescent="0.2">
      <c r="A3217" s="9"/>
    </row>
    <row r="3218" spans="1:1" x14ac:dyDescent="0.2">
      <c r="A3218" s="9"/>
    </row>
    <row r="3219" spans="1:1" x14ac:dyDescent="0.2">
      <c r="A3219" s="9"/>
    </row>
    <row r="3220" spans="1:1" x14ac:dyDescent="0.2">
      <c r="A3220" s="9"/>
    </row>
    <row r="3221" spans="1:1" x14ac:dyDescent="0.2">
      <c r="A3221" s="9"/>
    </row>
    <row r="3222" spans="1:1" x14ac:dyDescent="0.2">
      <c r="A3222" s="9"/>
    </row>
    <row r="3223" spans="1:1" x14ac:dyDescent="0.2">
      <c r="A3223" s="9"/>
    </row>
    <row r="3224" spans="1:1" x14ac:dyDescent="0.2">
      <c r="A3224" s="9"/>
    </row>
    <row r="3225" spans="1:1" x14ac:dyDescent="0.2">
      <c r="A3225" s="9"/>
    </row>
    <row r="3226" spans="1:1" x14ac:dyDescent="0.2">
      <c r="A3226" s="9"/>
    </row>
    <row r="3227" spans="1:1" x14ac:dyDescent="0.2">
      <c r="A3227" s="9"/>
    </row>
    <row r="3228" spans="1:1" x14ac:dyDescent="0.2">
      <c r="A3228" s="9"/>
    </row>
    <row r="3229" spans="1:1" x14ac:dyDescent="0.2">
      <c r="A3229" s="9"/>
    </row>
    <row r="3230" spans="1:1" x14ac:dyDescent="0.2">
      <c r="A3230" s="9"/>
    </row>
    <row r="3231" spans="1:1" x14ac:dyDescent="0.2">
      <c r="A3231" s="9"/>
    </row>
    <row r="3232" spans="1:1" x14ac:dyDescent="0.2">
      <c r="A3232" s="9"/>
    </row>
    <row r="3233" spans="1:1" x14ac:dyDescent="0.2">
      <c r="A3233" s="9"/>
    </row>
    <row r="3234" spans="1:1" x14ac:dyDescent="0.2">
      <c r="A3234" s="9"/>
    </row>
    <row r="3235" spans="1:1" x14ac:dyDescent="0.2">
      <c r="A3235" s="9"/>
    </row>
    <row r="3236" spans="1:1" x14ac:dyDescent="0.2">
      <c r="A3236" s="9"/>
    </row>
    <row r="3237" spans="1:1" x14ac:dyDescent="0.2">
      <c r="A3237" s="9"/>
    </row>
    <row r="3238" spans="1:1" x14ac:dyDescent="0.2">
      <c r="A3238" s="9"/>
    </row>
    <row r="3239" spans="1:1" x14ac:dyDescent="0.2">
      <c r="A3239" s="9"/>
    </row>
    <row r="3240" spans="1:1" x14ac:dyDescent="0.2">
      <c r="A3240" s="9"/>
    </row>
    <row r="3241" spans="1:1" x14ac:dyDescent="0.2">
      <c r="A3241" s="9"/>
    </row>
    <row r="3242" spans="1:1" x14ac:dyDescent="0.2">
      <c r="A3242" s="9"/>
    </row>
    <row r="3243" spans="1:1" x14ac:dyDescent="0.2">
      <c r="A3243" s="9"/>
    </row>
    <row r="3244" spans="1:1" x14ac:dyDescent="0.2">
      <c r="A3244" s="9"/>
    </row>
    <row r="3245" spans="1:1" x14ac:dyDescent="0.2">
      <c r="A3245" s="9"/>
    </row>
    <row r="3246" spans="1:1" x14ac:dyDescent="0.2">
      <c r="A3246" s="9"/>
    </row>
    <row r="3247" spans="1:1" x14ac:dyDescent="0.2">
      <c r="A3247" s="9"/>
    </row>
    <row r="3248" spans="1:1" x14ac:dyDescent="0.2">
      <c r="A3248" s="9"/>
    </row>
    <row r="3249" spans="1:1" x14ac:dyDescent="0.2">
      <c r="A3249" s="9"/>
    </row>
    <row r="3250" spans="1:1" x14ac:dyDescent="0.2">
      <c r="A3250" s="9"/>
    </row>
    <row r="3251" spans="1:1" x14ac:dyDescent="0.2">
      <c r="A3251" s="9"/>
    </row>
    <row r="3252" spans="1:1" x14ac:dyDescent="0.2">
      <c r="A3252" s="9"/>
    </row>
    <row r="3253" spans="1:1" x14ac:dyDescent="0.2">
      <c r="A3253" s="9"/>
    </row>
    <row r="3254" spans="1:1" x14ac:dyDescent="0.2">
      <c r="A3254" s="9"/>
    </row>
    <row r="3255" spans="1:1" x14ac:dyDescent="0.2">
      <c r="A3255" s="9"/>
    </row>
    <row r="3256" spans="1:1" x14ac:dyDescent="0.2">
      <c r="A3256" s="9"/>
    </row>
    <row r="3257" spans="1:1" x14ac:dyDescent="0.2">
      <c r="A3257" s="9"/>
    </row>
    <row r="3258" spans="1:1" x14ac:dyDescent="0.2">
      <c r="A3258" s="9"/>
    </row>
    <row r="3259" spans="1:1" x14ac:dyDescent="0.2">
      <c r="A3259" s="9"/>
    </row>
    <row r="3260" spans="1:1" x14ac:dyDescent="0.2">
      <c r="A3260" s="9"/>
    </row>
    <row r="3261" spans="1:1" x14ac:dyDescent="0.2">
      <c r="A3261" s="9"/>
    </row>
    <row r="3262" spans="1:1" x14ac:dyDescent="0.2">
      <c r="A3262" s="9"/>
    </row>
    <row r="3263" spans="1:1" x14ac:dyDescent="0.2">
      <c r="A3263" s="9"/>
    </row>
    <row r="3264" spans="1:1" x14ac:dyDescent="0.2">
      <c r="A3264" s="9"/>
    </row>
    <row r="3265" spans="1:1" x14ac:dyDescent="0.2">
      <c r="A3265" s="9"/>
    </row>
    <row r="3266" spans="1:1" x14ac:dyDescent="0.2">
      <c r="A3266" s="9"/>
    </row>
    <row r="3267" spans="1:1" x14ac:dyDescent="0.2">
      <c r="A3267" s="9"/>
    </row>
    <row r="3268" spans="1:1" x14ac:dyDescent="0.2">
      <c r="A3268" s="9"/>
    </row>
    <row r="3269" spans="1:1" x14ac:dyDescent="0.2">
      <c r="A3269" s="9"/>
    </row>
    <row r="3270" spans="1:1" x14ac:dyDescent="0.2">
      <c r="A3270" s="9"/>
    </row>
    <row r="3271" spans="1:1" x14ac:dyDescent="0.2">
      <c r="A3271" s="9"/>
    </row>
    <row r="3272" spans="1:1" x14ac:dyDescent="0.2">
      <c r="A3272" s="9"/>
    </row>
    <row r="3273" spans="1:1" x14ac:dyDescent="0.2">
      <c r="A3273" s="9"/>
    </row>
    <row r="3274" spans="1:1" x14ac:dyDescent="0.2">
      <c r="A3274" s="9"/>
    </row>
    <row r="3275" spans="1:1" x14ac:dyDescent="0.2">
      <c r="A3275" s="9"/>
    </row>
    <row r="3276" spans="1:1" x14ac:dyDescent="0.2">
      <c r="A3276" s="9"/>
    </row>
    <row r="3277" spans="1:1" x14ac:dyDescent="0.2">
      <c r="A3277" s="9"/>
    </row>
    <row r="3278" spans="1:1" x14ac:dyDescent="0.2">
      <c r="A3278" s="9"/>
    </row>
    <row r="3279" spans="1:1" x14ac:dyDescent="0.2">
      <c r="A3279" s="9"/>
    </row>
    <row r="3280" spans="1:1" x14ac:dyDescent="0.2">
      <c r="A3280" s="9"/>
    </row>
    <row r="3281" spans="1:1" x14ac:dyDescent="0.2">
      <c r="A3281" s="9"/>
    </row>
    <row r="3282" spans="1:1" x14ac:dyDescent="0.2">
      <c r="A3282" s="9"/>
    </row>
    <row r="3283" spans="1:1" x14ac:dyDescent="0.2">
      <c r="A3283" s="9"/>
    </row>
    <row r="3284" spans="1:1" x14ac:dyDescent="0.2">
      <c r="A3284" s="9"/>
    </row>
    <row r="3285" spans="1:1" x14ac:dyDescent="0.2">
      <c r="A3285" s="9"/>
    </row>
    <row r="3286" spans="1:1" x14ac:dyDescent="0.2">
      <c r="A3286" s="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6210D-B47B-4A54-B926-22F18E0A1326}">
  <sheetPr codeName="Sheet1">
    <tabColor theme="7" tint="0.79998168889431442"/>
  </sheetPr>
  <dimension ref="A3:Q93"/>
  <sheetViews>
    <sheetView topLeftCell="A13" workbookViewId="0">
      <selection activeCell="H41" sqref="H41"/>
    </sheetView>
  </sheetViews>
  <sheetFormatPr defaultColWidth="9.33203125" defaultRowHeight="15" x14ac:dyDescent="0.25"/>
  <cols>
    <col min="1" max="1" width="22.33203125" style="21" bestFit="1" customWidth="1"/>
    <col min="2" max="2" width="14.5" style="22" bestFit="1" customWidth="1"/>
    <col min="3" max="7" width="15.5" style="21" customWidth="1"/>
    <col min="8" max="9" width="13.33203125" style="21" bestFit="1" customWidth="1"/>
    <col min="10" max="10" width="16.5" style="21" customWidth="1"/>
    <col min="11" max="14" width="14.6640625" style="21" customWidth="1"/>
    <col min="15" max="15" width="14.33203125" style="21" customWidth="1"/>
    <col min="16" max="16" width="12.83203125" style="21" bestFit="1" customWidth="1"/>
    <col min="17" max="17" width="13.1640625" style="21" customWidth="1"/>
    <col min="18" max="16384" width="9.33203125" style="21"/>
  </cols>
  <sheetData>
    <row r="3" spans="1:15" x14ac:dyDescent="0.25">
      <c r="A3" s="21" t="s">
        <v>48</v>
      </c>
      <c r="B3" s="22" t="s">
        <v>49</v>
      </c>
      <c r="C3" s="21" t="s">
        <v>29</v>
      </c>
      <c r="D3" s="21" t="s">
        <v>39</v>
      </c>
      <c r="E3" s="21" t="s">
        <v>40</v>
      </c>
      <c r="F3" s="21" t="s">
        <v>41</v>
      </c>
      <c r="G3" s="21" t="s">
        <v>42</v>
      </c>
    </row>
    <row r="4" spans="1:15" x14ac:dyDescent="0.25">
      <c r="C4" s="23"/>
      <c r="D4" s="23"/>
      <c r="E4" s="23"/>
      <c r="F4" s="23"/>
      <c r="G4" s="23"/>
      <c r="H4" s="79"/>
    </row>
    <row r="5" spans="1:15" x14ac:dyDescent="0.25">
      <c r="A5" s="21">
        <v>2015</v>
      </c>
      <c r="B5" s="24">
        <v>2015</v>
      </c>
      <c r="C5" s="23">
        <v>3782028.5144120455</v>
      </c>
      <c r="D5" s="23">
        <v>3945560.9642194393</v>
      </c>
      <c r="E5" s="23">
        <v>7139545.6925710188</v>
      </c>
      <c r="F5" s="23">
        <v>0</v>
      </c>
      <c r="G5" s="23">
        <v>0</v>
      </c>
      <c r="H5" s="79">
        <f>SUM(C5:G5)</f>
        <v>14867135.171202503</v>
      </c>
      <c r="J5" s="21" t="s">
        <v>29</v>
      </c>
      <c r="K5" s="21" t="s">
        <v>39</v>
      </c>
      <c r="L5" s="21" t="s">
        <v>40</v>
      </c>
      <c r="M5" s="21" t="s">
        <v>41</v>
      </c>
      <c r="N5" s="21" t="s">
        <v>42</v>
      </c>
    </row>
    <row r="6" spans="1:15" x14ac:dyDescent="0.25">
      <c r="B6" s="24">
        <v>2016</v>
      </c>
      <c r="C6" s="23">
        <v>3730628.3007262293</v>
      </c>
      <c r="D6" s="23">
        <v>3945565.6030782573</v>
      </c>
      <c r="E6" s="23">
        <v>7139583.6733974852</v>
      </c>
      <c r="F6" s="23">
        <v>0</v>
      </c>
      <c r="G6" s="23">
        <v>0</v>
      </c>
      <c r="H6" s="79">
        <f>SUM(C6:G6)</f>
        <v>14815777.577201972</v>
      </c>
    </row>
    <row r="7" spans="1:15" x14ac:dyDescent="0.25">
      <c r="B7" s="22">
        <v>2017</v>
      </c>
      <c r="C7" s="23">
        <v>3727477.0870404132</v>
      </c>
      <c r="D7" s="23">
        <v>3924895.120463571</v>
      </c>
      <c r="E7" s="23">
        <v>7160298.7756974585</v>
      </c>
      <c r="F7" s="23">
        <v>0</v>
      </c>
      <c r="G7" s="23">
        <v>0</v>
      </c>
      <c r="H7" s="79">
        <f>SUM(C7:G7)</f>
        <v>14812670.983201442</v>
      </c>
      <c r="I7" s="21">
        <v>2015</v>
      </c>
      <c r="J7" s="23">
        <f t="shared" ref="J7:J18" si="0">SUMIFS(C:C,$B:$B,$I7)-SUMIFS(C:C,$A:$A,$I7)/2</f>
        <v>1891014.2572060227</v>
      </c>
      <c r="K7" s="23">
        <f t="shared" ref="K7:K18" si="1">SUMIFS(D:D,$B:$B,$I7)-SUMIFS(D:D,$A:$A,$I7)/2</f>
        <v>1972780.4821097197</v>
      </c>
      <c r="L7" s="23">
        <f t="shared" ref="L7:L18" si="2">SUMIFS(E:E,$B:$B,$I7)-SUMIFS(E:E,$A:$A,$I7)/2</f>
        <v>3569772.8462855094</v>
      </c>
      <c r="M7" s="23">
        <f t="shared" ref="M7:M18" si="3">SUMIFS(F:F,$B:$B,$I7)-SUMIFS(F:F,$A:$A,$I7)/2</f>
        <v>0</v>
      </c>
      <c r="N7" s="23">
        <f t="shared" ref="N7:N18" si="4">SUMIFS(G:G,$B:$B,$I7)-SUMIFS(G:G,$A:$A,$I7)/2</f>
        <v>0</v>
      </c>
      <c r="O7" s="79">
        <f t="shared" ref="O7:O18" si="5">SUM(J7:N7)</f>
        <v>7433567.5856012516</v>
      </c>
    </row>
    <row r="8" spans="1:15" x14ac:dyDescent="0.25">
      <c r="B8" s="24">
        <v>2018</v>
      </c>
      <c r="C8" s="23">
        <v>3725378.873354597</v>
      </c>
      <c r="D8" s="23">
        <v>3918917.804297009</v>
      </c>
      <c r="E8" s="23">
        <v>7164490.7115493063</v>
      </c>
      <c r="F8" s="23">
        <v>0</v>
      </c>
      <c r="G8" s="23">
        <v>0</v>
      </c>
      <c r="H8" s="79">
        <f t="shared" ref="H8:H39" si="6">SUM(C8:G8)</f>
        <v>14808787.389200913</v>
      </c>
      <c r="I8" s="21">
        <v>2016</v>
      </c>
      <c r="J8" s="23">
        <f t="shared" si="0"/>
        <v>7621480.657536231</v>
      </c>
      <c r="K8" s="23">
        <f t="shared" si="1"/>
        <v>4979764.0176311322</v>
      </c>
      <c r="L8" s="23">
        <f t="shared" si="2"/>
        <v>11994112.282067642</v>
      </c>
      <c r="M8" s="23">
        <f t="shared" si="3"/>
        <v>0</v>
      </c>
      <c r="N8" s="23">
        <f t="shared" si="4"/>
        <v>0</v>
      </c>
      <c r="O8" s="79">
        <f t="shared" si="5"/>
        <v>24595356.957235005</v>
      </c>
    </row>
    <row r="9" spans="1:15" x14ac:dyDescent="0.25">
      <c r="B9" s="24">
        <v>2019</v>
      </c>
      <c r="C9" s="23">
        <v>3711017.6596687809</v>
      </c>
      <c r="D9" s="23">
        <v>3918922.443155827</v>
      </c>
      <c r="E9" s="23">
        <v>7164528.6923757736</v>
      </c>
      <c r="F9" s="23">
        <v>0</v>
      </c>
      <c r="G9" s="23">
        <v>0</v>
      </c>
      <c r="H9" s="79">
        <f t="shared" si="6"/>
        <v>14794468.795200381</v>
      </c>
      <c r="I9" s="21">
        <v>2017</v>
      </c>
      <c r="J9" s="23">
        <f t="shared" si="0"/>
        <v>21666660.886670318</v>
      </c>
      <c r="K9" s="23">
        <f t="shared" si="1"/>
        <v>6947328.4542513434</v>
      </c>
      <c r="L9" s="23">
        <f t="shared" si="2"/>
        <v>20636183.241984829</v>
      </c>
      <c r="M9" s="23">
        <f t="shared" si="3"/>
        <v>0</v>
      </c>
      <c r="N9" s="23">
        <f t="shared" si="4"/>
        <v>2191341.94</v>
      </c>
      <c r="O9" s="79">
        <f t="shared" si="5"/>
        <v>51441514.52290649</v>
      </c>
    </row>
    <row r="10" spans="1:15" x14ac:dyDescent="0.25">
      <c r="B10" s="22">
        <v>2020</v>
      </c>
      <c r="C10" s="23">
        <v>3695040.4459829647</v>
      </c>
      <c r="D10" s="23">
        <v>3857733.5350990603</v>
      </c>
      <c r="E10" s="23">
        <v>7072343.2201178269</v>
      </c>
      <c r="F10" s="23">
        <v>0</v>
      </c>
      <c r="G10" s="23">
        <v>0</v>
      </c>
      <c r="H10" s="79">
        <f t="shared" si="6"/>
        <v>14625117.201199852</v>
      </c>
      <c r="I10" s="21">
        <v>2018</v>
      </c>
      <c r="J10" s="72">
        <f t="shared" si="0"/>
        <v>29652646.376723751</v>
      </c>
      <c r="K10" s="72">
        <f t="shared" si="1"/>
        <v>9419590.0386150163</v>
      </c>
      <c r="L10" s="72">
        <f t="shared" si="2"/>
        <v>28000905.70787251</v>
      </c>
      <c r="M10" s="72">
        <f t="shared" si="3"/>
        <v>0</v>
      </c>
      <c r="N10" s="72">
        <f t="shared" si="4"/>
        <v>5263381.38</v>
      </c>
      <c r="O10" s="79">
        <f t="shared" si="5"/>
        <v>72336523.503211275</v>
      </c>
    </row>
    <row r="11" spans="1:15" x14ac:dyDescent="0.25">
      <c r="B11" s="22">
        <v>2021</v>
      </c>
      <c r="C11" s="23">
        <v>3691813.2322971486</v>
      </c>
      <c r="D11" s="23">
        <v>3787093.1493842178</v>
      </c>
      <c r="E11" s="23">
        <v>7143027.2255179565</v>
      </c>
      <c r="F11" s="23">
        <v>0</v>
      </c>
      <c r="G11" s="23">
        <v>0</v>
      </c>
      <c r="H11" s="79">
        <f t="shared" si="6"/>
        <v>14621933.607199322</v>
      </c>
      <c r="I11" s="21">
        <v>2019</v>
      </c>
      <c r="J11" s="23">
        <f t="shared" si="0"/>
        <v>31473060.837847497</v>
      </c>
      <c r="K11" s="23">
        <f t="shared" si="1"/>
        <v>11500521.013404086</v>
      </c>
      <c r="L11" s="23">
        <f t="shared" si="2"/>
        <v>33676293.340903275</v>
      </c>
      <c r="M11" s="23">
        <f t="shared" si="3"/>
        <v>0</v>
      </c>
      <c r="N11" s="23">
        <f t="shared" si="4"/>
        <v>6144078.8799999999</v>
      </c>
      <c r="O11" s="79">
        <f t="shared" si="5"/>
        <v>82793954.07215485</v>
      </c>
    </row>
    <row r="12" spans="1:15" x14ac:dyDescent="0.25">
      <c r="B12" s="24">
        <v>2022</v>
      </c>
      <c r="C12" s="23">
        <v>3690491.0186113324</v>
      </c>
      <c r="D12" s="23">
        <v>3787097.7882430363</v>
      </c>
      <c r="E12" s="23">
        <v>7143065.2063444238</v>
      </c>
      <c r="F12" s="23"/>
      <c r="G12" s="23"/>
      <c r="H12" s="79">
        <f t="shared" si="6"/>
        <v>14620654.013198793</v>
      </c>
      <c r="I12" s="21">
        <v>2020</v>
      </c>
      <c r="J12" s="23">
        <f t="shared" si="0"/>
        <v>31460656.625149351</v>
      </c>
      <c r="K12" s="23">
        <f t="shared" si="1"/>
        <v>12081676.783982038</v>
      </c>
      <c r="L12" s="23">
        <f t="shared" si="2"/>
        <v>36581938.515852936</v>
      </c>
      <c r="M12" s="23">
        <f t="shared" si="3"/>
        <v>0</v>
      </c>
      <c r="N12" s="23">
        <f t="shared" si="4"/>
        <v>6144078.8799999999</v>
      </c>
      <c r="O12" s="79">
        <f t="shared" si="5"/>
        <v>86268350.804984331</v>
      </c>
    </row>
    <row r="13" spans="1:15" x14ac:dyDescent="0.25">
      <c r="B13" s="22">
        <v>2023</v>
      </c>
      <c r="C13" s="23">
        <v>3661755.8049255162</v>
      </c>
      <c r="D13" s="23">
        <v>3723674.100990375</v>
      </c>
      <c r="E13" s="23">
        <v>7138240.5132823708</v>
      </c>
      <c r="F13" s="23"/>
      <c r="G13" s="23"/>
      <c r="H13" s="79">
        <f t="shared" si="6"/>
        <v>14523670.419198263</v>
      </c>
      <c r="I13" s="21">
        <v>2021</v>
      </c>
      <c r="J13" s="72">
        <f t="shared" si="0"/>
        <v>31501292.225126073</v>
      </c>
      <c r="K13" s="72">
        <f t="shared" si="1"/>
        <v>12501503.838213963</v>
      </c>
      <c r="L13" s="72">
        <f t="shared" si="2"/>
        <v>39758301.191827103</v>
      </c>
      <c r="M13" s="72">
        <f t="shared" si="3"/>
        <v>0</v>
      </c>
      <c r="N13" s="72">
        <f t="shared" si="4"/>
        <v>6144078.8799999999</v>
      </c>
      <c r="O13" s="79">
        <f t="shared" si="5"/>
        <v>89905176.135167137</v>
      </c>
    </row>
    <row r="14" spans="1:15" x14ac:dyDescent="0.25">
      <c r="B14" s="22">
        <v>2024</v>
      </c>
      <c r="C14" s="23">
        <v>3661542.5912396996</v>
      </c>
      <c r="D14" s="23">
        <v>3326752.8619221523</v>
      </c>
      <c r="E14" s="23">
        <v>6360988.3720358796</v>
      </c>
      <c r="F14" s="23"/>
      <c r="G14" s="23"/>
      <c r="H14" s="79">
        <f t="shared" si="6"/>
        <v>13349283.825197732</v>
      </c>
      <c r="I14" s="21">
        <v>2022</v>
      </c>
      <c r="J14" s="23">
        <f t="shared" si="0"/>
        <v>31618374.746524356</v>
      </c>
      <c r="K14" s="23">
        <f t="shared" si="1"/>
        <v>13383161.7576367</v>
      </c>
      <c r="L14" s="23">
        <f t="shared" si="2"/>
        <v>43798668.37404988</v>
      </c>
      <c r="M14" s="23">
        <f t="shared" si="3"/>
        <v>0</v>
      </c>
      <c r="N14" s="23">
        <f t="shared" si="4"/>
        <v>6144078.8799999999</v>
      </c>
      <c r="O14" s="79">
        <f t="shared" si="5"/>
        <v>94944283.758210927</v>
      </c>
    </row>
    <row r="15" spans="1:15" x14ac:dyDescent="0.25">
      <c r="B15" s="24">
        <v>2025</v>
      </c>
      <c r="C15" s="23">
        <v>3493710.3775538835</v>
      </c>
      <c r="D15" s="23">
        <v>2184416.8293195846</v>
      </c>
      <c r="E15" s="23">
        <v>4052169.0243237335</v>
      </c>
      <c r="F15" s="23"/>
      <c r="G15" s="23"/>
      <c r="H15" s="79">
        <f t="shared" si="6"/>
        <v>9730296.2311972007</v>
      </c>
      <c r="I15" s="21">
        <v>2023</v>
      </c>
      <c r="J15" s="23">
        <f t="shared" si="0"/>
        <v>31967273.051245634</v>
      </c>
      <c r="K15" s="23">
        <f t="shared" si="1"/>
        <v>14292957.500310609</v>
      </c>
      <c r="L15" s="23">
        <f t="shared" si="2"/>
        <v>49392722.626116827</v>
      </c>
      <c r="M15" s="23">
        <f t="shared" si="3"/>
        <v>0</v>
      </c>
      <c r="N15" s="23">
        <f t="shared" si="4"/>
        <v>6144078.8799999999</v>
      </c>
      <c r="O15" s="79">
        <f t="shared" si="5"/>
        <v>101797032.05767307</v>
      </c>
    </row>
    <row r="16" spans="1:15" x14ac:dyDescent="0.25">
      <c r="B16" s="22">
        <v>2026</v>
      </c>
      <c r="C16" s="23">
        <v>3428026.1638680673</v>
      </c>
      <c r="D16" s="23">
        <v>1921144.1989948032</v>
      </c>
      <c r="E16" s="23">
        <v>3733010.2743338011</v>
      </c>
      <c r="F16" s="23"/>
      <c r="G16" s="23"/>
      <c r="H16" s="79">
        <f t="shared" si="6"/>
        <v>9082180.6371966712</v>
      </c>
      <c r="I16" s="21">
        <v>2024</v>
      </c>
      <c r="J16" s="72">
        <f t="shared" si="0"/>
        <v>32820220.007317048</v>
      </c>
      <c r="K16" s="72">
        <f t="shared" si="1"/>
        <v>15221787.126256298</v>
      </c>
      <c r="L16" s="72">
        <f t="shared" si="2"/>
        <v>56173988.928094767</v>
      </c>
      <c r="M16" s="72">
        <f t="shared" si="3"/>
        <v>0</v>
      </c>
      <c r="N16" s="72">
        <f t="shared" si="4"/>
        <v>6144078.8799999999</v>
      </c>
      <c r="O16" s="79">
        <f t="shared" si="5"/>
        <v>110360074.94166811</v>
      </c>
    </row>
    <row r="17" spans="1:17" x14ac:dyDescent="0.25">
      <c r="C17" s="23"/>
      <c r="D17" s="23"/>
      <c r="E17" s="23"/>
      <c r="F17" s="23"/>
      <c r="G17" s="23"/>
      <c r="H17" s="79"/>
      <c r="I17" s="21">
        <v>2025</v>
      </c>
      <c r="J17" s="23">
        <f t="shared" si="0"/>
        <v>33667953.550838068</v>
      </c>
      <c r="K17" s="23">
        <f t="shared" si="1"/>
        <v>15828617.18759658</v>
      </c>
      <c r="L17" s="23">
        <f t="shared" si="2"/>
        <v>62783675.196050294</v>
      </c>
      <c r="M17" s="23">
        <f t="shared" si="3"/>
        <v>0</v>
      </c>
      <c r="N17" s="23">
        <f t="shared" si="4"/>
        <v>6144078.8799999999</v>
      </c>
      <c r="O17" s="79">
        <f t="shared" si="5"/>
        <v>118424324.81448494</v>
      </c>
    </row>
    <row r="18" spans="1:17" x14ac:dyDescent="0.25">
      <c r="A18" s="21">
        <v>2016</v>
      </c>
      <c r="B18" s="24">
        <v>2016</v>
      </c>
      <c r="C18" s="23">
        <v>7781704.7136200033</v>
      </c>
      <c r="D18" s="23">
        <v>2068396.8291057493</v>
      </c>
      <c r="E18" s="23">
        <v>9709057.2173403129</v>
      </c>
      <c r="F18" s="23">
        <v>0</v>
      </c>
      <c r="G18" s="23">
        <v>0</v>
      </c>
      <c r="H18" s="79">
        <f t="shared" si="6"/>
        <v>19559158.760066066</v>
      </c>
      <c r="I18" s="21">
        <v>2026</v>
      </c>
      <c r="J18" s="23">
        <f t="shared" si="0"/>
        <v>34450590.289521016</v>
      </c>
      <c r="K18" s="23">
        <f t="shared" si="1"/>
        <v>17173618.485711183</v>
      </c>
      <c r="L18" s="23">
        <f t="shared" si="2"/>
        <v>71155158.685863167</v>
      </c>
      <c r="M18" s="23">
        <f t="shared" si="3"/>
        <v>0</v>
      </c>
      <c r="N18" s="23">
        <f t="shared" si="4"/>
        <v>6144078.8799999999</v>
      </c>
      <c r="O18" s="79">
        <f t="shared" si="5"/>
        <v>128923446.34109536</v>
      </c>
    </row>
    <row r="19" spans="1:17" x14ac:dyDescent="0.25">
      <c r="A19" s="25"/>
      <c r="B19" s="22">
        <v>2017</v>
      </c>
      <c r="C19" s="23">
        <v>7781062.6154171564</v>
      </c>
      <c r="D19" s="23">
        <v>2049671.1401314195</v>
      </c>
      <c r="E19" s="23">
        <v>9728247.7577986699</v>
      </c>
      <c r="F19" s="23">
        <v>0</v>
      </c>
      <c r="G19" s="23">
        <v>0</v>
      </c>
      <c r="H19" s="79">
        <f t="shared" si="6"/>
        <v>19558981.513347246</v>
      </c>
    </row>
    <row r="20" spans="1:17" x14ac:dyDescent="0.25">
      <c r="A20" s="25"/>
      <c r="B20" s="24">
        <v>2018</v>
      </c>
      <c r="C20" s="23">
        <v>7780967.5893561887</v>
      </c>
      <c r="D20" s="23">
        <v>2094513.2056580712</v>
      </c>
      <c r="E20" s="23">
        <v>10015990.471614165</v>
      </c>
      <c r="F20" s="23">
        <v>0</v>
      </c>
      <c r="G20" s="23">
        <v>0</v>
      </c>
      <c r="H20" s="79">
        <f t="shared" si="6"/>
        <v>19891471.266628426</v>
      </c>
      <c r="J20" s="72"/>
      <c r="K20" s="72"/>
      <c r="L20" s="72"/>
      <c r="M20" s="72"/>
      <c r="N20" s="72"/>
      <c r="O20" s="79"/>
    </row>
    <row r="21" spans="1:17" x14ac:dyDescent="0.25">
      <c r="A21" s="25"/>
      <c r="B21" s="24">
        <v>2019</v>
      </c>
      <c r="C21" s="23">
        <v>7780872.563295221</v>
      </c>
      <c r="D21" s="23">
        <v>2094502.1199308939</v>
      </c>
      <c r="E21" s="23">
        <v>10015919.336683489</v>
      </c>
      <c r="F21" s="23">
        <v>0</v>
      </c>
      <c r="G21" s="23">
        <v>0</v>
      </c>
      <c r="H21" s="79">
        <f t="shared" si="6"/>
        <v>19891294.019909605</v>
      </c>
      <c r="J21" s="23"/>
      <c r="K21" s="23"/>
      <c r="L21" s="23"/>
      <c r="M21" s="23"/>
      <c r="N21" s="23"/>
      <c r="O21" s="79"/>
    </row>
    <row r="22" spans="1:17" x14ac:dyDescent="0.25">
      <c r="A22" s="25"/>
      <c r="B22" s="22">
        <v>2020</v>
      </c>
      <c r="C22" s="23">
        <v>7780777.5372342533</v>
      </c>
      <c r="D22" s="23">
        <v>2094491.0342037166</v>
      </c>
      <c r="E22" s="23">
        <v>10015848.201752814</v>
      </c>
      <c r="F22" s="23">
        <v>0</v>
      </c>
      <c r="G22" s="23">
        <v>0</v>
      </c>
      <c r="H22" s="79">
        <f t="shared" si="6"/>
        <v>19891116.773190781</v>
      </c>
      <c r="J22" s="23"/>
      <c r="K22" s="23"/>
      <c r="L22" s="23"/>
      <c r="M22" s="23"/>
      <c r="N22" s="23"/>
      <c r="O22" s="79"/>
    </row>
    <row r="23" spans="1:17" x14ac:dyDescent="0.25">
      <c r="B23" s="22">
        <v>2021</v>
      </c>
      <c r="C23" s="23">
        <v>7780746.3073041784</v>
      </c>
      <c r="D23" s="23">
        <v>2092929.3901261347</v>
      </c>
      <c r="E23" s="23">
        <v>10010865.896629591</v>
      </c>
      <c r="F23" s="23">
        <v>0</v>
      </c>
      <c r="G23" s="23">
        <v>0</v>
      </c>
      <c r="H23" s="79">
        <f t="shared" si="6"/>
        <v>19884541.594059903</v>
      </c>
    </row>
    <row r="24" spans="1:17" x14ac:dyDescent="0.25">
      <c r="B24" s="24">
        <v>2022</v>
      </c>
      <c r="C24" s="23">
        <v>7780651.2812432107</v>
      </c>
      <c r="D24" s="23">
        <v>2092918.3043989576</v>
      </c>
      <c r="E24" s="23">
        <v>10010794.761698915</v>
      </c>
      <c r="F24" s="23"/>
      <c r="G24" s="23"/>
      <c r="H24" s="79">
        <f t="shared" si="6"/>
        <v>19884364.347341083</v>
      </c>
      <c r="J24" s="23"/>
      <c r="Q24" s="23"/>
    </row>
    <row r="25" spans="1:17" x14ac:dyDescent="0.25">
      <c r="B25" s="22">
        <v>2023</v>
      </c>
      <c r="C25" s="23">
        <v>7779879.3281608364</v>
      </c>
      <c r="D25" s="23">
        <v>2092908.5733386616</v>
      </c>
      <c r="E25" s="23">
        <v>10010732.319399146</v>
      </c>
      <c r="F25" s="23"/>
      <c r="G25" s="23"/>
      <c r="H25" s="79">
        <f t="shared" si="6"/>
        <v>19883520.220898643</v>
      </c>
      <c r="J25" s="23"/>
      <c r="Q25" s="23"/>
    </row>
    <row r="26" spans="1:17" x14ac:dyDescent="0.25">
      <c r="B26" s="22">
        <v>2024</v>
      </c>
      <c r="C26" s="23">
        <v>7779495.9107082346</v>
      </c>
      <c r="D26" s="23">
        <v>2072566.7904647586</v>
      </c>
      <c r="E26" s="23">
        <v>9960048.3932832126</v>
      </c>
      <c r="F26" s="23"/>
      <c r="G26" s="23"/>
      <c r="H26" s="79">
        <f t="shared" si="6"/>
        <v>19812111.094456203</v>
      </c>
      <c r="J26" s="21" t="str">
        <f>J5</f>
        <v>Residential</v>
      </c>
      <c r="K26" s="21" t="str">
        <f>K5</f>
        <v>GS&lt;50</v>
      </c>
      <c r="L26" s="21" t="str">
        <f>L5</f>
        <v>GS&gt;50</v>
      </c>
      <c r="M26" s="21" t="str">
        <f>M5</f>
        <v>USL</v>
      </c>
      <c r="N26" s="21" t="str">
        <f>N5</f>
        <v>Streetlight</v>
      </c>
      <c r="Q26" s="23"/>
    </row>
    <row r="27" spans="1:17" x14ac:dyDescent="0.25">
      <c r="B27" s="24">
        <v>2025</v>
      </c>
      <c r="C27" s="23">
        <v>7760365.9576258603</v>
      </c>
      <c r="D27" s="23">
        <v>2072557.0594044628</v>
      </c>
      <c r="E27" s="23">
        <v>9959985.9509834442</v>
      </c>
      <c r="F27" s="23"/>
      <c r="G27" s="23"/>
      <c r="H27" s="79">
        <f t="shared" si="6"/>
        <v>19792908.968013767</v>
      </c>
      <c r="I27" s="21">
        <v>2024</v>
      </c>
      <c r="J27" s="71">
        <f t="shared" ref="J27:N29" si="7">SUMIFS(C$4:C$88,$B$4:$B$88,$I27)-C86/2</f>
        <v>32820220.007317048</v>
      </c>
      <c r="K27" s="71">
        <f t="shared" si="7"/>
        <v>15221787.126256298</v>
      </c>
      <c r="L27" s="71">
        <f t="shared" si="7"/>
        <v>56173988.928094767</v>
      </c>
      <c r="M27" s="71">
        <f t="shared" si="7"/>
        <v>0</v>
      </c>
      <c r="N27" s="71">
        <f t="shared" si="7"/>
        <v>6144078.8799999999</v>
      </c>
      <c r="O27" s="79">
        <f>SUM(J27:N27)</f>
        <v>110360074.94166811</v>
      </c>
      <c r="Q27" s="23"/>
    </row>
    <row r="28" spans="1:17" x14ac:dyDescent="0.25">
      <c r="B28" s="22">
        <v>2026</v>
      </c>
      <c r="C28" s="23">
        <v>7705937.5061239842</v>
      </c>
      <c r="D28" s="23">
        <v>2030568.5258356207</v>
      </c>
      <c r="E28" s="23">
        <v>9793149.8096117228</v>
      </c>
      <c r="F28" s="23"/>
      <c r="G28" s="23"/>
      <c r="H28" s="79">
        <f t="shared" si="6"/>
        <v>19529655.841571327</v>
      </c>
      <c r="I28" s="21">
        <v>2025</v>
      </c>
      <c r="J28" s="71">
        <f t="shared" si="7"/>
        <v>32465886.415995933</v>
      </c>
      <c r="K28" s="71">
        <f t="shared" si="7"/>
        <v>13843184.791206934</v>
      </c>
      <c r="L28" s="71">
        <f t="shared" si="7"/>
        <v>53816060.608285025</v>
      </c>
      <c r="M28" s="71">
        <f t="shared" si="7"/>
        <v>0</v>
      </c>
      <c r="N28" s="71">
        <f t="shared" si="7"/>
        <v>6144078.8799999999</v>
      </c>
      <c r="O28" s="79">
        <f>SUM(J28:N28)</f>
        <v>106269210.69548789</v>
      </c>
      <c r="Q28" s="23"/>
    </row>
    <row r="29" spans="1:17" x14ac:dyDescent="0.25">
      <c r="C29" s="92"/>
      <c r="D29" s="92"/>
      <c r="E29" s="92"/>
      <c r="F29" s="92"/>
      <c r="G29" s="92"/>
      <c r="H29" s="79"/>
      <c r="I29" s="21">
        <v>2026</v>
      </c>
      <c r="J29" s="71">
        <f t="shared" si="7"/>
        <v>32183999.329667073</v>
      </c>
      <c r="K29" s="71">
        <f t="shared" si="7"/>
        <v>13253184.117465999</v>
      </c>
      <c r="L29" s="71">
        <f t="shared" si="7"/>
        <v>53250266.03118223</v>
      </c>
      <c r="M29" s="71">
        <f t="shared" si="7"/>
        <v>0</v>
      </c>
      <c r="N29" s="71">
        <f t="shared" si="7"/>
        <v>6144078.8799999999</v>
      </c>
      <c r="O29" s="79">
        <f>SUM(J29:N29)</f>
        <v>104831528.35831529</v>
      </c>
      <c r="Q29" s="23"/>
    </row>
    <row r="30" spans="1:17" x14ac:dyDescent="0.25">
      <c r="A30" s="21">
        <v>2017</v>
      </c>
      <c r="B30" s="22">
        <v>2017</v>
      </c>
      <c r="C30" s="92">
        <v>20316242.368425496</v>
      </c>
      <c r="D30" s="92">
        <v>1945524.3873127077</v>
      </c>
      <c r="E30" s="92">
        <v>7495273.4169774046</v>
      </c>
      <c r="F30" s="92">
        <v>0</v>
      </c>
      <c r="G30" s="92">
        <v>4382683.88</v>
      </c>
      <c r="H30" s="79">
        <f t="shared" si="6"/>
        <v>34139724.052715607</v>
      </c>
    </row>
    <row r="31" spans="1:17" x14ac:dyDescent="0.25">
      <c r="B31" s="24">
        <v>2018</v>
      </c>
      <c r="C31" s="92">
        <v>16315097.240191065</v>
      </c>
      <c r="D31" s="92">
        <v>1946736.9327149717</v>
      </c>
      <c r="E31" s="92">
        <v>7489121.9449044969</v>
      </c>
      <c r="F31" s="92">
        <v>0</v>
      </c>
      <c r="G31" s="92">
        <v>4382683.88</v>
      </c>
      <c r="H31" s="79">
        <f t="shared" si="6"/>
        <v>30133639.997810531</v>
      </c>
      <c r="J31" s="23"/>
    </row>
    <row r="32" spans="1:17" x14ac:dyDescent="0.25">
      <c r="B32" s="24">
        <v>2019</v>
      </c>
      <c r="C32" s="92">
        <v>16315078.111956632</v>
      </c>
      <c r="D32" s="92">
        <v>1945852.7882584871</v>
      </c>
      <c r="E32" s="92">
        <v>7485788.1626903396</v>
      </c>
      <c r="F32" s="92">
        <v>0</v>
      </c>
      <c r="G32" s="92">
        <v>4382683.88</v>
      </c>
      <c r="H32" s="79">
        <f t="shared" si="6"/>
        <v>30129402.94290546</v>
      </c>
      <c r="J32" s="23"/>
    </row>
    <row r="33" spans="1:17" x14ac:dyDescent="0.25">
      <c r="B33" s="22">
        <v>2020</v>
      </c>
      <c r="C33" s="92">
        <v>16315058.983722199</v>
      </c>
      <c r="D33" s="92">
        <v>1944968.6438020028</v>
      </c>
      <c r="E33" s="92">
        <v>7482454.3804761823</v>
      </c>
      <c r="F33" s="92">
        <v>0</v>
      </c>
      <c r="G33" s="92">
        <v>4382683.88</v>
      </c>
      <c r="H33" s="79">
        <f t="shared" si="6"/>
        <v>30125165.88800038</v>
      </c>
      <c r="I33"/>
      <c r="J33" s="122"/>
      <c r="K33" s="122"/>
      <c r="L33" s="122"/>
    </row>
    <row r="34" spans="1:17" x14ac:dyDescent="0.25">
      <c r="B34" s="22">
        <v>2021</v>
      </c>
      <c r="C34" s="92">
        <v>16312951.855487766</v>
      </c>
      <c r="D34" s="92">
        <v>1942909.6216643383</v>
      </c>
      <c r="E34" s="92">
        <v>7478503.4759431994</v>
      </c>
      <c r="F34" s="92">
        <v>0</v>
      </c>
      <c r="G34" s="92">
        <v>4382683.88</v>
      </c>
      <c r="H34" s="79">
        <f t="shared" si="6"/>
        <v>30117048.833095305</v>
      </c>
      <c r="I34"/>
      <c r="J34" s="122"/>
      <c r="K34" s="122"/>
      <c r="L34" s="122"/>
    </row>
    <row r="35" spans="1:17" x14ac:dyDescent="0.25">
      <c r="B35" s="24">
        <v>2022</v>
      </c>
      <c r="C35" s="92">
        <v>16310923.727253333</v>
      </c>
      <c r="D35" s="92">
        <v>1834678.3777437836</v>
      </c>
      <c r="E35" s="92">
        <v>7077984.7931931186</v>
      </c>
      <c r="F35" s="92">
        <v>0</v>
      </c>
      <c r="G35" s="92">
        <v>4382683.88</v>
      </c>
      <c r="H35" s="79">
        <f t="shared" si="6"/>
        <v>29606270.778190237</v>
      </c>
      <c r="I35"/>
      <c r="J35" s="122"/>
      <c r="K35" s="122"/>
      <c r="L35" s="122"/>
    </row>
    <row r="36" spans="1:17" x14ac:dyDescent="0.25">
      <c r="B36" s="22">
        <v>2023</v>
      </c>
      <c r="C36" s="92">
        <v>16310904.599018902</v>
      </c>
      <c r="D36" s="92">
        <v>1833794.2332872986</v>
      </c>
      <c r="E36" s="92">
        <v>7074651.0109789576</v>
      </c>
      <c r="F36" s="92">
        <v>0</v>
      </c>
      <c r="G36" s="92">
        <v>4382683.88</v>
      </c>
      <c r="H36" s="79">
        <f t="shared" si="6"/>
        <v>29602033.723285157</v>
      </c>
      <c r="I36"/>
      <c r="J36" s="122"/>
      <c r="K36" s="122"/>
      <c r="L36" s="122"/>
      <c r="M36" s="23"/>
      <c r="N36" s="23"/>
      <c r="O36" s="23"/>
      <c r="P36" s="23"/>
    </row>
    <row r="37" spans="1:17" x14ac:dyDescent="0.25">
      <c r="B37" s="22">
        <v>2024</v>
      </c>
      <c r="C37" s="92">
        <v>16310749.470784469</v>
      </c>
      <c r="D37" s="92">
        <v>1832910.0888308133</v>
      </c>
      <c r="E37" s="92">
        <v>7071317.2287647976</v>
      </c>
      <c r="F37" s="92">
        <v>0</v>
      </c>
      <c r="G37" s="92">
        <v>4382683.88</v>
      </c>
      <c r="H37" s="79">
        <f t="shared" si="6"/>
        <v>29597660.668380078</v>
      </c>
      <c r="I37">
        <v>2015</v>
      </c>
      <c r="J37" s="122">
        <f>J7</f>
        <v>1891014.2572060227</v>
      </c>
      <c r="K37" s="122">
        <f t="shared" ref="K37:L37" si="8">K7</f>
        <v>1972780.4821097197</v>
      </c>
      <c r="L37" s="122">
        <f t="shared" si="8"/>
        <v>3569772.8462855094</v>
      </c>
      <c r="M37" s="23"/>
      <c r="N37" s="23"/>
      <c r="O37" s="23"/>
      <c r="P37" s="23"/>
    </row>
    <row r="38" spans="1:17" x14ac:dyDescent="0.25">
      <c r="B38" s="24">
        <v>2025</v>
      </c>
      <c r="C38" s="92">
        <v>16310730.342550036</v>
      </c>
      <c r="D38" s="92">
        <v>1824296.6498940974</v>
      </c>
      <c r="E38" s="92">
        <v>7039606.7410308775</v>
      </c>
      <c r="F38" s="92">
        <v>0</v>
      </c>
      <c r="G38" s="92">
        <v>4382683.88</v>
      </c>
      <c r="H38" s="79">
        <f t="shared" si="6"/>
        <v>29557317.613475006</v>
      </c>
      <c r="I38">
        <f t="shared" ref="I38:I46" si="9">I8</f>
        <v>2016</v>
      </c>
      <c r="J38" s="122">
        <f t="shared" ref="J38:L46" si="10">J8-J7</f>
        <v>5730466.4003302082</v>
      </c>
      <c r="K38" s="122">
        <f t="shared" si="10"/>
        <v>3006983.5355214123</v>
      </c>
      <c r="L38" s="122">
        <f t="shared" si="10"/>
        <v>8424339.4357821327</v>
      </c>
      <c r="M38" s="23" t="s">
        <v>422</v>
      </c>
      <c r="N38" s="23"/>
      <c r="O38" s="23"/>
      <c r="P38" s="23"/>
    </row>
    <row r="39" spans="1:17" x14ac:dyDescent="0.25">
      <c r="B39" s="22">
        <v>2026</v>
      </c>
      <c r="C39" s="92">
        <v>16298116.214315603</v>
      </c>
      <c r="D39" s="92">
        <v>1820056.367686521</v>
      </c>
      <c r="E39" s="92">
        <v>6989979.0965678087</v>
      </c>
      <c r="F39" s="92">
        <v>0</v>
      </c>
      <c r="G39" s="92">
        <v>4382683.88</v>
      </c>
      <c r="H39" s="79">
        <f t="shared" si="6"/>
        <v>29490835.55856993</v>
      </c>
      <c r="I39">
        <f t="shared" si="9"/>
        <v>2017</v>
      </c>
      <c r="J39" s="122">
        <f t="shared" si="10"/>
        <v>14045180.229134087</v>
      </c>
      <c r="K39" s="122">
        <f t="shared" si="10"/>
        <v>1967564.4366202112</v>
      </c>
      <c r="L39" s="122">
        <f t="shared" si="10"/>
        <v>8642070.9599171877</v>
      </c>
      <c r="N39" s="23"/>
      <c r="O39" s="23"/>
      <c r="P39" s="23"/>
    </row>
    <row r="40" spans="1:17" x14ac:dyDescent="0.25">
      <c r="C40" s="92"/>
      <c r="D40" s="92"/>
      <c r="E40" s="92"/>
      <c r="F40" s="92"/>
      <c r="G40" s="92"/>
      <c r="H40" s="79"/>
      <c r="I40">
        <f t="shared" si="9"/>
        <v>2018</v>
      </c>
      <c r="J40" s="122">
        <f t="shared" si="10"/>
        <v>7985985.4900534339</v>
      </c>
      <c r="K40" s="122">
        <f t="shared" si="10"/>
        <v>2472261.5843636729</v>
      </c>
      <c r="L40" s="122">
        <f t="shared" si="10"/>
        <v>7364722.4658876806</v>
      </c>
      <c r="O40" s="23"/>
      <c r="P40" s="23"/>
      <c r="Q40" s="94"/>
    </row>
    <row r="41" spans="1:17" x14ac:dyDescent="0.25">
      <c r="A41" s="21">
        <v>2018</v>
      </c>
      <c r="B41" s="24">
        <v>2018</v>
      </c>
      <c r="C41" s="92">
        <v>3662405.3476437954</v>
      </c>
      <c r="D41" s="92">
        <v>2918844.1918899282</v>
      </c>
      <c r="E41" s="92">
        <v>6662605.1596090794</v>
      </c>
      <c r="F41" s="92">
        <v>0</v>
      </c>
      <c r="G41" s="92">
        <v>1761395</v>
      </c>
      <c r="H41" s="79">
        <f>SUM(C41:G41)</f>
        <v>15005249.699142803</v>
      </c>
      <c r="I41">
        <f t="shared" si="9"/>
        <v>2019</v>
      </c>
      <c r="J41" s="122">
        <f t="shared" si="10"/>
        <v>1820414.4611237459</v>
      </c>
      <c r="K41" s="122">
        <f t="shared" si="10"/>
        <v>2080930.97478907</v>
      </c>
      <c r="L41" s="122">
        <f t="shared" si="10"/>
        <v>5675387.6330307648</v>
      </c>
      <c r="P41" s="23"/>
    </row>
    <row r="42" spans="1:17" x14ac:dyDescent="0.25">
      <c r="B42" s="24">
        <v>2019</v>
      </c>
      <c r="C42" s="92">
        <v>3651957.6009826367</v>
      </c>
      <c r="D42" s="92">
        <v>2737802.0229497715</v>
      </c>
      <c r="E42" s="92">
        <v>6622491.9708662145</v>
      </c>
      <c r="F42" s="92">
        <v>0</v>
      </c>
      <c r="G42" s="92">
        <v>1761395</v>
      </c>
      <c r="H42" s="79">
        <f>SUM(C42:G42)</f>
        <v>14773646.594798623</v>
      </c>
      <c r="I42">
        <f t="shared" si="9"/>
        <v>2020</v>
      </c>
      <c r="J42" s="122">
        <f t="shared" si="10"/>
        <v>-12404.212698146701</v>
      </c>
      <c r="K42" s="122">
        <f t="shared" si="10"/>
        <v>581155.77057795227</v>
      </c>
      <c r="L42" s="122">
        <f t="shared" si="10"/>
        <v>2905645.1749496609</v>
      </c>
    </row>
    <row r="43" spans="1:17" x14ac:dyDescent="0.25">
      <c r="B43" s="22">
        <v>2020</v>
      </c>
      <c r="C43" s="92">
        <v>3641509.8543214784</v>
      </c>
      <c r="D43" s="92">
        <v>2556759.8540096153</v>
      </c>
      <c r="E43" s="92">
        <v>6582378.7821233496</v>
      </c>
      <c r="F43" s="92">
        <v>0</v>
      </c>
      <c r="G43" s="92">
        <v>1761395</v>
      </c>
      <c r="H43" s="79">
        <f t="shared" ref="H43:H73" si="11">SUM(C43:G43)</f>
        <v>14542043.490454443</v>
      </c>
      <c r="I43">
        <f t="shared" si="9"/>
        <v>2021</v>
      </c>
      <c r="J43" s="122">
        <f t="shared" si="10"/>
        <v>40635.599976722151</v>
      </c>
      <c r="K43" s="122">
        <f t="shared" si="10"/>
        <v>419827.05423192494</v>
      </c>
      <c r="L43" s="122">
        <f t="shared" si="10"/>
        <v>3176362.6759741679</v>
      </c>
    </row>
    <row r="44" spans="1:17" x14ac:dyDescent="0.25">
      <c r="B44" s="22">
        <v>2021</v>
      </c>
      <c r="C44" s="92">
        <v>3641509.8543214784</v>
      </c>
      <c r="D44" s="92">
        <v>2556759.8540096153</v>
      </c>
      <c r="E44" s="92">
        <v>6579602.8549454324</v>
      </c>
      <c r="F44" s="92">
        <v>0</v>
      </c>
      <c r="G44" s="92">
        <v>1761395</v>
      </c>
      <c r="H44" s="79">
        <f t="shared" si="11"/>
        <v>14539267.563276526</v>
      </c>
      <c r="I44">
        <f t="shared" si="9"/>
        <v>2022</v>
      </c>
      <c r="J44" s="122">
        <f t="shared" si="10"/>
        <v>117082.52139828354</v>
      </c>
      <c r="K44" s="122">
        <f t="shared" si="10"/>
        <v>881657.91942273639</v>
      </c>
      <c r="L44" s="122">
        <f t="shared" si="10"/>
        <v>4040367.1822227761</v>
      </c>
    </row>
    <row r="45" spans="1:17" x14ac:dyDescent="0.25">
      <c r="B45" s="24">
        <v>2022</v>
      </c>
      <c r="C45" s="92">
        <v>3634544.689880704</v>
      </c>
      <c r="D45" s="92">
        <v>2432408.1347881039</v>
      </c>
      <c r="E45" s="92">
        <v>6562182.0574143259</v>
      </c>
      <c r="F45" s="92">
        <v>0</v>
      </c>
      <c r="G45" s="92">
        <v>1761395</v>
      </c>
      <c r="H45" s="79">
        <f t="shared" si="11"/>
        <v>14390529.882083133</v>
      </c>
      <c r="I45">
        <f t="shared" si="9"/>
        <v>2023</v>
      </c>
      <c r="J45" s="122">
        <f t="shared" si="10"/>
        <v>348898.30472127721</v>
      </c>
      <c r="K45" s="122">
        <f t="shared" si="10"/>
        <v>909795.74267390929</v>
      </c>
      <c r="L45" s="122">
        <f t="shared" si="10"/>
        <v>5594054.2520669475</v>
      </c>
    </row>
    <row r="46" spans="1:17" x14ac:dyDescent="0.25">
      <c r="B46" s="22">
        <v>2023</v>
      </c>
      <c r="C46" s="92">
        <v>3629320.816550124</v>
      </c>
      <c r="D46" s="92">
        <v>2233817.8153915643</v>
      </c>
      <c r="E46" s="92">
        <v>6206703.3606935153</v>
      </c>
      <c r="F46" s="92">
        <v>0</v>
      </c>
      <c r="G46" s="92">
        <v>1761395</v>
      </c>
      <c r="H46" s="79">
        <f t="shared" si="11"/>
        <v>13831236.992635204</v>
      </c>
      <c r="I46">
        <f t="shared" si="9"/>
        <v>2024</v>
      </c>
      <c r="J46" s="122">
        <f t="shared" si="10"/>
        <v>852946.95607141405</v>
      </c>
      <c r="K46" s="122">
        <f t="shared" si="10"/>
        <v>928829.62594568916</v>
      </c>
      <c r="L46" s="122">
        <f t="shared" si="10"/>
        <v>6781266.3019779399</v>
      </c>
    </row>
    <row r="47" spans="1:17" x14ac:dyDescent="0.25">
      <c r="B47" s="22">
        <v>2024</v>
      </c>
      <c r="C47" s="92">
        <v>3624096.9432195439</v>
      </c>
      <c r="D47" s="92">
        <v>2143138.7960301815</v>
      </c>
      <c r="E47" s="92">
        <v>6192943.7807507068</v>
      </c>
      <c r="F47" s="92">
        <v>0</v>
      </c>
      <c r="G47" s="92">
        <v>1761395</v>
      </c>
      <c r="H47" s="79">
        <f t="shared" si="11"/>
        <v>13721574.520000432</v>
      </c>
    </row>
    <row r="48" spans="1:17" x14ac:dyDescent="0.25">
      <c r="B48" s="24">
        <v>2025</v>
      </c>
      <c r="C48" s="92">
        <v>3618873.0698889643</v>
      </c>
      <c r="D48" s="92">
        <v>2052459.7766687991</v>
      </c>
      <c r="E48" s="92">
        <v>6179184.2008078974</v>
      </c>
      <c r="F48" s="92">
        <v>0</v>
      </c>
      <c r="G48" s="92">
        <v>1761395</v>
      </c>
      <c r="H48" s="79">
        <f t="shared" si="11"/>
        <v>13611912.047365662</v>
      </c>
    </row>
    <row r="49" spans="1:8" x14ac:dyDescent="0.25">
      <c r="B49" s="22">
        <v>2026</v>
      </c>
      <c r="C49" s="92">
        <v>3613649.196558394</v>
      </c>
      <c r="D49" s="92">
        <v>1954081.0476679793</v>
      </c>
      <c r="E49" s="92">
        <v>6141042.207006867</v>
      </c>
      <c r="F49" s="92">
        <v>0</v>
      </c>
      <c r="G49" s="92">
        <v>1761395</v>
      </c>
      <c r="H49" s="79">
        <f t="shared" si="11"/>
        <v>13470167.451233242</v>
      </c>
    </row>
    <row r="50" spans="1:8" x14ac:dyDescent="0.25">
      <c r="C50" s="92"/>
      <c r="D50" s="92"/>
      <c r="E50" s="92"/>
      <c r="F50" s="92"/>
      <c r="G50" s="92"/>
      <c r="H50" s="79"/>
    </row>
    <row r="51" spans="1:8" x14ac:dyDescent="0.25">
      <c r="A51" s="21">
        <v>2019</v>
      </c>
      <c r="B51" s="22">
        <v>2019</v>
      </c>
      <c r="C51" s="92">
        <v>28269.803888456387</v>
      </c>
      <c r="D51" s="92">
        <v>1606883.2782182135</v>
      </c>
      <c r="E51" s="92">
        <v>4775130.3565749116</v>
      </c>
      <c r="F51" s="92">
        <v>0</v>
      </c>
      <c r="G51" s="21">
        <v>0</v>
      </c>
      <c r="H51" s="79">
        <f t="shared" si="11"/>
        <v>6410283.438681582</v>
      </c>
    </row>
    <row r="52" spans="1:8" x14ac:dyDescent="0.25">
      <c r="B52" s="22">
        <v>2020</v>
      </c>
      <c r="C52" s="92">
        <v>28269.803888456387</v>
      </c>
      <c r="D52" s="92">
        <v>1566421.9191532335</v>
      </c>
      <c r="E52" s="92">
        <v>4332446.7915194724</v>
      </c>
      <c r="F52" s="92">
        <v>0</v>
      </c>
      <c r="G52" s="21">
        <v>0</v>
      </c>
      <c r="H52" s="79">
        <f t="shared" si="11"/>
        <v>5927138.5145611623</v>
      </c>
    </row>
    <row r="53" spans="1:8" x14ac:dyDescent="0.25">
      <c r="B53" s="22">
        <v>2021</v>
      </c>
      <c r="C53" s="92">
        <v>28269.803888456387</v>
      </c>
      <c r="D53" s="92">
        <v>1566421.9191532335</v>
      </c>
      <c r="E53" s="92">
        <v>4769422.3789724587</v>
      </c>
      <c r="F53" s="92">
        <v>0</v>
      </c>
      <c r="G53" s="21">
        <v>0</v>
      </c>
      <c r="H53" s="79">
        <f t="shared" si="11"/>
        <v>6364114.1020141486</v>
      </c>
    </row>
    <row r="54" spans="1:8" x14ac:dyDescent="0.25">
      <c r="B54" s="24">
        <v>2022</v>
      </c>
      <c r="C54" s="92">
        <v>28269.803888456401</v>
      </c>
      <c r="D54" s="92">
        <v>1566421.919153234</v>
      </c>
      <c r="E54" s="92">
        <v>4769422.3789724587</v>
      </c>
      <c r="F54" s="92"/>
      <c r="H54" s="79">
        <f t="shared" si="11"/>
        <v>6364114.1020141486</v>
      </c>
    </row>
    <row r="55" spans="1:8" x14ac:dyDescent="0.25">
      <c r="B55" s="22">
        <v>2023</v>
      </c>
      <c r="C55" s="92">
        <v>28269.803888456401</v>
      </c>
      <c r="D55" s="92">
        <v>1566421.919153234</v>
      </c>
      <c r="E55" s="92">
        <v>4769186.667148849</v>
      </c>
      <c r="F55" s="92"/>
      <c r="H55" s="79">
        <f t="shared" si="11"/>
        <v>6363878.3901905399</v>
      </c>
    </row>
    <row r="56" spans="1:8" x14ac:dyDescent="0.25">
      <c r="B56" s="22">
        <v>2024</v>
      </c>
      <c r="C56" s="92">
        <v>28269.803888456401</v>
      </c>
      <c r="D56" s="92">
        <v>1566421.919153234</v>
      </c>
      <c r="E56" s="92">
        <v>4769009.8832811425</v>
      </c>
      <c r="F56" s="92"/>
      <c r="H56" s="79">
        <f t="shared" si="11"/>
        <v>6363701.6063228324</v>
      </c>
    </row>
    <row r="57" spans="1:8" x14ac:dyDescent="0.25">
      <c r="B57" s="24">
        <v>2025</v>
      </c>
      <c r="C57" s="92">
        <v>28269.803888456401</v>
      </c>
      <c r="D57" s="92">
        <v>1566421.919153234</v>
      </c>
      <c r="E57" s="92">
        <v>4768833.099413435</v>
      </c>
      <c r="F57" s="92"/>
      <c r="H57" s="79">
        <f t="shared" si="11"/>
        <v>6363524.8224551249</v>
      </c>
    </row>
    <row r="58" spans="1:8" x14ac:dyDescent="0.25">
      <c r="B58" s="22">
        <v>2026</v>
      </c>
      <c r="C58" s="92">
        <v>28269.803888456401</v>
      </c>
      <c r="D58" s="92">
        <v>1566421.919153234</v>
      </c>
      <c r="E58" s="92">
        <v>4768656.3155457284</v>
      </c>
      <c r="F58" s="92"/>
      <c r="H58" s="79">
        <f t="shared" si="11"/>
        <v>6363348.0385874193</v>
      </c>
    </row>
    <row r="59" spans="1:8" x14ac:dyDescent="0.25">
      <c r="C59" s="92"/>
      <c r="D59" s="92"/>
      <c r="E59" s="92"/>
      <c r="F59" s="92"/>
      <c r="G59" s="92"/>
      <c r="H59" s="79"/>
    </row>
    <row r="60" spans="1:8" x14ac:dyDescent="0.25">
      <c r="A60" s="21">
        <v>2020</v>
      </c>
      <c r="B60" s="22">
        <v>2020</v>
      </c>
      <c r="C60" s="72">
        <v>0</v>
      </c>
      <c r="D60" s="72">
        <v>122603.59542882007</v>
      </c>
      <c r="E60" s="72">
        <v>2192934.2797265826</v>
      </c>
      <c r="F60" s="23"/>
      <c r="G60" s="23"/>
      <c r="H60" s="79">
        <f t="shared" si="11"/>
        <v>2315537.8751554028</v>
      </c>
    </row>
    <row r="61" spans="1:8" x14ac:dyDescent="0.25">
      <c r="B61" s="22">
        <v>2021</v>
      </c>
      <c r="C61" s="72">
        <f>C60*(SUM(C52,C42,C31,C19,C6)/SUM(C$51,C$41,C$30,C$18,C$5))</f>
        <v>0</v>
      </c>
      <c r="D61" s="72">
        <f>D60*(SUM(D52,D42,D31,D19,D6)/SUM(D$51,D$41,D$30,D$18,D$5))</f>
        <v>120256.51953808614</v>
      </c>
      <c r="E61" s="72">
        <f>E60*(SUM(E52,E42,E31,E19,E6)/SUM(E$51,E$41,E$30,E$18,E$5))</f>
        <v>2164146.7436432983</v>
      </c>
      <c r="F61" s="23"/>
      <c r="G61" s="23"/>
      <c r="H61" s="79">
        <f t="shared" si="11"/>
        <v>2284403.2631813847</v>
      </c>
    </row>
    <row r="62" spans="1:8" x14ac:dyDescent="0.25">
      <c r="B62" s="24">
        <v>2022</v>
      </c>
      <c r="C62" s="72">
        <f t="shared" ref="C62:E62" si="12">C61*(SUM(C53,C43,C32,C20,C7)/SUM(C$51,C$41,C$30,C$18,C$5))</f>
        <v>0</v>
      </c>
      <c r="D62" s="72">
        <f t="shared" si="12"/>
        <v>116434.89448364895</v>
      </c>
      <c r="E62" s="72">
        <f t="shared" si="12"/>
        <v>2178194.721283786</v>
      </c>
      <c r="F62" s="23"/>
      <c r="G62" s="23"/>
      <c r="H62" s="79">
        <f t="shared" si="11"/>
        <v>2294629.6157674352</v>
      </c>
    </row>
    <row r="63" spans="1:8" x14ac:dyDescent="0.25">
      <c r="B63" s="22">
        <v>2023</v>
      </c>
      <c r="C63" s="72">
        <f t="shared" ref="C63:E63" si="13">C62*(SUM(C54,C44,C33,C21,C8)/SUM(C$51,C$41,C$30,C$18,C$5))</f>
        <v>0</v>
      </c>
      <c r="D63" s="72">
        <f t="shared" si="13"/>
        <v>112670.62446079987</v>
      </c>
      <c r="E63" s="72">
        <f t="shared" si="13"/>
        <v>2192212.8134027603</v>
      </c>
      <c r="F63" s="23"/>
      <c r="G63" s="23"/>
      <c r="H63" s="79">
        <f t="shared" si="11"/>
        <v>2304883.4378635604</v>
      </c>
    </row>
    <row r="64" spans="1:8" x14ac:dyDescent="0.25">
      <c r="B64" s="22">
        <v>2024</v>
      </c>
      <c r="C64" s="72">
        <f t="shared" ref="C64:E64" si="14">C63*(SUM(C55,C45,C34,C22,C9)/SUM(C$51,C$41,C$30,C$18,C$5))</f>
        <v>0</v>
      </c>
      <c r="D64" s="72">
        <f t="shared" si="14"/>
        <v>107887.22087567058</v>
      </c>
      <c r="E64" s="72">
        <f t="shared" si="14"/>
        <v>2204995.2799454574</v>
      </c>
      <c r="F64" s="23"/>
      <c r="G64" s="23"/>
      <c r="H64" s="79">
        <f t="shared" si="11"/>
        <v>2312882.500821128</v>
      </c>
    </row>
    <row r="65" spans="1:10" x14ac:dyDescent="0.25">
      <c r="B65" s="24">
        <v>2025</v>
      </c>
      <c r="C65" s="72">
        <f t="shared" ref="C65:E65" si="15">C64*(SUM(C56,C46,C35,C23,C10)/SUM(C$51,C$41,C$30,C$18,C$5))</f>
        <v>0</v>
      </c>
      <c r="D65" s="72">
        <f t="shared" si="15"/>
        <v>100113.34814009642</v>
      </c>
      <c r="E65" s="72">
        <f t="shared" si="15"/>
        <v>2165266.1922010137</v>
      </c>
      <c r="F65" s="23"/>
      <c r="G65" s="23"/>
      <c r="H65" s="79">
        <f t="shared" si="11"/>
        <v>2265379.54034111</v>
      </c>
    </row>
    <row r="66" spans="1:10" x14ac:dyDescent="0.25">
      <c r="B66" s="22">
        <v>2026</v>
      </c>
      <c r="C66" s="72">
        <f t="shared" ref="C66:E66" si="16">C65*(SUM(C57,C47,C36,C24,C11)/SUM(C$51,C$41,C$30,C$18,C$5))</f>
        <v>0</v>
      </c>
      <c r="D66" s="72">
        <f t="shared" si="16"/>
        <v>91598.89898143505</v>
      </c>
      <c r="E66" s="72">
        <f t="shared" si="16"/>
        <v>2129480.882272501</v>
      </c>
      <c r="F66" s="23"/>
      <c r="G66" s="23"/>
      <c r="H66" s="79">
        <f t="shared" si="11"/>
        <v>2221079.7812539362</v>
      </c>
    </row>
    <row r="67" spans="1:10" x14ac:dyDescent="0.25">
      <c r="C67" s="72"/>
      <c r="D67" s="72"/>
      <c r="E67" s="72"/>
      <c r="F67" s="23"/>
      <c r="G67" s="23"/>
      <c r="H67" s="79"/>
    </row>
    <row r="68" spans="1:10" x14ac:dyDescent="0.25">
      <c r="A68" s="21">
        <v>2021</v>
      </c>
      <c r="B68" s="22">
        <v>2021</v>
      </c>
      <c r="C68" s="72">
        <f>'CDM Framework'!P36</f>
        <v>92002.343654100958</v>
      </c>
      <c r="D68" s="72">
        <f>'CDM Framework'!P37</f>
        <v>870266.76867667318</v>
      </c>
      <c r="E68" s="72">
        <f>'CDM Framework'!P38</f>
        <v>3225465.2323503364</v>
      </c>
      <c r="F68" s="23"/>
      <c r="G68" s="23"/>
      <c r="H68" s="79">
        <f t="shared" si="11"/>
        <v>4187734.3446811102</v>
      </c>
      <c r="I68" s="23"/>
      <c r="J68" s="23"/>
    </row>
    <row r="69" spans="1:10" x14ac:dyDescent="0.25">
      <c r="B69" s="24">
        <v>2022</v>
      </c>
      <c r="C69" s="72">
        <f>C68*(SUM(C52,C42,C31,C19,C6)/SUM(C$51,C$41,C$30,C$18,C$5))</f>
        <v>81491.881993217525</v>
      </c>
      <c r="D69" s="72">
        <f t="shared" ref="D69:E69" si="17">D68*(SUM(D52,D42,D31,D19,D6)/SUM(D$51,D$41,D$30,D$18,D$5))</f>
        <v>853606.71768776223</v>
      </c>
      <c r="E69" s="72">
        <f t="shared" si="17"/>
        <v>3183123.2444393984</v>
      </c>
      <c r="H69" s="79">
        <f t="shared" si="11"/>
        <v>4118221.8441203781</v>
      </c>
    </row>
    <row r="70" spans="1:10" x14ac:dyDescent="0.25">
      <c r="B70" s="22">
        <v>2023</v>
      </c>
      <c r="C70" s="72">
        <f t="shared" ref="C70:C73" si="18">C69*(SUM(C53,C43,C32,C20,C7)/SUM(C$51,C$41,C$30,C$18,C$5))</f>
        <v>72150.731926012682</v>
      </c>
      <c r="D70" s="72">
        <f t="shared" ref="D70:D73" si="19">D69*(SUM(D53,D43,D32,D20,D7)/SUM(D$51,D$41,D$30,D$18,D$5))</f>
        <v>826479.99864182901</v>
      </c>
      <c r="E70" s="72">
        <f t="shared" ref="E70:E73" si="20">E69*(SUM(E53,E43,E32,E20,E7)/SUM(E$51,E$41,E$30,E$18,E$5))</f>
        <v>3203785.6344996593</v>
      </c>
      <c r="H70" s="79">
        <f t="shared" si="11"/>
        <v>4102416.3650675011</v>
      </c>
    </row>
    <row r="71" spans="1:10" x14ac:dyDescent="0.25">
      <c r="B71" s="22">
        <v>2024</v>
      </c>
      <c r="C71" s="72">
        <f t="shared" si="18"/>
        <v>63875.840068686055</v>
      </c>
      <c r="D71" s="72">
        <f t="shared" si="19"/>
        <v>799760.39798286429</v>
      </c>
      <c r="E71" s="72">
        <f t="shared" si="20"/>
        <v>3224404.0676062242</v>
      </c>
      <c r="H71" s="79">
        <f t="shared" si="11"/>
        <v>4088040.3056577747</v>
      </c>
    </row>
    <row r="72" spans="1:10" x14ac:dyDescent="0.25">
      <c r="B72" s="24">
        <v>2025</v>
      </c>
      <c r="C72" s="72">
        <f t="shared" si="18"/>
        <v>56507.735630550451</v>
      </c>
      <c r="D72" s="72">
        <f t="shared" si="19"/>
        <v>765806.76744905417</v>
      </c>
      <c r="E72" s="72">
        <f t="shared" si="20"/>
        <v>3243205.0876816143</v>
      </c>
      <c r="H72" s="79">
        <f t="shared" si="11"/>
        <v>4065519.5907612192</v>
      </c>
    </row>
    <row r="73" spans="1:10" x14ac:dyDescent="0.25">
      <c r="B73" s="22">
        <v>2026</v>
      </c>
      <c r="C73" s="72">
        <f t="shared" si="18"/>
        <v>49952.593397576951</v>
      </c>
      <c r="D73" s="72">
        <f t="shared" si="19"/>
        <v>710626.14177466626</v>
      </c>
      <c r="E73" s="72">
        <f t="shared" si="20"/>
        <v>3184769.7791466611</v>
      </c>
      <c r="H73" s="79">
        <f t="shared" si="11"/>
        <v>3945348.5143189044</v>
      </c>
    </row>
    <row r="74" spans="1:10" x14ac:dyDescent="0.25">
      <c r="C74" s="23"/>
      <c r="D74" s="23"/>
      <c r="E74" s="23"/>
    </row>
    <row r="75" spans="1:10" x14ac:dyDescent="0.25">
      <c r="A75" s="21">
        <v>2022</v>
      </c>
      <c r="B75" s="24">
        <v>2022</v>
      </c>
      <c r="C75" s="23">
        <f>'CDM Framework'!Q36</f>
        <v>184004.68730820192</v>
      </c>
      <c r="D75" s="23">
        <f>'CDM Framework'!Q37</f>
        <v>1399191.2422763503</v>
      </c>
      <c r="E75" s="23">
        <f>'CDM Framework'!Q38</f>
        <v>5747802.4214068837</v>
      </c>
      <c r="H75" s="79">
        <f t="shared" ref="H75:H79" si="21">SUM(C75:G75)</f>
        <v>7330998.3509914353</v>
      </c>
    </row>
    <row r="76" spans="1:10" x14ac:dyDescent="0.25">
      <c r="B76" s="22">
        <v>2023</v>
      </c>
      <c r="C76" s="72">
        <f>C75*(SUM(C52,C42,C31,C19,C6)/SUM(C$51,C$41,C$30,C$18,C$5))</f>
        <v>162983.76398643505</v>
      </c>
      <c r="D76" s="72">
        <f t="shared" ref="D76:E79" si="22">D75*(SUM(D52,D42,D31,D19,D6)/SUM(D$51,D$41,D$30,D$18,D$5))</f>
        <v>1372405.6653951283</v>
      </c>
      <c r="E76" s="72">
        <f t="shared" si="22"/>
        <v>5672348.6920655416</v>
      </c>
      <c r="H76" s="79">
        <f t="shared" si="21"/>
        <v>7207738.121447105</v>
      </c>
    </row>
    <row r="77" spans="1:10" x14ac:dyDescent="0.25">
      <c r="B77" s="22">
        <v>2024</v>
      </c>
      <c r="C77" s="72">
        <f t="shared" ref="C77:C79" si="23">C76*(SUM(C53,C43,C32,C20,C7)/SUM(C$51,C$41,C$30,C$18,C$5))</f>
        <v>144301.46385202536</v>
      </c>
      <c r="D77" s="72">
        <f t="shared" si="22"/>
        <v>1328792.0642708708</v>
      </c>
      <c r="E77" s="72">
        <f t="shared" si="22"/>
        <v>5709169.2209087191</v>
      </c>
      <c r="H77" s="79">
        <f t="shared" si="21"/>
        <v>7182262.7490316154</v>
      </c>
    </row>
    <row r="78" spans="1:10" x14ac:dyDescent="0.25">
      <c r="B78" s="24">
        <v>2025</v>
      </c>
      <c r="C78" s="72">
        <f t="shared" si="23"/>
        <v>127751.68013737211</v>
      </c>
      <c r="D78" s="72">
        <f t="shared" si="22"/>
        <v>1285833.0170168965</v>
      </c>
      <c r="E78" s="72">
        <f t="shared" si="22"/>
        <v>5745911.4181418214</v>
      </c>
      <c r="H78" s="79">
        <f t="shared" si="21"/>
        <v>7159496.11529609</v>
      </c>
    </row>
    <row r="79" spans="1:10" x14ac:dyDescent="0.25">
      <c r="B79" s="22">
        <v>2026</v>
      </c>
      <c r="C79" s="72">
        <f t="shared" si="23"/>
        <v>113015.4712611009</v>
      </c>
      <c r="D79" s="72">
        <f t="shared" si="22"/>
        <v>1231243.2932720338</v>
      </c>
      <c r="E79" s="72">
        <f t="shared" si="22"/>
        <v>5779414.9721812187</v>
      </c>
      <c r="H79" s="79">
        <f t="shared" si="21"/>
        <v>7123673.7367143538</v>
      </c>
      <c r="I79" s="23"/>
      <c r="J79" s="23"/>
    </row>
    <row r="80" spans="1:10" x14ac:dyDescent="0.25">
      <c r="C80" s="72"/>
      <c r="D80" s="72"/>
      <c r="E80" s="72"/>
    </row>
    <row r="81" spans="1:12" x14ac:dyDescent="0.25">
      <c r="A81" s="21">
        <v>2023</v>
      </c>
      <c r="B81" s="22">
        <v>2023</v>
      </c>
      <c r="C81" s="72">
        <f>'CDM Framework'!R36</f>
        <v>644016.40557870665</v>
      </c>
      <c r="D81" s="72">
        <f>'CDM Framework'!R37</f>
        <v>1061569.1393034388</v>
      </c>
      <c r="E81" s="72">
        <f>'CDM Framework'!R38</f>
        <v>6249723.2292920519</v>
      </c>
      <c r="H81" s="79">
        <f t="shared" ref="H81:H84" si="24">SUM(C81:G81)</f>
        <v>7955308.7741741976</v>
      </c>
    </row>
    <row r="82" spans="1:12" x14ac:dyDescent="0.25">
      <c r="B82" s="22">
        <v>2024</v>
      </c>
      <c r="C82" s="72">
        <f>C81*(SUM(C52,C42,C31,C19,C6)/SUM(C$51,C$41,C$30,C$18,C$5))</f>
        <v>570443.17395252257</v>
      </c>
      <c r="D82" s="72">
        <f t="shared" ref="D82:E84" si="25">D81*(SUM(D52,D42,D31,D19,D6)/SUM(D$51,D$41,D$30,D$18,D$5))</f>
        <v>1041246.8695976306</v>
      </c>
      <c r="E82" s="72">
        <f t="shared" si="25"/>
        <v>6167680.5823066542</v>
      </c>
      <c r="H82" s="79">
        <f t="shared" si="24"/>
        <v>7779370.6258568075</v>
      </c>
    </row>
    <row r="83" spans="1:12" x14ac:dyDescent="0.25">
      <c r="B83" s="24">
        <v>2025</v>
      </c>
      <c r="C83" s="72">
        <f t="shared" ref="C83:C84" si="26">C82*(SUM(C53,C43,C32,C20,C7)/SUM(C$51,C$41,C$30,C$18,C$5))</f>
        <v>505055.12348208873</v>
      </c>
      <c r="D83" s="72">
        <f t="shared" si="25"/>
        <v>1008157.1448991842</v>
      </c>
      <c r="E83" s="72">
        <f t="shared" si="25"/>
        <v>6207716.4251479078</v>
      </c>
      <c r="H83" s="79">
        <f t="shared" si="24"/>
        <v>7720928.6935291812</v>
      </c>
    </row>
    <row r="84" spans="1:12" x14ac:dyDescent="0.25">
      <c r="B84" s="22">
        <v>2026</v>
      </c>
      <c r="C84" s="72">
        <f t="shared" si="26"/>
        <v>447130.88048080233</v>
      </c>
      <c r="D84" s="72">
        <f t="shared" si="25"/>
        <v>975564.03150568984</v>
      </c>
      <c r="E84" s="72">
        <f t="shared" si="25"/>
        <v>6247667.0961535303</v>
      </c>
      <c r="H84" s="79">
        <f t="shared" si="24"/>
        <v>7670362.0081400219</v>
      </c>
    </row>
    <row r="85" spans="1:12" x14ac:dyDescent="0.25">
      <c r="C85" s="72"/>
      <c r="D85" s="72"/>
      <c r="E85" s="72"/>
    </row>
    <row r="86" spans="1:12" x14ac:dyDescent="0.25">
      <c r="A86" s="21">
        <v>2024</v>
      </c>
      <c r="B86" s="22">
        <v>2024</v>
      </c>
      <c r="C86" s="72">
        <f>'CDM Framework'!S36</f>
        <v>1274889.6192068276</v>
      </c>
      <c r="D86" s="72">
        <f>'CDM Framework'!S37</f>
        <v>2004620.2342562422</v>
      </c>
      <c r="E86" s="72">
        <f>'CDM Framework'!S38</f>
        <v>9026864.2384239547</v>
      </c>
      <c r="H86" s="79">
        <f t="shared" ref="H86:H88" si="27">SUM(C86:G86)</f>
        <v>12306374.091887023</v>
      </c>
    </row>
    <row r="87" spans="1:12" x14ac:dyDescent="0.25">
      <c r="B87" s="24">
        <v>2025</v>
      </c>
      <c r="C87" s="72">
        <f>C86*(SUM(C52,C42,C31,C19,C6)/SUM(C$51,C$41,C$30,C$18,C$5))</f>
        <v>1129244.6504774429</v>
      </c>
      <c r="D87" s="72">
        <f t="shared" ref="D87:E87" si="28">D86*(SUM(D52,D42,D31,D19,D6)/SUM(D$51,D$41,D$30,D$18,D$5))</f>
        <v>1966244.558523047</v>
      </c>
      <c r="E87" s="72">
        <f t="shared" si="28"/>
        <v>8908364.9371065721</v>
      </c>
      <c r="H87" s="79">
        <f t="shared" si="27"/>
        <v>12003854.146107063</v>
      </c>
    </row>
    <row r="88" spans="1:12" x14ac:dyDescent="0.25">
      <c r="B88" s="22">
        <v>2026</v>
      </c>
      <c r="C88" s="72">
        <f>C87*(SUM(C53,C43,C32,C20,C7)/SUM(C$51,C$41,C$30,C$18,C$5))</f>
        <v>999802.99954617582</v>
      </c>
      <c r="D88" s="72">
        <f t="shared" ref="D88:E88" si="29">D87*(SUM(D53,D43,D32,D20,D7)/SUM(D$51,D$41,D$30,D$18,D$5))</f>
        <v>1903759.3851880359</v>
      </c>
      <c r="E88" s="72">
        <f t="shared" si="29"/>
        <v>8966191.1967247631</v>
      </c>
      <c r="H88" s="79">
        <f t="shared" si="27"/>
        <v>11869753.581458975</v>
      </c>
      <c r="I88" s="81"/>
      <c r="J88" s="81"/>
    </row>
    <row r="89" spans="1:12" x14ac:dyDescent="0.25">
      <c r="C89" s="72"/>
      <c r="D89" s="72"/>
      <c r="E89" s="72"/>
      <c r="K89" s="79"/>
      <c r="L89" s="80"/>
    </row>
    <row r="90" spans="1:12" x14ac:dyDescent="0.25">
      <c r="A90" s="21">
        <v>2025</v>
      </c>
      <c r="B90" s="24">
        <v>2025</v>
      </c>
      <c r="C90" s="72">
        <f>'CDM Framework'!T36</f>
        <v>1274889.6192068276</v>
      </c>
      <c r="D90" s="72">
        <f>'CDM Framework'!T37</f>
        <v>2004620.2342562422</v>
      </c>
      <c r="E90" s="72">
        <f>'CDM Framework'!T38</f>
        <v>9026864.2384239547</v>
      </c>
      <c r="H90" s="79">
        <f t="shared" ref="H90:H93" si="30">SUM(C90:G90)</f>
        <v>12306374.091887023</v>
      </c>
      <c r="I90" s="79"/>
      <c r="J90" s="23"/>
    </row>
    <row r="91" spans="1:12" x14ac:dyDescent="0.25">
      <c r="B91" s="22">
        <v>2026</v>
      </c>
      <c r="C91" s="72">
        <f>C90*(SUM(C52,C42,C31,C19,C6)/SUM(C$51,C$41,C$30,C$18,C$5))</f>
        <v>1129244.6504774429</v>
      </c>
      <c r="D91" s="72">
        <f t="shared" ref="D91:E91" si="31">D90*(SUM(D52,D42,D31,D19,D6)/SUM(D$51,D$41,D$30,D$18,D$5))</f>
        <v>1966244.558523047</v>
      </c>
      <c r="E91" s="72">
        <f t="shared" si="31"/>
        <v>8908364.9371065721</v>
      </c>
      <c r="H91" s="79">
        <f t="shared" si="30"/>
        <v>12003854.146107063</v>
      </c>
      <c r="I91" s="80"/>
      <c r="J91" s="23"/>
    </row>
    <row r="92" spans="1:12" x14ac:dyDescent="0.25">
      <c r="C92" s="72"/>
      <c r="D92" s="72"/>
      <c r="E92" s="72"/>
    </row>
    <row r="93" spans="1:12" x14ac:dyDescent="0.25">
      <c r="A93" s="21">
        <v>2026</v>
      </c>
      <c r="B93" s="22">
        <v>2026</v>
      </c>
      <c r="C93" s="23">
        <f>'CDM Framework'!U36</f>
        <v>1274889.6192068276</v>
      </c>
      <c r="D93" s="23">
        <f>'CDM Framework'!U37</f>
        <v>2004620.2342562422</v>
      </c>
      <c r="E93" s="23">
        <f>'CDM Framework'!U38</f>
        <v>9026864.2384239547</v>
      </c>
      <c r="H93" s="79">
        <f t="shared" si="30"/>
        <v>12306374.091887023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A140"/>
  <sheetViews>
    <sheetView topLeftCell="O1" zoomScaleNormal="100" workbookViewId="0">
      <selection activeCell="W17" sqref="W17"/>
    </sheetView>
  </sheetViews>
  <sheetFormatPr defaultColWidth="9.33203125" defaultRowHeight="12.75" x14ac:dyDescent="0.2"/>
  <cols>
    <col min="1" max="1" width="10.5" bestFit="1" customWidth="1"/>
    <col min="4" max="4" width="14.6640625" bestFit="1" customWidth="1"/>
    <col min="7" max="8" width="9.6640625" customWidth="1"/>
    <col min="9" max="9" width="12.5" bestFit="1" customWidth="1"/>
    <col min="11" max="11" width="14.6640625" bestFit="1" customWidth="1"/>
    <col min="12" max="12" width="12.83203125" bestFit="1" customWidth="1"/>
    <col min="13" max="13" width="13.83203125" bestFit="1" customWidth="1"/>
    <col min="14" max="15" width="12.5" customWidth="1"/>
    <col min="16" max="16" width="13.5" customWidth="1"/>
    <col min="17" max="17" width="14.33203125" bestFit="1" customWidth="1"/>
    <col min="18" max="18" width="14.6640625" bestFit="1" customWidth="1"/>
    <col min="20" max="20" width="15.1640625" bestFit="1" customWidth="1"/>
    <col min="21" max="21" width="15.33203125" customWidth="1"/>
    <col min="22" max="22" width="17.6640625" customWidth="1"/>
    <col min="23" max="23" width="14.1640625" customWidth="1"/>
    <col min="24" max="24" width="12.1640625" customWidth="1"/>
    <col min="25" max="25" width="12.5" bestFit="1" customWidth="1"/>
    <col min="26" max="26" width="15.6640625" customWidth="1"/>
    <col min="27" max="27" width="13.33203125" bestFit="1" customWidth="1"/>
  </cols>
  <sheetData>
    <row r="1" spans="1:25" x14ac:dyDescent="0.2">
      <c r="A1" s="373" t="str">
        <f>'Monthly Data'!A1</f>
        <v>Date</v>
      </c>
      <c r="B1" s="351" t="s">
        <v>0</v>
      </c>
      <c r="C1" s="351" t="s">
        <v>28</v>
      </c>
      <c r="D1" s="374" t="str">
        <f>'Monthly Data'!F1</f>
        <v>Res_NoCDM</v>
      </c>
      <c r="E1" s="375" t="str">
        <f>'Monthly Data'!AV1</f>
        <v>HDD14</v>
      </c>
      <c r="F1" s="375" t="str">
        <f>'Monthly Data'!AW1</f>
        <v>CDD14</v>
      </c>
      <c r="G1" s="376" t="str">
        <f>'Monthly Data'!Z1</f>
        <v>OEA_GDP</v>
      </c>
      <c r="H1" s="351" t="str">
        <f>'Monthly Data'!BR1</f>
        <v>Shoulder</v>
      </c>
      <c r="I1" s="375" t="str">
        <f>'Monthly Data'!BT1</f>
        <v>Month Days</v>
      </c>
      <c r="K1" s="351" t="s">
        <v>72</v>
      </c>
      <c r="L1" s="375" t="str">
        <f>E1</f>
        <v>HDD14</v>
      </c>
      <c r="M1" s="375" t="str">
        <f>F1</f>
        <v>CDD14</v>
      </c>
      <c r="N1" s="375" t="str">
        <f>G1</f>
        <v>OEA_GDP</v>
      </c>
      <c r="O1" s="375" t="str">
        <f>H1</f>
        <v>Shoulder</v>
      </c>
      <c r="P1" s="375" t="str">
        <f>I1</f>
        <v>Month Days</v>
      </c>
      <c r="Q1" s="351" t="s">
        <v>82</v>
      </c>
      <c r="R1" s="351" t="s">
        <v>83</v>
      </c>
    </row>
    <row r="2" spans="1:25" x14ac:dyDescent="0.2">
      <c r="A2" s="9">
        <f>'Monthly Data'!A2</f>
        <v>42005</v>
      </c>
      <c r="B2">
        <f t="shared" ref="B2:B56" si="0">YEAR(A2)</f>
        <v>2015</v>
      </c>
      <c r="C2">
        <f t="shared" ref="C2:C56" si="1">MONTH(A2)</f>
        <v>1</v>
      </c>
      <c r="D2" s="31">
        <f>'Monthly Data'!F2</f>
        <v>49127092.146981061</v>
      </c>
      <c r="E2" s="33">
        <f>'Monthly Data'!AV2</f>
        <v>615.5999999999998</v>
      </c>
      <c r="F2" s="33">
        <f>'Monthly Data'!AW2</f>
        <v>0</v>
      </c>
      <c r="G2" s="18">
        <f>'Monthly Data'!Z2</f>
        <v>699057</v>
      </c>
      <c r="H2">
        <f>'Monthly Data'!BR2</f>
        <v>0</v>
      </c>
      <c r="I2" s="33">
        <f>'Monthly Data'!BT2</f>
        <v>31</v>
      </c>
      <c r="K2" s="18">
        <f>'Res Predicted Monthly'!$V$9</f>
        <v>-23284736.647811599</v>
      </c>
      <c r="L2" s="18">
        <f>E2*'Res Predicted Monthly'!$V$10</f>
        <v>8425039.172373604</v>
      </c>
      <c r="M2" s="18">
        <f>F2*'Res Predicted Monthly'!$V$11</f>
        <v>0</v>
      </c>
      <c r="N2" s="18">
        <f>G2*'Res Predicted Monthly'!$V$12</f>
        <v>13372301.475205945</v>
      </c>
      <c r="O2" s="18">
        <f>H2*'Res Predicted Monthly'!$V$13</f>
        <v>0</v>
      </c>
      <c r="P2" s="18">
        <f>I2*'Res Predicted Monthly'!$V$14</f>
        <v>48424797.051816143</v>
      </c>
      <c r="Q2" s="18">
        <f t="shared" ref="Q2:Q21" si="2">SUM(K2:P2)</f>
        <v>46937401.051584095</v>
      </c>
      <c r="R2" s="18">
        <f t="shared" ref="R2:R21" si="3">Q2-D2</f>
        <v>-2189691.0953969657</v>
      </c>
      <c r="S2" s="35">
        <f t="shared" ref="S2:S21" si="4">ABS(R2/D2)</f>
        <v>4.4571966296025237E-2</v>
      </c>
    </row>
    <row r="3" spans="1:25" x14ac:dyDescent="0.2">
      <c r="A3" s="9">
        <f>'Monthly Data'!A3</f>
        <v>42036</v>
      </c>
      <c r="B3">
        <f t="shared" si="0"/>
        <v>2015</v>
      </c>
      <c r="C3">
        <f t="shared" si="1"/>
        <v>2</v>
      </c>
      <c r="D3" s="31">
        <f>'Monthly Data'!F3</f>
        <v>42235859.033245198</v>
      </c>
      <c r="E3" s="33">
        <f>'Monthly Data'!AV3</f>
        <v>703.89999999999986</v>
      </c>
      <c r="F3" s="33">
        <f>'Monthly Data'!AW3</f>
        <v>0</v>
      </c>
      <c r="G3" s="18">
        <f>'Monthly Data'!Z3</f>
        <v>699057</v>
      </c>
      <c r="H3">
        <f>'Monthly Data'!BR3</f>
        <v>0</v>
      </c>
      <c r="I3" s="33">
        <f>'Monthly Data'!BT3</f>
        <v>28</v>
      </c>
      <c r="K3" s="18">
        <f>'Res Predicted Monthly'!$V$9</f>
        <v>-23284736.647811599</v>
      </c>
      <c r="L3" s="18">
        <f>E3*'Res Predicted Monthly'!$V$10</f>
        <v>9633504.0179236196</v>
      </c>
      <c r="M3" s="18">
        <f>F3*'Res Predicted Monthly'!$V$11</f>
        <v>0</v>
      </c>
      <c r="N3" s="18">
        <f>G3*'Res Predicted Monthly'!$V$12</f>
        <v>13372301.475205945</v>
      </c>
      <c r="O3" s="18">
        <f>H3*'Res Predicted Monthly'!$V$13</f>
        <v>0</v>
      </c>
      <c r="P3" s="18">
        <f>I3*'Res Predicted Monthly'!$V$14</f>
        <v>43738526.369382322</v>
      </c>
      <c r="Q3" s="18">
        <f t="shared" si="2"/>
        <v>43459595.214700289</v>
      </c>
      <c r="R3" s="18">
        <f t="shared" si="3"/>
        <v>1223736.1814550906</v>
      </c>
      <c r="S3" s="35">
        <f t="shared" si="4"/>
        <v>2.8973867454473903E-2</v>
      </c>
    </row>
    <row r="4" spans="1:25" x14ac:dyDescent="0.2">
      <c r="A4" s="9">
        <f>'Monthly Data'!A4</f>
        <v>42064</v>
      </c>
      <c r="B4">
        <f t="shared" si="0"/>
        <v>2015</v>
      </c>
      <c r="C4">
        <f t="shared" si="1"/>
        <v>3</v>
      </c>
      <c r="D4" s="31">
        <f>'Monthly Data'!F4</f>
        <v>42686019.919509344</v>
      </c>
      <c r="E4" s="33">
        <f>'Monthly Data'!AV4</f>
        <v>469.99999999999994</v>
      </c>
      <c r="F4" s="33">
        <f>'Monthly Data'!AW4</f>
        <v>0</v>
      </c>
      <c r="G4" s="18">
        <f>'Monthly Data'!Z4</f>
        <v>699057</v>
      </c>
      <c r="H4">
        <f>'Monthly Data'!BR4</f>
        <v>1</v>
      </c>
      <c r="I4" s="33">
        <f>'Monthly Data'!BT4</f>
        <v>31</v>
      </c>
      <c r="K4" s="18">
        <f>'Res Predicted Monthly'!$V$9</f>
        <v>-23284736.647811599</v>
      </c>
      <c r="L4" s="18">
        <f>E4*'Res Predicted Monthly'!$V$10</f>
        <v>6432372.3375821868</v>
      </c>
      <c r="M4" s="18">
        <f>F4*'Res Predicted Monthly'!$V$11</f>
        <v>0</v>
      </c>
      <c r="N4" s="18">
        <f>G4*'Res Predicted Monthly'!$V$12</f>
        <v>13372301.475205945</v>
      </c>
      <c r="O4" s="18">
        <f>H4*'Res Predicted Monthly'!$V$13</f>
        <v>-2837598.3252266399</v>
      </c>
      <c r="P4" s="18">
        <f>I4*'Res Predicted Monthly'!$V$14</f>
        <v>48424797.051816143</v>
      </c>
      <c r="Q4" s="18">
        <f t="shared" si="2"/>
        <v>42107135.891566038</v>
      </c>
      <c r="R4" s="18">
        <f t="shared" si="3"/>
        <v>-578884.02794330567</v>
      </c>
      <c r="S4" s="35">
        <f t="shared" si="4"/>
        <v>1.3561443044698829E-2</v>
      </c>
      <c r="U4" t="s">
        <v>523</v>
      </c>
    </row>
    <row r="5" spans="1:25" x14ac:dyDescent="0.2">
      <c r="A5" s="9">
        <f>'Monthly Data'!A5</f>
        <v>42095</v>
      </c>
      <c r="B5">
        <f t="shared" si="0"/>
        <v>2015</v>
      </c>
      <c r="C5">
        <f t="shared" si="1"/>
        <v>4</v>
      </c>
      <c r="D5" s="31">
        <f>'Monthly Data'!F5</f>
        <v>37892574.805773482</v>
      </c>
      <c r="E5" s="33">
        <f>'Monthly Data'!AV5</f>
        <v>203.49999999999991</v>
      </c>
      <c r="F5" s="33">
        <f>'Monthly Data'!AW5</f>
        <v>1.5999999999999996</v>
      </c>
      <c r="G5" s="18">
        <f>'Monthly Data'!Z5</f>
        <v>705966</v>
      </c>
      <c r="H5">
        <f>'Monthly Data'!BR5</f>
        <v>1</v>
      </c>
      <c r="I5" s="33">
        <f>'Monthly Data'!BT5</f>
        <v>30</v>
      </c>
      <c r="K5" s="18">
        <f>'Res Predicted Monthly'!$V$9</f>
        <v>-23284736.647811599</v>
      </c>
      <c r="L5" s="18">
        <f>E5*'Res Predicted Monthly'!$V$10</f>
        <v>2785080.3631871804</v>
      </c>
      <c r="M5" s="18">
        <f>F5*'Res Predicted Monthly'!$V$11</f>
        <v>128294.13821850093</v>
      </c>
      <c r="N5" s="18">
        <f>G5*'Res Predicted Monthly'!$V$12</f>
        <v>13504464.132746315</v>
      </c>
      <c r="O5" s="18">
        <f>H5*'Res Predicted Monthly'!$V$13</f>
        <v>-2837598.3252266399</v>
      </c>
      <c r="P5" s="18">
        <f>I5*'Res Predicted Monthly'!$V$14</f>
        <v>46862706.824338198</v>
      </c>
      <c r="Q5" s="18">
        <f t="shared" si="2"/>
        <v>37158210.485451952</v>
      </c>
      <c r="R5" s="18">
        <f t="shared" si="3"/>
        <v>-734364.3203215301</v>
      </c>
      <c r="S5" s="35">
        <f t="shared" si="4"/>
        <v>1.9380164163709433E-2</v>
      </c>
      <c r="U5" t="s">
        <v>195</v>
      </c>
    </row>
    <row r="6" spans="1:25" x14ac:dyDescent="0.2">
      <c r="A6" s="9">
        <f>'Monthly Data'!A6</f>
        <v>42125</v>
      </c>
      <c r="B6">
        <f t="shared" si="0"/>
        <v>2015</v>
      </c>
      <c r="C6">
        <f t="shared" si="1"/>
        <v>5</v>
      </c>
      <c r="D6" s="31">
        <f>'Monthly Data'!F6</f>
        <v>40054347.692037627</v>
      </c>
      <c r="E6" s="33">
        <f>'Monthly Data'!AV6</f>
        <v>44.20000000000001</v>
      </c>
      <c r="F6" s="33">
        <f>'Monthly Data'!AW6</f>
        <v>60.8</v>
      </c>
      <c r="G6" s="18">
        <f>'Monthly Data'!Z6</f>
        <v>705966</v>
      </c>
      <c r="H6">
        <f>'Monthly Data'!BR6</f>
        <v>1</v>
      </c>
      <c r="I6" s="33">
        <f>'Monthly Data'!BT6</f>
        <v>31</v>
      </c>
      <c r="K6" s="18">
        <f>'Res Predicted Monthly'!$V$9</f>
        <v>-23284736.647811599</v>
      </c>
      <c r="L6" s="18">
        <f>E6*'Res Predicted Monthly'!$V$10</f>
        <v>604916.71770453779</v>
      </c>
      <c r="M6" s="18">
        <f>F6*'Res Predicted Monthly'!$V$11</f>
        <v>4875177.2523030359</v>
      </c>
      <c r="N6" s="18">
        <f>G6*'Res Predicted Monthly'!$V$12</f>
        <v>13504464.132746315</v>
      </c>
      <c r="O6" s="18">
        <f>H6*'Res Predicted Monthly'!$V$13</f>
        <v>-2837598.3252266399</v>
      </c>
      <c r="P6" s="18">
        <f>I6*'Res Predicted Monthly'!$V$14</f>
        <v>48424797.051816143</v>
      </c>
      <c r="Q6" s="18">
        <f t="shared" si="2"/>
        <v>41287020.181531794</v>
      </c>
      <c r="R6" s="18">
        <f t="shared" si="3"/>
        <v>1232672.4894941673</v>
      </c>
      <c r="S6" s="35">
        <f t="shared" si="4"/>
        <v>3.0774998483852709E-2</v>
      </c>
      <c r="U6" t="s">
        <v>524</v>
      </c>
    </row>
    <row r="7" spans="1:25" x14ac:dyDescent="0.2">
      <c r="A7" s="9">
        <f>'Monthly Data'!A7</f>
        <v>42156</v>
      </c>
      <c r="B7">
        <f t="shared" si="0"/>
        <v>2015</v>
      </c>
      <c r="C7">
        <f t="shared" si="1"/>
        <v>6</v>
      </c>
      <c r="D7" s="31">
        <f>'Monthly Data'!F7</f>
        <v>45422610.578301765</v>
      </c>
      <c r="E7" s="33">
        <f>'Monthly Data'!AV7</f>
        <v>11.4</v>
      </c>
      <c r="F7" s="33">
        <f>'Monthly Data'!AW7</f>
        <v>98.000000000000028</v>
      </c>
      <c r="G7" s="18">
        <f>'Monthly Data'!Z7</f>
        <v>705966</v>
      </c>
      <c r="H7">
        <f>'Monthly Data'!BR7</f>
        <v>0</v>
      </c>
      <c r="I7" s="33">
        <f>'Monthly Data'!BT7</f>
        <v>30</v>
      </c>
      <c r="K7" s="18">
        <f>'Res Predicted Monthly'!$V$9</f>
        <v>-23284736.647811599</v>
      </c>
      <c r="L7" s="18">
        <f>E7*'Res Predicted Monthly'!$V$10</f>
        <v>156019.24393284458</v>
      </c>
      <c r="M7" s="18">
        <f>F7*'Res Predicted Monthly'!$V$11</f>
        <v>7858015.9658831861</v>
      </c>
      <c r="N7" s="18">
        <f>G7*'Res Predicted Monthly'!$V$12</f>
        <v>13504464.132746315</v>
      </c>
      <c r="O7" s="18">
        <f>H7*'Res Predicted Monthly'!$V$13</f>
        <v>0</v>
      </c>
      <c r="P7" s="18">
        <f>I7*'Res Predicted Monthly'!$V$14</f>
        <v>46862706.824338198</v>
      </c>
      <c r="Q7" s="18">
        <f t="shared" si="2"/>
        <v>45096469.519088939</v>
      </c>
      <c r="R7" s="18">
        <f t="shared" si="3"/>
        <v>-326141.05921282619</v>
      </c>
      <c r="S7" s="35">
        <f t="shared" si="4"/>
        <v>7.1801478396008953E-3</v>
      </c>
    </row>
    <row r="8" spans="1:25" x14ac:dyDescent="0.2">
      <c r="A8" s="9">
        <f>'Monthly Data'!A8</f>
        <v>42186</v>
      </c>
      <c r="B8">
        <f t="shared" si="0"/>
        <v>2015</v>
      </c>
      <c r="C8">
        <f t="shared" si="1"/>
        <v>7</v>
      </c>
      <c r="D8" s="31">
        <f>'Monthly Data'!F8</f>
        <v>53739568.464565903</v>
      </c>
      <c r="E8" s="33">
        <f>'Monthly Data'!AV8</f>
        <v>0</v>
      </c>
      <c r="F8" s="33">
        <f>'Monthly Data'!AW8</f>
        <v>244.9</v>
      </c>
      <c r="G8" s="18">
        <f>'Monthly Data'!Z8</f>
        <v>713152</v>
      </c>
      <c r="H8">
        <f>'Monthly Data'!BR8</f>
        <v>0</v>
      </c>
      <c r="I8" s="33">
        <f>'Monthly Data'!BT8</f>
        <v>31</v>
      </c>
      <c r="K8" s="18">
        <f>'Res Predicted Monthly'!$V$9</f>
        <v>-23284736.647811599</v>
      </c>
      <c r="L8" s="18">
        <f>E8*'Res Predicted Monthly'!$V$10</f>
        <v>0</v>
      </c>
      <c r="M8" s="18">
        <f>F8*'Res Predicted Monthly'!$V$11</f>
        <v>19637021.531069301</v>
      </c>
      <c r="N8" s="18">
        <f>G8*'Res Predicted Monthly'!$V$12</f>
        <v>13641925.53918503</v>
      </c>
      <c r="O8" s="18">
        <f>H8*'Res Predicted Monthly'!$V$13</f>
        <v>0</v>
      </c>
      <c r="P8" s="18">
        <f>I8*'Res Predicted Monthly'!$V$14</f>
        <v>48424797.051816143</v>
      </c>
      <c r="Q8" s="18">
        <f t="shared" si="2"/>
        <v>58419007.474258877</v>
      </c>
      <c r="R8" s="18">
        <f t="shared" si="3"/>
        <v>4679439.0096929744</v>
      </c>
      <c r="S8" s="35">
        <f t="shared" si="4"/>
        <v>8.707622973895747E-2</v>
      </c>
      <c r="V8" t="s">
        <v>68</v>
      </c>
      <c r="W8" t="s">
        <v>69</v>
      </c>
      <c r="X8" t="s">
        <v>70</v>
      </c>
      <c r="Y8" t="s">
        <v>71</v>
      </c>
    </row>
    <row r="9" spans="1:25" x14ac:dyDescent="0.2">
      <c r="A9" s="9">
        <f>'Monthly Data'!A9</f>
        <v>42217</v>
      </c>
      <c r="B9">
        <f t="shared" si="0"/>
        <v>2015</v>
      </c>
      <c r="C9">
        <f t="shared" si="1"/>
        <v>8</v>
      </c>
      <c r="D9" s="31">
        <f>'Monthly Data'!F9</f>
        <v>54462241.350830048</v>
      </c>
      <c r="E9" s="33">
        <f>'Monthly Data'!AV9</f>
        <v>0</v>
      </c>
      <c r="F9" s="33">
        <f>'Monthly Data'!AW9</f>
        <v>210.70000000000002</v>
      </c>
      <c r="G9" s="18">
        <f>'Monthly Data'!Z9</f>
        <v>713152</v>
      </c>
      <c r="H9">
        <f>'Monthly Data'!BR9</f>
        <v>0</v>
      </c>
      <c r="I9" s="33">
        <f>'Monthly Data'!BT9</f>
        <v>31</v>
      </c>
      <c r="K9" s="18">
        <f>'Res Predicted Monthly'!$V$9</f>
        <v>-23284736.647811599</v>
      </c>
      <c r="L9" s="18">
        <f>E9*'Res Predicted Monthly'!$V$10</f>
        <v>0</v>
      </c>
      <c r="M9" s="18">
        <f>F9*'Res Predicted Monthly'!$V$11</f>
        <v>16894734.326648846</v>
      </c>
      <c r="N9" s="18">
        <f>G9*'Res Predicted Monthly'!$V$12</f>
        <v>13641925.53918503</v>
      </c>
      <c r="O9" s="18">
        <f>H9*'Res Predicted Monthly'!$V$13</f>
        <v>0</v>
      </c>
      <c r="P9" s="18">
        <f>I9*'Res Predicted Monthly'!$V$14</f>
        <v>48424797.051816143</v>
      </c>
      <c r="Q9" s="18">
        <f t="shared" si="2"/>
        <v>55676720.269838423</v>
      </c>
      <c r="R9" s="18">
        <f t="shared" si="3"/>
        <v>1214478.9190083742</v>
      </c>
      <c r="S9" s="35">
        <f t="shared" si="4"/>
        <v>2.229946636211777E-2</v>
      </c>
      <c r="U9" t="s">
        <v>72</v>
      </c>
      <c r="V9" s="18">
        <v>-23284736.647811599</v>
      </c>
      <c r="W9" s="20">
        <v>6043865.7259796904</v>
      </c>
      <c r="X9" s="464">
        <v>-3.8526230898415901</v>
      </c>
      <c r="Y9" s="465">
        <v>1.9357317743399301E-4</v>
      </c>
    </row>
    <row r="10" spans="1:25" x14ac:dyDescent="0.2">
      <c r="A10" s="9">
        <f>'Monthly Data'!A10</f>
        <v>42248</v>
      </c>
      <c r="B10">
        <f t="shared" si="0"/>
        <v>2015</v>
      </c>
      <c r="C10">
        <f t="shared" si="1"/>
        <v>9</v>
      </c>
      <c r="D10" s="31">
        <f>'Monthly Data'!F10</f>
        <v>47137858.237094186</v>
      </c>
      <c r="E10" s="33">
        <f>'Monthly Data'!AV10</f>
        <v>9.9999999999999645E-2</v>
      </c>
      <c r="F10" s="33">
        <f>'Monthly Data'!AW10</f>
        <v>181</v>
      </c>
      <c r="G10" s="18">
        <f>'Monthly Data'!Z10</f>
        <v>713152</v>
      </c>
      <c r="H10">
        <f>'Monthly Data'!BR10</f>
        <v>1</v>
      </c>
      <c r="I10" s="33">
        <f>'Monthly Data'!BT10</f>
        <v>30</v>
      </c>
      <c r="K10" s="18">
        <f>'Res Predicted Monthly'!$V$9</f>
        <v>-23284736.647811599</v>
      </c>
      <c r="L10" s="18">
        <f>E10*'Res Predicted Monthly'!$V$10</f>
        <v>1368.5898590600352</v>
      </c>
      <c r="M10" s="18">
        <f>F10*'Res Predicted Monthly'!$V$11</f>
        <v>14513274.38596792</v>
      </c>
      <c r="N10" s="18">
        <f>G10*'Res Predicted Monthly'!$V$12</f>
        <v>13641925.53918503</v>
      </c>
      <c r="O10" s="18">
        <f>H10*'Res Predicted Monthly'!$V$13</f>
        <v>-2837598.3252266399</v>
      </c>
      <c r="P10" s="18">
        <f>I10*'Res Predicted Monthly'!$V$14</f>
        <v>46862706.824338198</v>
      </c>
      <c r="Q10" s="18">
        <f t="shared" si="2"/>
        <v>48896940.366311967</v>
      </c>
      <c r="R10" s="18">
        <f t="shared" si="3"/>
        <v>1759082.1292177811</v>
      </c>
      <c r="S10" s="35">
        <f t="shared" si="4"/>
        <v>3.7317820431508428E-2</v>
      </c>
      <c r="U10" t="s">
        <v>35</v>
      </c>
      <c r="V10" s="18">
        <v>13685.8985906004</v>
      </c>
      <c r="W10" s="20">
        <v>1655.2054331596501</v>
      </c>
      <c r="X10" s="464">
        <v>8.2683987838749307</v>
      </c>
      <c r="Y10" s="465">
        <v>2.8136392785587602E-13</v>
      </c>
    </row>
    <row r="11" spans="1:25" x14ac:dyDescent="0.2">
      <c r="A11" s="9">
        <f>'Monthly Data'!A11</f>
        <v>42278</v>
      </c>
      <c r="B11">
        <f t="shared" si="0"/>
        <v>2015</v>
      </c>
      <c r="C11">
        <f t="shared" si="1"/>
        <v>10</v>
      </c>
      <c r="D11" s="31">
        <f>'Monthly Data'!F11</f>
        <v>41235519.123358332</v>
      </c>
      <c r="E11" s="33">
        <f>'Monthly Data'!AV11</f>
        <v>89.2</v>
      </c>
      <c r="F11" s="33">
        <f>'Monthly Data'!AW11</f>
        <v>14.399999999999997</v>
      </c>
      <c r="G11" s="18">
        <f>'Monthly Data'!Z11</f>
        <v>716976</v>
      </c>
      <c r="H11">
        <f>'Monthly Data'!BR11</f>
        <v>1</v>
      </c>
      <c r="I11" s="33">
        <f>'Monthly Data'!BT11</f>
        <v>31</v>
      </c>
      <c r="K11" s="18">
        <f>'Res Predicted Monthly'!$V$9</f>
        <v>-23284736.647811599</v>
      </c>
      <c r="L11" s="18">
        <f>E11*'Res Predicted Monthly'!$V$10</f>
        <v>1220782.1542815557</v>
      </c>
      <c r="M11" s="18">
        <f>F11*'Res Predicted Monthly'!$V$11</f>
        <v>1154647.2439665084</v>
      </c>
      <c r="N11" s="18">
        <f>G11*'Res Predicted Monthly'!$V$12</f>
        <v>13715075.054662578</v>
      </c>
      <c r="O11" s="18">
        <f>H11*'Res Predicted Monthly'!$V$13</f>
        <v>-2837598.3252266399</v>
      </c>
      <c r="P11" s="18">
        <f>I11*'Res Predicted Monthly'!$V$14</f>
        <v>48424797.051816143</v>
      </c>
      <c r="Q11" s="18">
        <f t="shared" si="2"/>
        <v>38392966.531688549</v>
      </c>
      <c r="R11" s="18">
        <f t="shared" si="3"/>
        <v>-2842552.591669783</v>
      </c>
      <c r="S11" s="35">
        <f t="shared" si="4"/>
        <v>6.8934565445050666E-2</v>
      </c>
      <c r="U11" t="s">
        <v>36</v>
      </c>
      <c r="V11" s="18">
        <v>80183.836386563096</v>
      </c>
      <c r="W11" s="20">
        <v>3284.1628563290501</v>
      </c>
      <c r="X11" s="464">
        <v>24.4153045675057</v>
      </c>
      <c r="Y11" s="465">
        <v>4.2455973214041002E-47</v>
      </c>
    </row>
    <row r="12" spans="1:25" x14ac:dyDescent="0.2">
      <c r="A12" s="9">
        <f>'Monthly Data'!A12</f>
        <v>42309</v>
      </c>
      <c r="B12">
        <f t="shared" si="0"/>
        <v>2015</v>
      </c>
      <c r="C12">
        <f t="shared" si="1"/>
        <v>11</v>
      </c>
      <c r="D12" s="31">
        <f>'Monthly Data'!F12</f>
        <v>37717263.00962247</v>
      </c>
      <c r="E12" s="33">
        <f>'Monthly Data'!AV12</f>
        <v>185.10000000000002</v>
      </c>
      <c r="F12" s="33">
        <f>'Monthly Data'!AW12</f>
        <v>4.0000000000000018</v>
      </c>
      <c r="G12" s="18">
        <f>'Monthly Data'!Z12</f>
        <v>716976</v>
      </c>
      <c r="H12">
        <f>'Monthly Data'!BR12</f>
        <v>1</v>
      </c>
      <c r="I12" s="33">
        <f>'Monthly Data'!BT12</f>
        <v>30</v>
      </c>
      <c r="K12" s="18">
        <f>'Res Predicted Monthly'!$V$9</f>
        <v>-23284736.647811599</v>
      </c>
      <c r="L12" s="18">
        <f>E12*'Res Predicted Monthly'!$V$10</f>
        <v>2533259.8291201345</v>
      </c>
      <c r="M12" s="18">
        <f>F12*'Res Predicted Monthly'!$V$11</f>
        <v>320735.3455462525</v>
      </c>
      <c r="N12" s="18">
        <f>G12*'Res Predicted Monthly'!$V$12</f>
        <v>13715075.054662578</v>
      </c>
      <c r="O12" s="18">
        <f>H12*'Res Predicted Monthly'!$V$13</f>
        <v>-2837598.3252266399</v>
      </c>
      <c r="P12" s="18">
        <f>I12*'Res Predicted Monthly'!$V$14</f>
        <v>46862706.824338198</v>
      </c>
      <c r="Q12" s="18">
        <f t="shared" si="2"/>
        <v>37309442.080628924</v>
      </c>
      <c r="R12" s="18">
        <f t="shared" si="3"/>
        <v>-407820.92899354547</v>
      </c>
      <c r="S12" s="35">
        <f t="shared" si="4"/>
        <v>1.081258014107497E-2</v>
      </c>
      <c r="U12" t="s">
        <v>206</v>
      </c>
      <c r="V12" s="18">
        <v>19.129057394756</v>
      </c>
      <c r="W12" s="20">
        <v>5.5918073557575596</v>
      </c>
      <c r="X12" s="464">
        <v>3.4209077991679901</v>
      </c>
      <c r="Y12" s="465">
        <v>8.6711472215040902E-4</v>
      </c>
    </row>
    <row r="13" spans="1:25" x14ac:dyDescent="0.2">
      <c r="A13" s="9">
        <f>'Monthly Data'!A13</f>
        <v>42339</v>
      </c>
      <c r="B13">
        <f t="shared" si="0"/>
        <v>2015</v>
      </c>
      <c r="C13">
        <f t="shared" si="1"/>
        <v>12</v>
      </c>
      <c r="D13" s="31">
        <f>'Monthly Data'!F13</f>
        <v>41179905.895886615</v>
      </c>
      <c r="E13" s="33">
        <f>'Monthly Data'!AV13</f>
        <v>270.5</v>
      </c>
      <c r="F13" s="33">
        <f>'Monthly Data'!AW13</f>
        <v>0</v>
      </c>
      <c r="G13" s="18">
        <f>'Monthly Data'!Z13</f>
        <v>716976</v>
      </c>
      <c r="H13">
        <f>'Monthly Data'!BR13</f>
        <v>0</v>
      </c>
      <c r="I13" s="33">
        <f>'Monthly Data'!BT13</f>
        <v>31</v>
      </c>
      <c r="K13" s="18">
        <f>'Res Predicted Monthly'!$V$9</f>
        <v>-23284736.647811599</v>
      </c>
      <c r="L13" s="18">
        <f>E13*'Res Predicted Monthly'!$V$10</f>
        <v>3702035.5687574083</v>
      </c>
      <c r="M13" s="18">
        <f>F13*'Res Predicted Monthly'!$V$11</f>
        <v>0</v>
      </c>
      <c r="N13" s="18">
        <f>G13*'Res Predicted Monthly'!$V$12</f>
        <v>13715075.054662578</v>
      </c>
      <c r="O13" s="18">
        <f>H13*'Res Predicted Monthly'!$V$13</f>
        <v>0</v>
      </c>
      <c r="P13" s="18">
        <f>I13*'Res Predicted Monthly'!$V$14</f>
        <v>48424797.051816143</v>
      </c>
      <c r="Q13" s="18">
        <f t="shared" si="2"/>
        <v>42557171.027424529</v>
      </c>
      <c r="R13" s="18">
        <f t="shared" si="3"/>
        <v>1377265.1315379143</v>
      </c>
      <c r="S13" s="35">
        <f t="shared" si="4"/>
        <v>3.3445077194202304E-2</v>
      </c>
      <c r="U13" t="s">
        <v>64</v>
      </c>
      <c r="V13" s="18">
        <v>-2837598.3252266399</v>
      </c>
      <c r="W13" s="20">
        <v>403106.30301690998</v>
      </c>
      <c r="X13" s="464">
        <v>-7.03933008238673</v>
      </c>
      <c r="Y13" s="465">
        <v>1.54443418432507E-10</v>
      </c>
    </row>
    <row r="14" spans="1:25" x14ac:dyDescent="0.2">
      <c r="A14" s="9">
        <f>'Monthly Data'!A14</f>
        <v>42370</v>
      </c>
      <c r="B14">
        <f t="shared" si="0"/>
        <v>2016</v>
      </c>
      <c r="C14">
        <f t="shared" si="1"/>
        <v>1</v>
      </c>
      <c r="D14" s="31">
        <f>'Monthly Data'!F14</f>
        <v>45255473.713757403</v>
      </c>
      <c r="E14" s="33">
        <f>'Monthly Data'!AV14</f>
        <v>501</v>
      </c>
      <c r="F14" s="33">
        <f>'Monthly Data'!AW14</f>
        <v>0</v>
      </c>
      <c r="G14" s="18">
        <f>'Monthly Data'!Z14</f>
        <v>718587</v>
      </c>
      <c r="H14">
        <f>'Monthly Data'!BR14</f>
        <v>0</v>
      </c>
      <c r="I14" s="33">
        <f>'Monthly Data'!BT14</f>
        <v>31</v>
      </c>
      <c r="K14" s="18">
        <f>'Res Predicted Monthly'!$V$9</f>
        <v>-23284736.647811599</v>
      </c>
      <c r="L14" s="18">
        <f>E14*'Res Predicted Monthly'!$V$10</f>
        <v>6856635.1938908007</v>
      </c>
      <c r="M14" s="18">
        <f>F14*'Res Predicted Monthly'!$V$11</f>
        <v>0</v>
      </c>
      <c r="N14" s="18">
        <f>G14*'Res Predicted Monthly'!$V$12</f>
        <v>13745891.966125529</v>
      </c>
      <c r="O14" s="18">
        <f>H14*'Res Predicted Monthly'!$V$13</f>
        <v>0</v>
      </c>
      <c r="P14" s="18">
        <f>I14*'Res Predicted Monthly'!$V$14</f>
        <v>48424797.051816143</v>
      </c>
      <c r="Q14" s="18">
        <f t="shared" si="2"/>
        <v>45742587.564020872</v>
      </c>
      <c r="R14" s="18">
        <f t="shared" si="3"/>
        <v>487113.85026346892</v>
      </c>
      <c r="S14" s="35">
        <f t="shared" si="4"/>
        <v>1.0763644931538726E-2</v>
      </c>
      <c r="U14" t="s">
        <v>196</v>
      </c>
      <c r="V14" s="18">
        <v>1562090.22747794</v>
      </c>
      <c r="W14" s="20">
        <v>147639.59381578999</v>
      </c>
      <c r="X14" s="464">
        <v>10.580428915477601</v>
      </c>
      <c r="Y14" s="465">
        <v>1.2208670756683301E-18</v>
      </c>
    </row>
    <row r="15" spans="1:25" x14ac:dyDescent="0.2">
      <c r="A15" s="9">
        <f>'Monthly Data'!A15</f>
        <v>42401</v>
      </c>
      <c r="B15">
        <f t="shared" si="0"/>
        <v>2016</v>
      </c>
      <c r="C15">
        <f t="shared" si="1"/>
        <v>2</v>
      </c>
      <c r="D15" s="31">
        <f>'Monthly Data'!F15</f>
        <v>39790337.472733878</v>
      </c>
      <c r="E15" s="33">
        <f>'Monthly Data'!AV15</f>
        <v>428.29999999999995</v>
      </c>
      <c r="F15" s="33">
        <f>'Monthly Data'!AW15</f>
        <v>0</v>
      </c>
      <c r="G15" s="18">
        <f>'Monthly Data'!Z15</f>
        <v>718587</v>
      </c>
      <c r="H15">
        <f>'Monthly Data'!BR15</f>
        <v>0</v>
      </c>
      <c r="I15" s="33">
        <f>'Monthly Data'!BT15</f>
        <v>29</v>
      </c>
      <c r="K15" s="18">
        <f>'Res Predicted Monthly'!$V$9</f>
        <v>-23284736.647811599</v>
      </c>
      <c r="L15" s="18">
        <f>E15*'Res Predicted Monthly'!$V$10</f>
        <v>5861670.3663541507</v>
      </c>
      <c r="M15" s="18">
        <f>F15*'Res Predicted Monthly'!$V$11</f>
        <v>0</v>
      </c>
      <c r="N15" s="18">
        <f>G15*'Res Predicted Monthly'!$V$12</f>
        <v>13745891.966125529</v>
      </c>
      <c r="O15" s="18">
        <f>H15*'Res Predicted Monthly'!$V$13</f>
        <v>0</v>
      </c>
      <c r="P15" s="18">
        <f>I15*'Res Predicted Monthly'!$V$14</f>
        <v>45300616.59686026</v>
      </c>
      <c r="Q15" s="18">
        <f t="shared" si="2"/>
        <v>41623442.281528339</v>
      </c>
      <c r="R15" s="18">
        <f t="shared" si="3"/>
        <v>1833104.8087944612</v>
      </c>
      <c r="S15" s="35">
        <f t="shared" si="4"/>
        <v>4.6069094288295163E-2</v>
      </c>
      <c r="V15" s="18"/>
      <c r="W15" s="18"/>
      <c r="X15" s="384"/>
      <c r="Y15" s="32"/>
    </row>
    <row r="16" spans="1:25" x14ac:dyDescent="0.2">
      <c r="A16" s="9">
        <f>'Monthly Data'!A16</f>
        <v>42430</v>
      </c>
      <c r="B16">
        <f t="shared" si="0"/>
        <v>2016</v>
      </c>
      <c r="C16">
        <f t="shared" si="1"/>
        <v>3</v>
      </c>
      <c r="D16" s="31">
        <f>'Monthly Data'!F16</f>
        <v>39893155.231710352</v>
      </c>
      <c r="E16" s="33">
        <f>'Monthly Data'!AV16</f>
        <v>327.2</v>
      </c>
      <c r="F16" s="33">
        <f>'Monthly Data'!AW16</f>
        <v>0</v>
      </c>
      <c r="G16" s="18">
        <f>'Monthly Data'!Z16</f>
        <v>718587</v>
      </c>
      <c r="H16">
        <f>'Monthly Data'!BR16</f>
        <v>1</v>
      </c>
      <c r="I16" s="33">
        <f>'Monthly Data'!BT16</f>
        <v>31</v>
      </c>
      <c r="K16" s="18">
        <f>'Res Predicted Monthly'!$V$9</f>
        <v>-23284736.647811599</v>
      </c>
      <c r="L16" s="18">
        <f>E16*'Res Predicted Monthly'!$V$10</f>
        <v>4478026.0188444508</v>
      </c>
      <c r="M16" s="18">
        <f>F16*'Res Predicted Monthly'!$V$11</f>
        <v>0</v>
      </c>
      <c r="N16" s="18">
        <f>G16*'Res Predicted Monthly'!$V$12</f>
        <v>13745891.966125529</v>
      </c>
      <c r="O16" s="18">
        <f>H16*'Res Predicted Monthly'!$V$13</f>
        <v>-2837598.3252266399</v>
      </c>
      <c r="P16" s="18">
        <f>I16*'Res Predicted Monthly'!$V$14</f>
        <v>48424797.051816143</v>
      </c>
      <c r="Q16" s="18">
        <f t="shared" si="2"/>
        <v>40526380.063747883</v>
      </c>
      <c r="R16" s="18">
        <f t="shared" si="3"/>
        <v>633224.83203753084</v>
      </c>
      <c r="S16" s="35">
        <f t="shared" si="4"/>
        <v>1.5873019528277167E-2</v>
      </c>
      <c r="U16" t="s">
        <v>165</v>
      </c>
    </row>
    <row r="17" spans="1:24" x14ac:dyDescent="0.2">
      <c r="A17" s="9">
        <f>'Monthly Data'!A17</f>
        <v>42461</v>
      </c>
      <c r="B17">
        <f t="shared" si="0"/>
        <v>2016</v>
      </c>
      <c r="C17">
        <f t="shared" si="1"/>
        <v>4</v>
      </c>
      <c r="D17" s="31">
        <f>'Monthly Data'!F17</f>
        <v>37464228.990686826</v>
      </c>
      <c r="E17" s="33">
        <f>'Monthly Data'!AV17</f>
        <v>273.7999999999999</v>
      </c>
      <c r="F17" s="33">
        <f>'Monthly Data'!AW17</f>
        <v>2.8000000000000007</v>
      </c>
      <c r="G17" s="18">
        <f>'Monthly Data'!Z17</f>
        <v>723726</v>
      </c>
      <c r="H17">
        <f>'Monthly Data'!BR17</f>
        <v>1</v>
      </c>
      <c r="I17" s="33">
        <f>'Monthly Data'!BT17</f>
        <v>30</v>
      </c>
      <c r="K17" s="18">
        <f>'Res Predicted Monthly'!$V$9</f>
        <v>-23284736.647811599</v>
      </c>
      <c r="L17" s="18">
        <f>E17*'Res Predicted Monthly'!$V$10</f>
        <v>3747199.0341063882</v>
      </c>
      <c r="M17" s="18">
        <f>F17*'Res Predicted Monthly'!$V$11</f>
        <v>224514.74188237672</v>
      </c>
      <c r="N17" s="18">
        <f>G17*'Res Predicted Monthly'!$V$12</f>
        <v>13844196.19207718</v>
      </c>
      <c r="O17" s="18">
        <f>H17*'Res Predicted Monthly'!$V$13</f>
        <v>-2837598.3252266399</v>
      </c>
      <c r="P17" s="18">
        <f>I17*'Res Predicted Monthly'!$V$14</f>
        <v>46862706.824338198</v>
      </c>
      <c r="Q17" s="18">
        <f t="shared" si="2"/>
        <v>38556281.819365904</v>
      </c>
      <c r="R17" s="18">
        <f t="shared" si="3"/>
        <v>1092052.8286790773</v>
      </c>
      <c r="S17" s="35">
        <f t="shared" si="4"/>
        <v>2.9149214012933484E-2</v>
      </c>
      <c r="U17" t="s">
        <v>75</v>
      </c>
      <c r="V17" s="467">
        <v>309367937379552</v>
      </c>
      <c r="W17" t="s">
        <v>76</v>
      </c>
      <c r="X17" s="18">
        <v>1647347.5154510499</v>
      </c>
    </row>
    <row r="18" spans="1:24" x14ac:dyDescent="0.2">
      <c r="A18" s="9">
        <f>'Monthly Data'!A18</f>
        <v>42491</v>
      </c>
      <c r="B18">
        <f t="shared" si="0"/>
        <v>2016</v>
      </c>
      <c r="C18">
        <f t="shared" si="1"/>
        <v>5</v>
      </c>
      <c r="D18" s="31">
        <f>'Monthly Data'!F18</f>
        <v>41966514.749663308</v>
      </c>
      <c r="E18" s="33">
        <f>'Monthly Data'!AV18</f>
        <v>74.600000000000009</v>
      </c>
      <c r="F18" s="33">
        <f>'Monthly Data'!AW18</f>
        <v>70.599999999999994</v>
      </c>
      <c r="G18" s="18">
        <f>'Monthly Data'!Z18</f>
        <v>723726</v>
      </c>
      <c r="H18">
        <f>'Monthly Data'!BR18</f>
        <v>1</v>
      </c>
      <c r="I18" s="33">
        <f>'Monthly Data'!BT18</f>
        <v>31</v>
      </c>
      <c r="K18" s="18">
        <f>'Res Predicted Monthly'!$V$9</f>
        <v>-23284736.647811599</v>
      </c>
      <c r="L18" s="18">
        <f>E18*'Res Predicted Monthly'!$V$10</f>
        <v>1020968.03485879</v>
      </c>
      <c r="M18" s="18">
        <f>F18*'Res Predicted Monthly'!$V$11</f>
        <v>5660978.8488913542</v>
      </c>
      <c r="N18" s="18">
        <f>G18*'Res Predicted Monthly'!$V$12</f>
        <v>13844196.19207718</v>
      </c>
      <c r="O18" s="18">
        <f>H18*'Res Predicted Monthly'!$V$13</f>
        <v>-2837598.3252266399</v>
      </c>
      <c r="P18" s="18">
        <f>I18*'Res Predicted Monthly'!$V$14</f>
        <v>48424797.051816143</v>
      </c>
      <c r="Q18" s="18">
        <f t="shared" si="2"/>
        <v>42828605.154605225</v>
      </c>
      <c r="R18" s="18">
        <f t="shared" si="3"/>
        <v>862090.40494191647</v>
      </c>
      <c r="S18" s="35">
        <f t="shared" si="4"/>
        <v>2.054233976980023E-2</v>
      </c>
      <c r="U18" t="s">
        <v>77</v>
      </c>
      <c r="V18" s="465">
        <v>0.95824325677576405</v>
      </c>
      <c r="W18" t="s">
        <v>78</v>
      </c>
      <c r="X18" s="465">
        <v>0.95641182066943797</v>
      </c>
    </row>
    <row r="19" spans="1:24" x14ac:dyDescent="0.2">
      <c r="A19" s="9">
        <f>'Monthly Data'!A19</f>
        <v>42522</v>
      </c>
      <c r="B19">
        <f t="shared" si="0"/>
        <v>2016</v>
      </c>
      <c r="C19">
        <f t="shared" si="1"/>
        <v>6</v>
      </c>
      <c r="D19" s="31">
        <f>'Monthly Data'!F19</f>
        <v>51191605.508639783</v>
      </c>
      <c r="E19" s="33">
        <f>'Monthly Data'!AV19</f>
        <v>2</v>
      </c>
      <c r="F19" s="33">
        <f>'Monthly Data'!AW19</f>
        <v>163.6</v>
      </c>
      <c r="G19" s="18">
        <f>'Monthly Data'!Z19</f>
        <v>723726</v>
      </c>
      <c r="H19">
        <f>'Monthly Data'!BR19</f>
        <v>0</v>
      </c>
      <c r="I19" s="33">
        <f>'Monthly Data'!BT19</f>
        <v>30</v>
      </c>
      <c r="K19" s="18">
        <f>'Res Predicted Monthly'!$V$9</f>
        <v>-23284736.647811599</v>
      </c>
      <c r="L19" s="18">
        <f>E19*'Res Predicted Monthly'!$V$10</f>
        <v>27371.7971812008</v>
      </c>
      <c r="M19" s="18">
        <f>F19*'Res Predicted Monthly'!$V$11</f>
        <v>13118075.632841721</v>
      </c>
      <c r="N19" s="18">
        <f>G19*'Res Predicted Monthly'!$V$12</f>
        <v>13844196.19207718</v>
      </c>
      <c r="O19" s="18">
        <f>H19*'Res Predicted Monthly'!$V$13</f>
        <v>0</v>
      </c>
      <c r="P19" s="18">
        <f>I19*'Res Predicted Monthly'!$V$14</f>
        <v>46862706.824338198</v>
      </c>
      <c r="Q19" s="18">
        <f t="shared" si="2"/>
        <v>50567613.798626699</v>
      </c>
      <c r="R19" s="18">
        <f t="shared" si="3"/>
        <v>-623991.71001308411</v>
      </c>
      <c r="S19" s="35">
        <f t="shared" si="4"/>
        <v>1.218933658776869E-2</v>
      </c>
      <c r="U19" t="s">
        <v>525</v>
      </c>
      <c r="V19" s="464">
        <v>342.81413020574502</v>
      </c>
      <c r="W19" t="s">
        <v>79</v>
      </c>
      <c r="X19" s="465">
        <v>6.2097622254193497E-67</v>
      </c>
    </row>
    <row r="20" spans="1:24" x14ac:dyDescent="0.2">
      <c r="A20" s="9">
        <f>'Monthly Data'!A20</f>
        <v>42552</v>
      </c>
      <c r="B20">
        <f t="shared" si="0"/>
        <v>2016</v>
      </c>
      <c r="C20">
        <f t="shared" si="1"/>
        <v>7</v>
      </c>
      <c r="D20" s="31">
        <f>'Monthly Data'!F20</f>
        <v>62342093.267616257</v>
      </c>
      <c r="E20" s="33">
        <f>'Monthly Data'!AV20</f>
        <v>0</v>
      </c>
      <c r="F20" s="33">
        <f>'Monthly Data'!AW20</f>
        <v>276.5</v>
      </c>
      <c r="G20" s="18">
        <f>'Monthly Data'!Z20</f>
        <v>730341</v>
      </c>
      <c r="H20">
        <f>'Monthly Data'!BR20</f>
        <v>0</v>
      </c>
      <c r="I20" s="33">
        <f>'Monthly Data'!BT20</f>
        <v>31</v>
      </c>
      <c r="K20" s="18">
        <f>'Res Predicted Monthly'!$V$9</f>
        <v>-23284736.647811599</v>
      </c>
      <c r="L20" s="18">
        <f>E20*'Res Predicted Monthly'!$V$10</f>
        <v>0</v>
      </c>
      <c r="M20" s="18">
        <f>F20*'Res Predicted Monthly'!$V$11</f>
        <v>22170830.760884695</v>
      </c>
      <c r="N20" s="18">
        <f>G20*'Res Predicted Monthly'!$V$12</f>
        <v>13970734.906743491</v>
      </c>
      <c r="O20" s="18">
        <f>H20*'Res Predicted Monthly'!$V$13</f>
        <v>0</v>
      </c>
      <c r="P20" s="18">
        <f>I20*'Res Predicted Monthly'!$V$14</f>
        <v>48424797.051816143</v>
      </c>
      <c r="Q20" s="18">
        <f t="shared" si="2"/>
        <v>61281626.071632728</v>
      </c>
      <c r="R20" s="18">
        <f t="shared" si="3"/>
        <v>-1060467.1959835291</v>
      </c>
      <c r="S20" s="35">
        <f t="shared" si="4"/>
        <v>1.701045217444425E-2</v>
      </c>
      <c r="U20" t="s">
        <v>80</v>
      </c>
      <c r="V20" s="465">
        <v>-0.13568154755995701</v>
      </c>
      <c r="W20" t="s">
        <v>81</v>
      </c>
      <c r="X20" s="465">
        <v>2.25148700847119</v>
      </c>
    </row>
    <row r="21" spans="1:24" x14ac:dyDescent="0.2">
      <c r="A21" s="9">
        <f>'Monthly Data'!A21</f>
        <v>42583</v>
      </c>
      <c r="B21">
        <f t="shared" si="0"/>
        <v>2016</v>
      </c>
      <c r="C21">
        <f t="shared" si="1"/>
        <v>8</v>
      </c>
      <c r="D21" s="31">
        <f>'Monthly Data'!F21</f>
        <v>60905685.026592731</v>
      </c>
      <c r="E21" s="33">
        <f>'Monthly Data'!AV21</f>
        <v>0</v>
      </c>
      <c r="F21" s="33">
        <f>'Monthly Data'!AW21</f>
        <v>301.80000000000007</v>
      </c>
      <c r="G21" s="18">
        <f>'Monthly Data'!Z21</f>
        <v>730341</v>
      </c>
      <c r="H21">
        <f>'Monthly Data'!BR21</f>
        <v>0</v>
      </c>
      <c r="I21" s="33">
        <f>'Monthly Data'!BT21</f>
        <v>31</v>
      </c>
      <c r="K21" s="18">
        <f>'Res Predicted Monthly'!$V$9</f>
        <v>-23284736.647811599</v>
      </c>
      <c r="L21" s="18">
        <f>E21*'Res Predicted Monthly'!$V$10</f>
        <v>0</v>
      </c>
      <c r="M21" s="18">
        <f>F21*'Res Predicted Monthly'!$V$11</f>
        <v>24199481.821464747</v>
      </c>
      <c r="N21" s="18">
        <f>G21*'Res Predicted Monthly'!$V$12</f>
        <v>13970734.906743491</v>
      </c>
      <c r="O21" s="18">
        <f>H21*'Res Predicted Monthly'!$V$13</f>
        <v>0</v>
      </c>
      <c r="P21" s="18">
        <f>I21*'Res Predicted Monthly'!$V$14</f>
        <v>48424797.051816143</v>
      </c>
      <c r="Q21" s="18">
        <f t="shared" si="2"/>
        <v>63310277.13221278</v>
      </c>
      <c r="R21" s="18">
        <f t="shared" si="3"/>
        <v>2404592.1056200489</v>
      </c>
      <c r="S21" s="35">
        <f t="shared" si="4"/>
        <v>3.948058550807125E-2</v>
      </c>
    </row>
    <row r="22" spans="1:24" x14ac:dyDescent="0.2">
      <c r="A22" s="9">
        <f>'Monthly Data'!A22</f>
        <v>42614</v>
      </c>
      <c r="B22">
        <f t="shared" si="0"/>
        <v>2016</v>
      </c>
      <c r="C22">
        <f t="shared" si="1"/>
        <v>9</v>
      </c>
      <c r="D22" s="31">
        <f>'Monthly Data'!F22</f>
        <v>50436740.785569206</v>
      </c>
      <c r="E22" s="33">
        <f>'Monthly Data'!AV22</f>
        <v>9.9999999999999645E-2</v>
      </c>
      <c r="F22" s="33">
        <f>'Monthly Data'!AW22</f>
        <v>181</v>
      </c>
      <c r="G22" s="18">
        <f>'Monthly Data'!Z22</f>
        <v>730341</v>
      </c>
      <c r="H22">
        <f>'Monthly Data'!BR22</f>
        <v>1</v>
      </c>
      <c r="I22" s="33">
        <f>'Monthly Data'!BT22</f>
        <v>30</v>
      </c>
      <c r="K22" s="18">
        <f>'Res Predicted Monthly'!$V$9</f>
        <v>-23284736.647811599</v>
      </c>
      <c r="L22" s="18">
        <f>E22*'Res Predicted Monthly'!$V$10</f>
        <v>1368.5898590600352</v>
      </c>
      <c r="M22" s="18">
        <f>F22*'Res Predicted Monthly'!$V$11</f>
        <v>14513274.38596792</v>
      </c>
      <c r="N22" s="18">
        <f>G22*'Res Predicted Monthly'!$V$12</f>
        <v>13970734.906743491</v>
      </c>
      <c r="O22" s="18">
        <f>H22*'Res Predicted Monthly'!$V$13</f>
        <v>-2837598.3252266399</v>
      </c>
      <c r="P22" s="18">
        <f>I22*'Res Predicted Monthly'!$V$14</f>
        <v>46862706.824338198</v>
      </c>
      <c r="Q22" s="18">
        <f t="shared" ref="Q22:Q53" si="5">SUM(K22:P22)</f>
        <v>49225749.733870432</v>
      </c>
      <c r="R22" s="18">
        <f t="shared" ref="R22:R53" si="6">Q22-D22</f>
        <v>-1210991.0516987741</v>
      </c>
      <c r="S22" s="35">
        <f t="shared" ref="S22:S53" si="7">ABS(R22/D22)</f>
        <v>2.4010097259203927E-2</v>
      </c>
      <c r="U22" t="s">
        <v>462</v>
      </c>
    </row>
    <row r="23" spans="1:24" x14ac:dyDescent="0.2">
      <c r="A23" s="9">
        <f>'Monthly Data'!A23</f>
        <v>42644</v>
      </c>
      <c r="B23">
        <f t="shared" si="0"/>
        <v>2016</v>
      </c>
      <c r="C23">
        <f t="shared" si="1"/>
        <v>10</v>
      </c>
      <c r="D23" s="31">
        <f>'Monthly Data'!F23</f>
        <v>41879541.544545688</v>
      </c>
      <c r="E23" s="33">
        <f>'Monthly Data'!AV23</f>
        <v>77.199999999999989</v>
      </c>
      <c r="F23" s="33">
        <f>'Monthly Data'!AW23</f>
        <v>52.699999999999989</v>
      </c>
      <c r="G23" s="18">
        <f>'Monthly Data'!Z23</f>
        <v>737784</v>
      </c>
      <c r="H23">
        <f>'Monthly Data'!BR23</f>
        <v>1</v>
      </c>
      <c r="I23" s="33">
        <f>'Monthly Data'!BT23</f>
        <v>31</v>
      </c>
      <c r="K23" s="18">
        <f>'Res Predicted Monthly'!$V$9</f>
        <v>-23284736.647811599</v>
      </c>
      <c r="L23" s="18">
        <f>E23*'Res Predicted Monthly'!$V$10</f>
        <v>1056551.3711943508</v>
      </c>
      <c r="M23" s="18">
        <f>F23*'Res Predicted Monthly'!$V$11</f>
        <v>4225688.1775718741</v>
      </c>
      <c r="N23" s="18">
        <f>G23*'Res Predicted Monthly'!$V$12</f>
        <v>14113112.48093266</v>
      </c>
      <c r="O23" s="18">
        <f>H23*'Res Predicted Monthly'!$V$13</f>
        <v>-2837598.3252266399</v>
      </c>
      <c r="P23" s="18">
        <f>I23*'Res Predicted Monthly'!$V$14</f>
        <v>48424797.051816143</v>
      </c>
      <c r="Q23" s="18">
        <f t="shared" si="5"/>
        <v>41697814.108476788</v>
      </c>
      <c r="R23" s="18">
        <f t="shared" si="6"/>
        <v>-181727.43606889993</v>
      </c>
      <c r="S23" s="35">
        <f t="shared" si="7"/>
        <v>4.3392890506120585E-3</v>
      </c>
      <c r="U23" t="s">
        <v>73</v>
      </c>
      <c r="V23" s="18">
        <v>46569854.479594603</v>
      </c>
      <c r="W23" t="s">
        <v>74</v>
      </c>
      <c r="X23" s="18">
        <v>7889713.9568650797</v>
      </c>
    </row>
    <row r="24" spans="1:24" x14ac:dyDescent="0.2">
      <c r="A24" s="9">
        <f>'Monthly Data'!A24</f>
        <v>42675</v>
      </c>
      <c r="B24">
        <f t="shared" si="0"/>
        <v>2016</v>
      </c>
      <c r="C24">
        <f t="shared" si="1"/>
        <v>11</v>
      </c>
      <c r="D24" s="31">
        <f>'Monthly Data'!F24</f>
        <v>37972992.303522162</v>
      </c>
      <c r="E24" s="33">
        <f>'Monthly Data'!AV24</f>
        <v>174.8</v>
      </c>
      <c r="F24" s="33">
        <f>'Monthly Data'!AW24</f>
        <v>1.9000000000000004</v>
      </c>
      <c r="G24" s="18">
        <f>'Monthly Data'!Z24</f>
        <v>737784</v>
      </c>
      <c r="H24">
        <f>'Monthly Data'!BR24</f>
        <v>1</v>
      </c>
      <c r="I24" s="33">
        <f>'Monthly Data'!BT24</f>
        <v>30</v>
      </c>
      <c r="K24" s="18">
        <f>'Res Predicted Monthly'!$V$9</f>
        <v>-23284736.647811599</v>
      </c>
      <c r="L24" s="18">
        <f>E24*'Res Predicted Monthly'!$V$10</f>
        <v>2392295.07363695</v>
      </c>
      <c r="M24" s="18">
        <f>F24*'Res Predicted Monthly'!$V$11</f>
        <v>152349.2891344699</v>
      </c>
      <c r="N24" s="18">
        <f>G24*'Res Predicted Monthly'!$V$12</f>
        <v>14113112.48093266</v>
      </c>
      <c r="O24" s="18">
        <f>H24*'Res Predicted Monthly'!$V$13</f>
        <v>-2837598.3252266399</v>
      </c>
      <c r="P24" s="18">
        <f>I24*'Res Predicted Monthly'!$V$14</f>
        <v>46862706.824338198</v>
      </c>
      <c r="Q24" s="18">
        <f t="shared" si="5"/>
        <v>37398128.695004039</v>
      </c>
      <c r="R24" s="18">
        <f t="shared" si="6"/>
        <v>-574863.60851812363</v>
      </c>
      <c r="S24" s="35">
        <f t="shared" si="7"/>
        <v>1.5138749243756661E-2</v>
      </c>
    </row>
    <row r="25" spans="1:24" x14ac:dyDescent="0.2">
      <c r="A25" s="9">
        <f>'Monthly Data'!A25</f>
        <v>42705</v>
      </c>
      <c r="B25">
        <f t="shared" si="0"/>
        <v>2016</v>
      </c>
      <c r="C25">
        <f t="shared" si="1"/>
        <v>12</v>
      </c>
      <c r="D25" s="31">
        <f>'Monthly Data'!F25</f>
        <v>43646992.062498637</v>
      </c>
      <c r="E25" s="33">
        <f>'Monthly Data'!AV25</f>
        <v>435.00000000000006</v>
      </c>
      <c r="F25" s="33">
        <f>'Monthly Data'!AW25</f>
        <v>0</v>
      </c>
      <c r="G25" s="18">
        <f>'Monthly Data'!Z25</f>
        <v>737784</v>
      </c>
      <c r="H25">
        <f>'Monthly Data'!BR25</f>
        <v>0</v>
      </c>
      <c r="I25" s="33">
        <f>'Monthly Data'!BT25</f>
        <v>31</v>
      </c>
      <c r="K25" s="18">
        <f>'Res Predicted Monthly'!$V$9</f>
        <v>-23284736.647811599</v>
      </c>
      <c r="L25" s="18">
        <f>E25*'Res Predicted Monthly'!$V$10</f>
        <v>5953365.8869111752</v>
      </c>
      <c r="M25" s="18">
        <f>F25*'Res Predicted Monthly'!$V$11</f>
        <v>0</v>
      </c>
      <c r="N25" s="18">
        <f>G25*'Res Predicted Monthly'!$V$12</f>
        <v>14113112.48093266</v>
      </c>
      <c r="O25" s="18">
        <f>H25*'Res Predicted Monthly'!$V$13</f>
        <v>0</v>
      </c>
      <c r="P25" s="18">
        <f>I25*'Res Predicted Monthly'!$V$14</f>
        <v>48424797.051816143</v>
      </c>
      <c r="Q25" s="18">
        <f t="shared" si="5"/>
        <v>45206538.771848381</v>
      </c>
      <c r="R25" s="18">
        <f t="shared" si="6"/>
        <v>1559546.709349744</v>
      </c>
      <c r="S25" s="35">
        <f t="shared" si="7"/>
        <v>3.5730909179643146E-2</v>
      </c>
    </row>
    <row r="26" spans="1:24" x14ac:dyDescent="0.2">
      <c r="A26" s="9">
        <f>'Monthly Data'!A26</f>
        <v>42736</v>
      </c>
      <c r="B26">
        <f t="shared" si="0"/>
        <v>2017</v>
      </c>
      <c r="C26">
        <f t="shared" si="1"/>
        <v>1</v>
      </c>
      <c r="D26" s="31">
        <f>'Monthly Data'!F26</f>
        <v>44428210.437605619</v>
      </c>
      <c r="E26" s="33">
        <f>'Monthly Data'!AV26</f>
        <v>444.60000000000008</v>
      </c>
      <c r="F26" s="33">
        <f>'Monthly Data'!AW26</f>
        <v>0</v>
      </c>
      <c r="G26" s="18">
        <f>'Monthly Data'!Z26</f>
        <v>743287</v>
      </c>
      <c r="H26">
        <f>'Monthly Data'!BR26</f>
        <v>0</v>
      </c>
      <c r="I26" s="33">
        <f>'Monthly Data'!BT26</f>
        <v>31</v>
      </c>
      <c r="K26" s="18">
        <f>'Res Predicted Monthly'!$V$9</f>
        <v>-23284736.647811599</v>
      </c>
      <c r="L26" s="18">
        <f>E26*'Res Predicted Monthly'!$V$10</f>
        <v>6084750.5133809391</v>
      </c>
      <c r="M26" s="18">
        <f>F26*'Res Predicted Monthly'!$V$11</f>
        <v>0</v>
      </c>
      <c r="N26" s="18">
        <f>G26*'Res Predicted Monthly'!$V$12</f>
        <v>14218379.683776002</v>
      </c>
      <c r="O26" s="18">
        <f>H26*'Res Predicted Monthly'!$V$13</f>
        <v>0</v>
      </c>
      <c r="P26" s="18">
        <f>I26*'Res Predicted Monthly'!$V$14</f>
        <v>48424797.051816143</v>
      </c>
      <c r="Q26" s="18">
        <f t="shared" si="5"/>
        <v>45443190.60116148</v>
      </c>
      <c r="R26" s="18">
        <f t="shared" si="6"/>
        <v>1014980.1635558605</v>
      </c>
      <c r="S26" s="35">
        <f t="shared" si="7"/>
        <v>2.2845398307935111E-2</v>
      </c>
    </row>
    <row r="27" spans="1:24" x14ac:dyDescent="0.2">
      <c r="A27" s="9">
        <f>'Monthly Data'!A27</f>
        <v>42767</v>
      </c>
      <c r="B27">
        <f t="shared" si="0"/>
        <v>2017</v>
      </c>
      <c r="C27">
        <f t="shared" si="1"/>
        <v>2</v>
      </c>
      <c r="D27" s="31">
        <f>'Monthly Data'!F27</f>
        <v>38008250.644202635</v>
      </c>
      <c r="E27" s="33">
        <f>'Monthly Data'!AV27</f>
        <v>359.19999999999993</v>
      </c>
      <c r="F27" s="33">
        <f>'Monthly Data'!AW27</f>
        <v>0</v>
      </c>
      <c r="G27" s="18">
        <f>'Monthly Data'!Z27</f>
        <v>743287</v>
      </c>
      <c r="H27">
        <f>'Monthly Data'!BR27</f>
        <v>0</v>
      </c>
      <c r="I27" s="33">
        <f>'Monthly Data'!BT27</f>
        <v>28</v>
      </c>
      <c r="K27" s="18">
        <f>'Res Predicted Monthly'!$V$9</f>
        <v>-23284736.647811599</v>
      </c>
      <c r="L27" s="18">
        <f>E27*'Res Predicted Monthly'!$V$10</f>
        <v>4915974.773743663</v>
      </c>
      <c r="M27" s="18">
        <f>F27*'Res Predicted Monthly'!$V$11</f>
        <v>0</v>
      </c>
      <c r="N27" s="18">
        <f>G27*'Res Predicted Monthly'!$V$12</f>
        <v>14218379.683776002</v>
      </c>
      <c r="O27" s="18">
        <f>H27*'Res Predicted Monthly'!$V$13</f>
        <v>0</v>
      </c>
      <c r="P27" s="18">
        <f>I27*'Res Predicted Monthly'!$V$14</f>
        <v>43738526.369382322</v>
      </c>
      <c r="Q27" s="18">
        <f t="shared" si="5"/>
        <v>39588144.179090388</v>
      </c>
      <c r="R27" s="18">
        <f t="shared" si="6"/>
        <v>1579893.5348877534</v>
      </c>
      <c r="S27" s="35">
        <f t="shared" si="7"/>
        <v>4.1567120509628956E-2</v>
      </c>
    </row>
    <row r="28" spans="1:24" x14ac:dyDescent="0.2">
      <c r="A28" s="9">
        <f>'Monthly Data'!A28</f>
        <v>42795</v>
      </c>
      <c r="B28">
        <f t="shared" si="0"/>
        <v>2017</v>
      </c>
      <c r="C28">
        <f t="shared" si="1"/>
        <v>3</v>
      </c>
      <c r="D28" s="31">
        <f>'Monthly Data'!F28</f>
        <v>39754350.85079965</v>
      </c>
      <c r="E28" s="33">
        <f>'Monthly Data'!AV28</f>
        <v>417.20000000000005</v>
      </c>
      <c r="F28" s="33">
        <f>'Monthly Data'!AW28</f>
        <v>0</v>
      </c>
      <c r="G28" s="18">
        <f>'Monthly Data'!Z28</f>
        <v>743287</v>
      </c>
      <c r="H28">
        <f>'Monthly Data'!BR28</f>
        <v>1</v>
      </c>
      <c r="I28" s="33">
        <f>'Monthly Data'!BT28</f>
        <v>31</v>
      </c>
      <c r="K28" s="18">
        <f>'Res Predicted Monthly'!$V$9</f>
        <v>-23284736.647811599</v>
      </c>
      <c r="L28" s="18">
        <f>E28*'Res Predicted Monthly'!$V$10</f>
        <v>5709756.8919984875</v>
      </c>
      <c r="M28" s="18">
        <f>F28*'Res Predicted Monthly'!$V$11</f>
        <v>0</v>
      </c>
      <c r="N28" s="18">
        <f>G28*'Res Predicted Monthly'!$V$12</f>
        <v>14218379.683776002</v>
      </c>
      <c r="O28" s="18">
        <f>H28*'Res Predicted Monthly'!$V$13</f>
        <v>-2837598.3252266399</v>
      </c>
      <c r="P28" s="18">
        <f>I28*'Res Predicted Monthly'!$V$14</f>
        <v>48424797.051816143</v>
      </c>
      <c r="Q28" s="18">
        <f t="shared" si="5"/>
        <v>42230598.654552393</v>
      </c>
      <c r="R28" s="18">
        <f t="shared" si="6"/>
        <v>2476247.8037527427</v>
      </c>
      <c r="S28" s="35">
        <f t="shared" si="7"/>
        <v>6.2288724397644983E-2</v>
      </c>
    </row>
    <row r="29" spans="1:24" x14ac:dyDescent="0.2">
      <c r="A29" s="9">
        <f>'Monthly Data'!A29</f>
        <v>42826</v>
      </c>
      <c r="B29">
        <f t="shared" si="0"/>
        <v>2017</v>
      </c>
      <c r="C29">
        <f t="shared" si="1"/>
        <v>4</v>
      </c>
      <c r="D29" s="31">
        <f>'Monthly Data'!F29</f>
        <v>35550881.057396658</v>
      </c>
      <c r="E29" s="33">
        <f>'Monthly Data'!AV29</f>
        <v>156.79999999999998</v>
      </c>
      <c r="F29" s="33">
        <f>'Monthly Data'!AW29</f>
        <v>4.6999999999999993</v>
      </c>
      <c r="G29" s="18">
        <f>'Monthly Data'!Z29</f>
        <v>740632</v>
      </c>
      <c r="H29">
        <f>'Monthly Data'!BR29</f>
        <v>1</v>
      </c>
      <c r="I29" s="33">
        <f>'Monthly Data'!BT29</f>
        <v>30</v>
      </c>
      <c r="K29" s="18">
        <f>'Res Predicted Monthly'!$V$9</f>
        <v>-23284736.647811599</v>
      </c>
      <c r="L29" s="18">
        <f>E29*'Res Predicted Monthly'!$V$10</f>
        <v>2145948.8990061423</v>
      </c>
      <c r="M29" s="18">
        <f>F29*'Res Predicted Monthly'!$V$11</f>
        <v>376864.03101684648</v>
      </c>
      <c r="N29" s="18">
        <f>G29*'Res Predicted Monthly'!$V$12</f>
        <v>14167592.036392925</v>
      </c>
      <c r="O29" s="18">
        <f>H29*'Res Predicted Monthly'!$V$13</f>
        <v>-2837598.3252266399</v>
      </c>
      <c r="P29" s="18">
        <f>I29*'Res Predicted Monthly'!$V$14</f>
        <v>46862706.824338198</v>
      </c>
      <c r="Q29" s="18">
        <f t="shared" si="5"/>
        <v>37430776.817715868</v>
      </c>
      <c r="R29" s="18">
        <f t="shared" si="6"/>
        <v>1879895.7603192106</v>
      </c>
      <c r="S29" s="35">
        <f t="shared" si="7"/>
        <v>5.2879020277560251E-2</v>
      </c>
    </row>
    <row r="30" spans="1:24" x14ac:dyDescent="0.2">
      <c r="A30" s="9">
        <f>'Monthly Data'!A30</f>
        <v>42856</v>
      </c>
      <c r="B30">
        <f t="shared" si="0"/>
        <v>2017</v>
      </c>
      <c r="C30">
        <f t="shared" si="1"/>
        <v>5</v>
      </c>
      <c r="D30" s="31">
        <f>'Monthly Data'!F30</f>
        <v>38527675.263993673</v>
      </c>
      <c r="E30" s="33">
        <f>'Monthly Data'!AV30</f>
        <v>98.600000000000009</v>
      </c>
      <c r="F30" s="33">
        <f>'Monthly Data'!AW30</f>
        <v>29.9</v>
      </c>
      <c r="G30" s="18">
        <f>'Monthly Data'!Z30</f>
        <v>740632</v>
      </c>
      <c r="H30">
        <f>'Monthly Data'!BR30</f>
        <v>1</v>
      </c>
      <c r="I30" s="33">
        <f>'Monthly Data'!BT30</f>
        <v>31</v>
      </c>
      <c r="K30" s="18">
        <f>'Res Predicted Monthly'!$V$9</f>
        <v>-23284736.647811599</v>
      </c>
      <c r="L30" s="18">
        <f>E30*'Res Predicted Monthly'!$V$10</f>
        <v>1349429.6010331996</v>
      </c>
      <c r="M30" s="18">
        <f>F30*'Res Predicted Monthly'!$V$11</f>
        <v>2397496.7079582363</v>
      </c>
      <c r="N30" s="18">
        <f>G30*'Res Predicted Monthly'!$V$12</f>
        <v>14167592.036392925</v>
      </c>
      <c r="O30" s="18">
        <f>H30*'Res Predicted Monthly'!$V$13</f>
        <v>-2837598.3252266399</v>
      </c>
      <c r="P30" s="18">
        <f>I30*'Res Predicted Monthly'!$V$14</f>
        <v>48424797.051816143</v>
      </c>
      <c r="Q30" s="18">
        <f t="shared" si="5"/>
        <v>40216980.424162269</v>
      </c>
      <c r="R30" s="18">
        <f t="shared" si="6"/>
        <v>1689305.1601685956</v>
      </c>
      <c r="S30" s="35">
        <f t="shared" si="7"/>
        <v>4.3846537549784334E-2</v>
      </c>
    </row>
    <row r="31" spans="1:24" x14ac:dyDescent="0.2">
      <c r="A31" s="9">
        <f>'Monthly Data'!A31</f>
        <v>42887</v>
      </c>
      <c r="B31">
        <f t="shared" si="0"/>
        <v>2017</v>
      </c>
      <c r="C31">
        <f t="shared" si="1"/>
        <v>6</v>
      </c>
      <c r="D31" s="31">
        <f>'Monthly Data'!F31</f>
        <v>46993946.470590688</v>
      </c>
      <c r="E31" s="33">
        <f>'Monthly Data'!AV31</f>
        <v>0</v>
      </c>
      <c r="F31" s="33">
        <f>'Monthly Data'!AW31</f>
        <v>159.10000000000002</v>
      </c>
      <c r="G31" s="18">
        <f>'Monthly Data'!Z31</f>
        <v>740632</v>
      </c>
      <c r="H31">
        <f>'Monthly Data'!BR31</f>
        <v>0</v>
      </c>
      <c r="I31" s="33">
        <f>'Monthly Data'!BT31</f>
        <v>30</v>
      </c>
      <c r="K31" s="18">
        <f>'Res Predicted Monthly'!$V$9</f>
        <v>-23284736.647811599</v>
      </c>
      <c r="L31" s="18">
        <f>E31*'Res Predicted Monthly'!$V$10</f>
        <v>0</v>
      </c>
      <c r="M31" s="18">
        <f>F31*'Res Predicted Monthly'!$V$11</f>
        <v>12757248.369102191</v>
      </c>
      <c r="N31" s="18">
        <f>G31*'Res Predicted Monthly'!$V$12</f>
        <v>14167592.036392925</v>
      </c>
      <c r="O31" s="18">
        <f>H31*'Res Predicted Monthly'!$V$13</f>
        <v>0</v>
      </c>
      <c r="P31" s="18">
        <f>I31*'Res Predicted Monthly'!$V$14</f>
        <v>46862706.824338198</v>
      </c>
      <c r="Q31" s="18">
        <f t="shared" si="5"/>
        <v>50502810.582021713</v>
      </c>
      <c r="R31" s="18">
        <f t="shared" si="6"/>
        <v>3508864.111431025</v>
      </c>
      <c r="S31" s="35">
        <f t="shared" si="7"/>
        <v>7.4666300129249824E-2</v>
      </c>
    </row>
    <row r="32" spans="1:24" x14ac:dyDescent="0.2">
      <c r="A32" s="9">
        <f>'Monthly Data'!A32</f>
        <v>42917</v>
      </c>
      <c r="B32">
        <f t="shared" si="0"/>
        <v>2017</v>
      </c>
      <c r="C32">
        <f t="shared" si="1"/>
        <v>7</v>
      </c>
      <c r="D32" s="31">
        <f>'Monthly Data'!F32</f>
        <v>55250414.677187696</v>
      </c>
      <c r="E32" s="33">
        <f>'Monthly Data'!AV32</f>
        <v>0</v>
      </c>
      <c r="F32" s="33">
        <f>'Monthly Data'!AW32</f>
        <v>237.5</v>
      </c>
      <c r="G32" s="18">
        <f>'Monthly Data'!Z32</f>
        <v>746606</v>
      </c>
      <c r="H32">
        <f>'Monthly Data'!BR32</f>
        <v>0</v>
      </c>
      <c r="I32" s="33">
        <f>'Monthly Data'!BT32</f>
        <v>31</v>
      </c>
      <c r="K32" s="18">
        <f>'Res Predicted Monthly'!$V$9</f>
        <v>-23284736.647811599</v>
      </c>
      <c r="L32" s="18">
        <f>E32*'Res Predicted Monthly'!$V$10</f>
        <v>0</v>
      </c>
      <c r="M32" s="18">
        <f>F32*'Res Predicted Monthly'!$V$11</f>
        <v>19043661.141808737</v>
      </c>
      <c r="N32" s="18">
        <f>G32*'Res Predicted Monthly'!$V$12</f>
        <v>14281869.025269197</v>
      </c>
      <c r="O32" s="18">
        <f>H32*'Res Predicted Monthly'!$V$13</f>
        <v>0</v>
      </c>
      <c r="P32" s="18">
        <f>I32*'Res Predicted Monthly'!$V$14</f>
        <v>48424797.051816143</v>
      </c>
      <c r="Q32" s="18">
        <f t="shared" si="5"/>
        <v>58465590.57108248</v>
      </c>
      <c r="R32" s="18">
        <f t="shared" si="6"/>
        <v>3215175.8938947842</v>
      </c>
      <c r="S32" s="35">
        <f t="shared" si="7"/>
        <v>5.8192792084550561E-2</v>
      </c>
    </row>
    <row r="33" spans="1:19" x14ac:dyDescent="0.2">
      <c r="A33" s="9">
        <f>'Monthly Data'!A33</f>
        <v>42948</v>
      </c>
      <c r="B33">
        <f t="shared" si="0"/>
        <v>2017</v>
      </c>
      <c r="C33">
        <f t="shared" si="1"/>
        <v>8</v>
      </c>
      <c r="D33" s="31">
        <f>'Monthly Data'!F33</f>
        <v>52000413.883784711</v>
      </c>
      <c r="E33" s="33">
        <f>'Monthly Data'!AV33</f>
        <v>0</v>
      </c>
      <c r="F33" s="33">
        <f>'Monthly Data'!AW33</f>
        <v>202.19999999999996</v>
      </c>
      <c r="G33" s="18">
        <f>'Monthly Data'!Z33</f>
        <v>746606</v>
      </c>
      <c r="H33">
        <f>'Monthly Data'!BR33</f>
        <v>0</v>
      </c>
      <c r="I33" s="33">
        <f>'Monthly Data'!BT33</f>
        <v>31</v>
      </c>
      <c r="K33" s="18">
        <f>'Res Predicted Monthly'!$V$9</f>
        <v>-23284736.647811599</v>
      </c>
      <c r="L33" s="18">
        <f>E33*'Res Predicted Monthly'!$V$10</f>
        <v>0</v>
      </c>
      <c r="M33" s="18">
        <f>F33*'Res Predicted Monthly'!$V$11</f>
        <v>16213171.717363056</v>
      </c>
      <c r="N33" s="18">
        <f>G33*'Res Predicted Monthly'!$V$12</f>
        <v>14281869.025269197</v>
      </c>
      <c r="O33" s="18">
        <f>H33*'Res Predicted Monthly'!$V$13</f>
        <v>0</v>
      </c>
      <c r="P33" s="18">
        <f>I33*'Res Predicted Monthly'!$V$14</f>
        <v>48424797.051816143</v>
      </c>
      <c r="Q33" s="18">
        <f t="shared" si="5"/>
        <v>55635101.146636799</v>
      </c>
      <c r="R33" s="18">
        <f t="shared" si="6"/>
        <v>3634687.2628520876</v>
      </c>
      <c r="S33" s="35">
        <f t="shared" si="7"/>
        <v>6.9897275644290435E-2</v>
      </c>
    </row>
    <row r="34" spans="1:19" x14ac:dyDescent="0.2">
      <c r="A34" s="9">
        <f>'Monthly Data'!A34</f>
        <v>42979</v>
      </c>
      <c r="B34">
        <f t="shared" si="0"/>
        <v>2017</v>
      </c>
      <c r="C34">
        <f t="shared" si="1"/>
        <v>9</v>
      </c>
      <c r="D34" s="31">
        <f>'Monthly Data'!F34</f>
        <v>45504410.090381727</v>
      </c>
      <c r="E34" s="33">
        <f>'Monthly Data'!AV34</f>
        <v>4.0999999999999996</v>
      </c>
      <c r="F34" s="33">
        <f>'Monthly Data'!AW34</f>
        <v>142.4</v>
      </c>
      <c r="G34" s="18">
        <f>'Monthly Data'!Z34</f>
        <v>746606</v>
      </c>
      <c r="H34">
        <f>'Monthly Data'!BR34</f>
        <v>1</v>
      </c>
      <c r="I34" s="33">
        <f>'Monthly Data'!BT34</f>
        <v>30</v>
      </c>
      <c r="K34" s="18">
        <f>'Res Predicted Monthly'!$V$9</f>
        <v>-23284736.647811599</v>
      </c>
      <c r="L34" s="18">
        <f>E34*'Res Predicted Monthly'!$V$10</f>
        <v>56112.184221461634</v>
      </c>
      <c r="M34" s="18">
        <f>F34*'Res Predicted Monthly'!$V$11</f>
        <v>11418178.301446585</v>
      </c>
      <c r="N34" s="18">
        <f>G34*'Res Predicted Monthly'!$V$12</f>
        <v>14281869.025269197</v>
      </c>
      <c r="O34" s="18">
        <f>H34*'Res Predicted Monthly'!$V$13</f>
        <v>-2837598.3252266399</v>
      </c>
      <c r="P34" s="18">
        <f>I34*'Res Predicted Monthly'!$V$14</f>
        <v>46862706.824338198</v>
      </c>
      <c r="Q34" s="18">
        <f t="shared" si="5"/>
        <v>46496531.3622372</v>
      </c>
      <c r="R34" s="18">
        <f t="shared" si="6"/>
        <v>992121.27185547352</v>
      </c>
      <c r="S34" s="35">
        <f t="shared" si="7"/>
        <v>2.1802749884789262E-2</v>
      </c>
    </row>
    <row r="35" spans="1:19" x14ac:dyDescent="0.2">
      <c r="A35" s="9">
        <f>'Monthly Data'!A35</f>
        <v>43009</v>
      </c>
      <c r="B35">
        <f t="shared" si="0"/>
        <v>2017</v>
      </c>
      <c r="C35">
        <f t="shared" si="1"/>
        <v>10</v>
      </c>
      <c r="D35" s="31">
        <f>'Monthly Data'!F35</f>
        <v>40966849.296978742</v>
      </c>
      <c r="E35" s="33">
        <f>'Monthly Data'!AV35</f>
        <v>47.5</v>
      </c>
      <c r="F35" s="33">
        <f>'Monthly Data'!AW35</f>
        <v>67.900000000000006</v>
      </c>
      <c r="G35" s="18">
        <f>'Monthly Data'!Z35</f>
        <v>745380</v>
      </c>
      <c r="H35">
        <f>'Monthly Data'!BR35</f>
        <v>1</v>
      </c>
      <c r="I35" s="33">
        <f>'Monthly Data'!BT35</f>
        <v>31</v>
      </c>
      <c r="K35" s="18">
        <f>'Res Predicted Monthly'!$V$9</f>
        <v>-23284736.647811599</v>
      </c>
      <c r="L35" s="18">
        <f>E35*'Res Predicted Monthly'!$V$10</f>
        <v>650080.18305351899</v>
      </c>
      <c r="M35" s="18">
        <f>F35*'Res Predicted Monthly'!$V$11</f>
        <v>5444482.4906476345</v>
      </c>
      <c r="N35" s="18">
        <f>G35*'Res Predicted Monthly'!$V$12</f>
        <v>14258416.800903227</v>
      </c>
      <c r="O35" s="18">
        <f>H35*'Res Predicted Monthly'!$V$13</f>
        <v>-2837598.3252266399</v>
      </c>
      <c r="P35" s="18">
        <f>I35*'Res Predicted Monthly'!$V$14</f>
        <v>48424797.051816143</v>
      </c>
      <c r="Q35" s="18">
        <f t="shared" si="5"/>
        <v>42655441.553382285</v>
      </c>
      <c r="R35" s="18">
        <f t="shared" si="6"/>
        <v>1688592.2564035431</v>
      </c>
      <c r="S35" s="35">
        <f t="shared" si="7"/>
        <v>4.1218504360990116E-2</v>
      </c>
    </row>
    <row r="36" spans="1:19" x14ac:dyDescent="0.2">
      <c r="A36" s="9">
        <f>'Monthly Data'!A36</f>
        <v>43040</v>
      </c>
      <c r="B36">
        <f t="shared" si="0"/>
        <v>2017</v>
      </c>
      <c r="C36">
        <f t="shared" si="1"/>
        <v>11</v>
      </c>
      <c r="D36" s="31">
        <f>'Monthly Data'!F36</f>
        <v>39001404.503575757</v>
      </c>
      <c r="E36" s="33">
        <f>'Monthly Data'!AV36</f>
        <v>267.89999999999998</v>
      </c>
      <c r="F36" s="33">
        <f>'Monthly Data'!AW36</f>
        <v>0</v>
      </c>
      <c r="G36" s="18">
        <f>'Monthly Data'!Z36</f>
        <v>745380</v>
      </c>
      <c r="H36">
        <f>'Monthly Data'!BR36</f>
        <v>1</v>
      </c>
      <c r="I36" s="33">
        <f>'Monthly Data'!BT36</f>
        <v>30</v>
      </c>
      <c r="K36" s="18">
        <f>'Res Predicted Monthly'!$V$9</f>
        <v>-23284736.647811599</v>
      </c>
      <c r="L36" s="18">
        <f>E36*'Res Predicted Monthly'!$V$10</f>
        <v>3666452.2324218471</v>
      </c>
      <c r="M36" s="18">
        <f>F36*'Res Predicted Monthly'!$V$11</f>
        <v>0</v>
      </c>
      <c r="N36" s="18">
        <f>G36*'Res Predicted Monthly'!$V$12</f>
        <v>14258416.800903227</v>
      </c>
      <c r="O36" s="18">
        <f>H36*'Res Predicted Monthly'!$V$13</f>
        <v>-2837598.3252266399</v>
      </c>
      <c r="P36" s="18">
        <f>I36*'Res Predicted Monthly'!$V$14</f>
        <v>46862706.824338198</v>
      </c>
      <c r="Q36" s="18">
        <f t="shared" si="5"/>
        <v>38665240.884625033</v>
      </c>
      <c r="R36" s="18">
        <f t="shared" si="6"/>
        <v>-336163.6189507246</v>
      </c>
      <c r="S36" s="35">
        <f t="shared" si="7"/>
        <v>8.6192695680973284E-3</v>
      </c>
    </row>
    <row r="37" spans="1:19" x14ac:dyDescent="0.2">
      <c r="A37" s="9">
        <f>'Monthly Data'!A37</f>
        <v>43070</v>
      </c>
      <c r="B37">
        <f t="shared" si="0"/>
        <v>2017</v>
      </c>
      <c r="C37">
        <f t="shared" si="1"/>
        <v>12</v>
      </c>
      <c r="D37" s="31">
        <f>'Monthly Data'!F37</f>
        <v>47108304.710172765</v>
      </c>
      <c r="E37" s="33">
        <f>'Monthly Data'!AV37</f>
        <v>525.19999999999993</v>
      </c>
      <c r="F37" s="33">
        <f>'Monthly Data'!AW37</f>
        <v>0</v>
      </c>
      <c r="G37" s="18">
        <f>'Monthly Data'!Z37</f>
        <v>745380</v>
      </c>
      <c r="H37">
        <f>'Monthly Data'!BR37</f>
        <v>0</v>
      </c>
      <c r="I37" s="33">
        <f>'Monthly Data'!BT37</f>
        <v>31</v>
      </c>
      <c r="K37" s="18">
        <f>'Res Predicted Monthly'!$V$9</f>
        <v>-23284736.647811599</v>
      </c>
      <c r="L37" s="18">
        <f>E37*'Res Predicted Monthly'!$V$10</f>
        <v>7187833.9397833291</v>
      </c>
      <c r="M37" s="18">
        <f>F37*'Res Predicted Monthly'!$V$11</f>
        <v>0</v>
      </c>
      <c r="N37" s="18">
        <f>G37*'Res Predicted Monthly'!$V$12</f>
        <v>14258416.800903227</v>
      </c>
      <c r="O37" s="18">
        <f>H37*'Res Predicted Monthly'!$V$13</f>
        <v>0</v>
      </c>
      <c r="P37" s="18">
        <f>I37*'Res Predicted Monthly'!$V$14</f>
        <v>48424797.051816143</v>
      </c>
      <c r="Q37" s="18">
        <f t="shared" si="5"/>
        <v>46586311.144691102</v>
      </c>
      <c r="R37" s="18">
        <f t="shared" si="6"/>
        <v>-521993.56548166275</v>
      </c>
      <c r="S37" s="35">
        <f t="shared" si="7"/>
        <v>1.108071217364231E-2</v>
      </c>
    </row>
    <row r="38" spans="1:19" x14ac:dyDescent="0.2">
      <c r="A38" s="9">
        <f>'Monthly Data'!A38</f>
        <v>43101</v>
      </c>
      <c r="B38">
        <f t="shared" si="0"/>
        <v>2018</v>
      </c>
      <c r="C38">
        <f t="shared" si="1"/>
        <v>1</v>
      </c>
      <c r="D38" s="31">
        <f>'Monthly Data'!F38</f>
        <v>47709598.683987916</v>
      </c>
      <c r="E38" s="33">
        <f>'Monthly Data'!AV38</f>
        <v>556.29999999999995</v>
      </c>
      <c r="F38" s="33">
        <f>'Monthly Data'!AW38</f>
        <v>0</v>
      </c>
      <c r="G38" s="18">
        <f>'Monthly Data'!Z38</f>
        <v>756702</v>
      </c>
      <c r="H38">
        <f>'Monthly Data'!BR38</f>
        <v>0</v>
      </c>
      <c r="I38" s="33">
        <f>'Monthly Data'!BT38</f>
        <v>31</v>
      </c>
      <c r="K38" s="18">
        <f>'Res Predicted Monthly'!$V$9</f>
        <v>-23284736.647811599</v>
      </c>
      <c r="L38" s="18">
        <f>E38*'Res Predicted Monthly'!$V$10</f>
        <v>7613465.3859510021</v>
      </c>
      <c r="M38" s="18">
        <f>F38*'Res Predicted Monthly'!$V$11</f>
        <v>0</v>
      </c>
      <c r="N38" s="18">
        <f>G38*'Res Predicted Monthly'!$V$12</f>
        <v>14474995.988726655</v>
      </c>
      <c r="O38" s="18">
        <f>H38*'Res Predicted Monthly'!$V$13</f>
        <v>0</v>
      </c>
      <c r="P38" s="18">
        <f>I38*'Res Predicted Monthly'!$V$14</f>
        <v>48424797.051816143</v>
      </c>
      <c r="Q38" s="18">
        <f t="shared" si="5"/>
        <v>47228521.778682202</v>
      </c>
      <c r="R38" s="18">
        <f t="shared" si="6"/>
        <v>-481076.90530571342</v>
      </c>
      <c r="S38" s="35">
        <f t="shared" si="7"/>
        <v>1.0083440619406641E-2</v>
      </c>
    </row>
    <row r="39" spans="1:19" x14ac:dyDescent="0.2">
      <c r="A39" s="9">
        <f>'Monthly Data'!A39</f>
        <v>43132</v>
      </c>
      <c r="B39">
        <f t="shared" si="0"/>
        <v>2018</v>
      </c>
      <c r="C39">
        <f t="shared" si="1"/>
        <v>2</v>
      </c>
      <c r="D39" s="31">
        <f>'Monthly Data'!F39</f>
        <v>39687279.898667745</v>
      </c>
      <c r="E39" s="33">
        <f>'Monthly Data'!AV39</f>
        <v>400.1</v>
      </c>
      <c r="F39" s="33">
        <f>'Monthly Data'!AW39</f>
        <v>0</v>
      </c>
      <c r="G39" s="18">
        <f>'Monthly Data'!Z39</f>
        <v>756702</v>
      </c>
      <c r="H39">
        <f>'Monthly Data'!BR39</f>
        <v>0</v>
      </c>
      <c r="I39" s="33">
        <f>'Monthly Data'!BT39</f>
        <v>28</v>
      </c>
      <c r="K39" s="18">
        <f>'Res Predicted Monthly'!$V$9</f>
        <v>-23284736.647811599</v>
      </c>
      <c r="L39" s="18">
        <f>E39*'Res Predicted Monthly'!$V$10</f>
        <v>5475728.0260992199</v>
      </c>
      <c r="M39" s="18">
        <f>F39*'Res Predicted Monthly'!$V$11</f>
        <v>0</v>
      </c>
      <c r="N39" s="18">
        <f>G39*'Res Predicted Monthly'!$V$12</f>
        <v>14474995.988726655</v>
      </c>
      <c r="O39" s="18">
        <f>H39*'Res Predicted Monthly'!$V$13</f>
        <v>0</v>
      </c>
      <c r="P39" s="18">
        <f>I39*'Res Predicted Monthly'!$V$14</f>
        <v>43738526.369382322</v>
      </c>
      <c r="Q39" s="18">
        <f t="shared" si="5"/>
        <v>40404513.736396596</v>
      </c>
      <c r="R39" s="18">
        <f t="shared" si="6"/>
        <v>717233.83772885054</v>
      </c>
      <c r="S39" s="35">
        <f t="shared" si="7"/>
        <v>1.8072133932084553E-2</v>
      </c>
    </row>
    <row r="40" spans="1:19" x14ac:dyDescent="0.2">
      <c r="A40" s="9">
        <f>'Monthly Data'!A40</f>
        <v>43160</v>
      </c>
      <c r="B40">
        <f t="shared" si="0"/>
        <v>2018</v>
      </c>
      <c r="C40">
        <f t="shared" si="1"/>
        <v>3</v>
      </c>
      <c r="D40" s="31">
        <f>'Monthly Data'!F40</f>
        <v>41074250.113347575</v>
      </c>
      <c r="E40" s="33">
        <f>'Monthly Data'!AV40</f>
        <v>409.89999999999986</v>
      </c>
      <c r="F40" s="33">
        <f>'Monthly Data'!AW40</f>
        <v>0</v>
      </c>
      <c r="G40" s="18">
        <f>'Monthly Data'!Z40</f>
        <v>756702</v>
      </c>
      <c r="H40">
        <f>'Monthly Data'!BR40</f>
        <v>1</v>
      </c>
      <c r="I40" s="33">
        <f>'Monthly Data'!BT40</f>
        <v>31</v>
      </c>
      <c r="K40" s="18">
        <f>'Res Predicted Monthly'!$V$9</f>
        <v>-23284736.647811599</v>
      </c>
      <c r="L40" s="18">
        <f>E40*'Res Predicted Monthly'!$V$10</f>
        <v>5609849.832287102</v>
      </c>
      <c r="M40" s="18">
        <f>F40*'Res Predicted Monthly'!$V$11</f>
        <v>0</v>
      </c>
      <c r="N40" s="18">
        <f>G40*'Res Predicted Monthly'!$V$12</f>
        <v>14474995.988726655</v>
      </c>
      <c r="O40" s="18">
        <f>H40*'Res Predicted Monthly'!$V$13</f>
        <v>-2837598.3252266399</v>
      </c>
      <c r="P40" s="18">
        <f>I40*'Res Predicted Monthly'!$V$14</f>
        <v>48424797.051816143</v>
      </c>
      <c r="Q40" s="18">
        <f t="shared" si="5"/>
        <v>42387307.899791658</v>
      </c>
      <c r="R40" s="18">
        <f t="shared" si="6"/>
        <v>1313057.7864440829</v>
      </c>
      <c r="S40" s="35">
        <f t="shared" si="7"/>
        <v>3.1967906482056233E-2</v>
      </c>
    </row>
    <row r="41" spans="1:19" x14ac:dyDescent="0.2">
      <c r="A41" s="9">
        <f>'Monthly Data'!A41</f>
        <v>43191</v>
      </c>
      <c r="B41">
        <f t="shared" si="0"/>
        <v>2018</v>
      </c>
      <c r="C41">
        <f t="shared" si="1"/>
        <v>4</v>
      </c>
      <c r="D41" s="31">
        <f>'Monthly Data'!F41</f>
        <v>38168978.328027405</v>
      </c>
      <c r="E41" s="33">
        <f>'Monthly Data'!AV41</f>
        <v>299.3</v>
      </c>
      <c r="F41" s="33">
        <f>'Monthly Data'!AW41</f>
        <v>0</v>
      </c>
      <c r="G41" s="18">
        <f>'Monthly Data'!Z41</f>
        <v>764644</v>
      </c>
      <c r="H41">
        <f>'Monthly Data'!BR41</f>
        <v>1</v>
      </c>
      <c r="I41" s="33">
        <f>'Monthly Data'!BT41</f>
        <v>30</v>
      </c>
      <c r="K41" s="18">
        <f>'Res Predicted Monthly'!$V$9</f>
        <v>-23284736.647811599</v>
      </c>
      <c r="L41" s="18">
        <f>E41*'Res Predicted Monthly'!$V$10</f>
        <v>4096189.4481667001</v>
      </c>
      <c r="M41" s="18">
        <f>F41*'Res Predicted Monthly'!$V$11</f>
        <v>0</v>
      </c>
      <c r="N41" s="18">
        <f>G41*'Res Predicted Monthly'!$V$12</f>
        <v>14626918.962555807</v>
      </c>
      <c r="O41" s="18">
        <f>H41*'Res Predicted Monthly'!$V$13</f>
        <v>-2837598.3252266399</v>
      </c>
      <c r="P41" s="18">
        <f>I41*'Res Predicted Monthly'!$V$14</f>
        <v>46862706.824338198</v>
      </c>
      <c r="Q41" s="18">
        <f t="shared" si="5"/>
        <v>39463480.262022465</v>
      </c>
      <c r="R41" s="18">
        <f t="shared" si="6"/>
        <v>1294501.9339950606</v>
      </c>
      <c r="S41" s="35">
        <f t="shared" si="7"/>
        <v>3.3915027090062569E-2</v>
      </c>
    </row>
    <row r="42" spans="1:19" x14ac:dyDescent="0.2">
      <c r="A42" s="9">
        <f>'Monthly Data'!A42</f>
        <v>43221</v>
      </c>
      <c r="B42">
        <f t="shared" si="0"/>
        <v>2018</v>
      </c>
      <c r="C42">
        <f t="shared" si="1"/>
        <v>5</v>
      </c>
      <c r="D42" s="31">
        <f>'Monthly Data'!F42</f>
        <v>41244600.542707235</v>
      </c>
      <c r="E42" s="33">
        <f>'Monthly Data'!AV42</f>
        <v>50.5</v>
      </c>
      <c r="F42" s="33">
        <f>'Monthly Data'!AW42</f>
        <v>74.999999999999986</v>
      </c>
      <c r="G42" s="18">
        <f>'Monthly Data'!Z42</f>
        <v>764644</v>
      </c>
      <c r="H42">
        <f>'Monthly Data'!BR42</f>
        <v>1</v>
      </c>
      <c r="I42" s="33">
        <f>'Monthly Data'!BT42</f>
        <v>31</v>
      </c>
      <c r="K42" s="18">
        <f>'Res Predicted Monthly'!$V$9</f>
        <v>-23284736.647811599</v>
      </c>
      <c r="L42" s="18">
        <f>E42*'Res Predicted Monthly'!$V$10</f>
        <v>691137.87882532016</v>
      </c>
      <c r="M42" s="18">
        <f>F42*'Res Predicted Monthly'!$V$11</f>
        <v>6013787.7289922312</v>
      </c>
      <c r="N42" s="18">
        <f>G42*'Res Predicted Monthly'!$V$12</f>
        <v>14626918.962555807</v>
      </c>
      <c r="O42" s="18">
        <f>H42*'Res Predicted Monthly'!$V$13</f>
        <v>-2837598.3252266399</v>
      </c>
      <c r="P42" s="18">
        <f>I42*'Res Predicted Monthly'!$V$14</f>
        <v>48424797.051816143</v>
      </c>
      <c r="Q42" s="18">
        <f t="shared" si="5"/>
        <v>43634306.649151266</v>
      </c>
      <c r="R42" s="18">
        <f t="shared" si="6"/>
        <v>2389706.106444031</v>
      </c>
      <c r="S42" s="35">
        <f t="shared" si="7"/>
        <v>5.7939853338368014E-2</v>
      </c>
    </row>
    <row r="43" spans="1:19" x14ac:dyDescent="0.2">
      <c r="A43" s="9">
        <f>'Monthly Data'!A43</f>
        <v>43252</v>
      </c>
      <c r="B43">
        <f t="shared" si="0"/>
        <v>2018</v>
      </c>
      <c r="C43">
        <f t="shared" si="1"/>
        <v>6</v>
      </c>
      <c r="D43" s="31">
        <f>'Monthly Data'!F43</f>
        <v>52144868.757387064</v>
      </c>
      <c r="E43" s="33">
        <f>'Monthly Data'!AV43</f>
        <v>0.60000000000000142</v>
      </c>
      <c r="F43" s="33">
        <f>'Monthly Data'!AW43</f>
        <v>151.49999999999997</v>
      </c>
      <c r="G43" s="18">
        <f>'Monthly Data'!Z43</f>
        <v>764644</v>
      </c>
      <c r="H43">
        <f>'Monthly Data'!BR43</f>
        <v>0</v>
      </c>
      <c r="I43" s="33">
        <f>'Monthly Data'!BT43</f>
        <v>30</v>
      </c>
      <c r="K43" s="18">
        <f>'Res Predicted Monthly'!$V$9</f>
        <v>-23284736.647811599</v>
      </c>
      <c r="L43" s="18">
        <f>E43*'Res Predicted Monthly'!$V$10</f>
        <v>8211.53915436026</v>
      </c>
      <c r="M43" s="18">
        <f>F43*'Res Predicted Monthly'!$V$11</f>
        <v>12147851.212564306</v>
      </c>
      <c r="N43" s="18">
        <f>G43*'Res Predicted Monthly'!$V$12</f>
        <v>14626918.962555807</v>
      </c>
      <c r="O43" s="18">
        <f>H43*'Res Predicted Monthly'!$V$13</f>
        <v>0</v>
      </c>
      <c r="P43" s="18">
        <f>I43*'Res Predicted Monthly'!$V$14</f>
        <v>46862706.824338198</v>
      </c>
      <c r="Q43" s="18">
        <f t="shared" si="5"/>
        <v>50360951.890801072</v>
      </c>
      <c r="R43" s="18">
        <f t="shared" si="6"/>
        <v>-1783916.8665859923</v>
      </c>
      <c r="S43" s="35">
        <f t="shared" si="7"/>
        <v>3.4210784475956227E-2</v>
      </c>
    </row>
    <row r="44" spans="1:19" x14ac:dyDescent="0.2">
      <c r="A44" s="9">
        <f>'Monthly Data'!A44</f>
        <v>43282</v>
      </c>
      <c r="B44">
        <f t="shared" si="0"/>
        <v>2018</v>
      </c>
      <c r="C44">
        <f t="shared" si="1"/>
        <v>7</v>
      </c>
      <c r="D44" s="31">
        <f>'Monthly Data'!F44</f>
        <v>64966905.972066894</v>
      </c>
      <c r="E44" s="33">
        <f>'Monthly Data'!AV44</f>
        <v>0</v>
      </c>
      <c r="F44" s="33">
        <f>'Monthly Data'!AW44</f>
        <v>288.2</v>
      </c>
      <c r="G44" s="18">
        <f>'Monthly Data'!Z44</f>
        <v>765060</v>
      </c>
      <c r="H44">
        <f>'Monthly Data'!BR44</f>
        <v>0</v>
      </c>
      <c r="I44" s="33">
        <f>'Monthly Data'!BT44</f>
        <v>31</v>
      </c>
      <c r="K44" s="18">
        <f>'Res Predicted Monthly'!$V$9</f>
        <v>-23284736.647811599</v>
      </c>
      <c r="L44" s="18">
        <f>E44*'Res Predicted Monthly'!$V$10</f>
        <v>0</v>
      </c>
      <c r="M44" s="18">
        <f>F44*'Res Predicted Monthly'!$V$11</f>
        <v>23108981.646607485</v>
      </c>
      <c r="N44" s="18">
        <f>G44*'Res Predicted Monthly'!$V$12</f>
        <v>14634876.650432026</v>
      </c>
      <c r="O44" s="18">
        <f>H44*'Res Predicted Monthly'!$V$13</f>
        <v>0</v>
      </c>
      <c r="P44" s="18">
        <f>I44*'Res Predicted Monthly'!$V$14</f>
        <v>48424797.051816143</v>
      </c>
      <c r="Q44" s="18">
        <f t="shared" si="5"/>
        <v>62883918.701044053</v>
      </c>
      <c r="R44" s="18">
        <f t="shared" si="6"/>
        <v>-2082987.2710228413</v>
      </c>
      <c r="S44" s="35">
        <f t="shared" si="7"/>
        <v>3.2062282170532183E-2</v>
      </c>
    </row>
    <row r="45" spans="1:19" x14ac:dyDescent="0.2">
      <c r="A45" s="9">
        <f>'Monthly Data'!A45</f>
        <v>43313</v>
      </c>
      <c r="B45">
        <f t="shared" si="0"/>
        <v>2018</v>
      </c>
      <c r="C45">
        <f t="shared" si="1"/>
        <v>8</v>
      </c>
      <c r="D45" s="31">
        <f>'Monthly Data'!F45</f>
        <v>63232261.186746724</v>
      </c>
      <c r="E45" s="33">
        <f>'Monthly Data'!AV45</f>
        <v>0</v>
      </c>
      <c r="F45" s="33">
        <f>'Monthly Data'!AW45</f>
        <v>287.79999999999995</v>
      </c>
      <c r="G45" s="18">
        <f>'Monthly Data'!Z45</f>
        <v>765060</v>
      </c>
      <c r="H45">
        <f>'Monthly Data'!BR45</f>
        <v>0</v>
      </c>
      <c r="I45" s="33">
        <f>'Monthly Data'!BT45</f>
        <v>31</v>
      </c>
      <c r="K45" s="18">
        <f>'Res Predicted Monthly'!$V$9</f>
        <v>-23284736.647811599</v>
      </c>
      <c r="L45" s="18">
        <f>E45*'Res Predicted Monthly'!$V$10</f>
        <v>0</v>
      </c>
      <c r="M45" s="18">
        <f>F45*'Res Predicted Monthly'!$V$11</f>
        <v>23076908.112052854</v>
      </c>
      <c r="N45" s="18">
        <f>G45*'Res Predicted Monthly'!$V$12</f>
        <v>14634876.650432026</v>
      </c>
      <c r="O45" s="18">
        <f>H45*'Res Predicted Monthly'!$V$13</f>
        <v>0</v>
      </c>
      <c r="P45" s="18">
        <f>I45*'Res Predicted Monthly'!$V$14</f>
        <v>48424797.051816143</v>
      </c>
      <c r="Q45" s="18">
        <f t="shared" si="5"/>
        <v>62851845.166489422</v>
      </c>
      <c r="R45" s="18">
        <f t="shared" si="6"/>
        <v>-380416.02025730163</v>
      </c>
      <c r="S45" s="35">
        <f t="shared" si="7"/>
        <v>6.0161698018959282E-3</v>
      </c>
    </row>
    <row r="46" spans="1:19" x14ac:dyDescent="0.2">
      <c r="A46" s="9">
        <f>'Monthly Data'!A46</f>
        <v>43344</v>
      </c>
      <c r="B46">
        <f t="shared" si="0"/>
        <v>2018</v>
      </c>
      <c r="C46">
        <f t="shared" si="1"/>
        <v>9</v>
      </c>
      <c r="D46" s="31">
        <f>'Monthly Data'!F46</f>
        <v>50855019.401426554</v>
      </c>
      <c r="E46" s="33">
        <f>'Monthly Data'!AV46</f>
        <v>2.0000000000000018</v>
      </c>
      <c r="F46" s="33">
        <f>'Monthly Data'!AW46</f>
        <v>165.40000000000003</v>
      </c>
      <c r="G46" s="18">
        <f>'Monthly Data'!Z46</f>
        <v>765060</v>
      </c>
      <c r="H46">
        <f>'Monthly Data'!BR46</f>
        <v>1</v>
      </c>
      <c r="I46" s="33">
        <f>'Monthly Data'!BT46</f>
        <v>30</v>
      </c>
      <c r="K46" s="18">
        <f>'Res Predicted Monthly'!$V$9</f>
        <v>-23284736.647811599</v>
      </c>
      <c r="L46" s="18">
        <f>E46*'Res Predicted Monthly'!$V$10</f>
        <v>27371.797181200825</v>
      </c>
      <c r="M46" s="18">
        <f>F46*'Res Predicted Monthly'!$V$11</f>
        <v>13262406.538337538</v>
      </c>
      <c r="N46" s="18">
        <f>G46*'Res Predicted Monthly'!$V$12</f>
        <v>14634876.650432026</v>
      </c>
      <c r="O46" s="18">
        <f>H46*'Res Predicted Monthly'!$V$13</f>
        <v>-2837598.3252266399</v>
      </c>
      <c r="P46" s="18">
        <f>I46*'Res Predicted Monthly'!$V$14</f>
        <v>46862706.824338198</v>
      </c>
      <c r="Q46" s="18">
        <f t="shared" si="5"/>
        <v>48665026.837250724</v>
      </c>
      <c r="R46" s="18">
        <f t="shared" si="6"/>
        <v>-2189992.5641758293</v>
      </c>
      <c r="S46" s="35">
        <f t="shared" si="7"/>
        <v>4.3063449585753123E-2</v>
      </c>
    </row>
    <row r="47" spans="1:19" x14ac:dyDescent="0.2">
      <c r="A47" s="9">
        <f>'Monthly Data'!A47</f>
        <v>43374</v>
      </c>
      <c r="B47">
        <f t="shared" si="0"/>
        <v>2018</v>
      </c>
      <c r="C47">
        <f t="shared" si="1"/>
        <v>10</v>
      </c>
      <c r="D47" s="31">
        <f>'Monthly Data'!F47</f>
        <v>40650132.616106384</v>
      </c>
      <c r="E47" s="33">
        <f>'Monthly Data'!AV47</f>
        <v>132.70000000000002</v>
      </c>
      <c r="F47" s="33">
        <f>'Monthly Data'!AW47</f>
        <v>28.7</v>
      </c>
      <c r="G47" s="18">
        <f>'Monthly Data'!Z47</f>
        <v>771453</v>
      </c>
      <c r="H47">
        <f>'Monthly Data'!BR47</f>
        <v>1</v>
      </c>
      <c r="I47" s="33">
        <f>'Monthly Data'!BT47</f>
        <v>31</v>
      </c>
      <c r="K47" s="18">
        <f>'Res Predicted Monthly'!$V$9</f>
        <v>-23284736.647811599</v>
      </c>
      <c r="L47" s="18">
        <f>E47*'Res Predicted Monthly'!$V$10</f>
        <v>1816118.7429726734</v>
      </c>
      <c r="M47" s="18">
        <f>F47*'Res Predicted Monthly'!$V$11</f>
        <v>2301276.1042943606</v>
      </c>
      <c r="N47" s="18">
        <f>G47*'Res Predicted Monthly'!$V$12</f>
        <v>14757168.7143567</v>
      </c>
      <c r="O47" s="18">
        <f>H47*'Res Predicted Monthly'!$V$13</f>
        <v>-2837598.3252266399</v>
      </c>
      <c r="P47" s="18">
        <f>I47*'Res Predicted Monthly'!$V$14</f>
        <v>48424797.051816143</v>
      </c>
      <c r="Q47" s="18">
        <f t="shared" si="5"/>
        <v>41177025.640401632</v>
      </c>
      <c r="R47" s="18">
        <f t="shared" si="6"/>
        <v>526893.02429524809</v>
      </c>
      <c r="S47" s="35">
        <f t="shared" si="7"/>
        <v>1.296165572868224E-2</v>
      </c>
    </row>
    <row r="48" spans="1:19" x14ac:dyDescent="0.2">
      <c r="A48" s="9">
        <f>'Monthly Data'!A48</f>
        <v>43405</v>
      </c>
      <c r="B48">
        <f t="shared" si="0"/>
        <v>2018</v>
      </c>
      <c r="C48">
        <f t="shared" si="1"/>
        <v>11</v>
      </c>
      <c r="D48" s="31">
        <f>'Monthly Data'!F48</f>
        <v>40817846.830786213</v>
      </c>
      <c r="E48" s="33">
        <f>'Monthly Data'!AV48</f>
        <v>332.40000000000003</v>
      </c>
      <c r="F48" s="33">
        <f>'Monthly Data'!AW48</f>
        <v>0</v>
      </c>
      <c r="G48" s="18">
        <f>'Monthly Data'!Z48</f>
        <v>771453</v>
      </c>
      <c r="H48">
        <f>'Monthly Data'!BR48</f>
        <v>1</v>
      </c>
      <c r="I48" s="33">
        <f>'Monthly Data'!BT48</f>
        <v>30</v>
      </c>
      <c r="K48" s="18">
        <f>'Res Predicted Monthly'!$V$9</f>
        <v>-23284736.647811599</v>
      </c>
      <c r="L48" s="18">
        <f>E48*'Res Predicted Monthly'!$V$10</f>
        <v>4549192.6915155733</v>
      </c>
      <c r="M48" s="18">
        <f>F48*'Res Predicted Monthly'!$V$11</f>
        <v>0</v>
      </c>
      <c r="N48" s="18">
        <f>G48*'Res Predicted Monthly'!$V$12</f>
        <v>14757168.7143567</v>
      </c>
      <c r="O48" s="18">
        <f>H48*'Res Predicted Monthly'!$V$13</f>
        <v>-2837598.3252266399</v>
      </c>
      <c r="P48" s="18">
        <f>I48*'Res Predicted Monthly'!$V$14</f>
        <v>46862706.824338198</v>
      </c>
      <c r="Q48" s="18">
        <f t="shared" si="5"/>
        <v>40046733.257172227</v>
      </c>
      <c r="R48" s="18">
        <f t="shared" si="6"/>
        <v>-771113.57361398637</v>
      </c>
      <c r="S48" s="35">
        <f t="shared" si="7"/>
        <v>1.8891578892211096E-2</v>
      </c>
    </row>
    <row r="49" spans="1:23" x14ac:dyDescent="0.2">
      <c r="A49" s="9">
        <f>'Monthly Data'!A49</f>
        <v>43435</v>
      </c>
      <c r="B49">
        <f t="shared" si="0"/>
        <v>2018</v>
      </c>
      <c r="C49">
        <f t="shared" si="1"/>
        <v>12</v>
      </c>
      <c r="D49" s="31">
        <f>'Monthly Data'!F49</f>
        <v>45902493.045466043</v>
      </c>
      <c r="E49" s="33">
        <f>'Monthly Data'!AV49</f>
        <v>392.00000000000006</v>
      </c>
      <c r="F49" s="33">
        <f>'Monthly Data'!AW49</f>
        <v>0</v>
      </c>
      <c r="G49" s="18">
        <f>'Monthly Data'!Z49</f>
        <v>771453</v>
      </c>
      <c r="H49">
        <f>'Monthly Data'!BR49</f>
        <v>0</v>
      </c>
      <c r="I49" s="33">
        <f>'Monthly Data'!BT49</f>
        <v>31</v>
      </c>
      <c r="K49" s="18">
        <f>'Res Predicted Monthly'!$V$9</f>
        <v>-23284736.647811599</v>
      </c>
      <c r="L49" s="18">
        <f>E49*'Res Predicted Monthly'!$V$10</f>
        <v>5364872.247515358</v>
      </c>
      <c r="M49" s="18">
        <f>F49*'Res Predicted Monthly'!$V$11</f>
        <v>0</v>
      </c>
      <c r="N49" s="18">
        <f>G49*'Res Predicted Monthly'!$V$12</f>
        <v>14757168.7143567</v>
      </c>
      <c r="O49" s="18">
        <f>H49*'Res Predicted Monthly'!$V$13</f>
        <v>0</v>
      </c>
      <c r="P49" s="18">
        <f>I49*'Res Predicted Monthly'!$V$14</f>
        <v>48424797.051816143</v>
      </c>
      <c r="Q49" s="18">
        <f t="shared" si="5"/>
        <v>45262101.3658766</v>
      </c>
      <c r="R49" s="18">
        <f t="shared" si="6"/>
        <v>-640391.67958944291</v>
      </c>
      <c r="S49" s="35">
        <f t="shared" si="7"/>
        <v>1.39511306925125E-2</v>
      </c>
    </row>
    <row r="50" spans="1:23" x14ac:dyDescent="0.2">
      <c r="A50" s="9">
        <f>'Monthly Data'!A50</f>
        <v>43466</v>
      </c>
      <c r="B50">
        <f t="shared" si="0"/>
        <v>2019</v>
      </c>
      <c r="C50">
        <f t="shared" si="1"/>
        <v>1</v>
      </c>
      <c r="D50" s="31">
        <f>'Monthly Data'!F50</f>
        <v>47310902.790742546</v>
      </c>
      <c r="E50" s="33">
        <f>'Monthly Data'!AV50</f>
        <v>576</v>
      </c>
      <c r="F50" s="33">
        <f>'Monthly Data'!AW50</f>
        <v>0</v>
      </c>
      <c r="G50" s="18">
        <f>'Monthly Data'!Z50</f>
        <v>779459</v>
      </c>
      <c r="H50">
        <f>'Monthly Data'!BR50</f>
        <v>0</v>
      </c>
      <c r="I50" s="33">
        <f>'Monthly Data'!BT50</f>
        <v>31</v>
      </c>
      <c r="K50" s="18">
        <f>'Res Predicted Monthly'!$V$9</f>
        <v>-23284736.647811599</v>
      </c>
      <c r="L50" s="18">
        <f>E50*'Res Predicted Monthly'!$V$10</f>
        <v>7883077.58818583</v>
      </c>
      <c r="M50" s="18">
        <f>F50*'Res Predicted Monthly'!$V$11</f>
        <v>0</v>
      </c>
      <c r="N50" s="18">
        <f>G50*'Res Predicted Monthly'!$V$12</f>
        <v>14910315.947859118</v>
      </c>
      <c r="O50" s="18">
        <f>H50*'Res Predicted Monthly'!$V$13</f>
        <v>0</v>
      </c>
      <c r="P50" s="18">
        <f>I50*'Res Predicted Monthly'!$V$14</f>
        <v>48424797.051816143</v>
      </c>
      <c r="Q50" s="18">
        <f t="shared" si="5"/>
        <v>47933453.940049492</v>
      </c>
      <c r="R50" s="18">
        <f t="shared" si="6"/>
        <v>622551.1493069455</v>
      </c>
      <c r="S50" s="35">
        <f t="shared" si="7"/>
        <v>1.3158724788248213E-2</v>
      </c>
    </row>
    <row r="51" spans="1:23" x14ac:dyDescent="0.2">
      <c r="A51" s="9">
        <f>'Monthly Data'!A51</f>
        <v>43497</v>
      </c>
      <c r="B51">
        <f t="shared" si="0"/>
        <v>2019</v>
      </c>
      <c r="C51">
        <f t="shared" si="1"/>
        <v>2</v>
      </c>
      <c r="D51" s="31">
        <f>'Monthly Data'!F51</f>
        <v>42211303.114211284</v>
      </c>
      <c r="E51" s="33">
        <f>'Monthly Data'!AV51</f>
        <v>459.70000000000005</v>
      </c>
      <c r="F51" s="33">
        <f>'Monthly Data'!AW51</f>
        <v>0</v>
      </c>
      <c r="G51" s="18">
        <f>'Monthly Data'!Z51</f>
        <v>779459</v>
      </c>
      <c r="H51">
        <f>'Monthly Data'!BR51</f>
        <v>0</v>
      </c>
      <c r="I51" s="33">
        <f>'Monthly Data'!BT51</f>
        <v>28</v>
      </c>
      <c r="K51" s="18">
        <f>'Res Predicted Monthly'!$V$9</f>
        <v>-23284736.647811599</v>
      </c>
      <c r="L51" s="18">
        <f>E51*'Res Predicted Monthly'!$V$10</f>
        <v>6291407.5820990046</v>
      </c>
      <c r="M51" s="18">
        <f>F51*'Res Predicted Monthly'!$V$11</f>
        <v>0</v>
      </c>
      <c r="N51" s="18">
        <f>G51*'Res Predicted Monthly'!$V$12</f>
        <v>14910315.947859118</v>
      </c>
      <c r="O51" s="18">
        <f>H51*'Res Predicted Monthly'!$V$13</f>
        <v>0</v>
      </c>
      <c r="P51" s="18">
        <f>I51*'Res Predicted Monthly'!$V$14</f>
        <v>43738526.369382322</v>
      </c>
      <c r="Q51" s="18">
        <f t="shared" si="5"/>
        <v>41655513.251528844</v>
      </c>
      <c r="R51" s="18">
        <f t="shared" si="6"/>
        <v>-555789.86268243939</v>
      </c>
      <c r="S51" s="35">
        <f t="shared" si="7"/>
        <v>1.3166849200998051E-2</v>
      </c>
    </row>
    <row r="52" spans="1:23" x14ac:dyDescent="0.2">
      <c r="A52" s="9">
        <f>'Monthly Data'!A52</f>
        <v>43525</v>
      </c>
      <c r="B52">
        <f t="shared" si="0"/>
        <v>2019</v>
      </c>
      <c r="C52">
        <f t="shared" si="1"/>
        <v>3</v>
      </c>
      <c r="D52" s="31">
        <f>'Monthly Data'!F52</f>
        <v>42541593.437680028</v>
      </c>
      <c r="E52" s="33">
        <f>'Monthly Data'!AV52</f>
        <v>432.49999999999989</v>
      </c>
      <c r="F52" s="33">
        <f>'Monthly Data'!AW52</f>
        <v>0</v>
      </c>
      <c r="G52" s="18">
        <f>'Monthly Data'!Z52</f>
        <v>779459</v>
      </c>
      <c r="H52">
        <f>'Monthly Data'!BR52</f>
        <v>1</v>
      </c>
      <c r="I52" s="33">
        <f>'Monthly Data'!BT52</f>
        <v>31</v>
      </c>
      <c r="K52" s="18">
        <f>'Res Predicted Monthly'!$V$9</f>
        <v>-23284736.647811599</v>
      </c>
      <c r="L52" s="18">
        <f>E52*'Res Predicted Monthly'!$V$10</f>
        <v>5919151.1404346712</v>
      </c>
      <c r="M52" s="18">
        <f>F52*'Res Predicted Monthly'!$V$11</f>
        <v>0</v>
      </c>
      <c r="N52" s="18">
        <f>G52*'Res Predicted Monthly'!$V$12</f>
        <v>14910315.947859118</v>
      </c>
      <c r="O52" s="18">
        <f>H52*'Res Predicted Monthly'!$V$13</f>
        <v>-2837598.3252266399</v>
      </c>
      <c r="P52" s="18">
        <f>I52*'Res Predicted Monthly'!$V$14</f>
        <v>48424797.051816143</v>
      </c>
      <c r="Q52" s="18">
        <f t="shared" si="5"/>
        <v>43131929.167071693</v>
      </c>
      <c r="R52" s="18">
        <f t="shared" si="6"/>
        <v>590335.72939166427</v>
      </c>
      <c r="S52" s="35">
        <f t="shared" si="7"/>
        <v>1.3876671786082909E-2</v>
      </c>
    </row>
    <row r="53" spans="1:23" x14ac:dyDescent="0.2">
      <c r="A53" s="9">
        <f>'Monthly Data'!A53</f>
        <v>43556</v>
      </c>
      <c r="B53">
        <f t="shared" si="0"/>
        <v>2019</v>
      </c>
      <c r="C53">
        <f t="shared" si="1"/>
        <v>4</v>
      </c>
      <c r="D53" s="31">
        <f>'Monthly Data'!F53</f>
        <v>37536349.761148773</v>
      </c>
      <c r="E53" s="33">
        <f>'Monthly Data'!AV53</f>
        <v>231.89999999999995</v>
      </c>
      <c r="F53" s="33">
        <f>'Monthly Data'!AW53</f>
        <v>0</v>
      </c>
      <c r="G53" s="18">
        <f>'Monthly Data'!Z53</f>
        <v>784896</v>
      </c>
      <c r="H53">
        <f>'Monthly Data'!BR53</f>
        <v>1</v>
      </c>
      <c r="I53" s="33">
        <f>'Monthly Data'!BT53</f>
        <v>30</v>
      </c>
      <c r="K53" s="18">
        <f>'Res Predicted Monthly'!$V$9</f>
        <v>-23284736.647811599</v>
      </c>
      <c r="L53" s="18">
        <f>E53*'Res Predicted Monthly'!$V$10</f>
        <v>3173759.8831602321</v>
      </c>
      <c r="M53" s="18">
        <f>F53*'Res Predicted Monthly'!$V$11</f>
        <v>0</v>
      </c>
      <c r="N53" s="18">
        <f>G53*'Res Predicted Monthly'!$V$12</f>
        <v>15014320.632914405</v>
      </c>
      <c r="O53" s="18">
        <f>H53*'Res Predicted Monthly'!$V$13</f>
        <v>-2837598.3252266399</v>
      </c>
      <c r="P53" s="18">
        <f>I53*'Res Predicted Monthly'!$V$14</f>
        <v>46862706.824338198</v>
      </c>
      <c r="Q53" s="18">
        <f t="shared" si="5"/>
        <v>38928452.367374599</v>
      </c>
      <c r="R53" s="18">
        <f t="shared" si="6"/>
        <v>1392102.6062258258</v>
      </c>
      <c r="S53" s="35">
        <f t="shared" si="7"/>
        <v>3.7086786943430844E-2</v>
      </c>
    </row>
    <row r="54" spans="1:23" x14ac:dyDescent="0.2">
      <c r="A54" s="9">
        <f>'Monthly Data'!A54</f>
        <v>43586</v>
      </c>
      <c r="B54">
        <f t="shared" si="0"/>
        <v>2019</v>
      </c>
      <c r="C54">
        <f t="shared" si="1"/>
        <v>5</v>
      </c>
      <c r="D54" s="31">
        <f>'Monthly Data'!F54</f>
        <v>38099337.08461751</v>
      </c>
      <c r="E54" s="33">
        <f>'Monthly Data'!AV54</f>
        <v>105.80000000000003</v>
      </c>
      <c r="F54" s="33">
        <f>'Monthly Data'!AW54</f>
        <v>14.6</v>
      </c>
      <c r="G54" s="18">
        <f>'Monthly Data'!Z54</f>
        <v>784896</v>
      </c>
      <c r="H54">
        <f>'Monthly Data'!BR54</f>
        <v>1</v>
      </c>
      <c r="I54" s="33">
        <f>'Monthly Data'!BT54</f>
        <v>31</v>
      </c>
      <c r="K54" s="18">
        <f>'Res Predicted Monthly'!$V$9</f>
        <v>-23284736.647811599</v>
      </c>
      <c r="L54" s="18">
        <f>E54*'Res Predicted Monthly'!$V$10</f>
        <v>1447968.0708855228</v>
      </c>
      <c r="M54" s="18">
        <f>F54*'Res Predicted Monthly'!$V$11</f>
        <v>1170684.0112438211</v>
      </c>
      <c r="N54" s="18">
        <f>G54*'Res Predicted Monthly'!$V$12</f>
        <v>15014320.632914405</v>
      </c>
      <c r="O54" s="18">
        <f>H54*'Res Predicted Monthly'!$V$13</f>
        <v>-2837598.3252266399</v>
      </c>
      <c r="P54" s="18">
        <f>I54*'Res Predicted Monthly'!$V$14</f>
        <v>48424797.051816143</v>
      </c>
      <c r="Q54" s="18">
        <f t="shared" ref="Q54:Q85" si="8">SUM(K54:P54)</f>
        <v>39935434.793821655</v>
      </c>
      <c r="R54" s="18">
        <f t="shared" ref="R54:R85" si="9">Q54-D54</f>
        <v>1836097.7092041448</v>
      </c>
      <c r="S54" s="35">
        <f t="shared" ref="S54:S85" si="10">ABS(R54/D54)</f>
        <v>4.8192379440257074E-2</v>
      </c>
    </row>
    <row r="55" spans="1:23" x14ac:dyDescent="0.2">
      <c r="A55" s="9">
        <f>'Monthly Data'!A55</f>
        <v>43617</v>
      </c>
      <c r="B55">
        <f t="shared" si="0"/>
        <v>2019</v>
      </c>
      <c r="C55">
        <f t="shared" si="1"/>
        <v>6</v>
      </c>
      <c r="D55" s="31">
        <f>'Monthly Data'!F55</f>
        <v>45232822.408086255</v>
      </c>
      <c r="E55" s="33">
        <f>'Monthly Data'!AV55</f>
        <v>4.3999999999999986</v>
      </c>
      <c r="F55" s="33">
        <f>'Monthly Data'!AW55</f>
        <v>103.60000000000002</v>
      </c>
      <c r="G55" s="18">
        <f>'Monthly Data'!Z55</f>
        <v>784896</v>
      </c>
      <c r="H55">
        <f>'Monthly Data'!BR55</f>
        <v>0</v>
      </c>
      <c r="I55" s="33">
        <f>'Monthly Data'!BT55</f>
        <v>30</v>
      </c>
      <c r="K55" s="18">
        <f>'Res Predicted Monthly'!$V$9</f>
        <v>-23284736.647811599</v>
      </c>
      <c r="L55" s="18">
        <f>E55*'Res Predicted Monthly'!$V$10</f>
        <v>60217.953798641742</v>
      </c>
      <c r="M55" s="18">
        <f>F55*'Res Predicted Monthly'!$V$11</f>
        <v>8307045.4496479388</v>
      </c>
      <c r="N55" s="18">
        <f>G55*'Res Predicted Monthly'!$V$12</f>
        <v>15014320.632914405</v>
      </c>
      <c r="O55" s="18">
        <f>H55*'Res Predicted Monthly'!$V$13</f>
        <v>0</v>
      </c>
      <c r="P55" s="18">
        <f>I55*'Res Predicted Monthly'!$V$14</f>
        <v>46862706.824338198</v>
      </c>
      <c r="Q55" s="18">
        <f t="shared" si="8"/>
        <v>46959554.212887585</v>
      </c>
      <c r="R55" s="18">
        <f t="shared" si="9"/>
        <v>1726731.80480133</v>
      </c>
      <c r="S55" s="35">
        <f t="shared" si="10"/>
        <v>3.8174310442601139E-2</v>
      </c>
    </row>
    <row r="56" spans="1:23" x14ac:dyDescent="0.2">
      <c r="A56" s="9">
        <f>'Monthly Data'!A56</f>
        <v>43647</v>
      </c>
      <c r="B56">
        <f t="shared" si="0"/>
        <v>2019</v>
      </c>
      <c r="C56">
        <f t="shared" si="1"/>
        <v>7</v>
      </c>
      <c r="D56" s="31">
        <f>'Monthly Data'!F56</f>
        <v>63142023.731554992</v>
      </c>
      <c r="E56" s="33">
        <f>'Monthly Data'!AV56</f>
        <v>0</v>
      </c>
      <c r="F56" s="33">
        <f>'Monthly Data'!AW56</f>
        <v>276.59999999999997</v>
      </c>
      <c r="G56" s="18">
        <f>'Monthly Data'!Z56</f>
        <v>794140</v>
      </c>
      <c r="H56">
        <f>'Monthly Data'!BR56</f>
        <v>0</v>
      </c>
      <c r="I56" s="33">
        <f>'Monthly Data'!BT56</f>
        <v>31</v>
      </c>
      <c r="K56" s="18">
        <f>'Res Predicted Monthly'!$V$9</f>
        <v>-23284736.647811599</v>
      </c>
      <c r="L56" s="18">
        <f>E56*'Res Predicted Monthly'!$V$10</f>
        <v>0</v>
      </c>
      <c r="M56" s="18">
        <f>F56*'Res Predicted Monthly'!$V$11</f>
        <v>22178849.144523349</v>
      </c>
      <c r="N56" s="18">
        <f>G56*'Res Predicted Monthly'!$V$12</f>
        <v>15191149.639471529</v>
      </c>
      <c r="O56" s="18">
        <f>H56*'Res Predicted Monthly'!$V$13</f>
        <v>0</v>
      </c>
      <c r="P56" s="18">
        <f>I56*'Res Predicted Monthly'!$V$14</f>
        <v>48424797.051816143</v>
      </c>
      <c r="Q56" s="18">
        <f t="shared" si="8"/>
        <v>62510059.18799942</v>
      </c>
      <c r="R56" s="18">
        <f t="shared" si="9"/>
        <v>-631964.54355557263</v>
      </c>
      <c r="S56" s="35">
        <f t="shared" si="10"/>
        <v>1.0008620348348934E-2</v>
      </c>
    </row>
    <row r="57" spans="1:23" x14ac:dyDescent="0.2">
      <c r="A57" s="9">
        <f>'Monthly Data'!A57</f>
        <v>43678</v>
      </c>
      <c r="B57">
        <f t="shared" ref="B57:B115" si="11">YEAR(A57)</f>
        <v>2019</v>
      </c>
      <c r="C57">
        <f t="shared" ref="C57:C115" si="12">MONTH(A57)</f>
        <v>8</v>
      </c>
      <c r="D57" s="31">
        <f>'Monthly Data'!F57</f>
        <v>58238131.055023737</v>
      </c>
      <c r="E57" s="33">
        <f>'Monthly Data'!AV57</f>
        <v>0</v>
      </c>
      <c r="F57" s="33">
        <f>'Monthly Data'!AW57</f>
        <v>225.29999999999998</v>
      </c>
      <c r="G57" s="18">
        <f>'Monthly Data'!Z57</f>
        <v>794140</v>
      </c>
      <c r="H57">
        <f>'Monthly Data'!BR57</f>
        <v>0</v>
      </c>
      <c r="I57" s="33">
        <f>'Monthly Data'!BT57</f>
        <v>31</v>
      </c>
      <c r="K57" s="18">
        <f>'Res Predicted Monthly'!$V$9</f>
        <v>-23284736.647811599</v>
      </c>
      <c r="L57" s="18">
        <f>E57*'Res Predicted Monthly'!$V$10</f>
        <v>0</v>
      </c>
      <c r="M57" s="18">
        <f>F57*'Res Predicted Monthly'!$V$11</f>
        <v>18065418.337892663</v>
      </c>
      <c r="N57" s="18">
        <f>G57*'Res Predicted Monthly'!$V$12</f>
        <v>15191149.639471529</v>
      </c>
      <c r="O57" s="18">
        <f>H57*'Res Predicted Monthly'!$V$13</f>
        <v>0</v>
      </c>
      <c r="P57" s="18">
        <f>I57*'Res Predicted Monthly'!$V$14</f>
        <v>48424797.051816143</v>
      </c>
      <c r="Q57" s="18">
        <f t="shared" si="8"/>
        <v>58396628.381368734</v>
      </c>
      <c r="R57" s="18">
        <f t="shared" si="9"/>
        <v>158497.32634499669</v>
      </c>
      <c r="S57" s="35">
        <f t="shared" si="10"/>
        <v>2.721538680478044E-3</v>
      </c>
    </row>
    <row r="58" spans="1:23" x14ac:dyDescent="0.2">
      <c r="A58" s="9">
        <f>'Monthly Data'!A58</f>
        <v>43709</v>
      </c>
      <c r="B58">
        <f t="shared" si="11"/>
        <v>2019</v>
      </c>
      <c r="C58">
        <f t="shared" si="12"/>
        <v>9</v>
      </c>
      <c r="D58" s="31">
        <f>'Monthly Data'!F58</f>
        <v>44304376.378492482</v>
      </c>
      <c r="E58" s="33">
        <f>'Monthly Data'!AV58</f>
        <v>0.30000000000000071</v>
      </c>
      <c r="F58" s="33">
        <f>'Monthly Data'!AW58</f>
        <v>133.90000000000003</v>
      </c>
      <c r="G58" s="18">
        <f>'Monthly Data'!Z58</f>
        <v>794140</v>
      </c>
      <c r="H58">
        <f>'Monthly Data'!BR58</f>
        <v>1</v>
      </c>
      <c r="I58" s="33">
        <f>'Monthly Data'!BT58</f>
        <v>30</v>
      </c>
      <c r="K58" s="18">
        <f>'Res Predicted Monthly'!$V$9</f>
        <v>-23284736.647811599</v>
      </c>
      <c r="L58" s="18">
        <f>E58*'Res Predicted Monthly'!$V$10</f>
        <v>4105.76957718013</v>
      </c>
      <c r="M58" s="18">
        <f>F58*'Res Predicted Monthly'!$V$11</f>
        <v>10736615.692160802</v>
      </c>
      <c r="N58" s="18">
        <f>G58*'Res Predicted Monthly'!$V$12</f>
        <v>15191149.639471529</v>
      </c>
      <c r="O58" s="18">
        <f>H58*'Res Predicted Monthly'!$V$13</f>
        <v>-2837598.3252266399</v>
      </c>
      <c r="P58" s="18">
        <f>I58*'Res Predicted Monthly'!$V$14</f>
        <v>46862706.824338198</v>
      </c>
      <c r="Q58" s="18">
        <f t="shared" si="8"/>
        <v>46672242.95250947</v>
      </c>
      <c r="R58" s="18">
        <f t="shared" si="9"/>
        <v>2367866.5740169883</v>
      </c>
      <c r="S58" s="35">
        <f t="shared" si="10"/>
        <v>5.3445432879774532E-2</v>
      </c>
    </row>
    <row r="59" spans="1:23" x14ac:dyDescent="0.2">
      <c r="A59" s="9">
        <f>'Monthly Data'!A59</f>
        <v>43739</v>
      </c>
      <c r="B59">
        <f t="shared" si="11"/>
        <v>2019</v>
      </c>
      <c r="C59">
        <f t="shared" si="12"/>
        <v>10</v>
      </c>
      <c r="D59" s="31">
        <f>'Monthly Data'!F59</f>
        <v>39423259.701961219</v>
      </c>
      <c r="E59" s="33">
        <f>'Monthly Data'!AV59</f>
        <v>74.100000000000009</v>
      </c>
      <c r="F59" s="33">
        <f>'Monthly Data'!AW59</f>
        <v>15.999999999999998</v>
      </c>
      <c r="G59" s="18">
        <f>'Monthly Data'!Z59</f>
        <v>799632</v>
      </c>
      <c r="H59">
        <f>'Monthly Data'!BR59</f>
        <v>1</v>
      </c>
      <c r="I59" s="33">
        <f>'Monthly Data'!BT59</f>
        <v>31</v>
      </c>
      <c r="K59" s="18">
        <f>'Res Predicted Monthly'!$V$9</f>
        <v>-23284736.647811599</v>
      </c>
      <c r="L59" s="18">
        <f>E59*'Res Predicted Monthly'!$V$10</f>
        <v>1014125.0855634897</v>
      </c>
      <c r="M59" s="18">
        <f>F59*'Res Predicted Monthly'!$V$11</f>
        <v>1282941.3821850093</v>
      </c>
      <c r="N59" s="18">
        <f>G59*'Res Predicted Monthly'!$V$12</f>
        <v>15296206.42268353</v>
      </c>
      <c r="O59" s="18">
        <f>H59*'Res Predicted Monthly'!$V$13</f>
        <v>-2837598.3252266399</v>
      </c>
      <c r="P59" s="18">
        <f>I59*'Res Predicted Monthly'!$V$14</f>
        <v>48424797.051816143</v>
      </c>
      <c r="Q59" s="18">
        <f t="shared" si="8"/>
        <v>39895734.969209932</v>
      </c>
      <c r="R59" s="18">
        <f t="shared" si="9"/>
        <v>472475.26724871248</v>
      </c>
      <c r="S59" s="35">
        <f t="shared" si="10"/>
        <v>1.1984682921214856E-2</v>
      </c>
    </row>
    <row r="60" spans="1:23" x14ac:dyDescent="0.2">
      <c r="A60" s="9">
        <f>'Monthly Data'!A60</f>
        <v>43770</v>
      </c>
      <c r="B60">
        <f t="shared" si="11"/>
        <v>2019</v>
      </c>
      <c r="C60">
        <f t="shared" si="12"/>
        <v>11</v>
      </c>
      <c r="D60" s="31">
        <f>'Monthly Data'!F60</f>
        <v>40460397.025429964</v>
      </c>
      <c r="E60" s="33">
        <f>'Monthly Data'!AV60</f>
        <v>343.99999999999994</v>
      </c>
      <c r="F60" s="33">
        <f>'Monthly Data'!AW60</f>
        <v>0</v>
      </c>
      <c r="G60" s="18">
        <f>'Monthly Data'!Z60</f>
        <v>799632</v>
      </c>
      <c r="H60">
        <f>'Monthly Data'!BR60</f>
        <v>1</v>
      </c>
      <c r="I60" s="33">
        <f>'Monthly Data'!BT60</f>
        <v>30</v>
      </c>
      <c r="K60" s="18">
        <f>'Res Predicted Monthly'!$V$9</f>
        <v>-23284736.647811599</v>
      </c>
      <c r="L60" s="18">
        <f>E60*'Res Predicted Monthly'!$V$10</f>
        <v>4707949.1151665365</v>
      </c>
      <c r="M60" s="18">
        <f>F60*'Res Predicted Monthly'!$V$11</f>
        <v>0</v>
      </c>
      <c r="N60" s="18">
        <f>G60*'Res Predicted Monthly'!$V$12</f>
        <v>15296206.42268353</v>
      </c>
      <c r="O60" s="18">
        <f>H60*'Res Predicted Monthly'!$V$13</f>
        <v>-2837598.3252266399</v>
      </c>
      <c r="P60" s="18">
        <f>I60*'Res Predicted Monthly'!$V$14</f>
        <v>46862706.824338198</v>
      </c>
      <c r="Q60" s="18">
        <f t="shared" si="8"/>
        <v>40744527.389150023</v>
      </c>
      <c r="R60" s="18">
        <f t="shared" si="9"/>
        <v>284130.36372005939</v>
      </c>
      <c r="S60" s="35">
        <f t="shared" si="10"/>
        <v>7.0224314294661822E-3</v>
      </c>
    </row>
    <row r="61" spans="1:23" x14ac:dyDescent="0.2">
      <c r="A61" s="9">
        <f>'Monthly Data'!A61</f>
        <v>43800</v>
      </c>
      <c r="B61">
        <f t="shared" si="11"/>
        <v>2019</v>
      </c>
      <c r="C61">
        <f t="shared" si="12"/>
        <v>12</v>
      </c>
      <c r="D61" s="31">
        <f>'Monthly Data'!F61</f>
        <v>45553447.348898709</v>
      </c>
      <c r="E61" s="33">
        <f>'Monthly Data'!AV61</f>
        <v>396.4</v>
      </c>
      <c r="F61" s="33">
        <f>'Monthly Data'!AW61</f>
        <v>0</v>
      </c>
      <c r="G61" s="18">
        <f>'Monthly Data'!Z61</f>
        <v>799632</v>
      </c>
      <c r="H61">
        <f>'Monthly Data'!BR61</f>
        <v>0</v>
      </c>
      <c r="I61" s="33">
        <f>'Monthly Data'!BT61</f>
        <v>31</v>
      </c>
      <c r="K61" s="18">
        <f>'Res Predicted Monthly'!$V$9</f>
        <v>-23284736.647811599</v>
      </c>
      <c r="L61" s="18">
        <f>E61*'Res Predicted Monthly'!$V$10</f>
        <v>5425090.2013139986</v>
      </c>
      <c r="M61" s="18">
        <f>F61*'Res Predicted Monthly'!$V$11</f>
        <v>0</v>
      </c>
      <c r="N61" s="18">
        <f>G61*'Res Predicted Monthly'!$V$12</f>
        <v>15296206.42268353</v>
      </c>
      <c r="O61" s="18">
        <f>H61*'Res Predicted Monthly'!$V$13</f>
        <v>0</v>
      </c>
      <c r="P61" s="18">
        <f>I61*'Res Predicted Monthly'!$V$14</f>
        <v>48424797.051816143</v>
      </c>
      <c r="Q61" s="18">
        <f t="shared" si="8"/>
        <v>45861357.028002068</v>
      </c>
      <c r="R61" s="18">
        <f t="shared" si="9"/>
        <v>307909.67910335958</v>
      </c>
      <c r="S61" s="35">
        <f t="shared" si="10"/>
        <v>6.7593057610996271E-3</v>
      </c>
    </row>
    <row r="62" spans="1:23" x14ac:dyDescent="0.2">
      <c r="A62" s="9">
        <f>'Monthly Data'!A62</f>
        <v>43831</v>
      </c>
      <c r="B62">
        <f t="shared" si="11"/>
        <v>2020</v>
      </c>
      <c r="C62">
        <f t="shared" si="12"/>
        <v>1</v>
      </c>
      <c r="D62" s="31">
        <f>'Monthly Data'!F62</f>
        <v>44911593.71344091</v>
      </c>
      <c r="E62" s="33">
        <f>'Monthly Data'!AV62</f>
        <v>427.8</v>
      </c>
      <c r="F62" s="33">
        <f>'Monthly Data'!AW62</f>
        <v>0</v>
      </c>
      <c r="G62" s="18">
        <f>'Monthly Data'!Z62</f>
        <v>800724</v>
      </c>
      <c r="H62">
        <f>'Monthly Data'!BR62</f>
        <v>0</v>
      </c>
      <c r="I62" s="33">
        <f>'Monthly Data'!BT62</f>
        <v>31</v>
      </c>
      <c r="K62" s="18">
        <f>'Res Predicted Monthly'!$V$9</f>
        <v>-23284736.647811599</v>
      </c>
      <c r="L62" s="18">
        <f>E62*'Res Predicted Monthly'!$V$10</f>
        <v>5854827.4170588516</v>
      </c>
      <c r="M62" s="18">
        <f>F62*'Res Predicted Monthly'!$V$11</f>
        <v>0</v>
      </c>
      <c r="N62" s="18">
        <f>G62*'Res Predicted Monthly'!$V$12</f>
        <v>15317095.353358604</v>
      </c>
      <c r="O62" s="18">
        <f>H62*'Res Predicted Monthly'!$V$13</f>
        <v>0</v>
      </c>
      <c r="P62" s="18">
        <f>I62*'Res Predicted Monthly'!$V$14</f>
        <v>48424797.051816143</v>
      </c>
      <c r="Q62" s="18">
        <f t="shared" si="8"/>
        <v>46311983.174421996</v>
      </c>
      <c r="R62" s="18">
        <f t="shared" si="9"/>
        <v>1400389.4609810859</v>
      </c>
      <c r="S62" s="35">
        <f t="shared" si="10"/>
        <v>3.1181023544082885E-2</v>
      </c>
    </row>
    <row r="63" spans="1:23" x14ac:dyDescent="0.2">
      <c r="A63" s="9">
        <f>'Monthly Data'!A63</f>
        <v>43862</v>
      </c>
      <c r="B63">
        <f t="shared" si="11"/>
        <v>2020</v>
      </c>
      <c r="C63">
        <f t="shared" si="12"/>
        <v>2</v>
      </c>
      <c r="D63" s="31">
        <f>'Monthly Data'!F63</f>
        <v>40905172.199256942</v>
      </c>
      <c r="E63" s="33">
        <f>'Monthly Data'!AV63</f>
        <v>445.2</v>
      </c>
      <c r="F63" s="33">
        <f>'Monthly Data'!AW63</f>
        <v>0</v>
      </c>
      <c r="G63" s="18">
        <f>'Monthly Data'!Z63</f>
        <v>800724</v>
      </c>
      <c r="H63">
        <f>'Monthly Data'!BR63</f>
        <v>0</v>
      </c>
      <c r="I63" s="33">
        <f>'Monthly Data'!BT63</f>
        <v>29</v>
      </c>
      <c r="K63" s="18">
        <f>'Res Predicted Monthly'!$V$9</f>
        <v>-23284736.647811599</v>
      </c>
      <c r="L63" s="18">
        <f>E63*'Res Predicted Monthly'!$V$10</f>
        <v>6092962.0525352983</v>
      </c>
      <c r="M63" s="18">
        <f>F63*'Res Predicted Monthly'!$V$11</f>
        <v>0</v>
      </c>
      <c r="N63" s="18">
        <f>G63*'Res Predicted Monthly'!$V$12</f>
        <v>15317095.353358604</v>
      </c>
      <c r="O63" s="18">
        <f>H63*'Res Predicted Monthly'!$V$13</f>
        <v>0</v>
      </c>
      <c r="P63" s="18">
        <f>I63*'Res Predicted Monthly'!$V$14</f>
        <v>45300616.59686026</v>
      </c>
      <c r="Q63" s="18">
        <f t="shared" si="8"/>
        <v>43425937.35494256</v>
      </c>
      <c r="R63" s="18">
        <f t="shared" si="9"/>
        <v>2520765.1556856185</v>
      </c>
      <c r="S63" s="35">
        <f t="shared" si="10"/>
        <v>6.1624606868942826E-2</v>
      </c>
    </row>
    <row r="64" spans="1:23" x14ac:dyDescent="0.2">
      <c r="A64" s="9">
        <f>'Monthly Data'!A64</f>
        <v>43891</v>
      </c>
      <c r="B64">
        <f t="shared" si="11"/>
        <v>2020</v>
      </c>
      <c r="C64">
        <f t="shared" si="12"/>
        <v>3</v>
      </c>
      <c r="D64" s="31">
        <f>'Monthly Data'!F64</f>
        <v>42164842.685072981</v>
      </c>
      <c r="E64" s="33">
        <f>'Monthly Data'!AV64</f>
        <v>316</v>
      </c>
      <c r="F64" s="33">
        <f>'Monthly Data'!AW64</f>
        <v>0</v>
      </c>
      <c r="G64" s="18">
        <f>'Monthly Data'!Z64</f>
        <v>800724</v>
      </c>
      <c r="H64">
        <f>'Monthly Data'!BR64</f>
        <v>1</v>
      </c>
      <c r="I64" s="33">
        <f>'Monthly Data'!BT64</f>
        <v>31</v>
      </c>
      <c r="K64" s="18">
        <f>'Res Predicted Monthly'!$V$9</f>
        <v>-23284736.647811599</v>
      </c>
      <c r="L64" s="18">
        <f>E64*'Res Predicted Monthly'!$V$10</f>
        <v>4324743.9546297267</v>
      </c>
      <c r="M64" s="18">
        <f>F64*'Res Predicted Monthly'!$V$11</f>
        <v>0</v>
      </c>
      <c r="N64" s="18">
        <f>G64*'Res Predicted Monthly'!$V$12</f>
        <v>15317095.353358604</v>
      </c>
      <c r="O64" s="18">
        <f>H64*'Res Predicted Monthly'!$V$13</f>
        <v>-2837598.3252266399</v>
      </c>
      <c r="P64" s="18">
        <f>I64*'Res Predicted Monthly'!$V$14</f>
        <v>48424797.051816143</v>
      </c>
      <c r="Q64" s="18">
        <f t="shared" si="8"/>
        <v>41944301.386766233</v>
      </c>
      <c r="R64" s="18">
        <f t="shared" si="9"/>
        <v>-220541.29830674827</v>
      </c>
      <c r="S64" s="35">
        <f t="shared" si="10"/>
        <v>5.2304546694021785E-3</v>
      </c>
      <c r="V64" s="18"/>
      <c r="W64" s="35"/>
    </row>
    <row r="65" spans="1:27" x14ac:dyDescent="0.2">
      <c r="A65" s="9">
        <f>'Monthly Data'!A65</f>
        <v>43922</v>
      </c>
      <c r="B65">
        <f t="shared" si="11"/>
        <v>2020</v>
      </c>
      <c r="C65">
        <f t="shared" si="12"/>
        <v>4</v>
      </c>
      <c r="D65" s="31">
        <f>'Monthly Data'!F65</f>
        <v>40550697.17088902</v>
      </c>
      <c r="E65" s="33">
        <f>'Monthly Data'!AV65</f>
        <v>241.00000000000003</v>
      </c>
      <c r="F65" s="33">
        <f>'Monthly Data'!AW65</f>
        <v>0</v>
      </c>
      <c r="G65" s="18">
        <f>'Monthly Data'!Z65</f>
        <v>806630</v>
      </c>
      <c r="H65">
        <f>'Monthly Data'!BR65</f>
        <v>1</v>
      </c>
      <c r="I65" s="33">
        <f>'Monthly Data'!BT65</f>
        <v>30</v>
      </c>
      <c r="K65" s="18">
        <f>'Res Predicted Monthly'!$V$9</f>
        <v>-23284736.647811599</v>
      </c>
      <c r="L65" s="18">
        <f>E65*'Res Predicted Monthly'!$V$10</f>
        <v>3298301.5603346969</v>
      </c>
      <c r="M65" s="18">
        <f>F65*'Res Predicted Monthly'!$V$11</f>
        <v>0</v>
      </c>
      <c r="N65" s="18">
        <f>G65*'Res Predicted Monthly'!$V$12</f>
        <v>15430071.566332033</v>
      </c>
      <c r="O65" s="18">
        <f>H65*'Res Predicted Monthly'!$V$13</f>
        <v>-2837598.3252266399</v>
      </c>
      <c r="P65" s="18">
        <f>I65*'Res Predicted Monthly'!$V$14</f>
        <v>46862706.824338198</v>
      </c>
      <c r="Q65" s="18">
        <f t="shared" si="8"/>
        <v>39468744.977966689</v>
      </c>
      <c r="R65" s="18">
        <f t="shared" si="9"/>
        <v>-1081952.1929223314</v>
      </c>
      <c r="S65" s="35">
        <f t="shared" si="10"/>
        <v>2.6681469577767337E-2</v>
      </c>
      <c r="V65" s="18"/>
      <c r="W65" s="35"/>
    </row>
    <row r="66" spans="1:27" x14ac:dyDescent="0.2">
      <c r="A66" s="9">
        <f>'Monthly Data'!A66</f>
        <v>43952</v>
      </c>
      <c r="B66">
        <f t="shared" si="11"/>
        <v>2020</v>
      </c>
      <c r="C66">
        <f t="shared" si="12"/>
        <v>5</v>
      </c>
      <c r="D66" s="31">
        <f>'Monthly Data'!F66</f>
        <v>45655296.656705059</v>
      </c>
      <c r="E66" s="33">
        <f>'Monthly Data'!AV66</f>
        <v>122.60000000000001</v>
      </c>
      <c r="F66" s="33">
        <f>'Monthly Data'!AW66</f>
        <v>35.1</v>
      </c>
      <c r="G66" s="18">
        <f>'Monthly Data'!Z66</f>
        <v>806630</v>
      </c>
      <c r="H66">
        <f>'Monthly Data'!BR66</f>
        <v>1</v>
      </c>
      <c r="I66" s="33">
        <f>'Monthly Data'!BT66</f>
        <v>31</v>
      </c>
      <c r="K66" s="18">
        <f>'Res Predicted Monthly'!$V$9</f>
        <v>-23284736.647811599</v>
      </c>
      <c r="L66" s="18">
        <f>E66*'Res Predicted Monthly'!$V$10</f>
        <v>1677891.1672076092</v>
      </c>
      <c r="M66" s="18">
        <f>F66*'Res Predicted Monthly'!$V$11</f>
        <v>2814452.6571683646</v>
      </c>
      <c r="N66" s="18">
        <f>G66*'Res Predicted Monthly'!$V$12</f>
        <v>15430071.566332033</v>
      </c>
      <c r="O66" s="18">
        <f>H66*'Res Predicted Monthly'!$V$13</f>
        <v>-2837598.3252266399</v>
      </c>
      <c r="P66" s="18">
        <f>I66*'Res Predicted Monthly'!$V$14</f>
        <v>48424797.051816143</v>
      </c>
      <c r="Q66" s="18">
        <f t="shared" si="8"/>
        <v>42224877.469485909</v>
      </c>
      <c r="R66" s="18">
        <f t="shared" si="9"/>
        <v>-3430419.1872191504</v>
      </c>
      <c r="S66" s="35">
        <f t="shared" si="10"/>
        <v>7.5137375910914156E-2</v>
      </c>
      <c r="V66" s="18"/>
      <c r="W66" s="35"/>
    </row>
    <row r="67" spans="1:27" x14ac:dyDescent="0.2">
      <c r="A67" s="9">
        <f>'Monthly Data'!A67</f>
        <v>43983</v>
      </c>
      <c r="B67">
        <f t="shared" si="11"/>
        <v>2020</v>
      </c>
      <c r="C67">
        <f t="shared" si="12"/>
        <v>6</v>
      </c>
      <c r="D67" s="31">
        <f>'Monthly Data'!F67</f>
        <v>59532998.142521091</v>
      </c>
      <c r="E67" s="33">
        <f>'Monthly Data'!AV67</f>
        <v>3.0999999999999996</v>
      </c>
      <c r="F67" s="33">
        <f>'Monthly Data'!AW67</f>
        <v>182.39999999999995</v>
      </c>
      <c r="G67" s="18">
        <f>'Monthly Data'!Z67</f>
        <v>806630</v>
      </c>
      <c r="H67">
        <f>'Monthly Data'!BR67</f>
        <v>0</v>
      </c>
      <c r="I67" s="33">
        <f>'Monthly Data'!BT67</f>
        <v>30</v>
      </c>
      <c r="K67" s="18">
        <f>'Res Predicted Monthly'!$V$9</f>
        <v>-23284736.647811599</v>
      </c>
      <c r="L67" s="18">
        <f>E67*'Res Predicted Monthly'!$V$10</f>
        <v>42426.285630861232</v>
      </c>
      <c r="M67" s="18">
        <f>F67*'Res Predicted Monthly'!$V$11</f>
        <v>14625531.756909104</v>
      </c>
      <c r="N67" s="18">
        <f>G67*'Res Predicted Monthly'!$V$12</f>
        <v>15430071.566332033</v>
      </c>
      <c r="O67" s="18">
        <f>H67*'Res Predicted Monthly'!$V$13</f>
        <v>0</v>
      </c>
      <c r="P67" s="18">
        <f>I67*'Res Predicted Monthly'!$V$14</f>
        <v>46862706.824338198</v>
      </c>
      <c r="Q67" s="18">
        <f t="shared" si="8"/>
        <v>53675999.785398595</v>
      </c>
      <c r="R67" s="18">
        <f t="shared" si="9"/>
        <v>-5856998.3571224958</v>
      </c>
      <c r="S67" s="35">
        <f t="shared" si="10"/>
        <v>9.8382385229464353E-2</v>
      </c>
      <c r="V67" s="18"/>
      <c r="W67" s="35"/>
    </row>
    <row r="68" spans="1:27" x14ac:dyDescent="0.2">
      <c r="A68" s="9">
        <f>'Monthly Data'!A68</f>
        <v>44013</v>
      </c>
      <c r="B68">
        <f t="shared" si="11"/>
        <v>2020</v>
      </c>
      <c r="C68">
        <f t="shared" si="12"/>
        <v>7</v>
      </c>
      <c r="D68" s="31">
        <f>'Monthly Data'!F68</f>
        <v>72305754.62833713</v>
      </c>
      <c r="E68" s="33">
        <f>'Monthly Data'!AV68</f>
        <v>0</v>
      </c>
      <c r="F68" s="33">
        <f>'Monthly Data'!AW68</f>
        <v>326.5</v>
      </c>
      <c r="G68" s="18">
        <f>'Monthly Data'!Z68</f>
        <v>810347</v>
      </c>
      <c r="H68">
        <f>'Monthly Data'!BR68</f>
        <v>0</v>
      </c>
      <c r="I68" s="33">
        <f>'Monthly Data'!BT68</f>
        <v>31</v>
      </c>
      <c r="K68" s="18">
        <f>'Res Predicted Monthly'!$V$9</f>
        <v>-23284736.647811599</v>
      </c>
      <c r="L68" s="18">
        <f>E68*'Res Predicted Monthly'!$V$10</f>
        <v>0</v>
      </c>
      <c r="M68" s="18">
        <f>F68*'Res Predicted Monthly'!$V$11</f>
        <v>26180022.58021285</v>
      </c>
      <c r="N68" s="18">
        <f>G68*'Res Predicted Monthly'!$V$12</f>
        <v>15501174.272668339</v>
      </c>
      <c r="O68" s="18">
        <f>H68*'Res Predicted Monthly'!$V$13</f>
        <v>0</v>
      </c>
      <c r="P68" s="18">
        <f>I68*'Res Predicted Monthly'!$V$14</f>
        <v>48424797.051816143</v>
      </c>
      <c r="Q68" s="18">
        <f t="shared" si="8"/>
        <v>66821257.256885737</v>
      </c>
      <c r="R68" s="18">
        <f t="shared" si="9"/>
        <v>-5484497.3714513928</v>
      </c>
      <c r="S68" s="35">
        <f t="shared" si="10"/>
        <v>7.5851464377110309E-2</v>
      </c>
      <c r="V68" s="18"/>
      <c r="W68" s="35"/>
    </row>
    <row r="69" spans="1:27" x14ac:dyDescent="0.2">
      <c r="A69" s="9">
        <f>'Monthly Data'!A69</f>
        <v>44044</v>
      </c>
      <c r="B69">
        <f t="shared" si="11"/>
        <v>2020</v>
      </c>
      <c r="C69">
        <f t="shared" si="12"/>
        <v>8</v>
      </c>
      <c r="D69" s="31">
        <f>'Monthly Data'!F69</f>
        <v>63879386.114153169</v>
      </c>
      <c r="E69" s="33">
        <f>'Monthly Data'!AV69</f>
        <v>0</v>
      </c>
      <c r="F69" s="33">
        <f>'Monthly Data'!AW69</f>
        <v>245.54999999999998</v>
      </c>
      <c r="G69" s="18">
        <f>'Monthly Data'!Z69</f>
        <v>810347</v>
      </c>
      <c r="H69">
        <f>'Monthly Data'!BR69</f>
        <v>0</v>
      </c>
      <c r="I69" s="33">
        <f>'Monthly Data'!BT69</f>
        <v>31</v>
      </c>
      <c r="K69" s="18">
        <f>'Res Predicted Monthly'!$V$9</f>
        <v>-23284736.647811599</v>
      </c>
      <c r="L69" s="18">
        <f>E69*'Res Predicted Monthly'!$V$10</f>
        <v>0</v>
      </c>
      <c r="M69" s="18">
        <f>F69*'Res Predicted Monthly'!$V$11</f>
        <v>19689141.024720568</v>
      </c>
      <c r="N69" s="18">
        <f>G69*'Res Predicted Monthly'!$V$12</f>
        <v>15501174.272668339</v>
      </c>
      <c r="O69" s="18">
        <f>H69*'Res Predicted Monthly'!$V$13</f>
        <v>0</v>
      </c>
      <c r="P69" s="18">
        <f>I69*'Res Predicted Monthly'!$V$14</f>
        <v>48424797.051816143</v>
      </c>
      <c r="Q69" s="18">
        <f t="shared" si="8"/>
        <v>60330375.701393455</v>
      </c>
      <c r="R69" s="18">
        <f t="shared" si="9"/>
        <v>-3549010.4127597138</v>
      </c>
      <c r="S69" s="35">
        <f t="shared" si="10"/>
        <v>5.5557991844467525E-2</v>
      </c>
      <c r="V69" s="18"/>
      <c r="W69" s="35"/>
    </row>
    <row r="70" spans="1:27" x14ac:dyDescent="0.2">
      <c r="A70" s="9">
        <f>'Monthly Data'!A70</f>
        <v>44075</v>
      </c>
      <c r="B70">
        <f t="shared" si="11"/>
        <v>2020</v>
      </c>
      <c r="C70">
        <f t="shared" si="12"/>
        <v>9</v>
      </c>
      <c r="D70" s="31">
        <f>'Monthly Data'!F70</f>
        <v>46969020.599969208</v>
      </c>
      <c r="E70" s="33">
        <f>'Monthly Data'!AV70</f>
        <v>6.7999999999999989</v>
      </c>
      <c r="F70" s="33">
        <f>'Monthly Data'!AW70</f>
        <v>108.09999999999998</v>
      </c>
      <c r="G70" s="18">
        <f>'Monthly Data'!Z70</f>
        <v>810347</v>
      </c>
      <c r="H70">
        <f>'Monthly Data'!BR70</f>
        <v>1</v>
      </c>
      <c r="I70" s="33">
        <f>'Monthly Data'!BT70</f>
        <v>30</v>
      </c>
      <c r="K70" s="18">
        <f>'Res Predicted Monthly'!$V$9</f>
        <v>-23284736.647811599</v>
      </c>
      <c r="L70" s="18">
        <f>E70*'Res Predicted Monthly'!$V$10</f>
        <v>93064.110416082709</v>
      </c>
      <c r="M70" s="18">
        <f>F70*'Res Predicted Monthly'!$V$11</f>
        <v>8667872.7133874688</v>
      </c>
      <c r="N70" s="18">
        <f>G70*'Res Predicted Monthly'!$V$12</f>
        <v>15501174.272668339</v>
      </c>
      <c r="O70" s="18">
        <f>H70*'Res Predicted Monthly'!$V$13</f>
        <v>-2837598.3252266399</v>
      </c>
      <c r="P70" s="18">
        <f>I70*'Res Predicted Monthly'!$V$14</f>
        <v>46862706.824338198</v>
      </c>
      <c r="Q70" s="18">
        <f t="shared" si="8"/>
        <v>45002482.947771855</v>
      </c>
      <c r="R70" s="18">
        <f t="shared" si="9"/>
        <v>-1966537.6521973535</v>
      </c>
      <c r="S70" s="35">
        <f t="shared" si="10"/>
        <v>4.1868823898760253E-2</v>
      </c>
      <c r="V70" s="18"/>
      <c r="W70" s="35"/>
    </row>
    <row r="71" spans="1:27" x14ac:dyDescent="0.2">
      <c r="A71" s="9">
        <f>'Monthly Data'!A71</f>
        <v>44105</v>
      </c>
      <c r="B71">
        <f t="shared" si="11"/>
        <v>2020</v>
      </c>
      <c r="C71">
        <f t="shared" si="12"/>
        <v>10</v>
      </c>
      <c r="D71" s="31">
        <f>'Monthly Data'!F71</f>
        <v>40798366.08578524</v>
      </c>
      <c r="E71" s="33">
        <f>'Monthly Data'!AV71</f>
        <v>116.69999999999999</v>
      </c>
      <c r="F71" s="33">
        <f>'Monthly Data'!AW71</f>
        <v>7.6999999999999993</v>
      </c>
      <c r="G71" s="18">
        <f>'Monthly Data'!Z71</f>
        <v>811397</v>
      </c>
      <c r="H71">
        <f>'Monthly Data'!BR71</f>
        <v>1</v>
      </c>
      <c r="I71" s="33">
        <f>'Monthly Data'!BT71</f>
        <v>31</v>
      </c>
      <c r="K71" s="18">
        <f>'Res Predicted Monthly'!$V$9</f>
        <v>-23284736.647811599</v>
      </c>
      <c r="L71" s="18">
        <f>E71*'Res Predicted Monthly'!$V$10</f>
        <v>1597144.3655230666</v>
      </c>
      <c r="M71" s="18">
        <f>F71*'Res Predicted Monthly'!$V$11</f>
        <v>617415.54017653584</v>
      </c>
      <c r="N71" s="18">
        <f>G71*'Res Predicted Monthly'!$V$12</f>
        <v>15521259.782932835</v>
      </c>
      <c r="O71" s="18">
        <f>H71*'Res Predicted Monthly'!$V$13</f>
        <v>-2837598.3252266399</v>
      </c>
      <c r="P71" s="18">
        <f>I71*'Res Predicted Monthly'!$V$14</f>
        <v>48424797.051816143</v>
      </c>
      <c r="Q71" s="18">
        <f t="shared" si="8"/>
        <v>40038281.767410338</v>
      </c>
      <c r="R71" s="18">
        <f t="shared" si="9"/>
        <v>-760084.31837490201</v>
      </c>
      <c r="S71" s="35">
        <f t="shared" si="10"/>
        <v>1.8630263691852274E-2</v>
      </c>
      <c r="V71" s="18"/>
      <c r="W71" s="35"/>
    </row>
    <row r="72" spans="1:27" x14ac:dyDescent="0.2">
      <c r="A72" s="9">
        <f>'Monthly Data'!A72</f>
        <v>44136</v>
      </c>
      <c r="B72">
        <f t="shared" si="11"/>
        <v>2020</v>
      </c>
      <c r="C72">
        <f t="shared" si="12"/>
        <v>11</v>
      </c>
      <c r="D72" s="31">
        <f>'Monthly Data'!F72</f>
        <v>41142966.571601279</v>
      </c>
      <c r="E72" s="33">
        <f>'Monthly Data'!AV72</f>
        <v>184.59999999999997</v>
      </c>
      <c r="F72" s="33">
        <f>'Monthly Data'!AW72</f>
        <v>8.6999999999999993</v>
      </c>
      <c r="G72" s="18">
        <f>'Monthly Data'!Z72</f>
        <v>811397</v>
      </c>
      <c r="H72">
        <f>'Monthly Data'!BR72</f>
        <v>1</v>
      </c>
      <c r="I72" s="33">
        <f>'Monthly Data'!BT72</f>
        <v>30</v>
      </c>
      <c r="K72" s="18">
        <f>'Res Predicted Monthly'!$V$9</f>
        <v>-23284736.647811599</v>
      </c>
      <c r="L72" s="18">
        <f>E72*'Res Predicted Monthly'!$V$10</f>
        <v>2526416.8798248335</v>
      </c>
      <c r="M72" s="18">
        <f>F72*'Res Predicted Monthly'!$V$11</f>
        <v>697599.37656309886</v>
      </c>
      <c r="N72" s="18">
        <f>G72*'Res Predicted Monthly'!$V$12</f>
        <v>15521259.782932835</v>
      </c>
      <c r="O72" s="18">
        <f>H72*'Res Predicted Monthly'!$V$13</f>
        <v>-2837598.3252266399</v>
      </c>
      <c r="P72" s="18">
        <f>I72*'Res Predicted Monthly'!$V$14</f>
        <v>46862706.824338198</v>
      </c>
      <c r="Q72" s="18">
        <f t="shared" si="8"/>
        <v>39485647.890620723</v>
      </c>
      <c r="R72" s="18">
        <f t="shared" si="9"/>
        <v>-1657318.6809805557</v>
      </c>
      <c r="S72" s="35">
        <f t="shared" si="10"/>
        <v>4.028194413488189E-2</v>
      </c>
      <c r="V72" s="18"/>
      <c r="W72" s="35"/>
    </row>
    <row r="73" spans="1:27" x14ac:dyDescent="0.2">
      <c r="A73" s="9">
        <f>'Monthly Data'!A73</f>
        <v>44166</v>
      </c>
      <c r="B73">
        <f t="shared" si="11"/>
        <v>2020</v>
      </c>
      <c r="C73">
        <f t="shared" si="12"/>
        <v>12</v>
      </c>
      <c r="D73" s="31">
        <f>'Monthly Data'!F73</f>
        <v>47931193.057417318</v>
      </c>
      <c r="E73" s="33">
        <f>'Monthly Data'!AV73</f>
        <v>388.10000000000008</v>
      </c>
      <c r="F73" s="33">
        <f>'Monthly Data'!AW73</f>
        <v>0</v>
      </c>
      <c r="G73" s="18">
        <f>'Monthly Data'!Z73</f>
        <v>811397</v>
      </c>
      <c r="H73">
        <f>'Monthly Data'!BR73</f>
        <v>0</v>
      </c>
      <c r="I73" s="33">
        <f>'Monthly Data'!BT73</f>
        <v>31</v>
      </c>
      <c r="K73" s="18">
        <f>'Res Predicted Monthly'!$V$9</f>
        <v>-23284736.647811599</v>
      </c>
      <c r="L73" s="18">
        <f>E73*'Res Predicted Monthly'!$V$10</f>
        <v>5311497.2430120166</v>
      </c>
      <c r="M73" s="18">
        <f>F73*'Res Predicted Monthly'!$V$11</f>
        <v>0</v>
      </c>
      <c r="N73" s="18">
        <f>G73*'Res Predicted Monthly'!$V$12</f>
        <v>15521259.782932835</v>
      </c>
      <c r="O73" s="18">
        <f>H73*'Res Predicted Monthly'!$V$13</f>
        <v>0</v>
      </c>
      <c r="P73" s="18">
        <f>I73*'Res Predicted Monthly'!$V$14</f>
        <v>48424797.051816143</v>
      </c>
      <c r="Q73" s="18">
        <f t="shared" si="8"/>
        <v>45972817.429949395</v>
      </c>
      <c r="R73" s="18">
        <f t="shared" si="9"/>
        <v>-1958375.6274679229</v>
      </c>
      <c r="S73" s="35">
        <f t="shared" si="10"/>
        <v>4.0858061369804889E-2</v>
      </c>
      <c r="V73" s="18"/>
      <c r="W73" s="35"/>
    </row>
    <row r="74" spans="1:27" x14ac:dyDescent="0.2">
      <c r="A74" s="9">
        <f>'Monthly Data'!A74</f>
        <v>44197</v>
      </c>
      <c r="B74">
        <f t="shared" si="11"/>
        <v>2021</v>
      </c>
      <c r="C74">
        <f t="shared" si="12"/>
        <v>1</v>
      </c>
      <c r="D74" s="31">
        <f>'Monthly Data'!F74</f>
        <v>49036599.020043381</v>
      </c>
      <c r="E74" s="33">
        <f>'Monthly Data'!AV74</f>
        <v>461.9</v>
      </c>
      <c r="F74" s="33">
        <f>'Monthly Data'!AW74</f>
        <v>0</v>
      </c>
      <c r="G74" s="18">
        <f>'Monthly Data'!Z74</f>
        <v>800126</v>
      </c>
      <c r="H74">
        <f>'Monthly Data'!BR74</f>
        <v>0</v>
      </c>
      <c r="I74" s="33">
        <f>'Monthly Data'!BT74</f>
        <v>31</v>
      </c>
      <c r="K74" s="18">
        <f>'Res Predicted Monthly'!$V$9</f>
        <v>-23284736.647811599</v>
      </c>
      <c r="L74" s="18">
        <f>E74*'Res Predicted Monthly'!$V$10</f>
        <v>6321516.558998324</v>
      </c>
      <c r="M74" s="18">
        <f>F74*'Res Predicted Monthly'!$V$11</f>
        <v>0</v>
      </c>
      <c r="N74" s="18">
        <f>G74*'Res Predicted Monthly'!$V$12</f>
        <v>15305656.177036539</v>
      </c>
      <c r="O74" s="18">
        <f>H74*'Res Predicted Monthly'!$V$13</f>
        <v>0</v>
      </c>
      <c r="P74" s="18">
        <f>I74*'Res Predicted Monthly'!$V$14</f>
        <v>48424797.051816143</v>
      </c>
      <c r="Q74" s="18">
        <f t="shared" si="8"/>
        <v>46767233.140039407</v>
      </c>
      <c r="R74" s="18">
        <f t="shared" si="9"/>
        <v>-2269365.8800039738</v>
      </c>
      <c r="S74" s="35">
        <f t="shared" si="10"/>
        <v>4.6279022716815776E-2</v>
      </c>
      <c r="V74" s="18"/>
      <c r="W74" s="35"/>
    </row>
    <row r="75" spans="1:27" x14ac:dyDescent="0.2">
      <c r="A75" s="9">
        <f>'Monthly Data'!A75</f>
        <v>44228</v>
      </c>
      <c r="B75">
        <f t="shared" si="11"/>
        <v>2021</v>
      </c>
      <c r="C75">
        <f t="shared" si="12"/>
        <v>2</v>
      </c>
      <c r="D75" s="31">
        <f>'Monthly Data'!F75</f>
        <v>44239591.50465861</v>
      </c>
      <c r="E75" s="33">
        <f>'Monthly Data'!AV75</f>
        <v>496.99999999999994</v>
      </c>
      <c r="F75" s="33">
        <f>'Monthly Data'!AW75</f>
        <v>0</v>
      </c>
      <c r="G75" s="18">
        <f>'Monthly Data'!Z75</f>
        <v>800126</v>
      </c>
      <c r="H75">
        <f>'Monthly Data'!BR75</f>
        <v>0</v>
      </c>
      <c r="I75" s="33">
        <f>'Monthly Data'!BT75</f>
        <v>28</v>
      </c>
      <c r="K75" s="18">
        <f>'Res Predicted Monthly'!$V$9</f>
        <v>-23284736.647811599</v>
      </c>
      <c r="L75" s="18">
        <f>E75*'Res Predicted Monthly'!$V$10</f>
        <v>6801891.5995283984</v>
      </c>
      <c r="M75" s="18">
        <f>F75*'Res Predicted Monthly'!$V$11</f>
        <v>0</v>
      </c>
      <c r="N75" s="18">
        <f>G75*'Res Predicted Monthly'!$V$12</f>
        <v>15305656.177036539</v>
      </c>
      <c r="O75" s="18">
        <f>H75*'Res Predicted Monthly'!$V$13</f>
        <v>0</v>
      </c>
      <c r="P75" s="18">
        <f>I75*'Res Predicted Monthly'!$V$14</f>
        <v>43738526.369382322</v>
      </c>
      <c r="Q75" s="18">
        <f t="shared" si="8"/>
        <v>42561337.498135656</v>
      </c>
      <c r="R75" s="18">
        <f t="shared" si="9"/>
        <v>-1678254.0065229535</v>
      </c>
      <c r="S75" s="35">
        <f t="shared" si="10"/>
        <v>3.7935567428244145E-2</v>
      </c>
      <c r="V75" s="18"/>
      <c r="W75" s="35"/>
    </row>
    <row r="76" spans="1:27" x14ac:dyDescent="0.2">
      <c r="A76" s="9">
        <f>'Monthly Data'!A76</f>
        <v>44256</v>
      </c>
      <c r="B76">
        <f t="shared" si="11"/>
        <v>2021</v>
      </c>
      <c r="C76">
        <f t="shared" si="12"/>
        <v>3</v>
      </c>
      <c r="D76" s="31">
        <f>'Monthly Data'!F76</f>
        <v>43218533.989273846</v>
      </c>
      <c r="E76" s="33">
        <f>'Monthly Data'!AV76</f>
        <v>325.00000000000006</v>
      </c>
      <c r="F76" s="33">
        <f>'Monthly Data'!AW76</f>
        <v>0</v>
      </c>
      <c r="G76" s="18">
        <f>'Monthly Data'!Z76</f>
        <v>800126</v>
      </c>
      <c r="H76">
        <f>'Monthly Data'!BR76</f>
        <v>1</v>
      </c>
      <c r="I76" s="33">
        <f>'Monthly Data'!BT76</f>
        <v>31</v>
      </c>
      <c r="K76" s="18">
        <f>'Res Predicted Monthly'!$V$9</f>
        <v>-23284736.647811599</v>
      </c>
      <c r="L76" s="18">
        <f>E76*'Res Predicted Monthly'!$V$10</f>
        <v>4447917.0419451306</v>
      </c>
      <c r="M76" s="18">
        <f>F76*'Res Predicted Monthly'!$V$11</f>
        <v>0</v>
      </c>
      <c r="N76" s="18">
        <f>G76*'Res Predicted Monthly'!$V$12</f>
        <v>15305656.177036539</v>
      </c>
      <c r="O76" s="18">
        <f>H76*'Res Predicted Monthly'!$V$13</f>
        <v>-2837598.3252266399</v>
      </c>
      <c r="P76" s="18">
        <f>I76*'Res Predicted Monthly'!$V$14</f>
        <v>48424797.051816143</v>
      </c>
      <c r="Q76" s="18">
        <f t="shared" si="8"/>
        <v>42056035.29775957</v>
      </c>
      <c r="R76" s="18">
        <f t="shared" si="9"/>
        <v>-1162498.691514276</v>
      </c>
      <c r="S76" s="35">
        <f t="shared" si="10"/>
        <v>2.6898151885549604E-2</v>
      </c>
    </row>
    <row r="77" spans="1:27" x14ac:dyDescent="0.2">
      <c r="A77" s="9">
        <f>'Monthly Data'!A77</f>
        <v>44287</v>
      </c>
      <c r="B77">
        <f t="shared" si="11"/>
        <v>2021</v>
      </c>
      <c r="C77">
        <f t="shared" si="12"/>
        <v>4</v>
      </c>
      <c r="D77" s="31">
        <f>'Monthly Data'!F77</f>
        <v>39165169.473889083</v>
      </c>
      <c r="E77" s="33">
        <f>'Monthly Data'!AV77</f>
        <v>216.7</v>
      </c>
      <c r="F77" s="33">
        <f>'Monthly Data'!AW77</f>
        <v>0</v>
      </c>
      <c r="G77" s="18">
        <f>'Monthly Data'!Z77</f>
        <v>706539</v>
      </c>
      <c r="H77">
        <f>'Monthly Data'!BR77</f>
        <v>1</v>
      </c>
      <c r="I77" s="33">
        <f>'Monthly Data'!BT77</f>
        <v>30</v>
      </c>
      <c r="K77" s="18">
        <f>'Res Predicted Monthly'!$V$9</f>
        <v>-23284736.647811599</v>
      </c>
      <c r="L77" s="18">
        <f>E77*'Res Predicted Monthly'!$V$10</f>
        <v>2965734.2245831066</v>
      </c>
      <c r="M77" s="18">
        <f>F77*'Res Predicted Monthly'!$V$11</f>
        <v>0</v>
      </c>
      <c r="N77" s="18">
        <f>G77*'Res Predicted Monthly'!$V$12</f>
        <v>13515425.08263351</v>
      </c>
      <c r="O77" s="18">
        <f>H77*'Res Predicted Monthly'!$V$13</f>
        <v>-2837598.3252266399</v>
      </c>
      <c r="P77" s="18">
        <f>I77*'Res Predicted Monthly'!$V$14</f>
        <v>46862706.824338198</v>
      </c>
      <c r="Q77" s="18">
        <f t="shared" si="8"/>
        <v>37221531.158516578</v>
      </c>
      <c r="R77" s="18">
        <f t="shared" si="9"/>
        <v>-1943638.3153725043</v>
      </c>
      <c r="S77" s="35">
        <f t="shared" si="10"/>
        <v>4.9626705092347505E-2</v>
      </c>
      <c r="V77" s="18"/>
    </row>
    <row r="78" spans="1:27" x14ac:dyDescent="0.2">
      <c r="A78" s="9">
        <f>'Monthly Data'!A78</f>
        <v>44317</v>
      </c>
      <c r="B78">
        <f t="shared" si="11"/>
        <v>2021</v>
      </c>
      <c r="C78">
        <f t="shared" si="12"/>
        <v>5</v>
      </c>
      <c r="D78" s="31">
        <f>'Monthly Data'!F78</f>
        <v>47117065.958504319</v>
      </c>
      <c r="E78" s="33">
        <f>'Monthly Data'!AV78</f>
        <v>79.400000000000006</v>
      </c>
      <c r="F78" s="33">
        <f>'Monthly Data'!AW78</f>
        <v>53.6</v>
      </c>
      <c r="G78" s="18">
        <f>'Monthly Data'!Z78</f>
        <v>706539</v>
      </c>
      <c r="H78">
        <f>'Monthly Data'!BR78</f>
        <v>1</v>
      </c>
      <c r="I78" s="33">
        <f>'Monthly Data'!BT78</f>
        <v>31</v>
      </c>
      <c r="K78" s="18">
        <f>'Res Predicted Monthly'!$V$9</f>
        <v>-23284736.647811599</v>
      </c>
      <c r="L78" s="18">
        <f>E78*'Res Predicted Monthly'!$V$10</f>
        <v>1086660.3480936717</v>
      </c>
      <c r="M78" s="18">
        <f>F78*'Res Predicted Monthly'!$V$11</f>
        <v>4297853.6303197825</v>
      </c>
      <c r="N78" s="18">
        <f>G78*'Res Predicted Monthly'!$V$12</f>
        <v>13515425.08263351</v>
      </c>
      <c r="O78" s="18">
        <f>H78*'Res Predicted Monthly'!$V$13</f>
        <v>-2837598.3252266399</v>
      </c>
      <c r="P78" s="18">
        <f>I78*'Res Predicted Monthly'!$V$14</f>
        <v>48424797.051816143</v>
      </c>
      <c r="Q78" s="18">
        <f t="shared" si="8"/>
        <v>41202401.139824867</v>
      </c>
      <c r="R78" s="18">
        <f t="shared" si="9"/>
        <v>-5914664.8186794519</v>
      </c>
      <c r="S78" s="35">
        <f t="shared" si="10"/>
        <v>0.12553126342562285</v>
      </c>
      <c r="V78" s="18"/>
      <c r="W78" s="34"/>
      <c r="Y78" s="18"/>
      <c r="Z78" s="18"/>
      <c r="AA78" s="75"/>
    </row>
    <row r="79" spans="1:27" x14ac:dyDescent="0.2">
      <c r="A79" s="9">
        <f>'Monthly Data'!A79</f>
        <v>44348</v>
      </c>
      <c r="B79">
        <f t="shared" si="11"/>
        <v>2021</v>
      </c>
      <c r="C79">
        <f t="shared" si="12"/>
        <v>6</v>
      </c>
      <c r="D79" s="31">
        <f>'Monthly Data'!F79</f>
        <v>54507390.443119556</v>
      </c>
      <c r="E79" s="33">
        <f>'Monthly Data'!AV79</f>
        <v>0</v>
      </c>
      <c r="F79" s="33">
        <f>'Monthly Data'!AW79</f>
        <v>209.39999999999995</v>
      </c>
      <c r="G79" s="18">
        <f>'Monthly Data'!Z79</f>
        <v>706539</v>
      </c>
      <c r="H79">
        <f>'Monthly Data'!BR79</f>
        <v>0</v>
      </c>
      <c r="I79" s="33">
        <f>'Monthly Data'!BT79</f>
        <v>30</v>
      </c>
      <c r="K79" s="18">
        <f>'Res Predicted Monthly'!$V$9</f>
        <v>-23284736.647811599</v>
      </c>
      <c r="L79" s="18">
        <f>E79*'Res Predicted Monthly'!$V$10</f>
        <v>0</v>
      </c>
      <c r="M79" s="18">
        <f>F79*'Res Predicted Monthly'!$V$11</f>
        <v>16790495.339346308</v>
      </c>
      <c r="N79" s="18">
        <f>G79*'Res Predicted Monthly'!$V$12</f>
        <v>13515425.08263351</v>
      </c>
      <c r="O79" s="18">
        <f>H79*'Res Predicted Monthly'!$V$13</f>
        <v>0</v>
      </c>
      <c r="P79" s="18">
        <f>I79*'Res Predicted Monthly'!$V$14</f>
        <v>46862706.824338198</v>
      </c>
      <c r="Q79" s="18">
        <f t="shared" si="8"/>
        <v>53883890.598506421</v>
      </c>
      <c r="R79" s="18">
        <f t="shared" si="9"/>
        <v>-623499.84461313486</v>
      </c>
      <c r="S79" s="35">
        <f t="shared" si="10"/>
        <v>1.1438812967276054E-2</v>
      </c>
      <c r="V79" s="18"/>
      <c r="W79" s="34"/>
      <c r="Y79" s="18"/>
      <c r="Z79" s="18"/>
      <c r="AA79" s="75"/>
    </row>
    <row r="80" spans="1:27" x14ac:dyDescent="0.2">
      <c r="A80" s="9">
        <f>'Monthly Data'!A80</f>
        <v>44378</v>
      </c>
      <c r="B80">
        <f t="shared" si="11"/>
        <v>2021</v>
      </c>
      <c r="C80">
        <f t="shared" si="12"/>
        <v>7</v>
      </c>
      <c r="D80" s="31">
        <f>'Monthly Data'!F80</f>
        <v>61736270.927734792</v>
      </c>
      <c r="E80" s="33">
        <f>'Monthly Data'!AV80</f>
        <v>0</v>
      </c>
      <c r="F80" s="33">
        <f>'Monthly Data'!AW80</f>
        <v>234.5</v>
      </c>
      <c r="G80" s="18">
        <f>'Monthly Data'!Z80</f>
        <v>777225</v>
      </c>
      <c r="H80">
        <f>'Monthly Data'!BR80</f>
        <v>0</v>
      </c>
      <c r="I80" s="33">
        <f>'Monthly Data'!BT80</f>
        <v>31</v>
      </c>
      <c r="K80" s="18">
        <f>'Res Predicted Monthly'!$V$9</f>
        <v>-23284736.647811599</v>
      </c>
      <c r="L80" s="18">
        <f>E80*'Res Predicted Monthly'!$V$10</f>
        <v>0</v>
      </c>
      <c r="M80" s="18">
        <f>F80*'Res Predicted Monthly'!$V$11</f>
        <v>18803109.632649045</v>
      </c>
      <c r="N80" s="18">
        <f>G80*'Res Predicted Monthly'!$V$12</f>
        <v>14867581.633639231</v>
      </c>
      <c r="O80" s="18">
        <f>H80*'Res Predicted Monthly'!$V$13</f>
        <v>0</v>
      </c>
      <c r="P80" s="18">
        <f>I80*'Res Predicted Monthly'!$V$14</f>
        <v>48424797.051816143</v>
      </c>
      <c r="Q80" s="18">
        <f t="shared" si="8"/>
        <v>58810751.670292825</v>
      </c>
      <c r="R80" s="18">
        <f t="shared" si="9"/>
        <v>-2925519.2574419677</v>
      </c>
      <c r="S80" s="35">
        <f t="shared" si="10"/>
        <v>4.7387365862548221E-2</v>
      </c>
      <c r="V80" s="18"/>
      <c r="W80" s="34"/>
      <c r="Y80" s="18"/>
      <c r="Z80" s="18"/>
      <c r="AA80" s="75"/>
    </row>
    <row r="81" spans="1:27" x14ac:dyDescent="0.2">
      <c r="A81" s="9">
        <f>'Monthly Data'!A81</f>
        <v>44409</v>
      </c>
      <c r="B81">
        <f t="shared" si="11"/>
        <v>2021</v>
      </c>
      <c r="C81">
        <f t="shared" si="12"/>
        <v>8</v>
      </c>
      <c r="D81" s="31">
        <f>'Monthly Data'!F81</f>
        <v>64473872.412350029</v>
      </c>
      <c r="E81" s="33">
        <f>'Monthly Data'!AV81</f>
        <v>0</v>
      </c>
      <c r="F81" s="33">
        <f>'Monthly Data'!AW81</f>
        <v>299.2</v>
      </c>
      <c r="G81" s="18">
        <f>'Monthly Data'!Z81</f>
        <v>777225</v>
      </c>
      <c r="H81">
        <f>'Monthly Data'!BR81</f>
        <v>0</v>
      </c>
      <c r="I81" s="33">
        <f>'Monthly Data'!BT81</f>
        <v>31</v>
      </c>
      <c r="K81" s="18">
        <f>'Res Predicted Monthly'!$V$9</f>
        <v>-23284736.647811599</v>
      </c>
      <c r="L81" s="18">
        <f>E81*'Res Predicted Monthly'!$V$10</f>
        <v>0</v>
      </c>
      <c r="M81" s="18">
        <f>F81*'Res Predicted Monthly'!$V$11</f>
        <v>23991003.846859679</v>
      </c>
      <c r="N81" s="18">
        <f>G81*'Res Predicted Monthly'!$V$12</f>
        <v>14867581.633639231</v>
      </c>
      <c r="O81" s="18">
        <f>H81*'Res Predicted Monthly'!$V$13</f>
        <v>0</v>
      </c>
      <c r="P81" s="18">
        <f>I81*'Res Predicted Monthly'!$V$14</f>
        <v>48424797.051816143</v>
      </c>
      <c r="Q81" s="18">
        <f t="shared" si="8"/>
        <v>63998645.884503454</v>
      </c>
      <c r="R81" s="18">
        <f t="shared" si="9"/>
        <v>-475226.52784657478</v>
      </c>
      <c r="S81" s="35">
        <f t="shared" si="10"/>
        <v>7.3708389160683438E-3</v>
      </c>
      <c r="V81" s="18"/>
      <c r="W81" s="34"/>
      <c r="Y81" s="18"/>
      <c r="Z81" s="18"/>
      <c r="AA81" s="75"/>
    </row>
    <row r="82" spans="1:27" x14ac:dyDescent="0.2">
      <c r="A82" s="9">
        <f>'Monthly Data'!A82</f>
        <v>44440</v>
      </c>
      <c r="B82">
        <f t="shared" si="11"/>
        <v>2021</v>
      </c>
      <c r="C82">
        <f t="shared" si="12"/>
        <v>9</v>
      </c>
      <c r="D82" s="31">
        <f>'Monthly Data'!F82</f>
        <v>49910611.896965258</v>
      </c>
      <c r="E82" s="33">
        <f>'Monthly Data'!AV82</f>
        <v>0.69999999999999929</v>
      </c>
      <c r="F82" s="33">
        <f>'Monthly Data'!AW82</f>
        <v>131.20000000000002</v>
      </c>
      <c r="G82" s="18">
        <f>'Monthly Data'!Z82</f>
        <v>777225</v>
      </c>
      <c r="H82">
        <f>'Monthly Data'!BR82</f>
        <v>1</v>
      </c>
      <c r="I82" s="33">
        <f>'Monthly Data'!BT82</f>
        <v>30</v>
      </c>
      <c r="K82" s="18">
        <f>'Res Predicted Monthly'!$V$9</f>
        <v>-23284736.647811599</v>
      </c>
      <c r="L82" s="18">
        <f>E82*'Res Predicted Monthly'!$V$10</f>
        <v>9580.12901342027</v>
      </c>
      <c r="M82" s="18">
        <f>F82*'Res Predicted Monthly'!$V$11</f>
        <v>10520119.333917079</v>
      </c>
      <c r="N82" s="18">
        <f>G82*'Res Predicted Monthly'!$V$12</f>
        <v>14867581.633639231</v>
      </c>
      <c r="O82" s="18">
        <f>H82*'Res Predicted Monthly'!$V$13</f>
        <v>-2837598.3252266399</v>
      </c>
      <c r="P82" s="18">
        <f>I82*'Res Predicted Monthly'!$V$14</f>
        <v>46862706.824338198</v>
      </c>
      <c r="Q82" s="18">
        <f t="shared" si="8"/>
        <v>46137652.947869688</v>
      </c>
      <c r="R82" s="18">
        <f t="shared" si="9"/>
        <v>-3772958.9490955696</v>
      </c>
      <c r="S82" s="35">
        <f t="shared" si="10"/>
        <v>7.5594323645729114E-2</v>
      </c>
      <c r="V82" s="18"/>
      <c r="W82" s="34"/>
      <c r="Y82" s="18"/>
      <c r="Z82" s="18"/>
      <c r="AA82" s="75"/>
    </row>
    <row r="83" spans="1:27" x14ac:dyDescent="0.2">
      <c r="A83" s="9">
        <f>'Monthly Data'!A83</f>
        <v>44470</v>
      </c>
      <c r="B83">
        <f t="shared" si="11"/>
        <v>2021</v>
      </c>
      <c r="C83">
        <f t="shared" si="12"/>
        <v>10</v>
      </c>
      <c r="D83" s="31">
        <f>'Monthly Data'!F83</f>
        <v>41149312.381580494</v>
      </c>
      <c r="E83" s="33">
        <f>'Monthly Data'!AV83</f>
        <v>47.79999999999999</v>
      </c>
      <c r="F83" s="33">
        <f>'Monthly Data'!AW83</f>
        <v>66.099999999999994</v>
      </c>
      <c r="G83" s="18">
        <f>'Monthly Data'!Z83</f>
        <v>795879</v>
      </c>
      <c r="H83">
        <f>'Monthly Data'!BR83</f>
        <v>1</v>
      </c>
      <c r="I83" s="33">
        <f>'Monthly Data'!BT83</f>
        <v>31</v>
      </c>
      <c r="K83" s="18">
        <f>'Res Predicted Monthly'!$V$9</f>
        <v>-23284736.647811599</v>
      </c>
      <c r="L83" s="18">
        <f>E83*'Res Predicted Monthly'!$V$10</f>
        <v>654185.95263069903</v>
      </c>
      <c r="M83" s="18">
        <f>F83*'Res Predicted Monthly'!$V$11</f>
        <v>5300151.5851518204</v>
      </c>
      <c r="N83" s="18">
        <f>G83*'Res Predicted Monthly'!$V$12</f>
        <v>15224415.07028101</v>
      </c>
      <c r="O83" s="18">
        <f>H83*'Res Predicted Monthly'!$V$13</f>
        <v>-2837598.3252266399</v>
      </c>
      <c r="P83" s="18">
        <f>I83*'Res Predicted Monthly'!$V$14</f>
        <v>48424797.051816143</v>
      </c>
      <c r="Q83" s="18">
        <f t="shared" si="8"/>
        <v>43481214.686841436</v>
      </c>
      <c r="R83" s="18">
        <f t="shared" si="9"/>
        <v>2331902.3052609414</v>
      </c>
      <c r="S83" s="35">
        <f t="shared" si="10"/>
        <v>5.6669289723168294E-2</v>
      </c>
      <c r="V83" s="18"/>
      <c r="W83" s="34"/>
      <c r="Y83" s="18"/>
      <c r="Z83" s="18"/>
      <c r="AA83" s="75"/>
    </row>
    <row r="84" spans="1:27" x14ac:dyDescent="0.2">
      <c r="A84" s="9">
        <f>'Monthly Data'!A84</f>
        <v>44501</v>
      </c>
      <c r="B84">
        <f t="shared" si="11"/>
        <v>2021</v>
      </c>
      <c r="C84">
        <f t="shared" si="12"/>
        <v>11</v>
      </c>
      <c r="D84" s="31">
        <f>'Monthly Data'!F84</f>
        <v>40886298.866195731</v>
      </c>
      <c r="E84" s="33">
        <f>'Monthly Data'!AV84</f>
        <v>243.00000000000003</v>
      </c>
      <c r="F84" s="33">
        <f>'Monthly Data'!AW84</f>
        <v>0</v>
      </c>
      <c r="G84" s="18">
        <f>'Monthly Data'!Z84</f>
        <v>795879</v>
      </c>
      <c r="H84">
        <f>'Monthly Data'!BR84</f>
        <v>1</v>
      </c>
      <c r="I84" s="33">
        <f>'Monthly Data'!BT84</f>
        <v>30</v>
      </c>
      <c r="K84" s="18">
        <f>'Res Predicted Monthly'!$V$9</f>
        <v>-23284736.647811599</v>
      </c>
      <c r="L84" s="18">
        <f>E84*'Res Predicted Monthly'!$V$10</f>
        <v>3325673.3575158976</v>
      </c>
      <c r="M84" s="18">
        <f>F84*'Res Predicted Monthly'!$V$11</f>
        <v>0</v>
      </c>
      <c r="N84" s="18">
        <f>G84*'Res Predicted Monthly'!$V$12</f>
        <v>15224415.07028101</v>
      </c>
      <c r="O84" s="18">
        <f>H84*'Res Predicted Monthly'!$V$13</f>
        <v>-2837598.3252266399</v>
      </c>
      <c r="P84" s="18">
        <f>I84*'Res Predicted Monthly'!$V$14</f>
        <v>46862706.824338198</v>
      </c>
      <c r="Q84" s="18">
        <f t="shared" si="8"/>
        <v>39290460.279096864</v>
      </c>
      <c r="R84" s="18">
        <f t="shared" si="9"/>
        <v>-1595838.5870988667</v>
      </c>
      <c r="S84" s="35">
        <f t="shared" si="10"/>
        <v>3.903113344451644E-2</v>
      </c>
      <c r="V84" s="18"/>
      <c r="W84" s="34"/>
      <c r="Y84" s="18"/>
      <c r="Z84" s="18"/>
      <c r="AA84" s="75"/>
    </row>
    <row r="85" spans="1:27" x14ac:dyDescent="0.2">
      <c r="A85" s="9">
        <f>'Monthly Data'!A85</f>
        <v>44531</v>
      </c>
      <c r="B85">
        <f t="shared" si="11"/>
        <v>2021</v>
      </c>
      <c r="C85">
        <f t="shared" si="12"/>
        <v>12</v>
      </c>
      <c r="D85" s="31">
        <f>'Monthly Data'!F85</f>
        <v>46938659.350810967</v>
      </c>
      <c r="E85" s="33">
        <f>'Monthly Data'!AV85</f>
        <v>340.50000000000006</v>
      </c>
      <c r="F85" s="33">
        <f>'Monthly Data'!AW85</f>
        <v>0</v>
      </c>
      <c r="G85" s="18">
        <f>'Monthly Data'!Z85</f>
        <v>795879</v>
      </c>
      <c r="H85">
        <f>'Monthly Data'!BR85</f>
        <v>0</v>
      </c>
      <c r="I85" s="33">
        <f>'Monthly Data'!BT85</f>
        <v>31</v>
      </c>
      <c r="K85" s="18">
        <f>'Res Predicted Monthly'!$V$9</f>
        <v>-23284736.647811599</v>
      </c>
      <c r="L85" s="18">
        <f>E85*'Res Predicted Monthly'!$V$10</f>
        <v>4660048.4700994371</v>
      </c>
      <c r="M85" s="18">
        <f>F85*'Res Predicted Monthly'!$V$11</f>
        <v>0</v>
      </c>
      <c r="N85" s="18">
        <f>G85*'Res Predicted Monthly'!$V$12</f>
        <v>15224415.07028101</v>
      </c>
      <c r="O85" s="18">
        <f>H85*'Res Predicted Monthly'!$V$13</f>
        <v>0</v>
      </c>
      <c r="P85" s="18">
        <f>I85*'Res Predicted Monthly'!$V$14</f>
        <v>48424797.051816143</v>
      </c>
      <c r="Q85" s="18">
        <f t="shared" si="8"/>
        <v>45024523.944384992</v>
      </c>
      <c r="R85" s="18">
        <f t="shared" si="9"/>
        <v>-1914135.4064259753</v>
      </c>
      <c r="S85" s="35">
        <f t="shared" si="10"/>
        <v>4.0779507401778922E-2</v>
      </c>
      <c r="V85" s="18"/>
      <c r="W85" s="34"/>
      <c r="Y85" s="18"/>
      <c r="Z85" s="18"/>
      <c r="AA85" s="75"/>
    </row>
    <row r="86" spans="1:27" x14ac:dyDescent="0.2">
      <c r="A86" s="9">
        <f>'Monthly Data'!A86</f>
        <v>44562</v>
      </c>
      <c r="B86">
        <f t="shared" si="11"/>
        <v>2022</v>
      </c>
      <c r="C86">
        <f t="shared" si="12"/>
        <v>1</v>
      </c>
      <c r="D86" s="31">
        <f>'Monthly Data'!F86</f>
        <v>50264546.652802087</v>
      </c>
      <c r="E86" s="33">
        <f>'Monthly Data'!AV86</f>
        <v>624.19999999999993</v>
      </c>
      <c r="F86" s="33">
        <f>'Monthly Data'!AW86</f>
        <v>0</v>
      </c>
      <c r="G86" s="18">
        <f>'Monthly Data'!Z86</f>
        <v>808584</v>
      </c>
      <c r="H86">
        <f>'Monthly Data'!BR86</f>
        <v>0</v>
      </c>
      <c r="I86" s="33">
        <f>'Monthly Data'!BT86</f>
        <v>31</v>
      </c>
      <c r="K86" s="18">
        <f>'Res Predicted Monthly'!$V$9</f>
        <v>-23284736.647811599</v>
      </c>
      <c r="L86" s="18">
        <f>E86*'Res Predicted Monthly'!$V$10</f>
        <v>8542737.9002527688</v>
      </c>
      <c r="M86" s="18">
        <f>F86*'Res Predicted Monthly'!$V$11</f>
        <v>0</v>
      </c>
      <c r="N86" s="18">
        <f>G86*'Res Predicted Monthly'!$V$12</f>
        <v>15467449.744481385</v>
      </c>
      <c r="O86" s="18">
        <f>H86*'Res Predicted Monthly'!$V$13</f>
        <v>0</v>
      </c>
      <c r="P86" s="18">
        <f>I86*'Res Predicted Monthly'!$V$14</f>
        <v>48424797.051816143</v>
      </c>
      <c r="Q86" s="18">
        <f t="shared" ref="Q86:Q115" si="13">SUM(K86:P86)</f>
        <v>49150248.048738696</v>
      </c>
      <c r="R86" s="18">
        <f t="shared" ref="R86:R115" si="14">Q86-D86</f>
        <v>-1114298.6040633917</v>
      </c>
      <c r="S86" s="35">
        <f t="shared" ref="S86:S115" si="15">ABS(R86/D86)</f>
        <v>2.2168679084291973E-2</v>
      </c>
      <c r="V86" s="18"/>
      <c r="W86" s="34"/>
      <c r="Y86" s="18"/>
      <c r="Z86" s="18"/>
      <c r="AA86" s="75"/>
    </row>
    <row r="87" spans="1:27" x14ac:dyDescent="0.2">
      <c r="A87" s="9">
        <f>'Monthly Data'!A87</f>
        <v>44593</v>
      </c>
      <c r="B87">
        <f t="shared" si="11"/>
        <v>2022</v>
      </c>
      <c r="C87">
        <f t="shared" si="12"/>
        <v>2</v>
      </c>
      <c r="D87" s="31">
        <f>'Monthly Data'!F87</f>
        <v>43857792.181785412</v>
      </c>
      <c r="E87" s="33">
        <f>'Monthly Data'!AV87</f>
        <v>464.7</v>
      </c>
      <c r="F87" s="33">
        <f>'Monthly Data'!AW87</f>
        <v>0</v>
      </c>
      <c r="G87" s="18">
        <f>'Monthly Data'!Z87</f>
        <v>808584</v>
      </c>
      <c r="H87">
        <f>'Monthly Data'!BR87</f>
        <v>0</v>
      </c>
      <c r="I87" s="33">
        <f>'Monthly Data'!BT87</f>
        <v>28</v>
      </c>
      <c r="K87" s="18">
        <f>'Res Predicted Monthly'!$V$9</f>
        <v>-23284736.647811599</v>
      </c>
      <c r="L87" s="18">
        <f>E87*'Res Predicted Monthly'!$V$10</f>
        <v>6359837.0750520062</v>
      </c>
      <c r="M87" s="18">
        <f>F87*'Res Predicted Monthly'!$V$11</f>
        <v>0</v>
      </c>
      <c r="N87" s="18">
        <f>G87*'Res Predicted Monthly'!$V$12</f>
        <v>15467449.744481385</v>
      </c>
      <c r="O87" s="18">
        <f>H87*'Res Predicted Monthly'!$V$13</f>
        <v>0</v>
      </c>
      <c r="P87" s="18">
        <f>I87*'Res Predicted Monthly'!$V$14</f>
        <v>43738526.369382322</v>
      </c>
      <c r="Q87" s="18">
        <f t="shared" si="13"/>
        <v>42281076.541104116</v>
      </c>
      <c r="R87" s="18">
        <f t="shared" si="14"/>
        <v>-1576715.6406812966</v>
      </c>
      <c r="S87" s="35">
        <f t="shared" si="15"/>
        <v>3.5950638694852557E-2</v>
      </c>
      <c r="V87" s="18"/>
      <c r="W87" s="34"/>
      <c r="Y87" s="18"/>
      <c r="Z87" s="18"/>
      <c r="AA87" s="75"/>
    </row>
    <row r="88" spans="1:27" x14ac:dyDescent="0.2">
      <c r="A88" s="9">
        <f>'Monthly Data'!A88</f>
        <v>44621</v>
      </c>
      <c r="B88">
        <f t="shared" si="11"/>
        <v>2022</v>
      </c>
      <c r="C88">
        <f t="shared" si="12"/>
        <v>3</v>
      </c>
      <c r="D88" s="31">
        <f>'Monthly Data'!F88</f>
        <v>43860485.710768737</v>
      </c>
      <c r="E88" s="33">
        <f>'Monthly Data'!AV88</f>
        <v>371.70000000000005</v>
      </c>
      <c r="F88" s="33">
        <f>'Monthly Data'!AW88</f>
        <v>0</v>
      </c>
      <c r="G88" s="18">
        <f>'Monthly Data'!Z88</f>
        <v>808584</v>
      </c>
      <c r="H88">
        <f>'Monthly Data'!BR88</f>
        <v>1</v>
      </c>
      <c r="I88" s="33">
        <f>'Monthly Data'!BT88</f>
        <v>31</v>
      </c>
      <c r="K88" s="18">
        <f>'Res Predicted Monthly'!$V$9</f>
        <v>-23284736.647811599</v>
      </c>
      <c r="L88" s="18">
        <f>E88*'Res Predicted Monthly'!$V$10</f>
        <v>5087048.5061261691</v>
      </c>
      <c r="M88" s="18">
        <f>F88*'Res Predicted Monthly'!$V$11</f>
        <v>0</v>
      </c>
      <c r="N88" s="18">
        <f>G88*'Res Predicted Monthly'!$V$12</f>
        <v>15467449.744481385</v>
      </c>
      <c r="O88" s="18">
        <f>H88*'Res Predicted Monthly'!$V$13</f>
        <v>-2837598.3252266399</v>
      </c>
      <c r="P88" s="18">
        <f>I88*'Res Predicted Monthly'!$V$14</f>
        <v>48424797.051816143</v>
      </c>
      <c r="Q88" s="18">
        <f t="shared" si="13"/>
        <v>42856960.329385459</v>
      </c>
      <c r="R88" s="18">
        <f t="shared" si="14"/>
        <v>-1003525.3813832775</v>
      </c>
      <c r="S88" s="35">
        <f t="shared" si="15"/>
        <v>2.2879942278817251E-2</v>
      </c>
      <c r="V88" s="18"/>
    </row>
    <row r="89" spans="1:27" x14ac:dyDescent="0.2">
      <c r="A89" s="9">
        <f>'Monthly Data'!A89</f>
        <v>44652</v>
      </c>
      <c r="B89">
        <f t="shared" si="11"/>
        <v>2022</v>
      </c>
      <c r="C89">
        <f t="shared" si="12"/>
        <v>4</v>
      </c>
      <c r="D89" s="31">
        <f>'Monthly Data'!F89</f>
        <v>39331597.239752054</v>
      </c>
      <c r="E89" s="33">
        <f>'Monthly Data'!AV89</f>
        <v>233.59999999999997</v>
      </c>
      <c r="F89" s="33">
        <f>'Monthly Data'!AW89</f>
        <v>0</v>
      </c>
      <c r="G89" s="18">
        <f>'Monthly Data'!Z89</f>
        <v>802518</v>
      </c>
      <c r="H89">
        <f>'Monthly Data'!BR89</f>
        <v>1</v>
      </c>
      <c r="I89" s="33">
        <f>'Monthly Data'!BT89</f>
        <v>30</v>
      </c>
      <c r="K89" s="18">
        <f>'Res Predicted Monthly'!$V$9</f>
        <v>-23284736.647811599</v>
      </c>
      <c r="L89" s="18">
        <f>E89*'Res Predicted Monthly'!$V$10</f>
        <v>3197025.9107642528</v>
      </c>
      <c r="M89" s="18">
        <f>F89*'Res Predicted Monthly'!$V$11</f>
        <v>0</v>
      </c>
      <c r="N89" s="18">
        <f>G89*'Res Predicted Monthly'!$V$12</f>
        <v>15351412.882324796</v>
      </c>
      <c r="O89" s="18">
        <f>H89*'Res Predicted Monthly'!$V$13</f>
        <v>-2837598.3252266399</v>
      </c>
      <c r="P89" s="18">
        <f>I89*'Res Predicted Monthly'!$V$14</f>
        <v>46862706.824338198</v>
      </c>
      <c r="Q89" s="18">
        <f t="shared" si="13"/>
        <v>39288810.644389011</v>
      </c>
      <c r="R89" s="18">
        <f t="shared" si="14"/>
        <v>-42786.595363043249</v>
      </c>
      <c r="S89" s="35">
        <f t="shared" si="15"/>
        <v>1.0878428125415476E-3</v>
      </c>
      <c r="AA89" s="64"/>
    </row>
    <row r="90" spans="1:27" x14ac:dyDescent="0.2">
      <c r="A90" s="9">
        <f>'Monthly Data'!A90</f>
        <v>44682</v>
      </c>
      <c r="B90">
        <f t="shared" si="11"/>
        <v>2022</v>
      </c>
      <c r="C90">
        <f t="shared" si="12"/>
        <v>5</v>
      </c>
      <c r="D90" s="31">
        <f>'Monthly Data'!F90</f>
        <v>43290007.768735379</v>
      </c>
      <c r="E90" s="33">
        <f>'Monthly Data'!AV90</f>
        <v>68.399999999999977</v>
      </c>
      <c r="F90" s="33">
        <f>'Monthly Data'!AW90</f>
        <v>60.3</v>
      </c>
      <c r="G90" s="18">
        <f>'Monthly Data'!Z90</f>
        <v>802518</v>
      </c>
      <c r="H90">
        <f>'Monthly Data'!BR90</f>
        <v>1</v>
      </c>
      <c r="I90" s="33">
        <f>'Monthly Data'!BT90</f>
        <v>31</v>
      </c>
      <c r="K90" s="18">
        <f>'Res Predicted Monthly'!$V$9</f>
        <v>-23284736.647811599</v>
      </c>
      <c r="L90" s="18">
        <f>E90*'Res Predicted Monthly'!$V$10</f>
        <v>936115.46359706705</v>
      </c>
      <c r="M90" s="18">
        <f>F90*'Res Predicted Monthly'!$V$11</f>
        <v>4835085.3341097543</v>
      </c>
      <c r="N90" s="18">
        <f>G90*'Res Predicted Monthly'!$V$12</f>
        <v>15351412.882324796</v>
      </c>
      <c r="O90" s="18">
        <f>H90*'Res Predicted Monthly'!$V$13</f>
        <v>-2837598.3252266399</v>
      </c>
      <c r="P90" s="18">
        <f>I90*'Res Predicted Monthly'!$V$14</f>
        <v>48424797.051816143</v>
      </c>
      <c r="Q90" s="18">
        <f t="shared" si="13"/>
        <v>43425075.758809522</v>
      </c>
      <c r="R90" s="18">
        <f t="shared" si="14"/>
        <v>135067.99007414281</v>
      </c>
      <c r="S90" s="35">
        <f t="shared" si="15"/>
        <v>3.1200731308644097E-3</v>
      </c>
    </row>
    <row r="91" spans="1:27" x14ac:dyDescent="0.2">
      <c r="A91" s="9">
        <f>'Monthly Data'!A91</f>
        <v>44713</v>
      </c>
      <c r="B91">
        <f t="shared" si="11"/>
        <v>2022</v>
      </c>
      <c r="C91">
        <f t="shared" si="12"/>
        <v>6</v>
      </c>
      <c r="D91" s="31">
        <f>'Monthly Data'!F91</f>
        <v>52900848.297718704</v>
      </c>
      <c r="E91" s="33">
        <f>'Monthly Data'!AV91</f>
        <v>0</v>
      </c>
      <c r="F91" s="33">
        <f>'Monthly Data'!AW91</f>
        <v>154.49999999999994</v>
      </c>
      <c r="G91" s="18">
        <f>'Monthly Data'!Z91</f>
        <v>802518</v>
      </c>
      <c r="H91">
        <f>'Monthly Data'!BR91</f>
        <v>0</v>
      </c>
      <c r="I91" s="33">
        <f>'Monthly Data'!BT91</f>
        <v>30</v>
      </c>
      <c r="K91" s="18">
        <f>'Res Predicted Monthly'!$V$9</f>
        <v>-23284736.647811599</v>
      </c>
      <c r="L91" s="18">
        <f>E91*'Res Predicted Monthly'!$V$10</f>
        <v>0</v>
      </c>
      <c r="M91" s="18">
        <f>F91*'Res Predicted Monthly'!$V$11</f>
        <v>12388402.721723994</v>
      </c>
      <c r="N91" s="18">
        <f>G91*'Res Predicted Monthly'!$V$12</f>
        <v>15351412.882324796</v>
      </c>
      <c r="O91" s="18">
        <f>H91*'Res Predicted Monthly'!$V$13</f>
        <v>0</v>
      </c>
      <c r="P91" s="18">
        <f>I91*'Res Predicted Monthly'!$V$14</f>
        <v>46862706.824338198</v>
      </c>
      <c r="Q91" s="18">
        <f t="shared" si="13"/>
        <v>51317785.780575387</v>
      </c>
      <c r="R91" s="18">
        <f t="shared" si="14"/>
        <v>-1583062.5171433166</v>
      </c>
      <c r="S91" s="35">
        <f t="shared" si="15"/>
        <v>2.992508755689622E-2</v>
      </c>
    </row>
    <row r="92" spans="1:27" x14ac:dyDescent="0.2">
      <c r="A92" s="9">
        <f>'Monthly Data'!A92</f>
        <v>44743</v>
      </c>
      <c r="B92">
        <f t="shared" si="11"/>
        <v>2022</v>
      </c>
      <c r="C92">
        <f t="shared" si="12"/>
        <v>7</v>
      </c>
      <c r="D92" s="31">
        <f>'Monthly Data'!F92</f>
        <v>63898027.826702021</v>
      </c>
      <c r="E92" s="33">
        <f>'Monthly Data'!AV92</f>
        <v>0</v>
      </c>
      <c r="F92" s="33">
        <f>'Monthly Data'!AW92</f>
        <v>260.7</v>
      </c>
      <c r="G92" s="18">
        <f>'Monthly Data'!Z92</f>
        <v>819564</v>
      </c>
      <c r="H92">
        <f>'Monthly Data'!BR92</f>
        <v>0</v>
      </c>
      <c r="I92" s="33">
        <f>'Monthly Data'!BT92</f>
        <v>31</v>
      </c>
      <c r="K92" s="18">
        <f>'Res Predicted Monthly'!$V$9</f>
        <v>-23284736.647811599</v>
      </c>
      <c r="L92" s="18">
        <f>E92*'Res Predicted Monthly'!$V$10</f>
        <v>0</v>
      </c>
      <c r="M92" s="18">
        <f>F92*'Res Predicted Monthly'!$V$11</f>
        <v>20903926.145976998</v>
      </c>
      <c r="N92" s="18">
        <f>G92*'Res Predicted Monthly'!$V$12</f>
        <v>15677486.794675807</v>
      </c>
      <c r="O92" s="18">
        <f>H92*'Res Predicted Monthly'!$V$13</f>
        <v>0</v>
      </c>
      <c r="P92" s="18">
        <f>I92*'Res Predicted Monthly'!$V$14</f>
        <v>48424797.051816143</v>
      </c>
      <c r="Q92" s="18">
        <f t="shared" si="13"/>
        <v>61721473.344657347</v>
      </c>
      <c r="R92" s="18">
        <f t="shared" si="14"/>
        <v>-2176554.4820446745</v>
      </c>
      <c r="S92" s="35">
        <f t="shared" si="15"/>
        <v>3.4062936777136732E-2</v>
      </c>
    </row>
    <row r="93" spans="1:27" x14ac:dyDescent="0.2">
      <c r="A93" s="9">
        <f>'Monthly Data'!A93</f>
        <v>44774</v>
      </c>
      <c r="B93">
        <f t="shared" si="11"/>
        <v>2022</v>
      </c>
      <c r="C93">
        <f t="shared" si="12"/>
        <v>8</v>
      </c>
      <c r="D93" s="31">
        <f>'Monthly Data'!F93</f>
        <v>62500468.355685346</v>
      </c>
      <c r="E93" s="33">
        <f>'Monthly Data'!AV93</f>
        <v>0</v>
      </c>
      <c r="F93" s="33">
        <f>'Monthly Data'!AW93</f>
        <v>256.5</v>
      </c>
      <c r="G93" s="18">
        <f>'Monthly Data'!Z93</f>
        <v>819564</v>
      </c>
      <c r="H93">
        <f>'Monthly Data'!BR93</f>
        <v>0</v>
      </c>
      <c r="I93" s="33">
        <f>'Monthly Data'!BT93</f>
        <v>31</v>
      </c>
      <c r="K93" s="18">
        <f>'Res Predicted Monthly'!$V$9</f>
        <v>-23284736.647811599</v>
      </c>
      <c r="L93" s="18">
        <f>E93*'Res Predicted Monthly'!$V$10</f>
        <v>0</v>
      </c>
      <c r="M93" s="18">
        <f>F93*'Res Predicted Monthly'!$V$11</f>
        <v>20567154.033153433</v>
      </c>
      <c r="N93" s="18">
        <f>G93*'Res Predicted Monthly'!$V$12</f>
        <v>15677486.794675807</v>
      </c>
      <c r="O93" s="18">
        <f>H93*'Res Predicted Monthly'!$V$13</f>
        <v>0</v>
      </c>
      <c r="P93" s="18">
        <f>I93*'Res Predicted Monthly'!$V$14</f>
        <v>48424797.051816143</v>
      </c>
      <c r="Q93" s="18">
        <f t="shared" si="13"/>
        <v>61384701.231833786</v>
      </c>
      <c r="R93" s="18">
        <f t="shared" si="14"/>
        <v>-1115767.1238515601</v>
      </c>
      <c r="S93" s="35">
        <f t="shared" si="15"/>
        <v>1.7852140203203203E-2</v>
      </c>
    </row>
    <row r="94" spans="1:27" x14ac:dyDescent="0.2">
      <c r="A94" s="9">
        <f>'Monthly Data'!A94</f>
        <v>44805</v>
      </c>
      <c r="B94">
        <f t="shared" si="11"/>
        <v>2022</v>
      </c>
      <c r="C94">
        <f t="shared" si="12"/>
        <v>9</v>
      </c>
      <c r="D94" s="31">
        <f>'Monthly Data'!F94</f>
        <v>48263159.884668671</v>
      </c>
      <c r="E94" s="33">
        <f>'Monthly Data'!AV94</f>
        <v>8.1999999999999993</v>
      </c>
      <c r="F94" s="33">
        <f>'Monthly Data'!AW94</f>
        <v>136.20000000000002</v>
      </c>
      <c r="G94" s="18">
        <f>'Monthly Data'!Z94</f>
        <v>819564</v>
      </c>
      <c r="H94">
        <f>'Monthly Data'!BR94</f>
        <v>1</v>
      </c>
      <c r="I94" s="33">
        <f>'Monthly Data'!BT94</f>
        <v>30</v>
      </c>
      <c r="K94" s="18">
        <f>'Res Predicted Monthly'!$V$9</f>
        <v>-23284736.647811599</v>
      </c>
      <c r="L94" s="18">
        <f>E94*'Res Predicted Monthly'!$V$10</f>
        <v>112224.36844292327</v>
      </c>
      <c r="M94" s="18">
        <f>F94*'Res Predicted Monthly'!$V$11</f>
        <v>10921038.515849896</v>
      </c>
      <c r="N94" s="18">
        <f>G94*'Res Predicted Monthly'!$V$12</f>
        <v>15677486.794675807</v>
      </c>
      <c r="O94" s="18">
        <f>H94*'Res Predicted Monthly'!$V$13</f>
        <v>-2837598.3252266399</v>
      </c>
      <c r="P94" s="18">
        <f>I94*'Res Predicted Monthly'!$V$14</f>
        <v>46862706.824338198</v>
      </c>
      <c r="Q94" s="18">
        <f t="shared" si="13"/>
        <v>47451121.530268587</v>
      </c>
      <c r="R94" s="18">
        <f t="shared" si="14"/>
        <v>-812038.35440008342</v>
      </c>
      <c r="S94" s="35">
        <f t="shared" si="15"/>
        <v>1.6825221480329066E-2</v>
      </c>
    </row>
    <row r="95" spans="1:27" x14ac:dyDescent="0.2">
      <c r="A95" s="9">
        <f>'Monthly Data'!A95</f>
        <v>44835</v>
      </c>
      <c r="B95">
        <f t="shared" si="11"/>
        <v>2022</v>
      </c>
      <c r="C95">
        <f t="shared" si="12"/>
        <v>10</v>
      </c>
      <c r="D95" s="31">
        <f>'Monthly Data'!F95</f>
        <v>39368582.413651988</v>
      </c>
      <c r="E95" s="33">
        <f>'Monthly Data'!AV95</f>
        <v>119.99999999999999</v>
      </c>
      <c r="F95" s="33">
        <f>'Monthly Data'!AW95</f>
        <v>12.299999999999999</v>
      </c>
      <c r="G95" s="18">
        <f>'Monthly Data'!Z95</f>
        <v>838397</v>
      </c>
      <c r="H95">
        <f>'Monthly Data'!BR95</f>
        <v>1</v>
      </c>
      <c r="I95" s="33">
        <f>'Monthly Data'!BT95</f>
        <v>31</v>
      </c>
      <c r="K95" s="18">
        <f>'Res Predicted Monthly'!$V$9</f>
        <v>-23284736.647811599</v>
      </c>
      <c r="L95" s="18">
        <f>E95*'Res Predicted Monthly'!$V$10</f>
        <v>1642307.8308720477</v>
      </c>
      <c r="M95" s="18">
        <f>F95*'Res Predicted Monthly'!$V$11</f>
        <v>986261.18755472603</v>
      </c>
      <c r="N95" s="18">
        <f>G95*'Res Predicted Monthly'!$V$12</f>
        <v>16037744.332591247</v>
      </c>
      <c r="O95" s="18">
        <f>H95*'Res Predicted Monthly'!$V$13</f>
        <v>-2837598.3252266399</v>
      </c>
      <c r="P95" s="18">
        <f>I95*'Res Predicted Monthly'!$V$14</f>
        <v>48424797.051816143</v>
      </c>
      <c r="Q95" s="18">
        <f t="shared" si="13"/>
        <v>40968775.429795921</v>
      </c>
      <c r="R95" s="18">
        <f t="shared" si="14"/>
        <v>1600193.0161439329</v>
      </c>
      <c r="S95" s="35">
        <f t="shared" si="15"/>
        <v>4.0646447447115291E-2</v>
      </c>
    </row>
    <row r="96" spans="1:27" x14ac:dyDescent="0.2">
      <c r="A96" s="9">
        <f>'Monthly Data'!A96</f>
        <v>44866</v>
      </c>
      <c r="B96">
        <f t="shared" si="11"/>
        <v>2022</v>
      </c>
      <c r="C96">
        <f t="shared" si="12"/>
        <v>11</v>
      </c>
      <c r="D96" s="31">
        <f>'Monthly Data'!F96</f>
        <v>40432823.942635313</v>
      </c>
      <c r="E96" s="33">
        <f>'Monthly Data'!AV96</f>
        <v>226.90000000000003</v>
      </c>
      <c r="F96" s="33">
        <f>'Monthly Data'!AW96</f>
        <v>9.6</v>
      </c>
      <c r="G96" s="18">
        <f>'Monthly Data'!Z96</f>
        <v>838397</v>
      </c>
      <c r="H96">
        <f>'Monthly Data'!BR96</f>
        <v>1</v>
      </c>
      <c r="I96" s="33">
        <f>'Monthly Data'!BT96</f>
        <v>30</v>
      </c>
      <c r="K96" s="18">
        <f>'Res Predicted Monthly'!$V$9</f>
        <v>-23284736.647811599</v>
      </c>
      <c r="L96" s="18">
        <f>E96*'Res Predicted Monthly'!$V$10</f>
        <v>3105330.390207231</v>
      </c>
      <c r="M96" s="18">
        <f>F96*'Res Predicted Monthly'!$V$11</f>
        <v>769764.82931100565</v>
      </c>
      <c r="N96" s="18">
        <f>G96*'Res Predicted Monthly'!$V$12</f>
        <v>16037744.332591247</v>
      </c>
      <c r="O96" s="18">
        <f>H96*'Res Predicted Monthly'!$V$13</f>
        <v>-2837598.3252266399</v>
      </c>
      <c r="P96" s="18">
        <f>I96*'Res Predicted Monthly'!$V$14</f>
        <v>46862706.824338198</v>
      </c>
      <c r="Q96" s="18">
        <f t="shared" si="13"/>
        <v>40653211.403409444</v>
      </c>
      <c r="R96" s="18">
        <f t="shared" si="14"/>
        <v>220387.46077413112</v>
      </c>
      <c r="S96" s="35">
        <f t="shared" si="15"/>
        <v>5.4507066112129392E-3</v>
      </c>
    </row>
    <row r="97" spans="1:19" x14ac:dyDescent="0.2">
      <c r="A97" s="9">
        <f>'Monthly Data'!A97</f>
        <v>44896</v>
      </c>
      <c r="B97">
        <f t="shared" si="11"/>
        <v>2022</v>
      </c>
      <c r="C97">
        <f t="shared" si="12"/>
        <v>12</v>
      </c>
      <c r="D97" s="31">
        <f>'Monthly Data'!F97</f>
        <v>46713356.471618637</v>
      </c>
      <c r="E97" s="33">
        <f>'Monthly Data'!AV97</f>
        <v>398.5</v>
      </c>
      <c r="F97" s="33">
        <f>'Monthly Data'!AW97</f>
        <v>0</v>
      </c>
      <c r="G97" s="18">
        <f>'Monthly Data'!Z97</f>
        <v>838397</v>
      </c>
      <c r="H97">
        <f>'Monthly Data'!BR97</f>
        <v>0</v>
      </c>
      <c r="I97" s="33">
        <f>'Monthly Data'!BT97</f>
        <v>31</v>
      </c>
      <c r="K97" s="18">
        <f>'Res Predicted Monthly'!$V$9</f>
        <v>-23284736.647811599</v>
      </c>
      <c r="L97" s="18">
        <f>E97*'Res Predicted Monthly'!$V$10</f>
        <v>5453830.5883542597</v>
      </c>
      <c r="M97" s="18">
        <f>F97*'Res Predicted Monthly'!$V$11</f>
        <v>0</v>
      </c>
      <c r="N97" s="18">
        <f>G97*'Res Predicted Monthly'!$V$12</f>
        <v>16037744.332591247</v>
      </c>
      <c r="O97" s="18">
        <f>H97*'Res Predicted Monthly'!$V$13</f>
        <v>0</v>
      </c>
      <c r="P97" s="18">
        <f>I97*'Res Predicted Monthly'!$V$14</f>
        <v>48424797.051816143</v>
      </c>
      <c r="Q97" s="18">
        <f t="shared" si="13"/>
        <v>46631635.324950054</v>
      </c>
      <c r="R97" s="18">
        <f t="shared" si="14"/>
        <v>-81721.146668583155</v>
      </c>
      <c r="S97" s="35">
        <f t="shared" si="15"/>
        <v>1.7494171440717173E-3</v>
      </c>
    </row>
    <row r="98" spans="1:19" x14ac:dyDescent="0.2">
      <c r="A98" s="9">
        <f>'Monthly Data'!A98</f>
        <v>44927</v>
      </c>
      <c r="B98">
        <f t="shared" si="11"/>
        <v>2023</v>
      </c>
      <c r="C98">
        <f t="shared" si="12"/>
        <v>1</v>
      </c>
      <c r="D98" s="31">
        <f>'Monthly Data'!F98</f>
        <v>46583116.519168116</v>
      </c>
      <c r="E98" s="33">
        <f>'Monthly Data'!AV98</f>
        <v>415.6</v>
      </c>
      <c r="F98" s="33">
        <f>'Monthly Data'!AW98</f>
        <v>0</v>
      </c>
      <c r="G98" s="18">
        <f>'Monthly Data'!Z98</f>
        <v>845218</v>
      </c>
      <c r="H98">
        <f>'Monthly Data'!BR98</f>
        <v>0</v>
      </c>
      <c r="I98" s="33">
        <f>'Monthly Data'!BT98</f>
        <v>31</v>
      </c>
      <c r="K98" s="18">
        <f>'Res Predicted Monthly'!$V$9</f>
        <v>-23284736.647811599</v>
      </c>
      <c r="L98" s="18">
        <f>E98*'Res Predicted Monthly'!$V$10</f>
        <v>5687859.4542535264</v>
      </c>
      <c r="M98" s="18">
        <f>F98*'Res Predicted Monthly'!$V$11</f>
        <v>0</v>
      </c>
      <c r="N98" s="18">
        <f>G98*'Res Predicted Monthly'!$V$12</f>
        <v>16168223.633080877</v>
      </c>
      <c r="O98" s="18">
        <f>H98*'Res Predicted Monthly'!$V$13</f>
        <v>0</v>
      </c>
      <c r="P98" s="18">
        <f>I98*'Res Predicted Monthly'!$V$14</f>
        <v>48424797.051816143</v>
      </c>
      <c r="Q98" s="18">
        <f t="shared" si="13"/>
        <v>46996143.491338946</v>
      </c>
      <c r="R98" s="18">
        <f t="shared" si="14"/>
        <v>413026.97217082977</v>
      </c>
      <c r="S98" s="35">
        <f t="shared" si="15"/>
        <v>8.866452118996301E-3</v>
      </c>
    </row>
    <row r="99" spans="1:19" x14ac:dyDescent="0.2">
      <c r="A99" s="9">
        <f>'Monthly Data'!A99</f>
        <v>44958</v>
      </c>
      <c r="B99">
        <f t="shared" si="11"/>
        <v>2023</v>
      </c>
      <c r="C99">
        <f t="shared" si="12"/>
        <v>2</v>
      </c>
      <c r="D99" s="31">
        <f>'Monthly Data'!F99</f>
        <v>40876786.046762481</v>
      </c>
      <c r="E99" s="33">
        <f>'Monthly Data'!AV99</f>
        <v>379.9</v>
      </c>
      <c r="F99" s="33">
        <f>'Monthly Data'!AW99</f>
        <v>0</v>
      </c>
      <c r="G99" s="18">
        <f>'Monthly Data'!Z99</f>
        <v>845218</v>
      </c>
      <c r="H99">
        <f>'Monthly Data'!BR99</f>
        <v>0</v>
      </c>
      <c r="I99" s="33">
        <f>'Monthly Data'!BT99</f>
        <v>28</v>
      </c>
      <c r="K99" s="18">
        <f>'Res Predicted Monthly'!$V$9</f>
        <v>-23284736.647811599</v>
      </c>
      <c r="L99" s="18">
        <f>E99*'Res Predicted Monthly'!$V$10</f>
        <v>5199272.8745690919</v>
      </c>
      <c r="M99" s="18">
        <f>F99*'Res Predicted Monthly'!$V$11</f>
        <v>0</v>
      </c>
      <c r="N99" s="18">
        <f>G99*'Res Predicted Monthly'!$V$12</f>
        <v>16168223.633080877</v>
      </c>
      <c r="O99" s="18">
        <f>H99*'Res Predicted Monthly'!$V$13</f>
        <v>0</v>
      </c>
      <c r="P99" s="18">
        <f>I99*'Res Predicted Monthly'!$V$14</f>
        <v>43738526.369382322</v>
      </c>
      <c r="Q99" s="18">
        <f t="shared" si="13"/>
        <v>41821286.229220688</v>
      </c>
      <c r="R99" s="18">
        <f t="shared" si="14"/>
        <v>944500.18245820701</v>
      </c>
      <c r="S99" s="35">
        <f t="shared" si="15"/>
        <v>2.3106028477329694E-2</v>
      </c>
    </row>
    <row r="100" spans="1:19" x14ac:dyDescent="0.2">
      <c r="A100" s="9">
        <f>'Monthly Data'!A100</f>
        <v>44986</v>
      </c>
      <c r="B100">
        <f t="shared" si="11"/>
        <v>2023</v>
      </c>
      <c r="C100">
        <f t="shared" si="12"/>
        <v>3</v>
      </c>
      <c r="D100" s="31">
        <f>'Monthly Data'!F100</f>
        <v>42680536.574356854</v>
      </c>
      <c r="E100" s="33">
        <f>'Monthly Data'!AV100</f>
        <v>372.4</v>
      </c>
      <c r="F100" s="33">
        <f>'Monthly Data'!AW100</f>
        <v>0</v>
      </c>
      <c r="G100" s="18">
        <f>'Monthly Data'!Z100</f>
        <v>845218</v>
      </c>
      <c r="H100">
        <f>'Monthly Data'!BR100</f>
        <v>1</v>
      </c>
      <c r="I100" s="33">
        <f>'Monthly Data'!BT100</f>
        <v>31</v>
      </c>
      <c r="K100" s="18">
        <f>'Res Predicted Monthly'!$V$9</f>
        <v>-23284736.647811599</v>
      </c>
      <c r="L100" s="18">
        <f>E100*'Res Predicted Monthly'!$V$10</f>
        <v>5096628.6351395883</v>
      </c>
      <c r="M100" s="18">
        <f>F100*'Res Predicted Monthly'!$V$11</f>
        <v>0</v>
      </c>
      <c r="N100" s="18">
        <f>G100*'Res Predicted Monthly'!$V$12</f>
        <v>16168223.633080877</v>
      </c>
      <c r="O100" s="18">
        <f>H100*'Res Predicted Monthly'!$V$13</f>
        <v>-2837598.3252266399</v>
      </c>
      <c r="P100" s="18">
        <f>I100*'Res Predicted Monthly'!$V$14</f>
        <v>48424797.051816143</v>
      </c>
      <c r="Q100" s="18">
        <f t="shared" si="13"/>
        <v>43567314.346998371</v>
      </c>
      <c r="R100" s="18">
        <f t="shared" si="14"/>
        <v>886777.77264151722</v>
      </c>
      <c r="S100" s="35">
        <f t="shared" si="15"/>
        <v>2.0777099910555187E-2</v>
      </c>
    </row>
    <row r="101" spans="1:19" x14ac:dyDescent="0.2">
      <c r="A101" s="9">
        <f>'Monthly Data'!A101</f>
        <v>45017</v>
      </c>
      <c r="B101">
        <f t="shared" si="11"/>
        <v>2023</v>
      </c>
      <c r="C101">
        <f t="shared" si="12"/>
        <v>4</v>
      </c>
      <c r="D101" s="31">
        <f>'Monthly Data'!F101</f>
        <v>38703114.101951219</v>
      </c>
      <c r="E101" s="33">
        <f>'Monthly Data'!AV101</f>
        <v>178.9</v>
      </c>
      <c r="F101" s="33">
        <f>'Monthly Data'!AW101</f>
        <v>16.100000000000001</v>
      </c>
      <c r="G101" s="18">
        <f>'Monthly Data'!Z101</f>
        <v>851621</v>
      </c>
      <c r="H101">
        <f>'Monthly Data'!BR101</f>
        <v>1</v>
      </c>
      <c r="I101" s="33">
        <f>'Monthly Data'!BT101</f>
        <v>30</v>
      </c>
      <c r="K101" s="18">
        <f>'Res Predicted Monthly'!$V$9</f>
        <v>-23284736.647811599</v>
      </c>
      <c r="L101" s="18">
        <f>E101*'Res Predicted Monthly'!$V$10</f>
        <v>2448407.2578584114</v>
      </c>
      <c r="M101" s="18">
        <f>F101*'Res Predicted Monthly'!$V$11</f>
        <v>1290959.765823666</v>
      </c>
      <c r="N101" s="18">
        <f>G101*'Res Predicted Monthly'!$V$12</f>
        <v>16290706.987579498</v>
      </c>
      <c r="O101" s="18">
        <f>H101*'Res Predicted Monthly'!$V$13</f>
        <v>-2837598.3252266399</v>
      </c>
      <c r="P101" s="18">
        <f>I101*'Res Predicted Monthly'!$V$14</f>
        <v>46862706.824338198</v>
      </c>
      <c r="Q101" s="18">
        <f t="shared" si="13"/>
        <v>40770445.862561531</v>
      </c>
      <c r="R101" s="18">
        <f t="shared" si="14"/>
        <v>2067331.7606103122</v>
      </c>
      <c r="S101" s="35">
        <f t="shared" si="15"/>
        <v>5.3415127143634354E-2</v>
      </c>
    </row>
    <row r="102" spans="1:19" x14ac:dyDescent="0.2">
      <c r="A102" s="9">
        <f>'Monthly Data'!A102</f>
        <v>45047</v>
      </c>
      <c r="B102">
        <f t="shared" si="11"/>
        <v>2023</v>
      </c>
      <c r="C102">
        <f t="shared" si="12"/>
        <v>5</v>
      </c>
      <c r="D102" s="31">
        <f>'Monthly Data'!F102</f>
        <v>41884572.629545584</v>
      </c>
      <c r="E102" s="33">
        <f>'Monthly Data'!AV102</f>
        <v>73.899999999999977</v>
      </c>
      <c r="F102" s="33">
        <f>'Monthly Data'!AW102</f>
        <v>45.999999999999993</v>
      </c>
      <c r="G102" s="18">
        <f>'Monthly Data'!Z102</f>
        <v>851621</v>
      </c>
      <c r="H102">
        <f>'Monthly Data'!BR102</f>
        <v>1</v>
      </c>
      <c r="I102" s="33">
        <f>'Monthly Data'!BT102</f>
        <v>31</v>
      </c>
      <c r="K102" s="18">
        <f>'Res Predicted Monthly'!$V$9</f>
        <v>-23284736.647811599</v>
      </c>
      <c r="L102" s="18">
        <f>E102*'Res Predicted Monthly'!$V$10</f>
        <v>1011387.9058453692</v>
      </c>
      <c r="M102" s="18">
        <f>F102*'Res Predicted Monthly'!$V$11</f>
        <v>3688456.4737819019</v>
      </c>
      <c r="N102" s="18">
        <f>G102*'Res Predicted Monthly'!$V$12</f>
        <v>16290706.987579498</v>
      </c>
      <c r="O102" s="18">
        <f>H102*'Res Predicted Monthly'!$V$13</f>
        <v>-2837598.3252266399</v>
      </c>
      <c r="P102" s="18">
        <f>I102*'Res Predicted Monthly'!$V$14</f>
        <v>48424797.051816143</v>
      </c>
      <c r="Q102" s="18">
        <f t="shared" si="13"/>
        <v>43293013.445984676</v>
      </c>
      <c r="R102" s="18">
        <f t="shared" si="14"/>
        <v>1408440.8164390922</v>
      </c>
      <c r="S102" s="35">
        <f t="shared" si="15"/>
        <v>3.3626720484801392E-2</v>
      </c>
    </row>
    <row r="103" spans="1:19" x14ac:dyDescent="0.2">
      <c r="A103" s="9">
        <f>'Monthly Data'!A103</f>
        <v>45078</v>
      </c>
      <c r="B103">
        <f t="shared" si="11"/>
        <v>2023</v>
      </c>
      <c r="C103">
        <f t="shared" si="12"/>
        <v>6</v>
      </c>
      <c r="D103" s="31">
        <f>'Monthly Data'!F103</f>
        <v>49966785.15713995</v>
      </c>
      <c r="E103" s="33">
        <f>'Monthly Data'!AV103</f>
        <v>0</v>
      </c>
      <c r="F103" s="33">
        <f>'Monthly Data'!AW103</f>
        <v>153.99999999999994</v>
      </c>
      <c r="G103" s="18">
        <f>'Monthly Data'!Z103</f>
        <v>851621</v>
      </c>
      <c r="H103">
        <f>'Monthly Data'!BR103</f>
        <v>0</v>
      </c>
      <c r="I103" s="33">
        <f>'Monthly Data'!BT103</f>
        <v>30</v>
      </c>
      <c r="K103" s="18">
        <f>'Res Predicted Monthly'!$V$9</f>
        <v>-23284736.647811599</v>
      </c>
      <c r="L103" s="18">
        <f>E103*'Res Predicted Monthly'!$V$10</f>
        <v>0</v>
      </c>
      <c r="M103" s="18">
        <f>F103*'Res Predicted Monthly'!$V$11</f>
        <v>12348310.803530712</v>
      </c>
      <c r="N103" s="18">
        <f>G103*'Res Predicted Monthly'!$V$12</f>
        <v>16290706.987579498</v>
      </c>
      <c r="O103" s="18">
        <f>H103*'Res Predicted Monthly'!$V$13</f>
        <v>0</v>
      </c>
      <c r="P103" s="18">
        <f>I103*'Res Predicted Monthly'!$V$14</f>
        <v>46862706.824338198</v>
      </c>
      <c r="Q103" s="18">
        <f t="shared" si="13"/>
        <v>52216987.967636809</v>
      </c>
      <c r="R103" s="18">
        <f t="shared" si="14"/>
        <v>2250202.8104968593</v>
      </c>
      <c r="S103" s="35">
        <f t="shared" si="15"/>
        <v>4.5033972136094468E-2</v>
      </c>
    </row>
    <row r="104" spans="1:19" x14ac:dyDescent="0.2">
      <c r="A104" s="9">
        <f>'Monthly Data'!A104</f>
        <v>45108</v>
      </c>
      <c r="B104">
        <f t="shared" si="11"/>
        <v>2023</v>
      </c>
      <c r="C104">
        <f t="shared" si="12"/>
        <v>7</v>
      </c>
      <c r="D104" s="31">
        <f>'Monthly Data'!F104</f>
        <v>60709456.684734322</v>
      </c>
      <c r="E104" s="33">
        <f>'Monthly Data'!AV104</f>
        <v>0</v>
      </c>
      <c r="F104" s="33">
        <f>'Monthly Data'!AW104</f>
        <v>269.50000000000006</v>
      </c>
      <c r="G104" s="18">
        <f>'Monthly Data'!Z104</f>
        <v>852979</v>
      </c>
      <c r="H104">
        <f>'Monthly Data'!BR104</f>
        <v>0</v>
      </c>
      <c r="I104" s="33">
        <f>'Monthly Data'!BT104</f>
        <v>31</v>
      </c>
      <c r="K104" s="18">
        <f>'Res Predicted Monthly'!$V$9</f>
        <v>-23284736.647811599</v>
      </c>
      <c r="L104" s="18">
        <f>E104*'Res Predicted Monthly'!$V$10</f>
        <v>0</v>
      </c>
      <c r="M104" s="18">
        <f>F104*'Res Predicted Monthly'!$V$11</f>
        <v>21609543.906178758</v>
      </c>
      <c r="N104" s="18">
        <f>G104*'Res Predicted Monthly'!$V$12</f>
        <v>16316684.247521577</v>
      </c>
      <c r="O104" s="18">
        <f>H104*'Res Predicted Monthly'!$V$13</f>
        <v>0</v>
      </c>
      <c r="P104" s="18">
        <f>I104*'Res Predicted Monthly'!$V$14</f>
        <v>48424797.051816143</v>
      </c>
      <c r="Q104" s="18">
        <f t="shared" si="13"/>
        <v>63066288.557704881</v>
      </c>
      <c r="R104" s="18">
        <f t="shared" si="14"/>
        <v>2356831.8729705587</v>
      </c>
      <c r="S104" s="35">
        <f t="shared" si="15"/>
        <v>3.8821495063110903E-2</v>
      </c>
    </row>
    <row r="105" spans="1:19" x14ac:dyDescent="0.2">
      <c r="A105" s="9">
        <f>'Monthly Data'!A105</f>
        <v>45139</v>
      </c>
      <c r="B105">
        <f t="shared" si="11"/>
        <v>2023</v>
      </c>
      <c r="C105">
        <f t="shared" si="12"/>
        <v>8</v>
      </c>
      <c r="D105" s="31">
        <f>'Monthly Data'!F105</f>
        <v>56519900.212328687</v>
      </c>
      <c r="E105" s="33">
        <f>'Monthly Data'!AV105</f>
        <v>0</v>
      </c>
      <c r="F105" s="33">
        <f>'Monthly Data'!AW105</f>
        <v>193.8</v>
      </c>
      <c r="G105" s="18">
        <f>'Monthly Data'!Z105</f>
        <v>852979</v>
      </c>
      <c r="H105">
        <f>'Monthly Data'!BR105</f>
        <v>0</v>
      </c>
      <c r="I105" s="33">
        <f>'Monthly Data'!BT105</f>
        <v>31</v>
      </c>
      <c r="K105" s="18">
        <f>'Res Predicted Monthly'!$V$9</f>
        <v>-23284736.647811599</v>
      </c>
      <c r="L105" s="18">
        <f>E105*'Res Predicted Monthly'!$V$10</f>
        <v>0</v>
      </c>
      <c r="M105" s="18">
        <f>F105*'Res Predicted Monthly'!$V$11</f>
        <v>15539627.491715929</v>
      </c>
      <c r="N105" s="18">
        <f>G105*'Res Predicted Monthly'!$V$12</f>
        <v>16316684.247521577</v>
      </c>
      <c r="O105" s="18">
        <f>H105*'Res Predicted Monthly'!$V$13</f>
        <v>0</v>
      </c>
      <c r="P105" s="18">
        <f>I105*'Res Predicted Monthly'!$V$14</f>
        <v>48424797.051816143</v>
      </c>
      <c r="Q105" s="18">
        <f t="shared" si="13"/>
        <v>56996372.143242046</v>
      </c>
      <c r="R105" s="18">
        <f t="shared" si="14"/>
        <v>476471.93091335893</v>
      </c>
      <c r="S105" s="35">
        <f t="shared" si="15"/>
        <v>8.4301622813096559E-3</v>
      </c>
    </row>
    <row r="106" spans="1:19" x14ac:dyDescent="0.2">
      <c r="A106" s="9">
        <f>'Monthly Data'!A106</f>
        <v>45170</v>
      </c>
      <c r="B106">
        <f t="shared" si="11"/>
        <v>2023</v>
      </c>
      <c r="C106">
        <f t="shared" si="12"/>
        <v>9</v>
      </c>
      <c r="D106" s="31">
        <f>'Monthly Data'!F106</f>
        <v>46714488.739923052</v>
      </c>
      <c r="E106" s="33">
        <f>'Monthly Data'!AV106</f>
        <v>0</v>
      </c>
      <c r="F106" s="33">
        <f>'Monthly Data'!AW106</f>
        <v>140.60000000000002</v>
      </c>
      <c r="G106" s="18">
        <f>'Monthly Data'!Z106</f>
        <v>852979</v>
      </c>
      <c r="H106">
        <f>'Monthly Data'!BR106</f>
        <v>1</v>
      </c>
      <c r="I106" s="33">
        <f>'Monthly Data'!BT106</f>
        <v>30</v>
      </c>
      <c r="K106" s="18">
        <f>'Res Predicted Monthly'!$V$9</f>
        <v>-23284736.647811599</v>
      </c>
      <c r="L106" s="18">
        <f>E106*'Res Predicted Monthly'!$V$10</f>
        <v>0</v>
      </c>
      <c r="M106" s="18">
        <f>F106*'Res Predicted Monthly'!$V$11</f>
        <v>11273847.395950774</v>
      </c>
      <c r="N106" s="18">
        <f>G106*'Res Predicted Monthly'!$V$12</f>
        <v>16316684.247521577</v>
      </c>
      <c r="O106" s="18">
        <f>H106*'Res Predicted Monthly'!$V$13</f>
        <v>-2837598.3252266399</v>
      </c>
      <c r="P106" s="18">
        <f>I106*'Res Predicted Monthly'!$V$14</f>
        <v>46862706.824338198</v>
      </c>
      <c r="Q106" s="18">
        <f t="shared" si="13"/>
        <v>48330903.494772308</v>
      </c>
      <c r="R106" s="18">
        <f t="shared" si="14"/>
        <v>1616414.7548492551</v>
      </c>
      <c r="S106" s="35">
        <f t="shared" si="15"/>
        <v>3.4602000331170009E-2</v>
      </c>
    </row>
    <row r="107" spans="1:19" x14ac:dyDescent="0.2">
      <c r="A107" s="9">
        <f>'Monthly Data'!A107</f>
        <v>45200</v>
      </c>
      <c r="B107">
        <f t="shared" si="11"/>
        <v>2023</v>
      </c>
      <c r="C107">
        <f t="shared" si="12"/>
        <v>10</v>
      </c>
      <c r="D107" s="31">
        <f>'Monthly Data'!F107</f>
        <v>40824035.267517418</v>
      </c>
      <c r="E107" s="33">
        <f>'Monthly Data'!AV107</f>
        <v>77.599999999999994</v>
      </c>
      <c r="F107" s="33">
        <f>'Monthly Data'!AW107</f>
        <v>55.400000000000006</v>
      </c>
      <c r="G107" s="18">
        <f>'Monthly Data'!Z107</f>
        <v>852029</v>
      </c>
      <c r="H107">
        <f>'Monthly Data'!BR107</f>
        <v>1</v>
      </c>
      <c r="I107" s="33">
        <f>'Monthly Data'!BT107</f>
        <v>31</v>
      </c>
      <c r="K107" s="18">
        <f>'Res Predicted Monthly'!$V$9</f>
        <v>-23284736.647811599</v>
      </c>
      <c r="L107" s="18">
        <f>E107*'Res Predicted Monthly'!$V$10</f>
        <v>1062025.730630591</v>
      </c>
      <c r="M107" s="18">
        <f>F107*'Res Predicted Monthly'!$V$11</f>
        <v>4442184.5358155956</v>
      </c>
      <c r="N107" s="18">
        <f>G107*'Res Predicted Monthly'!$V$12</f>
        <v>16298511.642996559</v>
      </c>
      <c r="O107" s="18">
        <f>H107*'Res Predicted Monthly'!$V$13</f>
        <v>-2837598.3252266399</v>
      </c>
      <c r="P107" s="18">
        <f>I107*'Res Predicted Monthly'!$V$14</f>
        <v>48424797.051816143</v>
      </c>
      <c r="Q107" s="18">
        <f t="shared" si="13"/>
        <v>44105183.988220647</v>
      </c>
      <c r="R107" s="18">
        <f t="shared" si="14"/>
        <v>3281148.7207032293</v>
      </c>
      <c r="S107" s="35">
        <f t="shared" si="15"/>
        <v>8.0372964093384236E-2</v>
      </c>
    </row>
    <row r="108" spans="1:19" x14ac:dyDescent="0.2">
      <c r="A108" s="9">
        <f>'Monthly Data'!A108</f>
        <v>45231</v>
      </c>
      <c r="B108">
        <f t="shared" si="11"/>
        <v>2023</v>
      </c>
      <c r="C108">
        <f t="shared" si="12"/>
        <v>11</v>
      </c>
      <c r="D108" s="31">
        <f>'Monthly Data'!F108</f>
        <v>40771078.79511179</v>
      </c>
      <c r="E108" s="33">
        <f>'Monthly Data'!AV108</f>
        <v>254.10000000000002</v>
      </c>
      <c r="F108" s="33">
        <f>'Monthly Data'!AW108</f>
        <v>0</v>
      </c>
      <c r="G108" s="18">
        <f>'Monthly Data'!Z108</f>
        <v>852029</v>
      </c>
      <c r="H108">
        <f>'Monthly Data'!BR108</f>
        <v>1</v>
      </c>
      <c r="I108" s="33">
        <f>'Monthly Data'!BT108</f>
        <v>30</v>
      </c>
      <c r="K108" s="18">
        <f>'Res Predicted Monthly'!$V$9</f>
        <v>-23284736.647811599</v>
      </c>
      <c r="L108" s="18">
        <f>E108*'Res Predicted Monthly'!$V$10</f>
        <v>3477586.8318715622</v>
      </c>
      <c r="M108" s="18">
        <f>F108*'Res Predicted Monthly'!$V$11</f>
        <v>0</v>
      </c>
      <c r="N108" s="18">
        <f>G108*'Res Predicted Monthly'!$V$12</f>
        <v>16298511.642996559</v>
      </c>
      <c r="O108" s="18">
        <f>H108*'Res Predicted Monthly'!$V$13</f>
        <v>-2837598.3252266399</v>
      </c>
      <c r="P108" s="18">
        <f>I108*'Res Predicted Monthly'!$V$14</f>
        <v>46862706.824338198</v>
      </c>
      <c r="Q108" s="18">
        <f t="shared" si="13"/>
        <v>40516470.326168075</v>
      </c>
      <c r="R108" s="18">
        <f t="shared" si="14"/>
        <v>-254608.4689437151</v>
      </c>
      <c r="S108" s="35">
        <f t="shared" si="15"/>
        <v>6.2448303176672664E-3</v>
      </c>
    </row>
    <row r="109" spans="1:19" x14ac:dyDescent="0.2">
      <c r="A109" s="9">
        <f>'Monthly Data'!A109</f>
        <v>45261</v>
      </c>
      <c r="B109">
        <f t="shared" si="11"/>
        <v>2023</v>
      </c>
      <c r="C109">
        <f t="shared" si="12"/>
        <v>12</v>
      </c>
      <c r="D109" s="31">
        <f>'Monthly Data'!F109</f>
        <v>46228650.322706155</v>
      </c>
      <c r="E109" s="33">
        <f>'Monthly Data'!AV109</f>
        <v>319.20000000000005</v>
      </c>
      <c r="F109" s="33">
        <f>'Monthly Data'!AW109</f>
        <v>0</v>
      </c>
      <c r="G109" s="18">
        <f>'Monthly Data'!Z109</f>
        <v>852029</v>
      </c>
      <c r="H109">
        <f>'Monthly Data'!BR109</f>
        <v>0</v>
      </c>
      <c r="I109" s="33">
        <f>'Monthly Data'!BT109</f>
        <v>31</v>
      </c>
      <c r="K109" s="18">
        <f>'Res Predicted Monthly'!$V$9</f>
        <v>-23284736.647811599</v>
      </c>
      <c r="L109" s="18">
        <f>E109*'Res Predicted Monthly'!$V$10</f>
        <v>4368538.830119648</v>
      </c>
      <c r="M109" s="18">
        <f>F109*'Res Predicted Monthly'!$V$11</f>
        <v>0</v>
      </c>
      <c r="N109" s="18">
        <f>G109*'Res Predicted Monthly'!$V$12</f>
        <v>16298511.642996559</v>
      </c>
      <c r="O109" s="18">
        <f>H109*'Res Predicted Monthly'!$V$13</f>
        <v>0</v>
      </c>
      <c r="P109" s="18">
        <f>I109*'Res Predicted Monthly'!$V$14</f>
        <v>48424797.051816143</v>
      </c>
      <c r="Q109" s="18">
        <f t="shared" si="13"/>
        <v>45807110.877120748</v>
      </c>
      <c r="R109" s="18">
        <f t="shared" si="14"/>
        <v>-421539.44558540732</v>
      </c>
      <c r="S109" s="35">
        <f t="shared" si="15"/>
        <v>9.1185756590942378E-3</v>
      </c>
    </row>
    <row r="110" spans="1:19" x14ac:dyDescent="0.2">
      <c r="A110" s="9">
        <f>'Monthly Data'!A110</f>
        <v>45292</v>
      </c>
      <c r="B110">
        <f t="shared" si="11"/>
        <v>2024</v>
      </c>
      <c r="C110">
        <f t="shared" si="12"/>
        <v>1</v>
      </c>
      <c r="D110" s="31">
        <f>'Monthly Data'!F110</f>
        <v>47520942.166132875</v>
      </c>
      <c r="E110" s="33">
        <f>'Monthly Data'!AV110</f>
        <v>462.39999999999992</v>
      </c>
      <c r="F110" s="33">
        <f>'Monthly Data'!AW110</f>
        <v>0</v>
      </c>
      <c r="G110" s="18">
        <f>'Monthly Data'!Z110</f>
        <v>860658</v>
      </c>
      <c r="H110">
        <f>'Monthly Data'!BR110</f>
        <v>0</v>
      </c>
      <c r="I110" s="33">
        <f>'Monthly Data'!BT110</f>
        <v>31</v>
      </c>
      <c r="K110" s="18">
        <f>'Res Predicted Monthly'!$V$9</f>
        <v>-23284736.647811599</v>
      </c>
      <c r="L110" s="18">
        <f>E110*'Res Predicted Monthly'!$V$10</f>
        <v>6328359.508293624</v>
      </c>
      <c r="M110" s="18">
        <f>F110*'Res Predicted Monthly'!$V$11</f>
        <v>0</v>
      </c>
      <c r="N110" s="18">
        <f>G110*'Res Predicted Monthly'!$V$12</f>
        <v>16463576.27925591</v>
      </c>
      <c r="O110" s="18">
        <f>H110*'Res Predicted Monthly'!$V$13</f>
        <v>0</v>
      </c>
      <c r="P110" s="18">
        <f>I110*'Res Predicted Monthly'!$V$14</f>
        <v>48424797.051816143</v>
      </c>
      <c r="Q110" s="18">
        <f t="shared" si="13"/>
        <v>47931996.191554077</v>
      </c>
      <c r="R110" s="18">
        <f t="shared" si="14"/>
        <v>411054.02542120218</v>
      </c>
      <c r="S110" s="35">
        <f t="shared" si="15"/>
        <v>8.6499552972699959E-3</v>
      </c>
    </row>
    <row r="111" spans="1:19" x14ac:dyDescent="0.2">
      <c r="A111" s="9">
        <f>'Monthly Data'!A111</f>
        <v>45323</v>
      </c>
      <c r="B111">
        <f t="shared" si="11"/>
        <v>2024</v>
      </c>
      <c r="C111">
        <f t="shared" si="12"/>
        <v>2</v>
      </c>
      <c r="D111" s="31">
        <f>'Monthly Data'!F111</f>
        <v>42009232.734825648</v>
      </c>
      <c r="E111" s="33">
        <f>'Monthly Data'!AV111</f>
        <v>373.09999999999997</v>
      </c>
      <c r="F111" s="33">
        <f>'Monthly Data'!AW111</f>
        <v>0</v>
      </c>
      <c r="G111" s="18">
        <f>'Monthly Data'!Z111</f>
        <v>860658</v>
      </c>
      <c r="H111">
        <f>'Monthly Data'!BR111</f>
        <v>0</v>
      </c>
      <c r="I111" s="33">
        <f>'Monthly Data'!BT111</f>
        <v>29</v>
      </c>
      <c r="K111" s="18">
        <f>'Res Predicted Monthly'!$V$9</f>
        <v>-23284736.647811599</v>
      </c>
      <c r="L111" s="18">
        <f>E111*'Res Predicted Monthly'!$V$10</f>
        <v>5106208.7641530083</v>
      </c>
      <c r="M111" s="18">
        <f>F111*'Res Predicted Monthly'!$V$11</f>
        <v>0</v>
      </c>
      <c r="N111" s="18">
        <f>G111*'Res Predicted Monthly'!$V$12</f>
        <v>16463576.27925591</v>
      </c>
      <c r="O111" s="18">
        <f>H111*'Res Predicted Monthly'!$V$13</f>
        <v>0</v>
      </c>
      <c r="P111" s="18">
        <f>I111*'Res Predicted Monthly'!$V$14</f>
        <v>45300616.59686026</v>
      </c>
      <c r="Q111" s="18">
        <f t="shared" si="13"/>
        <v>43585664.992457576</v>
      </c>
      <c r="R111" s="18">
        <f t="shared" si="14"/>
        <v>1576432.2576319277</v>
      </c>
      <c r="S111" s="35">
        <f t="shared" si="15"/>
        <v>3.7525852175944778E-2</v>
      </c>
    </row>
    <row r="112" spans="1:19" x14ac:dyDescent="0.2">
      <c r="A112" s="9">
        <f>'Monthly Data'!A112</f>
        <v>45352</v>
      </c>
      <c r="B112">
        <f t="shared" si="11"/>
        <v>2024</v>
      </c>
      <c r="C112">
        <f t="shared" si="12"/>
        <v>3</v>
      </c>
      <c r="D112" s="31">
        <f>'Monthly Data'!F112</f>
        <v>42133800.273518406</v>
      </c>
      <c r="E112" s="33">
        <f>'Monthly Data'!AV112</f>
        <v>305.50000000000006</v>
      </c>
      <c r="F112" s="33">
        <f>'Monthly Data'!AW112</f>
        <v>0</v>
      </c>
      <c r="G112" s="18">
        <f>'Monthly Data'!Z112</f>
        <v>860658</v>
      </c>
      <c r="H112">
        <f>'Monthly Data'!BR112</f>
        <v>1</v>
      </c>
      <c r="I112" s="33">
        <f>'Monthly Data'!BT112</f>
        <v>31</v>
      </c>
      <c r="K112" s="18">
        <f>'Res Predicted Monthly'!$V$9</f>
        <v>-23284736.647811599</v>
      </c>
      <c r="L112" s="18">
        <f>E112*'Res Predicted Monthly'!$V$10</f>
        <v>4181042.0194284231</v>
      </c>
      <c r="M112" s="18">
        <f>F112*'Res Predicted Monthly'!$V$11</f>
        <v>0</v>
      </c>
      <c r="N112" s="18">
        <f>G112*'Res Predicted Monthly'!$V$12</f>
        <v>16463576.27925591</v>
      </c>
      <c r="O112" s="18">
        <f>H112*'Res Predicted Monthly'!$V$13</f>
        <v>-2837598.3252266399</v>
      </c>
      <c r="P112" s="18">
        <f>I112*'Res Predicted Monthly'!$V$14</f>
        <v>48424797.051816143</v>
      </c>
      <c r="Q112" s="18">
        <f t="shared" si="13"/>
        <v>42947080.377462238</v>
      </c>
      <c r="R112" s="18">
        <f t="shared" si="14"/>
        <v>813280.10394383222</v>
      </c>
      <c r="S112" s="35">
        <f t="shared" si="15"/>
        <v>1.9302320195764264E-2</v>
      </c>
    </row>
    <row r="113" spans="1:19" x14ac:dyDescent="0.2">
      <c r="A113" s="9">
        <f>'Monthly Data'!A113</f>
        <v>45383</v>
      </c>
      <c r="B113">
        <f t="shared" si="11"/>
        <v>2024</v>
      </c>
      <c r="C113">
        <f t="shared" si="12"/>
        <v>4</v>
      </c>
      <c r="D113" s="31">
        <f>'Monthly Data'!F113</f>
        <v>38836355.502211168</v>
      </c>
      <c r="E113" s="33">
        <f>'Monthly Data'!AV113</f>
        <v>175.79999999999998</v>
      </c>
      <c r="F113" s="33">
        <f>'Monthly Data'!AW113</f>
        <v>1.0999999999999996</v>
      </c>
      <c r="G113" s="18">
        <f>'Monthly Data'!Z113</f>
        <v>865503</v>
      </c>
      <c r="H113">
        <f>'Monthly Data'!BR113</f>
        <v>1</v>
      </c>
      <c r="I113" s="33">
        <f>'Monthly Data'!BT113</f>
        <v>30</v>
      </c>
      <c r="K113" s="18">
        <f>'Res Predicted Monthly'!$V$9</f>
        <v>-23284736.647811599</v>
      </c>
      <c r="L113" s="18">
        <f>E113*'Res Predicted Monthly'!$V$10</f>
        <v>2405980.9722275501</v>
      </c>
      <c r="M113" s="18">
        <f>F113*'Res Predicted Monthly'!$V$11</f>
        <v>88202.220025219372</v>
      </c>
      <c r="N113" s="18">
        <f>G113*'Res Predicted Monthly'!$V$12</f>
        <v>16556256.562333502</v>
      </c>
      <c r="O113" s="18">
        <f>H113*'Res Predicted Monthly'!$V$13</f>
        <v>-2837598.3252266399</v>
      </c>
      <c r="P113" s="18">
        <f>I113*'Res Predicted Monthly'!$V$14</f>
        <v>46862706.824338198</v>
      </c>
      <c r="Q113" s="18">
        <f t="shared" si="13"/>
        <v>39790811.605886228</v>
      </c>
      <c r="R113" s="18">
        <f t="shared" si="14"/>
        <v>954456.10367505997</v>
      </c>
      <c r="S113" s="35">
        <f t="shared" si="15"/>
        <v>2.457635613158185E-2</v>
      </c>
    </row>
    <row r="114" spans="1:19" x14ac:dyDescent="0.2">
      <c r="A114" s="9">
        <f>'Monthly Data'!A114</f>
        <v>45413</v>
      </c>
      <c r="B114">
        <f t="shared" si="11"/>
        <v>2024</v>
      </c>
      <c r="C114">
        <f t="shared" si="12"/>
        <v>5</v>
      </c>
      <c r="D114" s="31">
        <f>'Monthly Data'!F114</f>
        <v>43725998.02090393</v>
      </c>
      <c r="E114" s="33">
        <f>'Monthly Data'!AV114</f>
        <v>30</v>
      </c>
      <c r="F114" s="33">
        <f>'Monthly Data'!AW114</f>
        <v>59</v>
      </c>
      <c r="G114" s="18">
        <f>'Monthly Data'!Z114</f>
        <v>865503</v>
      </c>
      <c r="H114">
        <f>'Monthly Data'!BR114</f>
        <v>1</v>
      </c>
      <c r="I114" s="33">
        <f>'Monthly Data'!BT114</f>
        <v>31</v>
      </c>
      <c r="K114" s="18">
        <f>'Res Predicted Monthly'!$V$9</f>
        <v>-23284736.647811599</v>
      </c>
      <c r="L114" s="18">
        <f>E114*'Res Predicted Monthly'!$V$10</f>
        <v>410576.95771801198</v>
      </c>
      <c r="M114" s="18">
        <f>F114*'Res Predicted Monthly'!$V$11</f>
        <v>4730846.3468072228</v>
      </c>
      <c r="N114" s="18">
        <f>G114*'Res Predicted Monthly'!$V$12</f>
        <v>16556256.562333502</v>
      </c>
      <c r="O114" s="18">
        <f>H114*'Res Predicted Monthly'!$V$13</f>
        <v>-2837598.3252266399</v>
      </c>
      <c r="P114" s="18">
        <f>I114*'Res Predicted Monthly'!$V$14</f>
        <v>48424797.051816143</v>
      </c>
      <c r="Q114" s="18">
        <f t="shared" si="13"/>
        <v>44000141.945636638</v>
      </c>
      <c r="R114" s="18">
        <f t="shared" si="14"/>
        <v>274143.92473270744</v>
      </c>
      <c r="S114" s="35">
        <f t="shared" si="15"/>
        <v>6.2695864506431267E-3</v>
      </c>
    </row>
    <row r="115" spans="1:19" x14ac:dyDescent="0.2">
      <c r="A115" s="9">
        <f>'Monthly Data'!A115</f>
        <v>45444</v>
      </c>
      <c r="B115">
        <f t="shared" si="11"/>
        <v>2024</v>
      </c>
      <c r="C115">
        <f t="shared" si="12"/>
        <v>6</v>
      </c>
      <c r="D115" s="31">
        <f>'Monthly Data'!F115</f>
        <v>54316624.359596707</v>
      </c>
      <c r="E115" s="33">
        <f>'Monthly Data'!AV115</f>
        <v>0</v>
      </c>
      <c r="F115" s="33">
        <f>'Monthly Data'!AW115</f>
        <v>164.40000000000006</v>
      </c>
      <c r="G115" s="18">
        <f>'Monthly Data'!Z115</f>
        <v>865503</v>
      </c>
      <c r="H115">
        <f>'Monthly Data'!BR115</f>
        <v>0</v>
      </c>
      <c r="I115" s="33">
        <f>'Monthly Data'!BT115</f>
        <v>30</v>
      </c>
      <c r="K115" s="18">
        <f>'Res Predicted Monthly'!$V$9</f>
        <v>-23284736.647811599</v>
      </c>
      <c r="L115" s="18">
        <f>E115*'Res Predicted Monthly'!$V$10</f>
        <v>0</v>
      </c>
      <c r="M115" s="18">
        <f>F115*'Res Predicted Monthly'!$V$11</f>
        <v>13182222.701950978</v>
      </c>
      <c r="N115" s="18">
        <f>G115*'Res Predicted Monthly'!$V$12</f>
        <v>16556256.562333502</v>
      </c>
      <c r="O115" s="18">
        <f>H115*'Res Predicted Monthly'!$V$13</f>
        <v>0</v>
      </c>
      <c r="P115" s="18">
        <f>I115*'Res Predicted Monthly'!$V$14</f>
        <v>46862706.824338198</v>
      </c>
      <c r="Q115" s="18">
        <f t="shared" si="13"/>
        <v>53316449.440811083</v>
      </c>
      <c r="R115" s="18">
        <f t="shared" si="14"/>
        <v>-1000174.9187856242</v>
      </c>
      <c r="S115" s="35">
        <f t="shared" si="15"/>
        <v>1.8413790079517569E-2</v>
      </c>
    </row>
    <row r="116" spans="1:19" x14ac:dyDescent="0.2">
      <c r="A116" s="9">
        <f>'Monthly Data'!A116</f>
        <v>45474</v>
      </c>
      <c r="B116">
        <f t="shared" ref="B116:B121" si="16">YEAR(A116)</f>
        <v>2024</v>
      </c>
      <c r="C116">
        <f t="shared" ref="C116:C121" si="17">MONTH(A116)</f>
        <v>7</v>
      </c>
      <c r="D116" s="31">
        <f>'Monthly Data'!F116</f>
        <v>64592396.868289471</v>
      </c>
      <c r="E116" s="33">
        <f>'Monthly Data'!AV116</f>
        <v>0</v>
      </c>
      <c r="F116" s="33">
        <f>'Monthly Data'!AW116</f>
        <v>261.8</v>
      </c>
      <c r="G116" s="18">
        <f>'Monthly Data'!Z116</f>
        <v>867701</v>
      </c>
      <c r="H116">
        <f>'Monthly Data'!BR116</f>
        <v>0</v>
      </c>
      <c r="I116" s="33">
        <f>'Monthly Data'!BT116</f>
        <v>31</v>
      </c>
      <c r="K116" s="18">
        <f>'Res Predicted Monthly'!$V$9</f>
        <v>-23284736.647811599</v>
      </c>
      <c r="L116" s="18">
        <f>E116*'Res Predicted Monthly'!$V$10</f>
        <v>0</v>
      </c>
      <c r="M116" s="18">
        <f>F116*'Res Predicted Monthly'!$V$11</f>
        <v>20992128.366002221</v>
      </c>
      <c r="N116" s="18">
        <f>G116*'Res Predicted Monthly'!$V$12</f>
        <v>16598302.230487175</v>
      </c>
      <c r="O116" s="18">
        <f>H116*'Res Predicted Monthly'!$V$13</f>
        <v>0</v>
      </c>
      <c r="P116" s="18">
        <f>I116*'Res Predicted Monthly'!$V$14</f>
        <v>48424797.051816143</v>
      </c>
      <c r="Q116" s="18">
        <f t="shared" ref="Q116:Q121" si="18">SUM(K116:P116)</f>
        <v>62730491.000493944</v>
      </c>
      <c r="R116" s="18">
        <f t="shared" ref="R116:R121" si="19">Q116-D116</f>
        <v>-1861905.867795527</v>
      </c>
      <c r="S116" s="35">
        <f t="shared" ref="S116:S121" si="20">ABS(R116/D116)</f>
        <v>2.8825464885474744E-2</v>
      </c>
    </row>
    <row r="117" spans="1:19" x14ac:dyDescent="0.2">
      <c r="A117" s="9">
        <f>'Monthly Data'!A117</f>
        <v>45505</v>
      </c>
      <c r="B117">
        <f t="shared" si="16"/>
        <v>2024</v>
      </c>
      <c r="C117">
        <f t="shared" si="17"/>
        <v>8</v>
      </c>
      <c r="D117" s="31">
        <f>'Monthly Data'!F117</f>
        <v>60459871.106982246</v>
      </c>
      <c r="E117" s="33">
        <f>'Monthly Data'!AV117</f>
        <v>0</v>
      </c>
      <c r="F117" s="33">
        <f>'Monthly Data'!AW117</f>
        <v>240.3</v>
      </c>
      <c r="G117" s="18">
        <f>'Monthly Data'!Z117</f>
        <v>867701</v>
      </c>
      <c r="H117">
        <f>'Monthly Data'!BR117</f>
        <v>0</v>
      </c>
      <c r="I117" s="33">
        <f>'Monthly Data'!BT117</f>
        <v>31</v>
      </c>
      <c r="K117" s="18">
        <f>'Res Predicted Monthly'!$V$9</f>
        <v>-23284736.647811599</v>
      </c>
      <c r="L117" s="18">
        <f>E117*'Res Predicted Monthly'!$V$10</f>
        <v>0</v>
      </c>
      <c r="M117" s="18">
        <f>F117*'Res Predicted Monthly'!$V$11</f>
        <v>19268175.883691113</v>
      </c>
      <c r="N117" s="18">
        <f>G117*'Res Predicted Monthly'!$V$12</f>
        <v>16598302.230487175</v>
      </c>
      <c r="O117" s="18">
        <f>H117*'Res Predicted Monthly'!$V$13</f>
        <v>0</v>
      </c>
      <c r="P117" s="18">
        <f>I117*'Res Predicted Monthly'!$V$14</f>
        <v>48424797.051816143</v>
      </c>
      <c r="Q117" s="18">
        <f t="shared" si="18"/>
        <v>61006538.518182829</v>
      </c>
      <c r="R117" s="18">
        <f t="shared" si="19"/>
        <v>546667.41120058298</v>
      </c>
      <c r="S117" s="35">
        <f t="shared" si="20"/>
        <v>9.0418223061254719E-3</v>
      </c>
    </row>
    <row r="118" spans="1:19" x14ac:dyDescent="0.2">
      <c r="A118" s="9">
        <f>'Monthly Data'!A118</f>
        <v>45536</v>
      </c>
      <c r="B118">
        <f t="shared" si="16"/>
        <v>2024</v>
      </c>
      <c r="C118">
        <f t="shared" si="17"/>
        <v>9</v>
      </c>
      <c r="D118" s="31">
        <f>'Monthly Data'!F118</f>
        <v>48481511.215674996</v>
      </c>
      <c r="E118" s="33">
        <f>'Monthly Data'!AV118</f>
        <v>0.40000000000000036</v>
      </c>
      <c r="F118" s="33">
        <f>'Monthly Data'!AW118</f>
        <v>148.19999999999999</v>
      </c>
      <c r="G118" s="18">
        <f>'Monthly Data'!Z118</f>
        <v>867701</v>
      </c>
      <c r="H118">
        <f>'Monthly Data'!BR118</f>
        <v>1</v>
      </c>
      <c r="I118" s="33">
        <f>'Monthly Data'!BT118</f>
        <v>30</v>
      </c>
      <c r="K118" s="18">
        <f>'Res Predicted Monthly'!$V$9</f>
        <v>-23284736.647811599</v>
      </c>
      <c r="L118" s="18">
        <f>E118*'Res Predicted Monthly'!$V$10</f>
        <v>5474.3594362401645</v>
      </c>
      <c r="M118" s="18">
        <f>F118*'Res Predicted Monthly'!$V$11</f>
        <v>11883244.552488649</v>
      </c>
      <c r="N118" s="18">
        <f>G118*'Res Predicted Monthly'!$V$12</f>
        <v>16598302.230487175</v>
      </c>
      <c r="O118" s="18">
        <f>H118*'Res Predicted Monthly'!$V$13</f>
        <v>-2837598.3252266399</v>
      </c>
      <c r="P118" s="18">
        <f>I118*'Res Predicted Monthly'!$V$14</f>
        <v>46862706.824338198</v>
      </c>
      <c r="Q118" s="18">
        <f t="shared" si="18"/>
        <v>49227392.993712023</v>
      </c>
      <c r="R118" s="18">
        <f t="shared" si="19"/>
        <v>745881.77803702652</v>
      </c>
      <c r="S118" s="35">
        <f t="shared" si="20"/>
        <v>1.5384870630762614E-2</v>
      </c>
    </row>
    <row r="119" spans="1:19" x14ac:dyDescent="0.2">
      <c r="A119" s="9">
        <f>'Monthly Data'!A119</f>
        <v>45566</v>
      </c>
      <c r="B119">
        <f t="shared" si="16"/>
        <v>2024</v>
      </c>
      <c r="C119">
        <f t="shared" si="17"/>
        <v>10</v>
      </c>
      <c r="D119" s="31">
        <f>'Monthly Data'!F119</f>
        <v>41352177.60436777</v>
      </c>
      <c r="E119" s="33">
        <f>'Monthly Data'!AV119</f>
        <v>55.2</v>
      </c>
      <c r="F119" s="33">
        <f>'Monthly Data'!AW119</f>
        <v>47.400000000000006</v>
      </c>
      <c r="G119" s="18">
        <f>'Monthly Data'!Z119</f>
        <v>869576</v>
      </c>
      <c r="H119">
        <f>'Monthly Data'!BR119</f>
        <v>1</v>
      </c>
      <c r="I119" s="33">
        <f>'Monthly Data'!BT119</f>
        <v>31</v>
      </c>
      <c r="K119" s="18">
        <f>'Res Predicted Monthly'!$V$9</f>
        <v>-23284736.647811599</v>
      </c>
      <c r="L119" s="18">
        <f>E119*'Res Predicted Monthly'!$V$10</f>
        <v>755461.60220114212</v>
      </c>
      <c r="M119" s="18">
        <f>F119*'Res Predicted Monthly'!$V$11</f>
        <v>3800713.844723091</v>
      </c>
      <c r="N119" s="18">
        <f>G119*'Res Predicted Monthly'!$V$12</f>
        <v>16634169.213102343</v>
      </c>
      <c r="O119" s="18">
        <f>H119*'Res Predicted Monthly'!$V$13</f>
        <v>-2837598.3252266399</v>
      </c>
      <c r="P119" s="18">
        <f>I119*'Res Predicted Monthly'!$V$14</f>
        <v>48424797.051816143</v>
      </c>
      <c r="Q119" s="18">
        <f t="shared" si="18"/>
        <v>43492806.738804474</v>
      </c>
      <c r="R119" s="18">
        <f t="shared" si="19"/>
        <v>2140629.1344367042</v>
      </c>
      <c r="S119" s="35">
        <f t="shared" si="20"/>
        <v>5.1765814001790394E-2</v>
      </c>
    </row>
    <row r="120" spans="1:19" x14ac:dyDescent="0.2">
      <c r="A120" s="9">
        <f>'Monthly Data'!A120</f>
        <v>45597</v>
      </c>
      <c r="B120">
        <f t="shared" si="16"/>
        <v>2024</v>
      </c>
      <c r="C120">
        <f t="shared" si="17"/>
        <v>11</v>
      </c>
      <c r="D120" s="31">
        <f>'Monthly Data'!F120</f>
        <v>40782399.333060533</v>
      </c>
      <c r="E120" s="33">
        <f>'Monthly Data'!AV120</f>
        <v>194.20000000000002</v>
      </c>
      <c r="F120" s="33">
        <f>'Monthly Data'!AW120</f>
        <v>9.9000000000000021</v>
      </c>
      <c r="G120" s="18">
        <f>'Monthly Data'!Z120</f>
        <v>869576</v>
      </c>
      <c r="H120">
        <f>'Monthly Data'!BR120</f>
        <v>1</v>
      </c>
      <c r="I120" s="33">
        <f>'Monthly Data'!BT120</f>
        <v>30</v>
      </c>
      <c r="K120" s="18">
        <f>'Res Predicted Monthly'!$V$9</f>
        <v>-23284736.647811599</v>
      </c>
      <c r="L120" s="18">
        <f>E120*'Res Predicted Monthly'!$V$10</f>
        <v>2657801.5062945979</v>
      </c>
      <c r="M120" s="18">
        <f>F120*'Res Predicted Monthly'!$V$11</f>
        <v>793819.98022697482</v>
      </c>
      <c r="N120" s="18">
        <f>G120*'Res Predicted Monthly'!$V$12</f>
        <v>16634169.213102343</v>
      </c>
      <c r="O120" s="18">
        <f>H120*'Res Predicted Monthly'!$V$13</f>
        <v>-2837598.3252266399</v>
      </c>
      <c r="P120" s="18">
        <f>I120*'Res Predicted Monthly'!$V$14</f>
        <v>46862706.824338198</v>
      </c>
      <c r="Q120" s="18">
        <f t="shared" si="18"/>
        <v>40826162.550923869</v>
      </c>
      <c r="R120" s="18">
        <f t="shared" si="19"/>
        <v>43763.217863336205</v>
      </c>
      <c r="S120" s="35">
        <f t="shared" si="20"/>
        <v>1.0730908082658896E-3</v>
      </c>
    </row>
    <row r="121" spans="1:19" x14ac:dyDescent="0.2">
      <c r="A121" s="9">
        <f>'Monthly Data'!A121</f>
        <v>45627</v>
      </c>
      <c r="B121">
        <f t="shared" si="16"/>
        <v>2024</v>
      </c>
      <c r="C121">
        <f t="shared" si="17"/>
        <v>12</v>
      </c>
      <c r="D121" s="31">
        <f>'Monthly Data'!F121</f>
        <v>48660834.701753296</v>
      </c>
      <c r="E121" s="33">
        <f>'Monthly Data'!AV121</f>
        <v>400.7999999999999</v>
      </c>
      <c r="F121" s="33">
        <f>'Monthly Data'!AW121</f>
        <v>0</v>
      </c>
      <c r="G121" s="18">
        <f>'Monthly Data'!Z121</f>
        <v>869576</v>
      </c>
      <c r="H121">
        <f>'Monthly Data'!BR121</f>
        <v>0</v>
      </c>
      <c r="I121" s="33">
        <f>'Monthly Data'!BT121</f>
        <v>31</v>
      </c>
      <c r="K121" s="18">
        <f>'Res Predicted Monthly'!$V$9</f>
        <v>-23284736.647811599</v>
      </c>
      <c r="L121" s="18">
        <f>E121*'Res Predicted Monthly'!$V$10</f>
        <v>5485308.1551126391</v>
      </c>
      <c r="M121" s="18">
        <f>F121*'Res Predicted Monthly'!$V$11</f>
        <v>0</v>
      </c>
      <c r="N121" s="18">
        <f>G121*'Res Predicted Monthly'!$V$12</f>
        <v>16634169.213102343</v>
      </c>
      <c r="O121" s="18">
        <f>H121*'Res Predicted Monthly'!$V$13</f>
        <v>0</v>
      </c>
      <c r="P121" s="18">
        <f>I121*'Res Predicted Monthly'!$V$14</f>
        <v>48424797.051816143</v>
      </c>
      <c r="Q121" s="18">
        <f t="shared" si="18"/>
        <v>47259537.772219524</v>
      </c>
      <c r="R121" s="18">
        <f t="shared" si="19"/>
        <v>-1401296.9295337722</v>
      </c>
      <c r="S121" s="35">
        <f t="shared" si="20"/>
        <v>2.8797223436927238E-2</v>
      </c>
    </row>
    <row r="122" spans="1:19" x14ac:dyDescent="0.2">
      <c r="A122" s="9"/>
      <c r="G122" s="18"/>
      <c r="N122" s="18"/>
      <c r="S122" s="35">
        <f>AVERAGE(S2:S121)</f>
        <v>3.1098759714291394E-2</v>
      </c>
    </row>
    <row r="123" spans="1:19" x14ac:dyDescent="0.2">
      <c r="A123" s="9"/>
      <c r="G123" s="18"/>
      <c r="N123" s="18"/>
    </row>
    <row r="124" spans="1:19" x14ac:dyDescent="0.2">
      <c r="A124" s="9"/>
      <c r="G124" s="18"/>
      <c r="N124" s="18"/>
    </row>
    <row r="125" spans="1:19" x14ac:dyDescent="0.2">
      <c r="A125" s="9"/>
      <c r="G125" s="18"/>
      <c r="N125" s="18"/>
    </row>
    <row r="126" spans="1:19" x14ac:dyDescent="0.2">
      <c r="A126" s="9"/>
    </row>
    <row r="127" spans="1:19" x14ac:dyDescent="0.2">
      <c r="A127" s="9"/>
    </row>
    <row r="128" spans="1:19" x14ac:dyDescent="0.2">
      <c r="A128" s="9"/>
    </row>
    <row r="129" spans="1:1" x14ac:dyDescent="0.2">
      <c r="A129" s="9"/>
    </row>
    <row r="130" spans="1:1" x14ac:dyDescent="0.2">
      <c r="A130" s="9"/>
    </row>
    <row r="131" spans="1:1" x14ac:dyDescent="0.2">
      <c r="A131" s="9"/>
    </row>
    <row r="132" spans="1:1" x14ac:dyDescent="0.2">
      <c r="A132" s="9"/>
    </row>
    <row r="133" spans="1:1" x14ac:dyDescent="0.2">
      <c r="A133" s="9"/>
    </row>
    <row r="134" spans="1:1" x14ac:dyDescent="0.2">
      <c r="A134" s="9"/>
    </row>
    <row r="135" spans="1:1" x14ac:dyDescent="0.2">
      <c r="A135" s="9"/>
    </row>
    <row r="136" spans="1:1" x14ac:dyDescent="0.2">
      <c r="A136" s="9"/>
    </row>
    <row r="137" spans="1:1" x14ac:dyDescent="0.2">
      <c r="A137" s="9"/>
    </row>
    <row r="138" spans="1:1" x14ac:dyDescent="0.2">
      <c r="A138" s="9"/>
    </row>
    <row r="139" spans="1:1" x14ac:dyDescent="0.2">
      <c r="A139" s="9"/>
    </row>
    <row r="140" spans="1:1" x14ac:dyDescent="0.2">
      <c r="A140" s="9"/>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AB141"/>
  <sheetViews>
    <sheetView topLeftCell="P85" workbookViewId="0">
      <selection activeCell="W3" sqref="W3:AB23"/>
    </sheetView>
  </sheetViews>
  <sheetFormatPr defaultColWidth="9.33203125" defaultRowHeight="12.75" x14ac:dyDescent="0.2"/>
  <cols>
    <col min="4" max="4" width="14.6640625" bestFit="1" customWidth="1"/>
    <col min="7" max="7" width="12.83203125" style="18" customWidth="1"/>
    <col min="9" max="9" width="11.5" customWidth="1"/>
    <col min="10" max="10" width="12.33203125" customWidth="1"/>
    <col min="12" max="12" width="14.6640625" bestFit="1" customWidth="1"/>
    <col min="13" max="14" width="12.83203125" bestFit="1" customWidth="1"/>
    <col min="15" max="15" width="14.33203125" bestFit="1" customWidth="1"/>
    <col min="16" max="17" width="12.5" customWidth="1"/>
    <col min="18" max="18" width="15.1640625" customWidth="1"/>
    <col min="19" max="19" width="14.83203125" bestFit="1" customWidth="1"/>
    <col min="20" max="20" width="13.83203125" bestFit="1" customWidth="1"/>
    <col min="23" max="23" width="13.83203125" bestFit="1" customWidth="1"/>
    <col min="24" max="24" width="14.6640625" customWidth="1"/>
    <col min="25" max="25" width="11" bestFit="1" customWidth="1"/>
    <col min="26" max="28" width="12.83203125" customWidth="1"/>
  </cols>
  <sheetData>
    <row r="1" spans="1:27" x14ac:dyDescent="0.2">
      <c r="A1" s="373" t="str">
        <f>'Monthly Data'!A1</f>
        <v>Date</v>
      </c>
      <c r="B1" s="351" t="s">
        <v>0</v>
      </c>
      <c r="C1" s="351" t="s">
        <v>28</v>
      </c>
      <c r="D1" s="374" t="str">
        <f>'Monthly Data'!J1</f>
        <v>GS_lt_50_NoCDM</v>
      </c>
      <c r="E1" s="375" t="str">
        <f>'Monthly Data'!AV1</f>
        <v>HDD14</v>
      </c>
      <c r="F1" s="375" t="str">
        <f>'Monthly Data'!AW1</f>
        <v>CDD14</v>
      </c>
      <c r="G1" s="376" t="str">
        <f>'Monthly Data'!AN1</f>
        <v>OEA_GDPChange</v>
      </c>
      <c r="H1" s="375" t="str">
        <f>'Monthly Data'!K1</f>
        <v>GS_lt_50_Customers</v>
      </c>
      <c r="I1" s="374" t="str">
        <f>'Monthly Data'!BR1</f>
        <v>Shoulder</v>
      </c>
      <c r="J1" s="375" t="str">
        <f>'Monthly Data'!BT1</f>
        <v>Month Days</v>
      </c>
      <c r="L1" s="375" t="s">
        <v>72</v>
      </c>
      <c r="M1" s="375" t="str">
        <f>E1</f>
        <v>HDD14</v>
      </c>
      <c r="N1" s="375" t="str">
        <f>F1</f>
        <v>CDD14</v>
      </c>
      <c r="O1" s="375" t="str">
        <f>G1</f>
        <v>OEA_GDPChange</v>
      </c>
      <c r="P1" s="375" t="str">
        <f t="shared" ref="P1:R1" si="0">H1</f>
        <v>GS_lt_50_Customers</v>
      </c>
      <c r="Q1" s="375" t="str">
        <f t="shared" si="0"/>
        <v>Shoulder</v>
      </c>
      <c r="R1" s="375" t="str">
        <f t="shared" si="0"/>
        <v>Month Days</v>
      </c>
      <c r="S1" s="351" t="s">
        <v>82</v>
      </c>
      <c r="T1" s="351" t="s">
        <v>83</v>
      </c>
    </row>
    <row r="2" spans="1:27" x14ac:dyDescent="0.2">
      <c r="A2" s="9">
        <f>'Monthly Data'!A2</f>
        <v>42005</v>
      </c>
      <c r="B2">
        <f t="shared" ref="B2:B59" si="1">YEAR(A2)</f>
        <v>2015</v>
      </c>
      <c r="C2">
        <f t="shared" ref="C2:C59" si="2">MONTH(A2)</f>
        <v>1</v>
      </c>
      <c r="D2" s="31">
        <f>'Monthly Data'!J2</f>
        <v>15817525.215486044</v>
      </c>
      <c r="E2" s="33">
        <f>'Monthly Data'!AV2</f>
        <v>615.5999999999998</v>
      </c>
      <c r="F2" s="33">
        <f>'Monthly Data'!AW2</f>
        <v>0</v>
      </c>
      <c r="G2" s="33">
        <f>'Monthly Data'!AN2</f>
        <v>1611</v>
      </c>
      <c r="H2" s="8">
        <f>'Monthly Data'!K2</f>
        <v>5230</v>
      </c>
      <c r="I2" s="18">
        <f>'Monthly Data'!BR2</f>
        <v>0</v>
      </c>
      <c r="J2" s="30">
        <f>'Monthly Data'!BT2</f>
        <v>31</v>
      </c>
      <c r="L2" s="18">
        <f>'GS&lt;50 Predicted Monthly'!$X$8</f>
        <v>-8314018.5106493998</v>
      </c>
      <c r="M2" s="18">
        <f>E2*'GS&lt;50 Predicted Monthly'!$X$9</f>
        <v>2900620.8622232117</v>
      </c>
      <c r="N2" s="18">
        <f>F2*'GS&lt;50 Predicted Monthly'!$X$10</f>
        <v>0</v>
      </c>
      <c r="O2" s="18">
        <f>G2*'GS&lt;50 Predicted Monthly'!$X$11</f>
        <v>11068.0225827374</v>
      </c>
      <c r="P2" s="18">
        <f>H2*'GS&lt;50 Predicted Monthly'!$X$12</f>
        <v>9708212.016523147</v>
      </c>
      <c r="Q2" s="18">
        <f>I2*'GS&lt;50 Predicted Monthly'!$X$13</f>
        <v>0</v>
      </c>
      <c r="R2" s="18">
        <f>J2*'GS&lt;50 Predicted Monthly'!$X$14</f>
        <v>11369665.795809086</v>
      </c>
      <c r="S2" s="18">
        <f t="shared" ref="S2:S5" si="3">SUM(L2:R2)</f>
        <v>15675548.186488783</v>
      </c>
      <c r="T2" s="18">
        <f t="shared" ref="T2:T5" si="4">S2-D2</f>
        <v>-141977.02899726108</v>
      </c>
      <c r="U2" s="35">
        <f t="shared" ref="U2:U5" si="5">ABS(T2/D2)</f>
        <v>8.9759318896649766E-3</v>
      </c>
    </row>
    <row r="3" spans="1:27" x14ac:dyDescent="0.2">
      <c r="A3" s="9">
        <f>'Monthly Data'!A3</f>
        <v>42036</v>
      </c>
      <c r="B3">
        <f t="shared" si="1"/>
        <v>2015</v>
      </c>
      <c r="C3">
        <f t="shared" si="2"/>
        <v>2</v>
      </c>
      <c r="D3" s="31">
        <f>'Monthly Data'!J3</f>
        <v>14777649.244217517</v>
      </c>
      <c r="E3" s="33">
        <f>'Monthly Data'!AV3</f>
        <v>703.89999999999986</v>
      </c>
      <c r="F3" s="33">
        <f>'Monthly Data'!AW3</f>
        <v>0</v>
      </c>
      <c r="G3" s="33">
        <f>'Monthly Data'!AN3</f>
        <v>1611</v>
      </c>
      <c r="H3" s="8">
        <f>'Monthly Data'!K3</f>
        <v>5234</v>
      </c>
      <c r="I3" s="18">
        <f>'Monthly Data'!BR3</f>
        <v>0</v>
      </c>
      <c r="J3" s="30">
        <f>'Monthly Data'!BT3</f>
        <v>28</v>
      </c>
      <c r="L3" s="18">
        <f>'GS&lt;50 Predicted Monthly'!$X$8</f>
        <v>-8314018.5106493998</v>
      </c>
      <c r="M3" s="18">
        <f>E3*'GS&lt;50 Predicted Monthly'!$X$9</f>
        <v>3316678.0781658851</v>
      </c>
      <c r="N3" s="18">
        <f>F3*'GS&lt;50 Predicted Monthly'!$X$10</f>
        <v>0</v>
      </c>
      <c r="O3" s="18">
        <f>G3*'GS&lt;50 Predicted Monthly'!$X$11</f>
        <v>11068.0225827374</v>
      </c>
      <c r="P3" s="18">
        <f>H3*'GS&lt;50 Predicted Monthly'!$X$12</f>
        <v>9715637.0352738351</v>
      </c>
      <c r="Q3" s="18">
        <f>I3*'GS&lt;50 Predicted Monthly'!$X$13</f>
        <v>0</v>
      </c>
      <c r="R3" s="18">
        <f>J3*'GS&lt;50 Predicted Monthly'!$X$14</f>
        <v>10269375.55750498</v>
      </c>
      <c r="S3" s="18">
        <f t="shared" si="3"/>
        <v>14998740.182878038</v>
      </c>
      <c r="T3" s="18">
        <f t="shared" si="4"/>
        <v>221090.93866052106</v>
      </c>
      <c r="U3" s="35">
        <f t="shared" si="5"/>
        <v>1.4961171090661377E-2</v>
      </c>
      <c r="W3" t="s">
        <v>526</v>
      </c>
    </row>
    <row r="4" spans="1:27" x14ac:dyDescent="0.2">
      <c r="A4" s="9">
        <f>'Monthly Data'!A4</f>
        <v>42064</v>
      </c>
      <c r="B4">
        <f t="shared" si="1"/>
        <v>2015</v>
      </c>
      <c r="C4">
        <f t="shared" si="2"/>
        <v>3</v>
      </c>
      <c r="D4" s="31">
        <f>'Monthly Data'!J4</f>
        <v>15200272.27294899</v>
      </c>
      <c r="E4" s="33">
        <f>'Monthly Data'!AV4</f>
        <v>469.99999999999994</v>
      </c>
      <c r="F4" s="33">
        <f>'Monthly Data'!AW4</f>
        <v>0</v>
      </c>
      <c r="G4" s="33">
        <f>'Monthly Data'!AN4</f>
        <v>1611</v>
      </c>
      <c r="H4" s="8">
        <f>'Monthly Data'!K4</f>
        <v>5236</v>
      </c>
      <c r="I4" s="18">
        <f>'Monthly Data'!BR4</f>
        <v>1</v>
      </c>
      <c r="J4" s="30">
        <f>'Monthly Data'!BT4</f>
        <v>31</v>
      </c>
      <c r="L4" s="18">
        <f>'GS&lt;50 Predicted Monthly'!$X$8</f>
        <v>-8314018.5106493998</v>
      </c>
      <c r="M4" s="18">
        <f>E4*'GS&lt;50 Predicted Monthly'!$X$9</f>
        <v>2214574.0825940706</v>
      </c>
      <c r="N4" s="18">
        <f>F4*'GS&lt;50 Predicted Monthly'!$X$10</f>
        <v>0</v>
      </c>
      <c r="O4" s="18">
        <f>G4*'GS&lt;50 Predicted Monthly'!$X$11</f>
        <v>11068.0225827374</v>
      </c>
      <c r="P4" s="18">
        <f>H4*'GS&lt;50 Predicted Monthly'!$X$12</f>
        <v>9719349.5446491782</v>
      </c>
      <c r="Q4" s="18">
        <f>I4*'GS&lt;50 Predicted Monthly'!$X$13</f>
        <v>-202362.33175645399</v>
      </c>
      <c r="R4" s="18">
        <f>J4*'GS&lt;50 Predicted Monthly'!$X$14</f>
        <v>11369665.795809086</v>
      </c>
      <c r="S4" s="18">
        <f t="shared" si="3"/>
        <v>14798276.603229219</v>
      </c>
      <c r="T4" s="18">
        <f t="shared" si="4"/>
        <v>-401995.66971977055</v>
      </c>
      <c r="U4" s="35">
        <f t="shared" si="5"/>
        <v>2.6446609804166341E-2</v>
      </c>
      <c r="W4" t="s">
        <v>197</v>
      </c>
    </row>
    <row r="5" spans="1:27" x14ac:dyDescent="0.2">
      <c r="A5" s="9">
        <f>'Monthly Data'!A5</f>
        <v>42095</v>
      </c>
      <c r="B5">
        <f t="shared" si="1"/>
        <v>2015</v>
      </c>
      <c r="C5">
        <f t="shared" si="2"/>
        <v>4</v>
      </c>
      <c r="D5" s="31">
        <f>'Monthly Data'!J5</f>
        <v>13384863.301680462</v>
      </c>
      <c r="E5" s="33">
        <f>'Monthly Data'!AV5</f>
        <v>203.49999999999991</v>
      </c>
      <c r="F5" s="33">
        <f>'Monthly Data'!AW5</f>
        <v>1.5999999999999996</v>
      </c>
      <c r="G5" s="33">
        <f>'Monthly Data'!AN5</f>
        <v>5139</v>
      </c>
      <c r="H5" s="8">
        <f>'Monthly Data'!K5</f>
        <v>5236</v>
      </c>
      <c r="I5" s="18">
        <f>'Monthly Data'!BR5</f>
        <v>1</v>
      </c>
      <c r="J5" s="30">
        <f>'Monthly Data'!BT5</f>
        <v>30</v>
      </c>
      <c r="L5" s="18">
        <f>'GS&lt;50 Predicted Monthly'!$X$8</f>
        <v>-8314018.5106493998</v>
      </c>
      <c r="M5" s="18">
        <f>E5*'GS&lt;50 Predicted Monthly'!$X$9</f>
        <v>958863.45916573016</v>
      </c>
      <c r="N5" s="18">
        <f>F5*'GS&lt;50 Predicted Monthly'!$X$10</f>
        <v>18486.892482791998</v>
      </c>
      <c r="O5" s="18">
        <f>G5*'GS&lt;50 Predicted Monthly'!$X$11</f>
        <v>35306.373713648354</v>
      </c>
      <c r="P5" s="18">
        <f>H5*'GS&lt;50 Predicted Monthly'!$X$12</f>
        <v>9719349.5446491782</v>
      </c>
      <c r="Q5" s="18">
        <f>I5*'GS&lt;50 Predicted Monthly'!$X$13</f>
        <v>-202362.33175645399</v>
      </c>
      <c r="R5" s="18">
        <f>J5*'GS&lt;50 Predicted Monthly'!$X$14</f>
        <v>11002902.38304105</v>
      </c>
      <c r="S5" s="18">
        <f t="shared" si="3"/>
        <v>13218527.810646545</v>
      </c>
      <c r="T5" s="18">
        <f t="shared" si="4"/>
        <v>-166335.49103391729</v>
      </c>
      <c r="U5" s="35">
        <f t="shared" si="5"/>
        <v>1.2427134090568856E-2</v>
      </c>
      <c r="W5" t="s">
        <v>527</v>
      </c>
    </row>
    <row r="6" spans="1:27" x14ac:dyDescent="0.2">
      <c r="A6" s="9">
        <f>'Monthly Data'!A6</f>
        <v>42125</v>
      </c>
      <c r="B6">
        <f t="shared" si="1"/>
        <v>2015</v>
      </c>
      <c r="C6">
        <f t="shared" si="2"/>
        <v>5</v>
      </c>
      <c r="D6" s="31">
        <f>'Monthly Data'!J6</f>
        <v>13530179.330411935</v>
      </c>
      <c r="E6" s="33">
        <f>'Monthly Data'!AV6</f>
        <v>44.20000000000001</v>
      </c>
      <c r="F6" s="33">
        <f>'Monthly Data'!AW6</f>
        <v>60.8</v>
      </c>
      <c r="G6" s="33">
        <f>'Monthly Data'!AN6</f>
        <v>5139</v>
      </c>
      <c r="H6" s="8">
        <f>'Monthly Data'!K6</f>
        <v>5250</v>
      </c>
      <c r="I6" s="18">
        <f>'Monthly Data'!BR6</f>
        <v>1</v>
      </c>
      <c r="J6" s="30">
        <f>'Monthly Data'!BT6</f>
        <v>31</v>
      </c>
      <c r="L6" s="18">
        <f>'GS&lt;50 Predicted Monthly'!$X$8</f>
        <v>-8314018.5106493998</v>
      </c>
      <c r="M6" s="18">
        <f>E6*'GS&lt;50 Predicted Monthly'!$X$9</f>
        <v>208264.20095884669</v>
      </c>
      <c r="N6" s="18">
        <f>F6*'GS&lt;50 Predicted Monthly'!$X$10</f>
        <v>702501.91434609599</v>
      </c>
      <c r="O6" s="18">
        <f>G6*'GS&lt;50 Predicted Monthly'!$X$11</f>
        <v>35306.373713648354</v>
      </c>
      <c r="P6" s="18">
        <f>H6*'GS&lt;50 Predicted Monthly'!$X$12</f>
        <v>9745337.1102765817</v>
      </c>
      <c r="Q6" s="18">
        <f>I6*'GS&lt;50 Predicted Monthly'!$X$13</f>
        <v>-202362.33175645399</v>
      </c>
      <c r="R6" s="18">
        <f>J6*'GS&lt;50 Predicted Monthly'!$X$14</f>
        <v>11369665.795809086</v>
      </c>
      <c r="S6" s="18">
        <f t="shared" ref="S6:S37" si="6">SUM(L6:R6)</f>
        <v>13544694.552698405</v>
      </c>
      <c r="T6" s="18">
        <f t="shared" ref="T6:T37" si="7">S6-D6</f>
        <v>14515.222286470234</v>
      </c>
      <c r="U6" s="35">
        <f t="shared" ref="U6:U37" si="8">ABS(T6/D6)</f>
        <v>1.0728033924756789E-3</v>
      </c>
    </row>
    <row r="7" spans="1:27" x14ac:dyDescent="0.2">
      <c r="A7" s="9">
        <f>'Monthly Data'!A7</f>
        <v>42156</v>
      </c>
      <c r="B7">
        <f t="shared" si="1"/>
        <v>2015</v>
      </c>
      <c r="C7">
        <f t="shared" si="2"/>
        <v>6</v>
      </c>
      <c r="D7" s="31">
        <f>'Monthly Data'!J7</f>
        <v>13858885.359143406</v>
      </c>
      <c r="E7" s="33">
        <f>'Monthly Data'!AV7</f>
        <v>11.4</v>
      </c>
      <c r="F7" s="33">
        <f>'Monthly Data'!AW7</f>
        <v>98.000000000000028</v>
      </c>
      <c r="G7" s="33">
        <f>'Monthly Data'!AN7</f>
        <v>5139</v>
      </c>
      <c r="H7" s="8">
        <f>'Monthly Data'!K7</f>
        <v>5241</v>
      </c>
      <c r="I7" s="18">
        <f>'Monthly Data'!BR7</f>
        <v>0</v>
      </c>
      <c r="J7" s="30">
        <f>'Monthly Data'!BT7</f>
        <v>30</v>
      </c>
      <c r="L7" s="18">
        <f>'GS&lt;50 Predicted Monthly'!$X$8</f>
        <v>-8314018.5106493998</v>
      </c>
      <c r="M7" s="18">
        <f>E7*'GS&lt;50 Predicted Monthly'!$X$9</f>
        <v>53715.201152281712</v>
      </c>
      <c r="N7" s="18">
        <f>F7*'GS&lt;50 Predicted Monthly'!$X$10</f>
        <v>1132322.1645710105</v>
      </c>
      <c r="O7" s="18">
        <f>G7*'GS&lt;50 Predicted Monthly'!$X$11</f>
        <v>35306.373713648354</v>
      </c>
      <c r="P7" s="18">
        <f>H7*'GS&lt;50 Predicted Monthly'!$X$12</f>
        <v>9728630.8180875368</v>
      </c>
      <c r="Q7" s="18">
        <f>I7*'GS&lt;50 Predicted Monthly'!$X$13</f>
        <v>0</v>
      </c>
      <c r="R7" s="18">
        <f>J7*'GS&lt;50 Predicted Monthly'!$X$14</f>
        <v>11002902.38304105</v>
      </c>
      <c r="S7" s="18">
        <f t="shared" si="6"/>
        <v>13638858.429916129</v>
      </c>
      <c r="T7" s="18">
        <f t="shared" si="7"/>
        <v>-220026.92922727764</v>
      </c>
      <c r="U7" s="35">
        <f t="shared" si="8"/>
        <v>1.5876235608090573E-2</v>
      </c>
      <c r="X7" t="s">
        <v>68</v>
      </c>
      <c r="Y7" t="s">
        <v>69</v>
      </c>
      <c r="Z7" t="s">
        <v>70</v>
      </c>
      <c r="AA7" t="s">
        <v>71</v>
      </c>
    </row>
    <row r="8" spans="1:27" x14ac:dyDescent="0.2">
      <c r="A8" s="9">
        <f>'Monthly Data'!A8</f>
        <v>42186</v>
      </c>
      <c r="B8">
        <f t="shared" si="1"/>
        <v>2015</v>
      </c>
      <c r="C8">
        <f t="shared" si="2"/>
        <v>7</v>
      </c>
      <c r="D8" s="31">
        <f>'Monthly Data'!J8</f>
        <v>15331961.387874879</v>
      </c>
      <c r="E8" s="33">
        <f>'Monthly Data'!AV8</f>
        <v>0</v>
      </c>
      <c r="F8" s="33">
        <f>'Monthly Data'!AW8</f>
        <v>244.9</v>
      </c>
      <c r="G8" s="33">
        <f>'Monthly Data'!AN8</f>
        <v>6615</v>
      </c>
      <c r="H8" s="8">
        <f>'Monthly Data'!K8</f>
        <v>5240</v>
      </c>
      <c r="I8" s="18">
        <f>'Monthly Data'!BR8</f>
        <v>0</v>
      </c>
      <c r="J8" s="30">
        <f>'Monthly Data'!BT8</f>
        <v>31</v>
      </c>
      <c r="L8" s="18">
        <f>'GS&lt;50 Predicted Monthly'!$X$8</f>
        <v>-8314018.5106493998</v>
      </c>
      <c r="M8" s="18">
        <f>E8*'GS&lt;50 Predicted Monthly'!$X$9</f>
        <v>0</v>
      </c>
      <c r="N8" s="18">
        <f>F8*'GS&lt;50 Predicted Monthly'!$X$10</f>
        <v>2829649.9806473507</v>
      </c>
      <c r="O8" s="18">
        <f>G8*'GS&lt;50 Predicted Monthly'!$X$11</f>
        <v>45446.908370458041</v>
      </c>
      <c r="P8" s="18">
        <f>H8*'GS&lt;50 Predicted Monthly'!$X$12</f>
        <v>9726774.5633998644</v>
      </c>
      <c r="Q8" s="18">
        <f>I8*'GS&lt;50 Predicted Monthly'!$X$13</f>
        <v>0</v>
      </c>
      <c r="R8" s="18">
        <f>J8*'GS&lt;50 Predicted Monthly'!$X$14</f>
        <v>11369665.795809086</v>
      </c>
      <c r="S8" s="18">
        <f t="shared" si="6"/>
        <v>15657518.73757736</v>
      </c>
      <c r="T8" s="18">
        <f t="shared" si="7"/>
        <v>325557.34970248118</v>
      </c>
      <c r="U8" s="35">
        <f t="shared" si="8"/>
        <v>2.1233900964552702E-2</v>
      </c>
      <c r="W8" t="s">
        <v>72</v>
      </c>
      <c r="X8" s="20">
        <v>-8314018.5106493998</v>
      </c>
      <c r="Y8" s="20">
        <v>4966639.2807478197</v>
      </c>
      <c r="Z8" s="464">
        <v>-1.6739726887106601</v>
      </c>
      <c r="AA8" s="465">
        <v>9.6901820907976305E-2</v>
      </c>
    </row>
    <row r="9" spans="1:27" x14ac:dyDescent="0.2">
      <c r="A9" s="9">
        <f>'Monthly Data'!A9</f>
        <v>42217</v>
      </c>
      <c r="B9">
        <f t="shared" si="1"/>
        <v>2015</v>
      </c>
      <c r="C9">
        <f t="shared" si="2"/>
        <v>8</v>
      </c>
      <c r="D9" s="31">
        <f>'Monthly Data'!J9</f>
        <v>15575294.416606352</v>
      </c>
      <c r="E9" s="33">
        <f>'Monthly Data'!AV9</f>
        <v>0</v>
      </c>
      <c r="F9" s="33">
        <f>'Monthly Data'!AW9</f>
        <v>210.70000000000002</v>
      </c>
      <c r="G9" s="33">
        <f>'Monthly Data'!AN9</f>
        <v>6615</v>
      </c>
      <c r="H9" s="8">
        <f>'Monthly Data'!K9</f>
        <v>5244</v>
      </c>
      <c r="I9" s="18">
        <f>'Monthly Data'!BR9</f>
        <v>0</v>
      </c>
      <c r="J9" s="30">
        <f>'Monthly Data'!BT9</f>
        <v>31</v>
      </c>
      <c r="L9" s="18">
        <f>'GS&lt;50 Predicted Monthly'!$X$8</f>
        <v>-8314018.5106493998</v>
      </c>
      <c r="M9" s="18">
        <f>E9*'GS&lt;50 Predicted Monthly'!$X$9</f>
        <v>0</v>
      </c>
      <c r="N9" s="18">
        <f>F9*'GS&lt;50 Predicted Monthly'!$X$10</f>
        <v>2434492.6538276719</v>
      </c>
      <c r="O9" s="18">
        <f>G9*'GS&lt;50 Predicted Monthly'!$X$11</f>
        <v>45446.908370458041</v>
      </c>
      <c r="P9" s="18">
        <f>H9*'GS&lt;50 Predicted Monthly'!$X$12</f>
        <v>9734199.5821505524</v>
      </c>
      <c r="Q9" s="18">
        <f>I9*'GS&lt;50 Predicted Monthly'!$X$13</f>
        <v>0</v>
      </c>
      <c r="R9" s="18">
        <f>J9*'GS&lt;50 Predicted Monthly'!$X$14</f>
        <v>11369665.795809086</v>
      </c>
      <c r="S9" s="18">
        <f t="shared" si="6"/>
        <v>15269786.429508369</v>
      </c>
      <c r="T9" s="18">
        <f t="shared" si="7"/>
        <v>-305507.98709798232</v>
      </c>
      <c r="U9" s="35">
        <f t="shared" si="8"/>
        <v>1.9614909286867172E-2</v>
      </c>
      <c r="W9" t="s">
        <v>35</v>
      </c>
      <c r="X9" s="20">
        <v>4711.8597502001503</v>
      </c>
      <c r="Y9" s="20">
        <v>342.41698631068499</v>
      </c>
      <c r="Z9" s="464">
        <v>13.7605899782231</v>
      </c>
      <c r="AA9" s="465">
        <v>6.6625766917351003E-26</v>
      </c>
    </row>
    <row r="10" spans="1:27" x14ac:dyDescent="0.2">
      <c r="A10" s="9">
        <f>'Monthly Data'!A10</f>
        <v>42248</v>
      </c>
      <c r="B10">
        <f t="shared" si="1"/>
        <v>2015</v>
      </c>
      <c r="C10">
        <f t="shared" si="2"/>
        <v>9</v>
      </c>
      <c r="D10" s="31">
        <f>'Monthly Data'!J10</f>
        <v>14205506.445337825</v>
      </c>
      <c r="E10" s="33">
        <f>'Monthly Data'!AV10</f>
        <v>9.9999999999999645E-2</v>
      </c>
      <c r="F10" s="33">
        <f>'Monthly Data'!AW10</f>
        <v>181</v>
      </c>
      <c r="G10" s="33">
        <f>'Monthly Data'!AN10</f>
        <v>6615</v>
      </c>
      <c r="H10" s="8">
        <f>'Monthly Data'!K10</f>
        <v>5237</v>
      </c>
      <c r="I10" s="18">
        <f>'Monthly Data'!BR10</f>
        <v>1</v>
      </c>
      <c r="J10" s="30">
        <f>'Monthly Data'!BT10</f>
        <v>30</v>
      </c>
      <c r="L10" s="18">
        <f>'GS&lt;50 Predicted Monthly'!$X$8</f>
        <v>-8314018.5106493998</v>
      </c>
      <c r="M10" s="18">
        <f>E10*'GS&lt;50 Predicted Monthly'!$X$9</f>
        <v>471.18597502001336</v>
      </c>
      <c r="N10" s="18">
        <f>F10*'GS&lt;50 Predicted Monthly'!$X$10</f>
        <v>2091329.7121158452</v>
      </c>
      <c r="O10" s="18">
        <f>G10*'GS&lt;50 Predicted Monthly'!$X$11</f>
        <v>45446.908370458041</v>
      </c>
      <c r="P10" s="18">
        <f>H10*'GS&lt;50 Predicted Monthly'!$X$12</f>
        <v>9721205.7993368488</v>
      </c>
      <c r="Q10" s="18">
        <f>I10*'GS&lt;50 Predicted Monthly'!$X$13</f>
        <v>-202362.33175645399</v>
      </c>
      <c r="R10" s="18">
        <f>J10*'GS&lt;50 Predicted Monthly'!$X$14</f>
        <v>11002902.38304105</v>
      </c>
      <c r="S10" s="18">
        <f t="shared" si="6"/>
        <v>14344975.146433368</v>
      </c>
      <c r="T10" s="18">
        <f t="shared" si="7"/>
        <v>139468.7010955438</v>
      </c>
      <c r="U10" s="35">
        <f t="shared" si="8"/>
        <v>9.8179323371689244E-3</v>
      </c>
      <c r="W10" t="s">
        <v>36</v>
      </c>
      <c r="X10" s="20">
        <v>11554.307801745001</v>
      </c>
      <c r="Y10" s="20">
        <v>655.12500192580706</v>
      </c>
      <c r="Z10" s="464">
        <v>17.636798729677398</v>
      </c>
      <c r="AA10" s="465">
        <v>3.08924660550348E-34</v>
      </c>
    </row>
    <row r="11" spans="1:27" x14ac:dyDescent="0.2">
      <c r="A11" s="9">
        <f>'Monthly Data'!A11</f>
        <v>42278</v>
      </c>
      <c r="B11">
        <f t="shared" si="1"/>
        <v>2015</v>
      </c>
      <c r="C11">
        <f t="shared" si="2"/>
        <v>10</v>
      </c>
      <c r="D11" s="31">
        <f>'Monthly Data'!J11</f>
        <v>13170519.474069297</v>
      </c>
      <c r="E11" s="33">
        <f>'Monthly Data'!AV11</f>
        <v>89.2</v>
      </c>
      <c r="F11" s="33">
        <f>'Monthly Data'!AW11</f>
        <v>14.399999999999997</v>
      </c>
      <c r="G11" s="33">
        <f>'Monthly Data'!AN11</f>
        <v>7443</v>
      </c>
      <c r="H11" s="8">
        <f>'Monthly Data'!K11</f>
        <v>5242</v>
      </c>
      <c r="I11" s="18">
        <f>'Monthly Data'!BR11</f>
        <v>1</v>
      </c>
      <c r="J11" s="30">
        <f>'Monthly Data'!BT11</f>
        <v>31</v>
      </c>
      <c r="L11" s="18">
        <f>'GS&lt;50 Predicted Monthly'!$X$8</f>
        <v>-8314018.5106493998</v>
      </c>
      <c r="M11" s="18">
        <f>E11*'GS&lt;50 Predicted Monthly'!$X$9</f>
        <v>420297.8897178534</v>
      </c>
      <c r="N11" s="18">
        <f>F11*'GS&lt;50 Predicted Monthly'!$X$10</f>
        <v>166382.03234512798</v>
      </c>
      <c r="O11" s="18">
        <f>G11*'GS&lt;50 Predicted Monthly'!$X$11</f>
        <v>51135.500982814694</v>
      </c>
      <c r="P11" s="18">
        <f>H11*'GS&lt;50 Predicted Monthly'!$X$12</f>
        <v>9730487.0727752075</v>
      </c>
      <c r="Q11" s="18">
        <f>I11*'GS&lt;50 Predicted Monthly'!$X$13</f>
        <v>-202362.33175645399</v>
      </c>
      <c r="R11" s="18">
        <f>J11*'GS&lt;50 Predicted Monthly'!$X$14</f>
        <v>11369665.795809086</v>
      </c>
      <c r="S11" s="18">
        <f t="shared" si="6"/>
        <v>13221587.449224237</v>
      </c>
      <c r="T11" s="18">
        <f t="shared" si="7"/>
        <v>51067.975154940039</v>
      </c>
      <c r="U11" s="35">
        <f t="shared" si="8"/>
        <v>3.8774457799849835E-3</v>
      </c>
      <c r="W11" t="s">
        <v>469</v>
      </c>
      <c r="X11" s="20">
        <v>6.8702809327978898</v>
      </c>
      <c r="Y11" s="20">
        <v>1.9855369492197099</v>
      </c>
      <c r="Z11" s="464">
        <v>3.4601627209696701</v>
      </c>
      <c r="AA11" s="465">
        <v>7.6258699349288203E-4</v>
      </c>
    </row>
    <row r="12" spans="1:27" x14ac:dyDescent="0.2">
      <c r="A12" s="9">
        <f>'Monthly Data'!A12</f>
        <v>42309</v>
      </c>
      <c r="B12">
        <f t="shared" si="1"/>
        <v>2015</v>
      </c>
      <c r="C12">
        <f t="shared" si="2"/>
        <v>11</v>
      </c>
      <c r="D12" s="31">
        <f>'Monthly Data'!J12</f>
        <v>13225827.50280077</v>
      </c>
      <c r="E12" s="33">
        <f>'Monthly Data'!AV12</f>
        <v>185.10000000000002</v>
      </c>
      <c r="F12" s="33">
        <f>'Monthly Data'!AW12</f>
        <v>4.0000000000000018</v>
      </c>
      <c r="G12" s="33">
        <f>'Monthly Data'!AN12</f>
        <v>7443</v>
      </c>
      <c r="H12" s="8">
        <f>'Monthly Data'!K12</f>
        <v>5234</v>
      </c>
      <c r="I12" s="18">
        <f>'Monthly Data'!BR12</f>
        <v>1</v>
      </c>
      <c r="J12" s="30">
        <f>'Monthly Data'!BT12</f>
        <v>30</v>
      </c>
      <c r="L12" s="18">
        <f>'GS&lt;50 Predicted Monthly'!$X$8</f>
        <v>-8314018.5106493998</v>
      </c>
      <c r="M12" s="18">
        <f>E12*'GS&lt;50 Predicted Monthly'!$X$9</f>
        <v>872165.23976204789</v>
      </c>
      <c r="N12" s="18">
        <f>F12*'GS&lt;50 Predicted Monthly'!$X$10</f>
        <v>46217.231206980025</v>
      </c>
      <c r="O12" s="18">
        <f>G12*'GS&lt;50 Predicted Monthly'!$X$11</f>
        <v>51135.500982814694</v>
      </c>
      <c r="P12" s="18">
        <f>H12*'GS&lt;50 Predicted Monthly'!$X$12</f>
        <v>9715637.0352738351</v>
      </c>
      <c r="Q12" s="18">
        <f>I12*'GS&lt;50 Predicted Monthly'!$X$13</f>
        <v>-202362.33175645399</v>
      </c>
      <c r="R12" s="18">
        <f>J12*'GS&lt;50 Predicted Monthly'!$X$14</f>
        <v>11002902.38304105</v>
      </c>
      <c r="S12" s="18">
        <f t="shared" si="6"/>
        <v>13171676.547860874</v>
      </c>
      <c r="T12" s="18">
        <f t="shared" si="7"/>
        <v>-54150.954939896241</v>
      </c>
      <c r="U12" s="35">
        <f t="shared" si="8"/>
        <v>4.0943339786057966E-3</v>
      </c>
      <c r="W12" t="s">
        <v>199</v>
      </c>
      <c r="X12" s="20">
        <v>1856.2546876717299</v>
      </c>
      <c r="Y12" s="20">
        <v>889.07934983680195</v>
      </c>
      <c r="Z12" s="464">
        <v>2.0878391653258599</v>
      </c>
      <c r="AA12" s="465">
        <v>3.9059611828097397E-2</v>
      </c>
    </row>
    <row r="13" spans="1:27" x14ac:dyDescent="0.2">
      <c r="A13" s="9">
        <f>'Monthly Data'!A13</f>
        <v>42339</v>
      </c>
      <c r="B13">
        <f t="shared" si="1"/>
        <v>2015</v>
      </c>
      <c r="C13">
        <f t="shared" si="2"/>
        <v>12</v>
      </c>
      <c r="D13" s="31">
        <f>'Monthly Data'!J13</f>
        <v>14139805.531532243</v>
      </c>
      <c r="E13" s="33">
        <f>'Monthly Data'!AV13</f>
        <v>270.5</v>
      </c>
      <c r="F13" s="33">
        <f>'Monthly Data'!AW13</f>
        <v>0</v>
      </c>
      <c r="G13" s="33">
        <f>'Monthly Data'!AN13</f>
        <v>7443</v>
      </c>
      <c r="H13" s="8">
        <f>'Monthly Data'!K13</f>
        <v>5238</v>
      </c>
      <c r="I13" s="18">
        <f>'Monthly Data'!BR13</f>
        <v>0</v>
      </c>
      <c r="J13" s="30">
        <f>'Monthly Data'!BT13</f>
        <v>31</v>
      </c>
      <c r="L13" s="18">
        <f>'GS&lt;50 Predicted Monthly'!$X$8</f>
        <v>-8314018.5106493998</v>
      </c>
      <c r="M13" s="18">
        <f>E13*'GS&lt;50 Predicted Monthly'!$X$9</f>
        <v>1274558.0624291406</v>
      </c>
      <c r="N13" s="18">
        <f>F13*'GS&lt;50 Predicted Monthly'!$X$10</f>
        <v>0</v>
      </c>
      <c r="O13" s="18">
        <f>G13*'GS&lt;50 Predicted Monthly'!$X$11</f>
        <v>51135.500982814694</v>
      </c>
      <c r="P13" s="18">
        <f>H13*'GS&lt;50 Predicted Monthly'!$X$12</f>
        <v>9723062.0540245213</v>
      </c>
      <c r="Q13" s="18">
        <f>I13*'GS&lt;50 Predicted Monthly'!$X$13</f>
        <v>0</v>
      </c>
      <c r="R13" s="18">
        <f>J13*'GS&lt;50 Predicted Monthly'!$X$14</f>
        <v>11369665.795809086</v>
      </c>
      <c r="S13" s="18">
        <f t="shared" si="6"/>
        <v>14104402.902596163</v>
      </c>
      <c r="T13" s="18">
        <f t="shared" si="7"/>
        <v>-35402.628936080262</v>
      </c>
      <c r="U13" s="35">
        <f t="shared" si="8"/>
        <v>2.5037564241694277E-3</v>
      </c>
      <c r="W13" t="s">
        <v>64</v>
      </c>
      <c r="X13" s="20">
        <v>-202362.33175645399</v>
      </c>
      <c r="Y13" s="20">
        <v>75239.412684617899</v>
      </c>
      <c r="Z13" s="464">
        <v>-2.6895788329010402</v>
      </c>
      <c r="AA13" s="465">
        <v>8.2382918213317804E-3</v>
      </c>
    </row>
    <row r="14" spans="1:27" x14ac:dyDescent="0.2">
      <c r="A14" s="9">
        <f>'Monthly Data'!A14</f>
        <v>42370</v>
      </c>
      <c r="B14">
        <f t="shared" si="1"/>
        <v>2016</v>
      </c>
      <c r="C14">
        <f t="shared" si="2"/>
        <v>1</v>
      </c>
      <c r="D14" s="31">
        <f>'Monthly Data'!J14</f>
        <v>15123271.889639981</v>
      </c>
      <c r="E14" s="33">
        <f>'Monthly Data'!AV14</f>
        <v>501</v>
      </c>
      <c r="F14" s="33">
        <f>'Monthly Data'!AW14</f>
        <v>0</v>
      </c>
      <c r="G14" s="33">
        <f>'Monthly Data'!AN14</f>
        <v>5503</v>
      </c>
      <c r="H14" s="8">
        <f>'Monthly Data'!K14</f>
        <v>5246</v>
      </c>
      <c r="I14" s="18">
        <f>'Monthly Data'!BR14</f>
        <v>0</v>
      </c>
      <c r="J14" s="30">
        <f>'Monthly Data'!BT14</f>
        <v>31</v>
      </c>
      <c r="L14" s="18">
        <f>'GS&lt;50 Predicted Monthly'!$X$8</f>
        <v>-8314018.5106493998</v>
      </c>
      <c r="M14" s="18">
        <f>E14*'GS&lt;50 Predicted Monthly'!$X$9</f>
        <v>2360641.7348502753</v>
      </c>
      <c r="N14" s="18">
        <f>F14*'GS&lt;50 Predicted Monthly'!$X$10</f>
        <v>0</v>
      </c>
      <c r="O14" s="18">
        <f>G14*'GS&lt;50 Predicted Monthly'!$X$11</f>
        <v>37807.155973186789</v>
      </c>
      <c r="P14" s="18">
        <f>H14*'GS&lt;50 Predicted Monthly'!$X$12</f>
        <v>9737912.0915258955</v>
      </c>
      <c r="Q14" s="18">
        <f>I14*'GS&lt;50 Predicted Monthly'!$X$13</f>
        <v>0</v>
      </c>
      <c r="R14" s="18">
        <f>J14*'GS&lt;50 Predicted Monthly'!$X$14</f>
        <v>11369665.795809086</v>
      </c>
      <c r="S14" s="18">
        <f t="shared" si="6"/>
        <v>15192008.267509043</v>
      </c>
      <c r="T14" s="18">
        <f t="shared" si="7"/>
        <v>68736.377869062126</v>
      </c>
      <c r="U14" s="35">
        <f t="shared" si="8"/>
        <v>4.5450732070848486E-3</v>
      </c>
      <c r="W14" t="s">
        <v>196</v>
      </c>
      <c r="X14" s="20">
        <v>366763.41276803502</v>
      </c>
      <c r="Y14" s="20">
        <v>26496.651833865399</v>
      </c>
      <c r="Z14" s="464">
        <v>13.8418776480761</v>
      </c>
      <c r="AA14" s="465">
        <v>4.3782064755045801E-26</v>
      </c>
    </row>
    <row r="15" spans="1:27" x14ac:dyDescent="0.2">
      <c r="A15" s="9">
        <f>'Monthly Data'!A15</f>
        <v>42401</v>
      </c>
      <c r="B15">
        <f t="shared" si="1"/>
        <v>2016</v>
      </c>
      <c r="C15">
        <f t="shared" si="2"/>
        <v>2</v>
      </c>
      <c r="D15" s="31">
        <f>'Monthly Data'!J15</f>
        <v>14350816.425124092</v>
      </c>
      <c r="E15" s="33">
        <f>'Monthly Data'!AV15</f>
        <v>428.29999999999995</v>
      </c>
      <c r="F15" s="33">
        <f>'Monthly Data'!AW15</f>
        <v>0</v>
      </c>
      <c r="G15" s="33">
        <f>'Monthly Data'!AN15</f>
        <v>5503</v>
      </c>
      <c r="H15" s="8">
        <f>'Monthly Data'!K15</f>
        <v>5267</v>
      </c>
      <c r="I15" s="18">
        <f>'Monthly Data'!BR15</f>
        <v>0</v>
      </c>
      <c r="J15" s="30">
        <f>'Monthly Data'!BT15</f>
        <v>29</v>
      </c>
      <c r="L15" s="18">
        <f>'GS&lt;50 Predicted Monthly'!$X$8</f>
        <v>-8314018.5106493998</v>
      </c>
      <c r="M15" s="18">
        <f>E15*'GS&lt;50 Predicted Monthly'!$X$9</f>
        <v>2018089.5310107241</v>
      </c>
      <c r="N15" s="18">
        <f>F15*'GS&lt;50 Predicted Monthly'!$X$10</f>
        <v>0</v>
      </c>
      <c r="O15" s="18">
        <f>G15*'GS&lt;50 Predicted Monthly'!$X$11</f>
        <v>37807.155973186789</v>
      </c>
      <c r="P15" s="18">
        <f>H15*'GS&lt;50 Predicted Monthly'!$X$12</f>
        <v>9776893.4399670009</v>
      </c>
      <c r="Q15" s="18">
        <f>I15*'GS&lt;50 Predicted Monthly'!$X$13</f>
        <v>0</v>
      </c>
      <c r="R15" s="18">
        <f>J15*'GS&lt;50 Predicted Monthly'!$X$14</f>
        <v>10636138.970273016</v>
      </c>
      <c r="S15" s="18">
        <f t="shared" si="6"/>
        <v>14154910.586574528</v>
      </c>
      <c r="T15" s="18">
        <f t="shared" si="7"/>
        <v>-195905.83854956366</v>
      </c>
      <c r="U15" s="35">
        <f t="shared" si="8"/>
        <v>1.3651198144141103E-2</v>
      </c>
    </row>
    <row r="16" spans="1:27" x14ac:dyDescent="0.2">
      <c r="A16" s="9">
        <f>'Monthly Data'!A16</f>
        <v>42430</v>
      </c>
      <c r="B16">
        <f t="shared" si="1"/>
        <v>2016</v>
      </c>
      <c r="C16">
        <f t="shared" si="2"/>
        <v>3</v>
      </c>
      <c r="D16" s="31">
        <f>'Monthly Data'!J16</f>
        <v>14493124.960608203</v>
      </c>
      <c r="E16" s="33">
        <f>'Monthly Data'!AV16</f>
        <v>327.2</v>
      </c>
      <c r="F16" s="33">
        <f>'Monthly Data'!AW16</f>
        <v>0</v>
      </c>
      <c r="G16" s="33">
        <f>'Monthly Data'!AN16</f>
        <v>5503</v>
      </c>
      <c r="H16" s="8">
        <f>'Monthly Data'!K16</f>
        <v>5268</v>
      </c>
      <c r="I16" s="18">
        <f>'Monthly Data'!BR16</f>
        <v>1</v>
      </c>
      <c r="J16" s="30">
        <f>'Monthly Data'!BT16</f>
        <v>31</v>
      </c>
      <c r="L16" s="18">
        <f>'GS&lt;50 Predicted Monthly'!$X$8</f>
        <v>-8314018.5106493998</v>
      </c>
      <c r="M16" s="18">
        <f>E16*'GS&lt;50 Predicted Monthly'!$X$9</f>
        <v>1541720.5102654891</v>
      </c>
      <c r="N16" s="18">
        <f>F16*'GS&lt;50 Predicted Monthly'!$X$10</f>
        <v>0</v>
      </c>
      <c r="O16" s="18">
        <f>G16*'GS&lt;50 Predicted Monthly'!$X$11</f>
        <v>37807.155973186789</v>
      </c>
      <c r="P16" s="18">
        <f>H16*'GS&lt;50 Predicted Monthly'!$X$12</f>
        <v>9778749.6946546733</v>
      </c>
      <c r="Q16" s="18">
        <f>I16*'GS&lt;50 Predicted Monthly'!$X$13</f>
        <v>-202362.33175645399</v>
      </c>
      <c r="R16" s="18">
        <f>J16*'GS&lt;50 Predicted Monthly'!$X$14</f>
        <v>11369665.795809086</v>
      </c>
      <c r="S16" s="18">
        <f t="shared" si="6"/>
        <v>14211562.314296581</v>
      </c>
      <c r="T16" s="18">
        <f t="shared" si="7"/>
        <v>-281562.64631162211</v>
      </c>
      <c r="U16" s="35">
        <f t="shared" si="8"/>
        <v>1.9427324823107463E-2</v>
      </c>
      <c r="W16" t="s">
        <v>165</v>
      </c>
    </row>
    <row r="17" spans="1:26" x14ac:dyDescent="0.2">
      <c r="A17" s="9">
        <f>'Monthly Data'!A17</f>
        <v>42461</v>
      </c>
      <c r="B17">
        <f t="shared" si="1"/>
        <v>2016</v>
      </c>
      <c r="C17">
        <f t="shared" si="2"/>
        <v>4</v>
      </c>
      <c r="D17" s="31">
        <f>'Monthly Data'!J17</f>
        <v>13407795.496092316</v>
      </c>
      <c r="E17" s="33">
        <f>'Monthly Data'!AV17</f>
        <v>273.7999999999999</v>
      </c>
      <c r="F17" s="33">
        <f>'Monthly Data'!AW17</f>
        <v>2.8000000000000007</v>
      </c>
      <c r="G17" s="33">
        <f>'Monthly Data'!AN17</f>
        <v>-2655</v>
      </c>
      <c r="H17" s="8">
        <f>'Monthly Data'!K17</f>
        <v>5267</v>
      </c>
      <c r="I17" s="18">
        <f>'Monthly Data'!BR17</f>
        <v>1</v>
      </c>
      <c r="J17" s="30">
        <f>'Monthly Data'!BT17</f>
        <v>30</v>
      </c>
      <c r="L17" s="18">
        <f>'GS&lt;50 Predicted Monthly'!$X$8</f>
        <v>-8314018.5106493998</v>
      </c>
      <c r="M17" s="18">
        <f>E17*'GS&lt;50 Predicted Monthly'!$X$9</f>
        <v>1290107.1996048007</v>
      </c>
      <c r="N17" s="18">
        <f>F17*'GS&lt;50 Predicted Monthly'!$X$10</f>
        <v>32352.061844886011</v>
      </c>
      <c r="O17" s="18">
        <f>G17*'GS&lt;50 Predicted Monthly'!$X$11</f>
        <v>-18240.595876578398</v>
      </c>
      <c r="P17" s="18">
        <f>H17*'GS&lt;50 Predicted Monthly'!$X$12</f>
        <v>9776893.4399670009</v>
      </c>
      <c r="Q17" s="18">
        <f>I17*'GS&lt;50 Predicted Monthly'!$X$13</f>
        <v>-202362.33175645399</v>
      </c>
      <c r="R17" s="18">
        <f>J17*'GS&lt;50 Predicted Monthly'!$X$14</f>
        <v>11002902.38304105</v>
      </c>
      <c r="S17" s="18">
        <f t="shared" si="6"/>
        <v>13567633.646175306</v>
      </c>
      <c r="T17" s="18">
        <f t="shared" si="7"/>
        <v>159838.15008299053</v>
      </c>
      <c r="U17" s="35">
        <f t="shared" si="8"/>
        <v>1.1921284906946496E-2</v>
      </c>
      <c r="W17" t="s">
        <v>75</v>
      </c>
      <c r="X17" s="467">
        <v>13750931747338.5</v>
      </c>
      <c r="Y17" t="s">
        <v>76</v>
      </c>
      <c r="Z17" s="464">
        <v>348840.452758667</v>
      </c>
    </row>
    <row r="18" spans="1:26" x14ac:dyDescent="0.2">
      <c r="A18" s="9">
        <f>'Monthly Data'!A18</f>
        <v>42491</v>
      </c>
      <c r="B18">
        <f t="shared" si="1"/>
        <v>2016</v>
      </c>
      <c r="C18">
        <f t="shared" si="2"/>
        <v>5</v>
      </c>
      <c r="D18" s="31">
        <f>'Monthly Data'!J18</f>
        <v>13731027.031576427</v>
      </c>
      <c r="E18" s="33">
        <f>'Monthly Data'!AV18</f>
        <v>74.600000000000009</v>
      </c>
      <c r="F18" s="33">
        <f>'Monthly Data'!AW18</f>
        <v>70.599999999999994</v>
      </c>
      <c r="G18" s="33">
        <f>'Monthly Data'!AN18</f>
        <v>-2655</v>
      </c>
      <c r="H18" s="8">
        <f>'Monthly Data'!K18</f>
        <v>5294</v>
      </c>
      <c r="I18" s="18">
        <f>'Monthly Data'!BR18</f>
        <v>1</v>
      </c>
      <c r="J18" s="30">
        <f>'Monthly Data'!BT18</f>
        <v>31</v>
      </c>
      <c r="L18" s="18">
        <f>'GS&lt;50 Predicted Monthly'!$X$8</f>
        <v>-8314018.5106493998</v>
      </c>
      <c r="M18" s="18">
        <f>E18*'GS&lt;50 Predicted Monthly'!$X$9</f>
        <v>351504.73736493126</v>
      </c>
      <c r="N18" s="18">
        <f>F18*'GS&lt;50 Predicted Monthly'!$X$10</f>
        <v>815734.13080319704</v>
      </c>
      <c r="O18" s="18">
        <f>G18*'GS&lt;50 Predicted Monthly'!$X$11</f>
        <v>-18240.595876578398</v>
      </c>
      <c r="P18" s="18">
        <f>H18*'GS&lt;50 Predicted Monthly'!$X$12</f>
        <v>9827012.3165341374</v>
      </c>
      <c r="Q18" s="18">
        <f>I18*'GS&lt;50 Predicted Monthly'!$X$13</f>
        <v>-202362.33175645399</v>
      </c>
      <c r="R18" s="18">
        <f>J18*'GS&lt;50 Predicted Monthly'!$X$14</f>
        <v>11369665.795809086</v>
      </c>
      <c r="S18" s="18">
        <f t="shared" si="6"/>
        <v>13829295.542228919</v>
      </c>
      <c r="T18" s="18">
        <f t="shared" si="7"/>
        <v>98268.510652491823</v>
      </c>
      <c r="U18" s="35">
        <f t="shared" si="8"/>
        <v>7.1566759301041043E-3</v>
      </c>
      <c r="W18" t="s">
        <v>77</v>
      </c>
      <c r="X18" s="465">
        <v>0.91115463112183304</v>
      </c>
      <c r="Y18" t="s">
        <v>78</v>
      </c>
      <c r="Z18" s="465">
        <v>0.90643717790706302</v>
      </c>
    </row>
    <row r="19" spans="1:26" x14ac:dyDescent="0.2">
      <c r="A19" s="9">
        <f>'Monthly Data'!A19</f>
        <v>42522</v>
      </c>
      <c r="B19">
        <f t="shared" si="1"/>
        <v>2016</v>
      </c>
      <c r="C19">
        <f t="shared" si="2"/>
        <v>6</v>
      </c>
      <c r="D19" s="31">
        <f>'Monthly Data'!J19</f>
        <v>14550745.567060538</v>
      </c>
      <c r="E19" s="33">
        <f>'Monthly Data'!AV19</f>
        <v>2</v>
      </c>
      <c r="F19" s="33">
        <f>'Monthly Data'!AW19</f>
        <v>163.6</v>
      </c>
      <c r="G19" s="33">
        <f>'Monthly Data'!AN19</f>
        <v>-2655</v>
      </c>
      <c r="H19" s="8">
        <f>'Monthly Data'!K19</f>
        <v>5264</v>
      </c>
      <c r="I19" s="18">
        <f>'Monthly Data'!BR19</f>
        <v>0</v>
      </c>
      <c r="J19" s="30">
        <f>'Monthly Data'!BT19</f>
        <v>30</v>
      </c>
      <c r="L19" s="18">
        <f>'GS&lt;50 Predicted Monthly'!$X$8</f>
        <v>-8314018.5106493998</v>
      </c>
      <c r="M19" s="18">
        <f>E19*'GS&lt;50 Predicted Monthly'!$X$9</f>
        <v>9423.7195004003006</v>
      </c>
      <c r="N19" s="18">
        <f>F19*'GS&lt;50 Predicted Monthly'!$X$10</f>
        <v>1890284.756365482</v>
      </c>
      <c r="O19" s="18">
        <f>G19*'GS&lt;50 Predicted Monthly'!$X$11</f>
        <v>-18240.595876578398</v>
      </c>
      <c r="P19" s="18">
        <f>H19*'GS&lt;50 Predicted Monthly'!$X$12</f>
        <v>9771324.6759039871</v>
      </c>
      <c r="Q19" s="18">
        <f>I19*'GS&lt;50 Predicted Monthly'!$X$13</f>
        <v>0</v>
      </c>
      <c r="R19" s="18">
        <f>J19*'GS&lt;50 Predicted Monthly'!$X$14</f>
        <v>11002902.38304105</v>
      </c>
      <c r="S19" s="18">
        <f t="shared" si="6"/>
        <v>14341676.428284941</v>
      </c>
      <c r="T19" s="18">
        <f t="shared" si="7"/>
        <v>-209069.1387755964</v>
      </c>
      <c r="U19" s="35">
        <f t="shared" si="8"/>
        <v>1.4368276719021168E-2</v>
      </c>
      <c r="W19" t="s">
        <v>528</v>
      </c>
      <c r="X19" s="464">
        <v>213.65438256491501</v>
      </c>
      <c r="Y19" t="s">
        <v>79</v>
      </c>
      <c r="Z19" s="465">
        <v>3.0586841666979001E-59</v>
      </c>
    </row>
    <row r="20" spans="1:26" x14ac:dyDescent="0.2">
      <c r="A20" s="9">
        <f>'Monthly Data'!A20</f>
        <v>42552</v>
      </c>
      <c r="B20">
        <f t="shared" si="1"/>
        <v>2016</v>
      </c>
      <c r="C20">
        <f t="shared" si="2"/>
        <v>7</v>
      </c>
      <c r="D20" s="31">
        <f>'Monthly Data'!J20</f>
        <v>16348284.10254465</v>
      </c>
      <c r="E20" s="33">
        <f>'Monthly Data'!AV20</f>
        <v>0</v>
      </c>
      <c r="F20" s="33">
        <f>'Monthly Data'!AW20</f>
        <v>276.5</v>
      </c>
      <c r="G20" s="33">
        <f>'Monthly Data'!AN20</f>
        <v>5974</v>
      </c>
      <c r="H20" s="8">
        <f>'Monthly Data'!K20</f>
        <v>5262</v>
      </c>
      <c r="I20" s="18">
        <f>'Monthly Data'!BR20</f>
        <v>0</v>
      </c>
      <c r="J20" s="30">
        <f>'Monthly Data'!BT20</f>
        <v>31</v>
      </c>
      <c r="L20" s="18">
        <f>'GS&lt;50 Predicted Monthly'!$X$8</f>
        <v>-8314018.5106493998</v>
      </c>
      <c r="M20" s="18">
        <f>E20*'GS&lt;50 Predicted Monthly'!$X$9</f>
        <v>0</v>
      </c>
      <c r="N20" s="18">
        <f>F20*'GS&lt;50 Predicted Monthly'!$X$10</f>
        <v>3194766.1071824925</v>
      </c>
      <c r="O20" s="18">
        <f>G20*'GS&lt;50 Predicted Monthly'!$X$11</f>
        <v>41043.058292534595</v>
      </c>
      <c r="P20" s="18">
        <f>H20*'GS&lt;50 Predicted Monthly'!$X$12</f>
        <v>9767612.1665286422</v>
      </c>
      <c r="Q20" s="18">
        <f>I20*'GS&lt;50 Predicted Monthly'!$X$13</f>
        <v>0</v>
      </c>
      <c r="R20" s="18">
        <f>J20*'GS&lt;50 Predicted Monthly'!$X$14</f>
        <v>11369665.795809086</v>
      </c>
      <c r="S20" s="18">
        <f t="shared" si="6"/>
        <v>16059068.617163356</v>
      </c>
      <c r="T20" s="18">
        <f t="shared" si="7"/>
        <v>-289215.48538129404</v>
      </c>
      <c r="U20" s="35">
        <f t="shared" si="8"/>
        <v>1.7690877132253712E-2</v>
      </c>
      <c r="W20" t="s">
        <v>80</v>
      </c>
      <c r="X20" s="465">
        <v>-0.19320355490340699</v>
      </c>
      <c r="Y20" t="s">
        <v>81</v>
      </c>
      <c r="Z20" s="465">
        <v>2.37996935915575</v>
      </c>
    </row>
    <row r="21" spans="1:26" x14ac:dyDescent="0.2">
      <c r="A21" s="9">
        <f>'Monthly Data'!A21</f>
        <v>42583</v>
      </c>
      <c r="B21">
        <f t="shared" si="1"/>
        <v>2016</v>
      </c>
      <c r="C21">
        <f t="shared" si="2"/>
        <v>8</v>
      </c>
      <c r="D21" s="31">
        <f>'Monthly Data'!J21</f>
        <v>16739654.638028761</v>
      </c>
      <c r="E21" s="33">
        <f>'Monthly Data'!AV21</f>
        <v>0</v>
      </c>
      <c r="F21" s="33">
        <f>'Monthly Data'!AW21</f>
        <v>301.80000000000007</v>
      </c>
      <c r="G21" s="33">
        <f>'Monthly Data'!AN21</f>
        <v>5974</v>
      </c>
      <c r="H21" s="8">
        <f>'Monthly Data'!K21</f>
        <v>5260</v>
      </c>
      <c r="I21" s="18">
        <f>'Monthly Data'!BR21</f>
        <v>0</v>
      </c>
      <c r="J21" s="30">
        <f>'Monthly Data'!BT21</f>
        <v>31</v>
      </c>
      <c r="L21" s="18">
        <f>'GS&lt;50 Predicted Monthly'!$X$8</f>
        <v>-8314018.5106493998</v>
      </c>
      <c r="M21" s="18">
        <f>E21*'GS&lt;50 Predicted Monthly'!$X$9</f>
        <v>0</v>
      </c>
      <c r="N21" s="18">
        <f>F21*'GS&lt;50 Predicted Monthly'!$X$10</f>
        <v>3487090.0945666418</v>
      </c>
      <c r="O21" s="18">
        <f>G21*'GS&lt;50 Predicted Monthly'!$X$11</f>
        <v>41043.058292534595</v>
      </c>
      <c r="P21" s="18">
        <f>H21*'GS&lt;50 Predicted Monthly'!$X$12</f>
        <v>9763899.6571532991</v>
      </c>
      <c r="Q21" s="18">
        <f>I21*'GS&lt;50 Predicted Monthly'!$X$13</f>
        <v>0</v>
      </c>
      <c r="R21" s="18">
        <f>J21*'GS&lt;50 Predicted Monthly'!$X$14</f>
        <v>11369665.795809086</v>
      </c>
      <c r="S21" s="18">
        <f t="shared" si="6"/>
        <v>16347680.095172161</v>
      </c>
      <c r="T21" s="18">
        <f t="shared" si="7"/>
        <v>-391974.54285660014</v>
      </c>
      <c r="U21" s="35">
        <f t="shared" si="8"/>
        <v>2.3415927707739047E-2</v>
      </c>
    </row>
    <row r="22" spans="1:26" x14ac:dyDescent="0.2">
      <c r="A22" s="9">
        <f>'Monthly Data'!A22</f>
        <v>42614</v>
      </c>
      <c r="B22">
        <f t="shared" si="1"/>
        <v>2016</v>
      </c>
      <c r="C22">
        <f t="shared" si="2"/>
        <v>9</v>
      </c>
      <c r="D22" s="31">
        <f>'Monthly Data'!J22</f>
        <v>14440145.173512874</v>
      </c>
      <c r="E22" s="33">
        <f>'Monthly Data'!AV22</f>
        <v>9.9999999999999645E-2</v>
      </c>
      <c r="F22" s="33">
        <f>'Monthly Data'!AW22</f>
        <v>181</v>
      </c>
      <c r="G22" s="33">
        <f>'Monthly Data'!AN22</f>
        <v>5974</v>
      </c>
      <c r="H22" s="8">
        <f>'Monthly Data'!K22</f>
        <v>5273</v>
      </c>
      <c r="I22" s="18">
        <f>'Monthly Data'!BR22</f>
        <v>1</v>
      </c>
      <c r="J22" s="30">
        <f>'Monthly Data'!BT22</f>
        <v>30</v>
      </c>
      <c r="L22" s="18">
        <f>'GS&lt;50 Predicted Monthly'!$X$8</f>
        <v>-8314018.5106493998</v>
      </c>
      <c r="M22" s="18">
        <f>E22*'GS&lt;50 Predicted Monthly'!$X$9</f>
        <v>471.18597502001336</v>
      </c>
      <c r="N22" s="18">
        <f>F22*'GS&lt;50 Predicted Monthly'!$X$10</f>
        <v>2091329.7121158452</v>
      </c>
      <c r="O22" s="18">
        <f>G22*'GS&lt;50 Predicted Monthly'!$X$11</f>
        <v>41043.058292534595</v>
      </c>
      <c r="P22" s="18">
        <f>H22*'GS&lt;50 Predicted Monthly'!$X$12</f>
        <v>9788030.968093032</v>
      </c>
      <c r="Q22" s="18">
        <f>I22*'GS&lt;50 Predicted Monthly'!$X$13</f>
        <v>-202362.33175645399</v>
      </c>
      <c r="R22" s="18">
        <f>J22*'GS&lt;50 Predicted Monthly'!$X$14</f>
        <v>11002902.38304105</v>
      </c>
      <c r="S22" s="18">
        <f t="shared" si="6"/>
        <v>14407396.465111628</v>
      </c>
      <c r="T22" s="18">
        <f t="shared" si="7"/>
        <v>-32748.708401245996</v>
      </c>
      <c r="U22" s="35">
        <f t="shared" si="8"/>
        <v>2.2678932938510876E-3</v>
      </c>
      <c r="W22" t="s">
        <v>462</v>
      </c>
    </row>
    <row r="23" spans="1:26" x14ac:dyDescent="0.2">
      <c r="A23" s="9">
        <f>'Monthly Data'!A23</f>
        <v>42644</v>
      </c>
      <c r="B23">
        <f t="shared" si="1"/>
        <v>2016</v>
      </c>
      <c r="C23">
        <f t="shared" si="2"/>
        <v>10</v>
      </c>
      <c r="D23" s="31">
        <f>'Monthly Data'!J23</f>
        <v>13350527.708996985</v>
      </c>
      <c r="E23" s="33">
        <f>'Monthly Data'!AV23</f>
        <v>77.199999999999989</v>
      </c>
      <c r="F23" s="33">
        <f>'Monthly Data'!AW23</f>
        <v>52.699999999999989</v>
      </c>
      <c r="G23" s="33">
        <f>'Monthly Data'!AN23</f>
        <v>-1226</v>
      </c>
      <c r="H23" s="8">
        <f>'Monthly Data'!K23</f>
        <v>5278</v>
      </c>
      <c r="I23" s="18">
        <f>'Monthly Data'!BR23</f>
        <v>1</v>
      </c>
      <c r="J23" s="30">
        <f>'Monthly Data'!BT23</f>
        <v>31</v>
      </c>
      <c r="L23" s="18">
        <f>'GS&lt;50 Predicted Monthly'!$X$8</f>
        <v>-8314018.5106493998</v>
      </c>
      <c r="M23" s="18">
        <f>E23*'GS&lt;50 Predicted Monthly'!$X$9</f>
        <v>363755.57271545153</v>
      </c>
      <c r="N23" s="18">
        <f>F23*'GS&lt;50 Predicted Monthly'!$X$10</f>
        <v>608912.02115196141</v>
      </c>
      <c r="O23" s="18">
        <f>G23*'GS&lt;50 Predicted Monthly'!$X$11</f>
        <v>-8422.9644236102122</v>
      </c>
      <c r="P23" s="18">
        <f>H23*'GS&lt;50 Predicted Monthly'!$X$12</f>
        <v>9797312.2415313907</v>
      </c>
      <c r="Q23" s="18">
        <f>I23*'GS&lt;50 Predicted Monthly'!$X$13</f>
        <v>-202362.33175645399</v>
      </c>
      <c r="R23" s="18">
        <f>J23*'GS&lt;50 Predicted Monthly'!$X$14</f>
        <v>11369665.795809086</v>
      </c>
      <c r="S23" s="18">
        <f t="shared" si="6"/>
        <v>13614841.824378427</v>
      </c>
      <c r="T23" s="18">
        <f t="shared" si="7"/>
        <v>264314.11538144201</v>
      </c>
      <c r="U23" s="35">
        <f t="shared" si="8"/>
        <v>1.9798027549376901E-2</v>
      </c>
      <c r="W23" t="s">
        <v>73</v>
      </c>
      <c r="X23" s="18">
        <v>14756065.612770099</v>
      </c>
      <c r="Y23" t="s">
        <v>74</v>
      </c>
      <c r="Z23" s="18">
        <v>1137774.8181764199</v>
      </c>
    </row>
    <row r="24" spans="1:26" x14ac:dyDescent="0.2">
      <c r="A24" s="9">
        <f>'Monthly Data'!A24</f>
        <v>42675</v>
      </c>
      <c r="B24">
        <f t="shared" si="1"/>
        <v>2016</v>
      </c>
      <c r="C24">
        <f t="shared" si="2"/>
        <v>11</v>
      </c>
      <c r="D24" s="31">
        <f>'Monthly Data'!J24</f>
        <v>13437723.244481096</v>
      </c>
      <c r="E24" s="33">
        <f>'Monthly Data'!AV24</f>
        <v>174.8</v>
      </c>
      <c r="F24" s="33">
        <f>'Monthly Data'!AW24</f>
        <v>1.9000000000000004</v>
      </c>
      <c r="G24" s="33">
        <f>'Monthly Data'!AN24</f>
        <v>-1226</v>
      </c>
      <c r="H24" s="8">
        <f>'Monthly Data'!K24</f>
        <v>5298</v>
      </c>
      <c r="I24" s="18">
        <f>'Monthly Data'!BR24</f>
        <v>1</v>
      </c>
      <c r="J24" s="30">
        <f>'Monthly Data'!BT24</f>
        <v>30</v>
      </c>
      <c r="L24" s="18">
        <f>'GS&lt;50 Predicted Monthly'!$X$8</f>
        <v>-8314018.5106493998</v>
      </c>
      <c r="M24" s="18">
        <f>E24*'GS&lt;50 Predicted Monthly'!$X$9</f>
        <v>823633.08433498628</v>
      </c>
      <c r="N24" s="18">
        <f>F24*'GS&lt;50 Predicted Monthly'!$X$10</f>
        <v>21953.184823315507</v>
      </c>
      <c r="O24" s="18">
        <f>G24*'GS&lt;50 Predicted Monthly'!$X$11</f>
        <v>-8422.9644236102122</v>
      </c>
      <c r="P24" s="18">
        <f>H24*'GS&lt;50 Predicted Monthly'!$X$12</f>
        <v>9834437.3352848254</v>
      </c>
      <c r="Q24" s="18">
        <f>I24*'GS&lt;50 Predicted Monthly'!$X$13</f>
        <v>-202362.33175645399</v>
      </c>
      <c r="R24" s="18">
        <f>J24*'GS&lt;50 Predicted Monthly'!$X$14</f>
        <v>11002902.38304105</v>
      </c>
      <c r="S24" s="18">
        <f t="shared" si="6"/>
        <v>13158122.180654714</v>
      </c>
      <c r="T24" s="18">
        <f t="shared" si="7"/>
        <v>-279601.06382638216</v>
      </c>
      <c r="U24" s="35">
        <f t="shared" si="8"/>
        <v>2.0807175348042307E-2</v>
      </c>
    </row>
    <row r="25" spans="1:26" x14ac:dyDescent="0.2">
      <c r="A25" s="9">
        <f>'Monthly Data'!A25</f>
        <v>42705</v>
      </c>
      <c r="B25">
        <f t="shared" si="1"/>
        <v>2016</v>
      </c>
      <c r="C25">
        <f t="shared" si="2"/>
        <v>12</v>
      </c>
      <c r="D25" s="31">
        <f>'Monthly Data'!J25</f>
        <v>14912204.779965209</v>
      </c>
      <c r="E25" s="33">
        <f>'Monthly Data'!AV25</f>
        <v>435.00000000000006</v>
      </c>
      <c r="F25" s="33">
        <f>'Monthly Data'!AW25</f>
        <v>0</v>
      </c>
      <c r="G25" s="33">
        <f>'Monthly Data'!AN25</f>
        <v>-1226</v>
      </c>
      <c r="H25" s="8">
        <f>'Monthly Data'!K25</f>
        <v>5297</v>
      </c>
      <c r="I25" s="18">
        <f>'Monthly Data'!BR25</f>
        <v>0</v>
      </c>
      <c r="J25" s="30">
        <f>'Monthly Data'!BT25</f>
        <v>31</v>
      </c>
      <c r="L25" s="18">
        <f>'GS&lt;50 Predicted Monthly'!$X$8</f>
        <v>-8314018.5106493998</v>
      </c>
      <c r="M25" s="18">
        <f>E25*'GS&lt;50 Predicted Monthly'!$X$9</f>
        <v>2049658.9913370656</v>
      </c>
      <c r="N25" s="18">
        <f>F25*'GS&lt;50 Predicted Monthly'!$X$10</f>
        <v>0</v>
      </c>
      <c r="O25" s="18">
        <f>G25*'GS&lt;50 Predicted Monthly'!$X$11</f>
        <v>-8422.9644236102122</v>
      </c>
      <c r="P25" s="18">
        <f>H25*'GS&lt;50 Predicted Monthly'!$X$12</f>
        <v>9832581.0805971529</v>
      </c>
      <c r="Q25" s="18">
        <f>I25*'GS&lt;50 Predicted Monthly'!$X$13</f>
        <v>0</v>
      </c>
      <c r="R25" s="18">
        <f>J25*'GS&lt;50 Predicted Monthly'!$X$14</f>
        <v>11369665.795809086</v>
      </c>
      <c r="S25" s="18">
        <f t="shared" si="6"/>
        <v>14929464.392670296</v>
      </c>
      <c r="T25" s="18">
        <f t="shared" si="7"/>
        <v>17259.612705087289</v>
      </c>
      <c r="U25" s="35">
        <f t="shared" si="8"/>
        <v>1.1574152152387192E-3</v>
      </c>
    </row>
    <row r="26" spans="1:26" x14ac:dyDescent="0.2">
      <c r="A26" s="9">
        <f>'Monthly Data'!A26</f>
        <v>42736</v>
      </c>
      <c r="B26">
        <f t="shared" si="1"/>
        <v>2017</v>
      </c>
      <c r="C26">
        <f t="shared" si="2"/>
        <v>1</v>
      </c>
      <c r="D26" s="31">
        <f>'Monthly Data'!J26</f>
        <v>15552205.778870873</v>
      </c>
      <c r="E26" s="33">
        <f>'Monthly Data'!AV26</f>
        <v>444.60000000000008</v>
      </c>
      <c r="F26" s="33">
        <f>'Monthly Data'!AW26</f>
        <v>0</v>
      </c>
      <c r="G26" s="33">
        <f>'Monthly Data'!AN26</f>
        <v>11322</v>
      </c>
      <c r="H26" s="8">
        <f>'Monthly Data'!K26</f>
        <v>5303</v>
      </c>
      <c r="I26" s="18">
        <f>'Monthly Data'!BR26</f>
        <v>0</v>
      </c>
      <c r="J26" s="30">
        <f>'Monthly Data'!BT26</f>
        <v>31</v>
      </c>
      <c r="L26" s="18">
        <f>'GS&lt;50 Predicted Monthly'!$X$8</f>
        <v>-8314018.5106493998</v>
      </c>
      <c r="M26" s="18">
        <f>E26*'GS&lt;50 Predicted Monthly'!$X$9</f>
        <v>2094892.8449389872</v>
      </c>
      <c r="N26" s="18">
        <f>F26*'GS&lt;50 Predicted Monthly'!$X$10</f>
        <v>0</v>
      </c>
      <c r="O26" s="18">
        <f>G26*'GS&lt;50 Predicted Monthly'!$X$11</f>
        <v>77785.320721137701</v>
      </c>
      <c r="P26" s="18">
        <f>H26*'GS&lt;50 Predicted Monthly'!$X$12</f>
        <v>9843718.6087231841</v>
      </c>
      <c r="Q26" s="18">
        <f>I26*'GS&lt;50 Predicted Monthly'!$X$13</f>
        <v>0</v>
      </c>
      <c r="R26" s="18">
        <f>J26*'GS&lt;50 Predicted Monthly'!$X$14</f>
        <v>11369665.795809086</v>
      </c>
      <c r="S26" s="18">
        <f t="shared" si="6"/>
        <v>15072044.059542995</v>
      </c>
      <c r="T26" s="18">
        <f t="shared" si="7"/>
        <v>-480161.71932787821</v>
      </c>
      <c r="U26" s="35">
        <f t="shared" si="8"/>
        <v>3.0874187633256681E-2</v>
      </c>
    </row>
    <row r="27" spans="1:26" x14ac:dyDescent="0.2">
      <c r="A27" s="9">
        <f>'Monthly Data'!A27</f>
        <v>42767</v>
      </c>
      <c r="B27">
        <f t="shared" si="1"/>
        <v>2017</v>
      </c>
      <c r="C27">
        <f t="shared" si="2"/>
        <v>2</v>
      </c>
      <c r="D27" s="31">
        <f>'Monthly Data'!J27</f>
        <v>13871440.371413311</v>
      </c>
      <c r="E27" s="33">
        <f>'Monthly Data'!AV27</f>
        <v>359.19999999999993</v>
      </c>
      <c r="F27" s="33">
        <f>'Monthly Data'!AW27</f>
        <v>0</v>
      </c>
      <c r="G27" s="33">
        <f>'Monthly Data'!AN27</f>
        <v>11322</v>
      </c>
      <c r="H27" s="8">
        <f>'Monthly Data'!K27</f>
        <v>5341</v>
      </c>
      <c r="I27" s="18">
        <f>'Monthly Data'!BR27</f>
        <v>0</v>
      </c>
      <c r="J27" s="30">
        <f>'Monthly Data'!BT27</f>
        <v>28</v>
      </c>
      <c r="L27" s="18">
        <f>'GS&lt;50 Predicted Monthly'!$X$8</f>
        <v>-8314018.5106493998</v>
      </c>
      <c r="M27" s="18">
        <f>E27*'GS&lt;50 Predicted Monthly'!$X$9</f>
        <v>1692500.0222718937</v>
      </c>
      <c r="N27" s="18">
        <f>F27*'GS&lt;50 Predicted Monthly'!$X$10</f>
        <v>0</v>
      </c>
      <c r="O27" s="18">
        <f>G27*'GS&lt;50 Predicted Monthly'!$X$11</f>
        <v>77785.320721137701</v>
      </c>
      <c r="P27" s="18">
        <f>H27*'GS&lt;50 Predicted Monthly'!$X$12</f>
        <v>9914256.2868547104</v>
      </c>
      <c r="Q27" s="18">
        <f>I27*'GS&lt;50 Predicted Monthly'!$X$13</f>
        <v>0</v>
      </c>
      <c r="R27" s="18">
        <f>J27*'GS&lt;50 Predicted Monthly'!$X$14</f>
        <v>10269375.55750498</v>
      </c>
      <c r="S27" s="18">
        <f t="shared" si="6"/>
        <v>13639898.676703323</v>
      </c>
      <c r="T27" s="18">
        <f t="shared" si="7"/>
        <v>-231541.69470998831</v>
      </c>
      <c r="U27" s="35">
        <f t="shared" si="8"/>
        <v>1.6691972031048521E-2</v>
      </c>
    </row>
    <row r="28" spans="1:26" x14ac:dyDescent="0.2">
      <c r="A28" s="9">
        <f>'Monthly Data'!A28</f>
        <v>42795</v>
      </c>
      <c r="B28">
        <f t="shared" si="1"/>
        <v>2017</v>
      </c>
      <c r="C28">
        <f t="shared" si="2"/>
        <v>3</v>
      </c>
      <c r="D28" s="31">
        <f>'Monthly Data'!J28</f>
        <v>14837407.963955749</v>
      </c>
      <c r="E28" s="33">
        <f>'Monthly Data'!AV28</f>
        <v>417.20000000000005</v>
      </c>
      <c r="F28" s="33">
        <f>'Monthly Data'!AW28</f>
        <v>0</v>
      </c>
      <c r="G28" s="33">
        <f>'Monthly Data'!AN28</f>
        <v>11322</v>
      </c>
      <c r="H28" s="8">
        <f>'Monthly Data'!K28</f>
        <v>5342</v>
      </c>
      <c r="I28" s="18">
        <f>'Monthly Data'!BR28</f>
        <v>1</v>
      </c>
      <c r="J28" s="30">
        <f>'Monthly Data'!BT28</f>
        <v>31</v>
      </c>
      <c r="L28" s="18">
        <f>'GS&lt;50 Predicted Monthly'!$X$8</f>
        <v>-8314018.5106493998</v>
      </c>
      <c r="M28" s="18">
        <f>E28*'GS&lt;50 Predicted Monthly'!$X$9</f>
        <v>1965787.8877835029</v>
      </c>
      <c r="N28" s="18">
        <f>F28*'GS&lt;50 Predicted Monthly'!$X$10</f>
        <v>0</v>
      </c>
      <c r="O28" s="18">
        <f>G28*'GS&lt;50 Predicted Monthly'!$X$11</f>
        <v>77785.320721137701</v>
      </c>
      <c r="P28" s="18">
        <f>H28*'GS&lt;50 Predicted Monthly'!$X$12</f>
        <v>9916112.541542381</v>
      </c>
      <c r="Q28" s="18">
        <f>I28*'GS&lt;50 Predicted Monthly'!$X$13</f>
        <v>-202362.33175645399</v>
      </c>
      <c r="R28" s="18">
        <f>J28*'GS&lt;50 Predicted Monthly'!$X$14</f>
        <v>11369665.795809086</v>
      </c>
      <c r="S28" s="18">
        <f t="shared" si="6"/>
        <v>14812970.703450255</v>
      </c>
      <c r="T28" s="18">
        <f t="shared" si="7"/>
        <v>-24437.26050549373</v>
      </c>
      <c r="U28" s="35">
        <f t="shared" si="8"/>
        <v>1.6470033421510503E-3</v>
      </c>
    </row>
    <row r="29" spans="1:26" x14ac:dyDescent="0.2">
      <c r="A29" s="9">
        <f>'Monthly Data'!A29</f>
        <v>42826</v>
      </c>
      <c r="B29">
        <f t="shared" si="1"/>
        <v>2017</v>
      </c>
      <c r="C29">
        <f t="shared" si="2"/>
        <v>4</v>
      </c>
      <c r="D29" s="31">
        <f>'Monthly Data'!J29</f>
        <v>13390657.556498185</v>
      </c>
      <c r="E29" s="33">
        <f>'Monthly Data'!AV29</f>
        <v>156.79999999999998</v>
      </c>
      <c r="F29" s="33">
        <f>'Monthly Data'!AW29</f>
        <v>4.6999999999999993</v>
      </c>
      <c r="G29" s="33">
        <f>'Monthly Data'!AN29</f>
        <v>7942</v>
      </c>
      <c r="H29" s="8">
        <f>'Monthly Data'!K29</f>
        <v>5344</v>
      </c>
      <c r="I29" s="18">
        <f>'Monthly Data'!BR29</f>
        <v>1</v>
      </c>
      <c r="J29" s="30">
        <f>'Monthly Data'!BT29</f>
        <v>30</v>
      </c>
      <c r="L29" s="18">
        <f>'GS&lt;50 Predicted Monthly'!$X$8</f>
        <v>-8314018.5106493998</v>
      </c>
      <c r="M29" s="18">
        <f>E29*'GS&lt;50 Predicted Monthly'!$X$9</f>
        <v>738819.60883138352</v>
      </c>
      <c r="N29" s="18">
        <f>F29*'GS&lt;50 Predicted Monthly'!$X$10</f>
        <v>54305.246668201493</v>
      </c>
      <c r="O29" s="18">
        <f>G29*'GS&lt;50 Predicted Monthly'!$X$11</f>
        <v>54563.771168280844</v>
      </c>
      <c r="P29" s="18">
        <f>H29*'GS&lt;50 Predicted Monthly'!$X$12</f>
        <v>9919825.0509177241</v>
      </c>
      <c r="Q29" s="18">
        <f>I29*'GS&lt;50 Predicted Monthly'!$X$13</f>
        <v>-202362.33175645399</v>
      </c>
      <c r="R29" s="18">
        <f>J29*'GS&lt;50 Predicted Monthly'!$X$14</f>
        <v>11002902.38304105</v>
      </c>
      <c r="S29" s="18">
        <f t="shared" si="6"/>
        <v>13254035.218220785</v>
      </c>
      <c r="T29" s="18">
        <f t="shared" si="7"/>
        <v>-136622.33827739954</v>
      </c>
      <c r="U29" s="35">
        <f t="shared" si="8"/>
        <v>1.020281025789505E-2</v>
      </c>
    </row>
    <row r="30" spans="1:26" x14ac:dyDescent="0.2">
      <c r="A30" s="9">
        <f>'Monthly Data'!A30</f>
        <v>42856</v>
      </c>
      <c r="B30">
        <f t="shared" si="1"/>
        <v>2017</v>
      </c>
      <c r="C30">
        <f t="shared" si="2"/>
        <v>5</v>
      </c>
      <c r="D30" s="31">
        <f>'Monthly Data'!J30</f>
        <v>13605380.149040623</v>
      </c>
      <c r="E30" s="33">
        <f>'Monthly Data'!AV30</f>
        <v>98.600000000000009</v>
      </c>
      <c r="F30" s="33">
        <f>'Monthly Data'!AW30</f>
        <v>29.9</v>
      </c>
      <c r="G30" s="33">
        <f>'Monthly Data'!AN30</f>
        <v>7942</v>
      </c>
      <c r="H30" s="8">
        <f>'Monthly Data'!K30</f>
        <v>5341</v>
      </c>
      <c r="I30" s="18">
        <f>'Monthly Data'!BR30</f>
        <v>1</v>
      </c>
      <c r="J30" s="30">
        <f>'Monthly Data'!BT30</f>
        <v>31</v>
      </c>
      <c r="L30" s="18">
        <f>'GS&lt;50 Predicted Monthly'!$X$8</f>
        <v>-8314018.5106493998</v>
      </c>
      <c r="M30" s="18">
        <f>E30*'GS&lt;50 Predicted Monthly'!$X$9</f>
        <v>464589.37136973487</v>
      </c>
      <c r="N30" s="18">
        <f>F30*'GS&lt;50 Predicted Monthly'!$X$10</f>
        <v>345473.80327217549</v>
      </c>
      <c r="O30" s="18">
        <f>G30*'GS&lt;50 Predicted Monthly'!$X$11</f>
        <v>54563.771168280844</v>
      </c>
      <c r="P30" s="18">
        <f>H30*'GS&lt;50 Predicted Monthly'!$X$12</f>
        <v>9914256.2868547104</v>
      </c>
      <c r="Q30" s="18">
        <f>I30*'GS&lt;50 Predicted Monthly'!$X$13</f>
        <v>-202362.33175645399</v>
      </c>
      <c r="R30" s="18">
        <f>J30*'GS&lt;50 Predicted Monthly'!$X$14</f>
        <v>11369665.795809086</v>
      </c>
      <c r="S30" s="18">
        <f t="shared" si="6"/>
        <v>13632168.186068133</v>
      </c>
      <c r="T30" s="18">
        <f t="shared" si="7"/>
        <v>26788.037027509883</v>
      </c>
      <c r="U30" s="35">
        <f t="shared" si="8"/>
        <v>1.9689296979620839E-3</v>
      </c>
    </row>
    <row r="31" spans="1:26" x14ac:dyDescent="0.2">
      <c r="A31" s="9">
        <f>'Monthly Data'!A31</f>
        <v>42887</v>
      </c>
      <c r="B31">
        <f t="shared" si="1"/>
        <v>2017</v>
      </c>
      <c r="C31">
        <f t="shared" si="2"/>
        <v>6</v>
      </c>
      <c r="D31" s="31">
        <f>'Monthly Data'!J31</f>
        <v>14207511.74158306</v>
      </c>
      <c r="E31" s="33">
        <f>'Monthly Data'!AV31</f>
        <v>0</v>
      </c>
      <c r="F31" s="33">
        <f>'Monthly Data'!AW31</f>
        <v>159.10000000000002</v>
      </c>
      <c r="G31" s="33">
        <f>'Monthly Data'!AN31</f>
        <v>7942</v>
      </c>
      <c r="H31" s="8">
        <f>'Monthly Data'!K31</f>
        <v>5339</v>
      </c>
      <c r="I31" s="18">
        <f>'Monthly Data'!BR31</f>
        <v>0</v>
      </c>
      <c r="J31" s="30">
        <f>'Monthly Data'!BT31</f>
        <v>30</v>
      </c>
      <c r="L31" s="18">
        <f>'GS&lt;50 Predicted Monthly'!$X$8</f>
        <v>-8314018.5106493998</v>
      </c>
      <c r="M31" s="18">
        <f>E31*'GS&lt;50 Predicted Monthly'!$X$9</f>
        <v>0</v>
      </c>
      <c r="N31" s="18">
        <f>F31*'GS&lt;50 Predicted Monthly'!$X$10</f>
        <v>1838290.3712576299</v>
      </c>
      <c r="O31" s="18">
        <f>G31*'GS&lt;50 Predicted Monthly'!$X$11</f>
        <v>54563.771168280844</v>
      </c>
      <c r="P31" s="18">
        <f>H31*'GS&lt;50 Predicted Monthly'!$X$12</f>
        <v>9910543.7774793655</v>
      </c>
      <c r="Q31" s="18">
        <f>I31*'GS&lt;50 Predicted Monthly'!$X$13</f>
        <v>0</v>
      </c>
      <c r="R31" s="18">
        <f>J31*'GS&lt;50 Predicted Monthly'!$X$14</f>
        <v>11002902.38304105</v>
      </c>
      <c r="S31" s="18">
        <f t="shared" si="6"/>
        <v>14492281.792296927</v>
      </c>
      <c r="T31" s="18">
        <f t="shared" si="7"/>
        <v>284770.05071386695</v>
      </c>
      <c r="U31" s="35">
        <f t="shared" si="8"/>
        <v>2.0043625927852773E-2</v>
      </c>
    </row>
    <row r="32" spans="1:26" x14ac:dyDescent="0.2">
      <c r="A32" s="9">
        <f>'Monthly Data'!A32</f>
        <v>42917</v>
      </c>
      <c r="B32">
        <f t="shared" si="1"/>
        <v>2017</v>
      </c>
      <c r="C32">
        <f t="shared" si="2"/>
        <v>7</v>
      </c>
      <c r="D32" s="31">
        <f>'Monthly Data'!J32</f>
        <v>15533752.334125496</v>
      </c>
      <c r="E32" s="33">
        <f>'Monthly Data'!AV32</f>
        <v>0</v>
      </c>
      <c r="F32" s="33">
        <f>'Monthly Data'!AW32</f>
        <v>237.5</v>
      </c>
      <c r="G32" s="33">
        <f>'Monthly Data'!AN32</f>
        <v>416</v>
      </c>
      <c r="H32" s="8">
        <f>'Monthly Data'!K32</f>
        <v>5337</v>
      </c>
      <c r="I32" s="18">
        <f>'Monthly Data'!BR32</f>
        <v>0</v>
      </c>
      <c r="J32" s="30">
        <f>'Monthly Data'!BT32</f>
        <v>31</v>
      </c>
      <c r="L32" s="18">
        <f>'GS&lt;50 Predicted Monthly'!$X$8</f>
        <v>-8314018.5106493998</v>
      </c>
      <c r="M32" s="18">
        <f>E32*'GS&lt;50 Predicted Monthly'!$X$9</f>
        <v>0</v>
      </c>
      <c r="N32" s="18">
        <f>F32*'GS&lt;50 Predicted Monthly'!$X$10</f>
        <v>2744148.1029144377</v>
      </c>
      <c r="O32" s="18">
        <f>G32*'GS&lt;50 Predicted Monthly'!$X$11</f>
        <v>2858.0368680439224</v>
      </c>
      <c r="P32" s="18">
        <f>H32*'GS&lt;50 Predicted Monthly'!$X$12</f>
        <v>9906831.2681040224</v>
      </c>
      <c r="Q32" s="18">
        <f>I32*'GS&lt;50 Predicted Monthly'!$X$13</f>
        <v>0</v>
      </c>
      <c r="R32" s="18">
        <f>J32*'GS&lt;50 Predicted Monthly'!$X$14</f>
        <v>11369665.795809086</v>
      </c>
      <c r="S32" s="18">
        <f t="shared" si="6"/>
        <v>15709484.69304619</v>
      </c>
      <c r="T32" s="18">
        <f t="shared" si="7"/>
        <v>175732.3589206934</v>
      </c>
      <c r="U32" s="35">
        <f t="shared" si="8"/>
        <v>1.1312936832051443E-2</v>
      </c>
    </row>
    <row r="33" spans="1:21" x14ac:dyDescent="0.2">
      <c r="A33" s="9">
        <f>'Monthly Data'!A33</f>
        <v>42948</v>
      </c>
      <c r="B33">
        <f t="shared" si="1"/>
        <v>2017</v>
      </c>
      <c r="C33">
        <f t="shared" si="2"/>
        <v>8</v>
      </c>
      <c r="D33" s="31">
        <f>'Monthly Data'!J33</f>
        <v>15160539.926667934</v>
      </c>
      <c r="E33" s="33">
        <f>'Monthly Data'!AV33</f>
        <v>0</v>
      </c>
      <c r="F33" s="33">
        <f>'Monthly Data'!AW33</f>
        <v>202.19999999999996</v>
      </c>
      <c r="G33" s="33">
        <f>'Monthly Data'!AN33</f>
        <v>416</v>
      </c>
      <c r="H33" s="8">
        <f>'Monthly Data'!K33</f>
        <v>5344</v>
      </c>
      <c r="I33" s="18">
        <f>'Monthly Data'!BR33</f>
        <v>0</v>
      </c>
      <c r="J33" s="30">
        <f>'Monthly Data'!BT33</f>
        <v>31</v>
      </c>
      <c r="L33" s="18">
        <f>'GS&lt;50 Predicted Monthly'!$X$8</f>
        <v>-8314018.5106493998</v>
      </c>
      <c r="M33" s="18">
        <f>E33*'GS&lt;50 Predicted Monthly'!$X$9</f>
        <v>0</v>
      </c>
      <c r="N33" s="18">
        <f>F33*'GS&lt;50 Predicted Monthly'!$X$10</f>
        <v>2336281.0375128388</v>
      </c>
      <c r="O33" s="18">
        <f>G33*'GS&lt;50 Predicted Monthly'!$X$11</f>
        <v>2858.0368680439224</v>
      </c>
      <c r="P33" s="18">
        <f>H33*'GS&lt;50 Predicted Monthly'!$X$12</f>
        <v>9919825.0509177241</v>
      </c>
      <c r="Q33" s="18">
        <f>I33*'GS&lt;50 Predicted Monthly'!$X$13</f>
        <v>0</v>
      </c>
      <c r="R33" s="18">
        <f>J33*'GS&lt;50 Predicted Monthly'!$X$14</f>
        <v>11369665.795809086</v>
      </c>
      <c r="S33" s="18">
        <f t="shared" si="6"/>
        <v>15314611.410458293</v>
      </c>
      <c r="T33" s="18">
        <f t="shared" si="7"/>
        <v>154071.48379035853</v>
      </c>
      <c r="U33" s="35">
        <f t="shared" si="8"/>
        <v>1.0162664689754304E-2</v>
      </c>
    </row>
    <row r="34" spans="1:21" x14ac:dyDescent="0.2">
      <c r="A34" s="9">
        <f>'Monthly Data'!A34</f>
        <v>42979</v>
      </c>
      <c r="B34">
        <f t="shared" si="1"/>
        <v>2017</v>
      </c>
      <c r="C34">
        <f t="shared" si="2"/>
        <v>9</v>
      </c>
      <c r="D34" s="31">
        <f>'Monthly Data'!J34</f>
        <v>14204164.519210372</v>
      </c>
      <c r="E34" s="33">
        <f>'Monthly Data'!AV34</f>
        <v>4.0999999999999996</v>
      </c>
      <c r="F34" s="33">
        <f>'Monthly Data'!AW34</f>
        <v>142.4</v>
      </c>
      <c r="G34" s="33">
        <f>'Monthly Data'!AN34</f>
        <v>416</v>
      </c>
      <c r="H34" s="8">
        <f>'Monthly Data'!K34</f>
        <v>5350</v>
      </c>
      <c r="I34" s="18">
        <f>'Monthly Data'!BR34</f>
        <v>1</v>
      </c>
      <c r="J34" s="30">
        <f>'Monthly Data'!BT34</f>
        <v>30</v>
      </c>
      <c r="L34" s="18">
        <f>'GS&lt;50 Predicted Monthly'!$X$8</f>
        <v>-8314018.5106493998</v>
      </c>
      <c r="M34" s="18">
        <f>E34*'GS&lt;50 Predicted Monthly'!$X$9</f>
        <v>19318.624975820614</v>
      </c>
      <c r="N34" s="18">
        <f>F34*'GS&lt;50 Predicted Monthly'!$X$10</f>
        <v>1645333.4309684881</v>
      </c>
      <c r="O34" s="18">
        <f>G34*'GS&lt;50 Predicted Monthly'!$X$11</f>
        <v>2858.0368680439224</v>
      </c>
      <c r="P34" s="18">
        <f>H34*'GS&lt;50 Predicted Monthly'!$X$12</f>
        <v>9930962.5790437553</v>
      </c>
      <c r="Q34" s="18">
        <f>I34*'GS&lt;50 Predicted Monthly'!$X$13</f>
        <v>-202362.33175645399</v>
      </c>
      <c r="R34" s="18">
        <f>J34*'GS&lt;50 Predicted Monthly'!$X$14</f>
        <v>11002902.38304105</v>
      </c>
      <c r="S34" s="18">
        <f t="shared" si="6"/>
        <v>14084994.212491304</v>
      </c>
      <c r="T34" s="18">
        <f t="shared" si="7"/>
        <v>-119170.30671906844</v>
      </c>
      <c r="U34" s="35">
        <f t="shared" si="8"/>
        <v>8.3898145897913935E-3</v>
      </c>
    </row>
    <row r="35" spans="1:21" x14ac:dyDescent="0.2">
      <c r="A35" s="9">
        <f>'Monthly Data'!A35</f>
        <v>43009</v>
      </c>
      <c r="B35">
        <f t="shared" si="1"/>
        <v>2017</v>
      </c>
      <c r="C35">
        <f t="shared" si="2"/>
        <v>10</v>
      </c>
      <c r="D35" s="31">
        <f>'Monthly Data'!J35</f>
        <v>13926867.111752808</v>
      </c>
      <c r="E35" s="33">
        <f>'Monthly Data'!AV35</f>
        <v>47.5</v>
      </c>
      <c r="F35" s="33">
        <f>'Monthly Data'!AW35</f>
        <v>67.900000000000006</v>
      </c>
      <c r="G35" s="33">
        <f>'Monthly Data'!AN35</f>
        <v>6393</v>
      </c>
      <c r="H35" s="8">
        <f>'Monthly Data'!K35</f>
        <v>5350</v>
      </c>
      <c r="I35" s="18">
        <f>'Monthly Data'!BR35</f>
        <v>1</v>
      </c>
      <c r="J35" s="30">
        <f>'Monthly Data'!BT35</f>
        <v>31</v>
      </c>
      <c r="L35" s="18">
        <f>'GS&lt;50 Predicted Monthly'!$X$8</f>
        <v>-8314018.5106493998</v>
      </c>
      <c r="M35" s="18">
        <f>E35*'GS&lt;50 Predicted Monthly'!$X$9</f>
        <v>223813.33813450712</v>
      </c>
      <c r="N35" s="18">
        <f>F35*'GS&lt;50 Predicted Monthly'!$X$10</f>
        <v>784537.49973848567</v>
      </c>
      <c r="O35" s="18">
        <f>G35*'GS&lt;50 Predicted Monthly'!$X$11</f>
        <v>43921.706003376908</v>
      </c>
      <c r="P35" s="18">
        <f>H35*'GS&lt;50 Predicted Monthly'!$X$12</f>
        <v>9930962.5790437553</v>
      </c>
      <c r="Q35" s="18">
        <f>I35*'GS&lt;50 Predicted Monthly'!$X$13</f>
        <v>-202362.33175645399</v>
      </c>
      <c r="R35" s="18">
        <f>J35*'GS&lt;50 Predicted Monthly'!$X$14</f>
        <v>11369665.795809086</v>
      </c>
      <c r="S35" s="18">
        <f t="shared" si="6"/>
        <v>13836520.076323356</v>
      </c>
      <c r="T35" s="18">
        <f t="shared" si="7"/>
        <v>-90347.035429451615</v>
      </c>
      <c r="U35" s="35">
        <f t="shared" si="8"/>
        <v>6.487247613155455E-3</v>
      </c>
    </row>
    <row r="36" spans="1:21" x14ac:dyDescent="0.2">
      <c r="A36" s="9">
        <f>'Monthly Data'!A36</f>
        <v>43040</v>
      </c>
      <c r="B36">
        <f t="shared" si="1"/>
        <v>2017</v>
      </c>
      <c r="C36">
        <f t="shared" si="2"/>
        <v>11</v>
      </c>
      <c r="D36" s="31">
        <f>'Monthly Data'!J36</f>
        <v>13988763.704295246</v>
      </c>
      <c r="E36" s="33">
        <f>'Monthly Data'!AV36</f>
        <v>267.89999999999998</v>
      </c>
      <c r="F36" s="33">
        <f>'Monthly Data'!AW36</f>
        <v>0</v>
      </c>
      <c r="G36" s="33">
        <f>'Monthly Data'!AN36</f>
        <v>6393</v>
      </c>
      <c r="H36" s="8">
        <f>'Monthly Data'!K36</f>
        <v>5353</v>
      </c>
      <c r="I36" s="18">
        <f>'Monthly Data'!BR36</f>
        <v>1</v>
      </c>
      <c r="J36" s="30">
        <f>'Monthly Data'!BT36</f>
        <v>30</v>
      </c>
      <c r="L36" s="18">
        <f>'GS&lt;50 Predicted Monthly'!$X$8</f>
        <v>-8314018.5106493998</v>
      </c>
      <c r="M36" s="18">
        <f>E36*'GS&lt;50 Predicted Monthly'!$X$9</f>
        <v>1262307.2270786201</v>
      </c>
      <c r="N36" s="18">
        <f>F36*'GS&lt;50 Predicted Monthly'!$X$10</f>
        <v>0</v>
      </c>
      <c r="O36" s="18">
        <f>G36*'GS&lt;50 Predicted Monthly'!$X$11</f>
        <v>43921.706003376908</v>
      </c>
      <c r="P36" s="18">
        <f>H36*'GS&lt;50 Predicted Monthly'!$X$12</f>
        <v>9936531.3431067709</v>
      </c>
      <c r="Q36" s="18">
        <f>I36*'GS&lt;50 Predicted Monthly'!$X$13</f>
        <v>-202362.33175645399</v>
      </c>
      <c r="R36" s="18">
        <f>J36*'GS&lt;50 Predicted Monthly'!$X$14</f>
        <v>11002902.38304105</v>
      </c>
      <c r="S36" s="18">
        <f t="shared" si="6"/>
        <v>13729281.816823965</v>
      </c>
      <c r="T36" s="18">
        <f t="shared" si="7"/>
        <v>-259481.88747128099</v>
      </c>
      <c r="U36" s="35">
        <f t="shared" si="8"/>
        <v>1.8549308070133972E-2</v>
      </c>
    </row>
    <row r="37" spans="1:21" x14ac:dyDescent="0.2">
      <c r="A37" s="9">
        <f>'Monthly Data'!A37</f>
        <v>43070</v>
      </c>
      <c r="B37">
        <f t="shared" si="1"/>
        <v>2017</v>
      </c>
      <c r="C37">
        <f t="shared" si="2"/>
        <v>12</v>
      </c>
      <c r="D37" s="31">
        <f>'Monthly Data'!J37</f>
        <v>15562822.296837684</v>
      </c>
      <c r="E37" s="33">
        <f>'Monthly Data'!AV37</f>
        <v>525.19999999999993</v>
      </c>
      <c r="F37" s="33">
        <f>'Monthly Data'!AW37</f>
        <v>0</v>
      </c>
      <c r="G37" s="33">
        <f>'Monthly Data'!AN37</f>
        <v>6393</v>
      </c>
      <c r="H37" s="8">
        <f>'Monthly Data'!K37</f>
        <v>5356</v>
      </c>
      <c r="I37" s="18">
        <f>'Monthly Data'!BR37</f>
        <v>0</v>
      </c>
      <c r="J37" s="30">
        <f>'Monthly Data'!BT37</f>
        <v>31</v>
      </c>
      <c r="L37" s="18">
        <f>'GS&lt;50 Predicted Monthly'!$X$8</f>
        <v>-8314018.5106493998</v>
      </c>
      <c r="M37" s="18">
        <f>E37*'GS&lt;50 Predicted Monthly'!$X$9</f>
        <v>2474668.7408051188</v>
      </c>
      <c r="N37" s="18">
        <f>F37*'GS&lt;50 Predicted Monthly'!$X$10</f>
        <v>0</v>
      </c>
      <c r="O37" s="18">
        <f>G37*'GS&lt;50 Predicted Monthly'!$X$11</f>
        <v>43921.706003376908</v>
      </c>
      <c r="P37" s="18">
        <f>H37*'GS&lt;50 Predicted Monthly'!$X$12</f>
        <v>9942100.1071697846</v>
      </c>
      <c r="Q37" s="18">
        <f>I37*'GS&lt;50 Predicted Monthly'!$X$13</f>
        <v>0</v>
      </c>
      <c r="R37" s="18">
        <f>J37*'GS&lt;50 Predicted Monthly'!$X$14</f>
        <v>11369665.795809086</v>
      </c>
      <c r="S37" s="18">
        <f t="shared" si="6"/>
        <v>15516337.839137968</v>
      </c>
      <c r="T37" s="18">
        <f t="shared" si="7"/>
        <v>-46484.457699716091</v>
      </c>
      <c r="U37" s="35">
        <f t="shared" si="8"/>
        <v>2.9868912471718956E-3</v>
      </c>
    </row>
    <row r="38" spans="1:21" x14ac:dyDescent="0.2">
      <c r="A38" s="9">
        <f>'Monthly Data'!A38</f>
        <v>43101</v>
      </c>
      <c r="B38">
        <f t="shared" si="1"/>
        <v>2018</v>
      </c>
      <c r="C38">
        <f t="shared" si="2"/>
        <v>1</v>
      </c>
      <c r="D38" s="31">
        <f>'Monthly Data'!J38</f>
        <v>16341548.767871764</v>
      </c>
      <c r="E38" s="33">
        <f>'Monthly Data'!AV38</f>
        <v>556.29999999999995</v>
      </c>
      <c r="F38" s="33">
        <f>'Monthly Data'!AW38</f>
        <v>0</v>
      </c>
      <c r="G38" s="33">
        <f>'Monthly Data'!AN38</f>
        <v>8006</v>
      </c>
      <c r="H38" s="8">
        <f>'Monthly Data'!K38</f>
        <v>5365</v>
      </c>
      <c r="I38" s="18">
        <f>'Monthly Data'!BR38</f>
        <v>0</v>
      </c>
      <c r="J38" s="30">
        <f>'Monthly Data'!BT38</f>
        <v>31</v>
      </c>
      <c r="L38" s="18">
        <f>'GS&lt;50 Predicted Monthly'!$X$8</f>
        <v>-8314018.5106493998</v>
      </c>
      <c r="M38" s="18">
        <f>E38*'GS&lt;50 Predicted Monthly'!$X$9</f>
        <v>2621207.5790363434</v>
      </c>
      <c r="N38" s="18">
        <f>F38*'GS&lt;50 Predicted Monthly'!$X$10</f>
        <v>0</v>
      </c>
      <c r="O38" s="18">
        <f>G38*'GS&lt;50 Predicted Monthly'!$X$11</f>
        <v>55003.469147979908</v>
      </c>
      <c r="P38" s="18">
        <f>H38*'GS&lt;50 Predicted Monthly'!$X$12</f>
        <v>9958806.3993588313</v>
      </c>
      <c r="Q38" s="18">
        <f>I38*'GS&lt;50 Predicted Monthly'!$X$13</f>
        <v>0</v>
      </c>
      <c r="R38" s="18">
        <f>J38*'GS&lt;50 Predicted Monthly'!$X$14</f>
        <v>11369665.795809086</v>
      </c>
      <c r="S38" s="18">
        <f t="shared" ref="S38:S69" si="9">SUM(L38:R38)</f>
        <v>15690664.732702842</v>
      </c>
      <c r="T38" s="18">
        <f t="shared" ref="T38:T69" si="10">S38-D38</f>
        <v>-650884.03516892157</v>
      </c>
      <c r="U38" s="35">
        <f t="shared" ref="U38:U69" si="11">ABS(T38/D38)</f>
        <v>3.9830009041039581E-2</v>
      </c>
    </row>
    <row r="39" spans="1:21" x14ac:dyDescent="0.2">
      <c r="A39" s="9">
        <f>'Monthly Data'!A39</f>
        <v>43132</v>
      </c>
      <c r="B39">
        <f t="shared" si="1"/>
        <v>2018</v>
      </c>
      <c r="C39">
        <f t="shared" si="2"/>
        <v>2</v>
      </c>
      <c r="D39" s="31">
        <f>'Monthly Data'!J39</f>
        <v>14352800.598540761</v>
      </c>
      <c r="E39" s="33">
        <f>'Monthly Data'!AV39</f>
        <v>400.1</v>
      </c>
      <c r="F39" s="33">
        <f>'Monthly Data'!AW39</f>
        <v>0</v>
      </c>
      <c r="G39" s="33">
        <f>'Monthly Data'!AN39</f>
        <v>8006</v>
      </c>
      <c r="H39" s="8">
        <f>'Monthly Data'!K39</f>
        <v>5367</v>
      </c>
      <c r="I39" s="18">
        <f>'Monthly Data'!BR39</f>
        <v>0</v>
      </c>
      <c r="J39" s="30">
        <f>'Monthly Data'!BT39</f>
        <v>28</v>
      </c>
      <c r="L39" s="18">
        <f>'GS&lt;50 Predicted Monthly'!$X$8</f>
        <v>-8314018.5106493998</v>
      </c>
      <c r="M39" s="18">
        <f>E39*'GS&lt;50 Predicted Monthly'!$X$9</f>
        <v>1885215.0860550802</v>
      </c>
      <c r="N39" s="18">
        <f>F39*'GS&lt;50 Predicted Monthly'!$X$10</f>
        <v>0</v>
      </c>
      <c r="O39" s="18">
        <f>G39*'GS&lt;50 Predicted Monthly'!$X$11</f>
        <v>55003.469147979908</v>
      </c>
      <c r="P39" s="18">
        <f>H39*'GS&lt;50 Predicted Monthly'!$X$12</f>
        <v>9962518.9087341744</v>
      </c>
      <c r="Q39" s="18">
        <f>I39*'GS&lt;50 Predicted Monthly'!$X$13</f>
        <v>0</v>
      </c>
      <c r="R39" s="18">
        <f>J39*'GS&lt;50 Predicted Monthly'!$X$14</f>
        <v>10269375.55750498</v>
      </c>
      <c r="S39" s="18">
        <f t="shared" si="9"/>
        <v>13858094.510792814</v>
      </c>
      <c r="T39" s="18">
        <f t="shared" si="10"/>
        <v>-494706.08774794638</v>
      </c>
      <c r="U39" s="35">
        <f t="shared" si="11"/>
        <v>3.446756501293851E-2</v>
      </c>
    </row>
    <row r="40" spans="1:21" x14ac:dyDescent="0.2">
      <c r="A40" s="9">
        <f>'Monthly Data'!A40</f>
        <v>43160</v>
      </c>
      <c r="B40">
        <f t="shared" si="1"/>
        <v>2018</v>
      </c>
      <c r="C40">
        <f t="shared" si="2"/>
        <v>3</v>
      </c>
      <c r="D40" s="31">
        <f>'Monthly Data'!J40</f>
        <v>15228033.429209759</v>
      </c>
      <c r="E40" s="33">
        <f>'Monthly Data'!AV40</f>
        <v>409.89999999999986</v>
      </c>
      <c r="F40" s="33">
        <f>'Monthly Data'!AW40</f>
        <v>0</v>
      </c>
      <c r="G40" s="33">
        <f>'Monthly Data'!AN40</f>
        <v>8006</v>
      </c>
      <c r="H40" s="8">
        <f>'Monthly Data'!K40</f>
        <v>5382</v>
      </c>
      <c r="I40" s="18">
        <f>'Monthly Data'!BR40</f>
        <v>1</v>
      </c>
      <c r="J40" s="30">
        <f>'Monthly Data'!BT40</f>
        <v>31</v>
      </c>
      <c r="L40" s="18">
        <f>'GS&lt;50 Predicted Monthly'!$X$8</f>
        <v>-8314018.5106493998</v>
      </c>
      <c r="M40" s="18">
        <f>E40*'GS&lt;50 Predicted Monthly'!$X$9</f>
        <v>1931391.3116070409</v>
      </c>
      <c r="N40" s="18">
        <f>F40*'GS&lt;50 Predicted Monthly'!$X$10</f>
        <v>0</v>
      </c>
      <c r="O40" s="18">
        <f>G40*'GS&lt;50 Predicted Monthly'!$X$11</f>
        <v>55003.469147979908</v>
      </c>
      <c r="P40" s="18">
        <f>H40*'GS&lt;50 Predicted Monthly'!$X$12</f>
        <v>9990362.7290492505</v>
      </c>
      <c r="Q40" s="18">
        <f>I40*'GS&lt;50 Predicted Monthly'!$X$13</f>
        <v>-202362.33175645399</v>
      </c>
      <c r="R40" s="18">
        <f>J40*'GS&lt;50 Predicted Monthly'!$X$14</f>
        <v>11369665.795809086</v>
      </c>
      <c r="S40" s="18">
        <f t="shared" si="9"/>
        <v>14830042.463207504</v>
      </c>
      <c r="T40" s="18">
        <f t="shared" si="10"/>
        <v>-397990.96600225568</v>
      </c>
      <c r="U40" s="35">
        <f t="shared" si="11"/>
        <v>2.6135414520357336E-2</v>
      </c>
    </row>
    <row r="41" spans="1:21" x14ac:dyDescent="0.2">
      <c r="A41" s="9">
        <f>'Monthly Data'!A41</f>
        <v>43191</v>
      </c>
      <c r="B41">
        <f t="shared" si="1"/>
        <v>2018</v>
      </c>
      <c r="C41">
        <f t="shared" si="2"/>
        <v>4</v>
      </c>
      <c r="D41" s="31">
        <f>'Monthly Data'!J41</f>
        <v>14186658.259878756</v>
      </c>
      <c r="E41" s="33">
        <f>'Monthly Data'!AV41</f>
        <v>299.3</v>
      </c>
      <c r="F41" s="33">
        <f>'Monthly Data'!AW41</f>
        <v>0</v>
      </c>
      <c r="G41" s="33">
        <f>'Monthly Data'!AN41</f>
        <v>5437</v>
      </c>
      <c r="H41" s="8">
        <f>'Monthly Data'!K41</f>
        <v>5377</v>
      </c>
      <c r="I41" s="18">
        <f>'Monthly Data'!BR41</f>
        <v>1</v>
      </c>
      <c r="J41" s="30">
        <f>'Monthly Data'!BT41</f>
        <v>30</v>
      </c>
      <c r="L41" s="18">
        <f>'GS&lt;50 Predicted Monthly'!$X$8</f>
        <v>-8314018.5106493998</v>
      </c>
      <c r="M41" s="18">
        <f>E41*'GS&lt;50 Predicted Monthly'!$X$9</f>
        <v>1410259.6232349051</v>
      </c>
      <c r="N41" s="18">
        <f>F41*'GS&lt;50 Predicted Monthly'!$X$10</f>
        <v>0</v>
      </c>
      <c r="O41" s="18">
        <f>G41*'GS&lt;50 Predicted Monthly'!$X$11</f>
        <v>37353.717431622128</v>
      </c>
      <c r="P41" s="18">
        <f>H41*'GS&lt;50 Predicted Monthly'!$X$12</f>
        <v>9981081.4556108918</v>
      </c>
      <c r="Q41" s="18">
        <f>I41*'GS&lt;50 Predicted Monthly'!$X$13</f>
        <v>-202362.33175645399</v>
      </c>
      <c r="R41" s="18">
        <f>J41*'GS&lt;50 Predicted Monthly'!$X$14</f>
        <v>11002902.38304105</v>
      </c>
      <c r="S41" s="18">
        <f t="shared" si="9"/>
        <v>13915216.336912617</v>
      </c>
      <c r="T41" s="18">
        <f t="shared" si="10"/>
        <v>-271441.92296613939</v>
      </c>
      <c r="U41" s="35">
        <f t="shared" si="11"/>
        <v>1.9133605532305198E-2</v>
      </c>
    </row>
    <row r="42" spans="1:21" x14ac:dyDescent="0.2">
      <c r="A42" s="9">
        <f>'Monthly Data'!A42</f>
        <v>43221</v>
      </c>
      <c r="B42">
        <f t="shared" si="1"/>
        <v>2018</v>
      </c>
      <c r="C42">
        <f t="shared" si="2"/>
        <v>5</v>
      </c>
      <c r="D42" s="31">
        <f>'Monthly Data'!J42</f>
        <v>14557839.090547755</v>
      </c>
      <c r="E42" s="33">
        <f>'Monthly Data'!AV42</f>
        <v>50.5</v>
      </c>
      <c r="F42" s="33">
        <f>'Monthly Data'!AW42</f>
        <v>74.999999999999986</v>
      </c>
      <c r="G42" s="33">
        <f>'Monthly Data'!AN42</f>
        <v>5437</v>
      </c>
      <c r="H42" s="8">
        <f>'Monthly Data'!K42</f>
        <v>5371</v>
      </c>
      <c r="I42" s="18">
        <f>'Monthly Data'!BR42</f>
        <v>1</v>
      </c>
      <c r="J42" s="30">
        <f>'Monthly Data'!BT42</f>
        <v>31</v>
      </c>
      <c r="L42" s="18">
        <f>'GS&lt;50 Predicted Monthly'!$X$8</f>
        <v>-8314018.5106493998</v>
      </c>
      <c r="M42" s="18">
        <f>E42*'GS&lt;50 Predicted Monthly'!$X$9</f>
        <v>237948.9173851076</v>
      </c>
      <c r="N42" s="18">
        <f>F42*'GS&lt;50 Predicted Monthly'!$X$10</f>
        <v>866573.08513087488</v>
      </c>
      <c r="O42" s="18">
        <f>G42*'GS&lt;50 Predicted Monthly'!$X$11</f>
        <v>37353.717431622128</v>
      </c>
      <c r="P42" s="18">
        <f>H42*'GS&lt;50 Predicted Monthly'!$X$12</f>
        <v>9969943.9274848606</v>
      </c>
      <c r="Q42" s="18">
        <f>I42*'GS&lt;50 Predicted Monthly'!$X$13</f>
        <v>-202362.33175645399</v>
      </c>
      <c r="R42" s="18">
        <f>J42*'GS&lt;50 Predicted Monthly'!$X$14</f>
        <v>11369665.795809086</v>
      </c>
      <c r="S42" s="18">
        <f t="shared" si="9"/>
        <v>13965104.6008357</v>
      </c>
      <c r="T42" s="18">
        <f t="shared" si="10"/>
        <v>-592734.48971205577</v>
      </c>
      <c r="U42" s="35">
        <f t="shared" si="11"/>
        <v>4.0715829184903671E-2</v>
      </c>
    </row>
    <row r="43" spans="1:21" x14ac:dyDescent="0.2">
      <c r="A43" s="9">
        <f>'Monthly Data'!A43</f>
        <v>43252</v>
      </c>
      <c r="B43">
        <f t="shared" si="1"/>
        <v>2018</v>
      </c>
      <c r="C43">
        <f t="shared" si="2"/>
        <v>6</v>
      </c>
      <c r="D43" s="31">
        <f>'Monthly Data'!J43</f>
        <v>15372235.921216752</v>
      </c>
      <c r="E43" s="33">
        <f>'Monthly Data'!AV43</f>
        <v>0.60000000000000142</v>
      </c>
      <c r="F43" s="33">
        <f>'Monthly Data'!AW43</f>
        <v>151.49999999999997</v>
      </c>
      <c r="G43" s="33">
        <f>'Monthly Data'!AN43</f>
        <v>5437</v>
      </c>
      <c r="H43" s="8">
        <f>'Monthly Data'!K43</f>
        <v>5437</v>
      </c>
      <c r="I43" s="18">
        <f>'Monthly Data'!BR43</f>
        <v>0</v>
      </c>
      <c r="J43" s="30">
        <f>'Monthly Data'!BT43</f>
        <v>30</v>
      </c>
      <c r="L43" s="18">
        <f>'GS&lt;50 Predicted Monthly'!$X$8</f>
        <v>-8314018.5106493998</v>
      </c>
      <c r="M43" s="18">
        <f>E43*'GS&lt;50 Predicted Monthly'!$X$9</f>
        <v>2827.1158501200971</v>
      </c>
      <c r="N43" s="18">
        <f>F43*'GS&lt;50 Predicted Monthly'!$X$10</f>
        <v>1750477.6319643673</v>
      </c>
      <c r="O43" s="18">
        <f>G43*'GS&lt;50 Predicted Monthly'!$X$11</f>
        <v>37353.717431622128</v>
      </c>
      <c r="P43" s="18">
        <f>H43*'GS&lt;50 Predicted Monthly'!$X$12</f>
        <v>10092456.736871196</v>
      </c>
      <c r="Q43" s="18">
        <f>I43*'GS&lt;50 Predicted Monthly'!$X$13</f>
        <v>0</v>
      </c>
      <c r="R43" s="18">
        <f>J43*'GS&lt;50 Predicted Monthly'!$X$14</f>
        <v>11002902.38304105</v>
      </c>
      <c r="S43" s="18">
        <f t="shared" si="9"/>
        <v>14571999.074508958</v>
      </c>
      <c r="T43" s="18">
        <f t="shared" si="10"/>
        <v>-800236.84670779482</v>
      </c>
      <c r="U43" s="35">
        <f t="shared" si="11"/>
        <v>5.2057283716502707E-2</v>
      </c>
    </row>
    <row r="44" spans="1:21" x14ac:dyDescent="0.2">
      <c r="A44" s="9">
        <f>'Monthly Data'!A44</f>
        <v>43282</v>
      </c>
      <c r="B44">
        <f t="shared" si="1"/>
        <v>2018</v>
      </c>
      <c r="C44">
        <f t="shared" si="2"/>
        <v>7</v>
      </c>
      <c r="D44" s="31">
        <f>'Monthly Data'!J44</f>
        <v>17119387.751885749</v>
      </c>
      <c r="E44" s="33">
        <f>'Monthly Data'!AV44</f>
        <v>0</v>
      </c>
      <c r="F44" s="33">
        <f>'Monthly Data'!AW44</f>
        <v>288.2</v>
      </c>
      <c r="G44" s="33">
        <f>'Monthly Data'!AN44</f>
        <v>9244</v>
      </c>
      <c r="H44" s="8">
        <f>'Monthly Data'!K44</f>
        <v>5443</v>
      </c>
      <c r="I44" s="18">
        <f>'Monthly Data'!BR44</f>
        <v>0</v>
      </c>
      <c r="J44" s="30">
        <f>'Monthly Data'!BT44</f>
        <v>31</v>
      </c>
      <c r="L44" s="18">
        <f>'GS&lt;50 Predicted Monthly'!$X$8</f>
        <v>-8314018.5106493998</v>
      </c>
      <c r="M44" s="18">
        <f>E44*'GS&lt;50 Predicted Monthly'!$X$9</f>
        <v>0</v>
      </c>
      <c r="N44" s="18">
        <f>F44*'GS&lt;50 Predicted Monthly'!$X$10</f>
        <v>3329951.5084629091</v>
      </c>
      <c r="O44" s="18">
        <f>G44*'GS&lt;50 Predicted Monthly'!$X$11</f>
        <v>63508.876942783696</v>
      </c>
      <c r="P44" s="18">
        <f>H44*'GS&lt;50 Predicted Monthly'!$X$12</f>
        <v>10103594.264997225</v>
      </c>
      <c r="Q44" s="18">
        <f>I44*'GS&lt;50 Predicted Monthly'!$X$13</f>
        <v>0</v>
      </c>
      <c r="R44" s="18">
        <f>J44*'GS&lt;50 Predicted Monthly'!$X$14</f>
        <v>11369665.795809086</v>
      </c>
      <c r="S44" s="18">
        <f t="shared" si="9"/>
        <v>16552701.935562605</v>
      </c>
      <c r="T44" s="18">
        <f t="shared" si="10"/>
        <v>-566685.81632314436</v>
      </c>
      <c r="U44" s="35">
        <f t="shared" si="11"/>
        <v>3.3101990826787733E-2</v>
      </c>
    </row>
    <row r="45" spans="1:21" x14ac:dyDescent="0.2">
      <c r="A45" s="9">
        <f>'Monthly Data'!A45</f>
        <v>43313</v>
      </c>
      <c r="B45">
        <f t="shared" si="1"/>
        <v>2018</v>
      </c>
      <c r="C45">
        <f t="shared" si="2"/>
        <v>8</v>
      </c>
      <c r="D45" s="31">
        <f>'Monthly Data'!J45</f>
        <v>16940976.582554746</v>
      </c>
      <c r="E45" s="33">
        <f>'Monthly Data'!AV45</f>
        <v>0</v>
      </c>
      <c r="F45" s="33">
        <f>'Monthly Data'!AW45</f>
        <v>287.79999999999995</v>
      </c>
      <c r="G45" s="33">
        <f>'Monthly Data'!AN45</f>
        <v>9244</v>
      </c>
      <c r="H45" s="8">
        <f>'Monthly Data'!K45</f>
        <v>5466</v>
      </c>
      <c r="I45" s="18">
        <f>'Monthly Data'!BR45</f>
        <v>0</v>
      </c>
      <c r="J45" s="30">
        <f>'Monthly Data'!BT45</f>
        <v>31</v>
      </c>
      <c r="L45" s="18">
        <f>'GS&lt;50 Predicted Monthly'!$X$8</f>
        <v>-8314018.5106493998</v>
      </c>
      <c r="M45" s="18">
        <f>E45*'GS&lt;50 Predicted Monthly'!$X$9</f>
        <v>0</v>
      </c>
      <c r="N45" s="18">
        <f>F45*'GS&lt;50 Predicted Monthly'!$X$10</f>
        <v>3325329.7853422109</v>
      </c>
      <c r="O45" s="18">
        <f>G45*'GS&lt;50 Predicted Monthly'!$X$11</f>
        <v>63508.876942783696</v>
      </c>
      <c r="P45" s="18">
        <f>H45*'GS&lt;50 Predicted Monthly'!$X$12</f>
        <v>10146288.122813676</v>
      </c>
      <c r="Q45" s="18">
        <f>I45*'GS&lt;50 Predicted Monthly'!$X$13</f>
        <v>0</v>
      </c>
      <c r="R45" s="18">
        <f>J45*'GS&lt;50 Predicted Monthly'!$X$14</f>
        <v>11369665.795809086</v>
      </c>
      <c r="S45" s="18">
        <f t="shared" si="9"/>
        <v>16590774.070258357</v>
      </c>
      <c r="T45" s="18">
        <f t="shared" si="10"/>
        <v>-350202.51229638979</v>
      </c>
      <c r="U45" s="35">
        <f t="shared" si="11"/>
        <v>2.0671919979927053E-2</v>
      </c>
    </row>
    <row r="46" spans="1:21" x14ac:dyDescent="0.2">
      <c r="A46" s="9">
        <f>'Monthly Data'!A46</f>
        <v>43344</v>
      </c>
      <c r="B46">
        <f t="shared" si="1"/>
        <v>2018</v>
      </c>
      <c r="C46">
        <f t="shared" si="2"/>
        <v>9</v>
      </c>
      <c r="D46" s="31">
        <f>'Monthly Data'!J46</f>
        <v>15120534.413223745</v>
      </c>
      <c r="E46" s="33">
        <f>'Monthly Data'!AV46</f>
        <v>2.0000000000000018</v>
      </c>
      <c r="F46" s="33">
        <f>'Monthly Data'!AW46</f>
        <v>165.40000000000003</v>
      </c>
      <c r="G46" s="33">
        <f>'Monthly Data'!AN46</f>
        <v>9244</v>
      </c>
      <c r="H46" s="8">
        <f>'Monthly Data'!K46</f>
        <v>5466</v>
      </c>
      <c r="I46" s="18">
        <f>'Monthly Data'!BR46</f>
        <v>1</v>
      </c>
      <c r="J46" s="30">
        <f>'Monthly Data'!BT46</f>
        <v>30</v>
      </c>
      <c r="L46" s="18">
        <f>'GS&lt;50 Predicted Monthly'!$X$8</f>
        <v>-8314018.5106493998</v>
      </c>
      <c r="M46" s="18">
        <f>E46*'GS&lt;50 Predicted Monthly'!$X$9</f>
        <v>9423.7195004003097</v>
      </c>
      <c r="N46" s="18">
        <f>F46*'GS&lt;50 Predicted Monthly'!$X$10</f>
        <v>1911082.5104086236</v>
      </c>
      <c r="O46" s="18">
        <f>G46*'GS&lt;50 Predicted Monthly'!$X$11</f>
        <v>63508.876942783696</v>
      </c>
      <c r="P46" s="18">
        <f>H46*'GS&lt;50 Predicted Monthly'!$X$12</f>
        <v>10146288.122813676</v>
      </c>
      <c r="Q46" s="18">
        <f>I46*'GS&lt;50 Predicted Monthly'!$X$13</f>
        <v>-202362.33175645399</v>
      </c>
      <c r="R46" s="18">
        <f>J46*'GS&lt;50 Predicted Monthly'!$X$14</f>
        <v>11002902.38304105</v>
      </c>
      <c r="S46" s="18">
        <f t="shared" si="9"/>
        <v>14616824.770300679</v>
      </c>
      <c r="T46" s="18">
        <f t="shared" si="10"/>
        <v>-503709.64292306639</v>
      </c>
      <c r="U46" s="35">
        <f t="shared" si="11"/>
        <v>3.3312952383650167E-2</v>
      </c>
    </row>
    <row r="47" spans="1:21" x14ac:dyDescent="0.2">
      <c r="A47" s="9">
        <f>'Monthly Data'!A47</f>
        <v>43374</v>
      </c>
      <c r="B47">
        <f t="shared" si="1"/>
        <v>2018</v>
      </c>
      <c r="C47">
        <f t="shared" si="2"/>
        <v>10</v>
      </c>
      <c r="D47" s="31">
        <f>'Monthly Data'!J47</f>
        <v>14207629.243892744</v>
      </c>
      <c r="E47" s="33">
        <f>'Monthly Data'!AV47</f>
        <v>132.70000000000002</v>
      </c>
      <c r="F47" s="33">
        <f>'Monthly Data'!AW47</f>
        <v>28.7</v>
      </c>
      <c r="G47" s="33">
        <f>'Monthly Data'!AN47</f>
        <v>5492</v>
      </c>
      <c r="H47" s="8">
        <f>'Monthly Data'!K47</f>
        <v>5469</v>
      </c>
      <c r="I47" s="18">
        <f>'Monthly Data'!BR47</f>
        <v>1</v>
      </c>
      <c r="J47" s="30">
        <f>'Monthly Data'!BT47</f>
        <v>31</v>
      </c>
      <c r="L47" s="18">
        <f>'GS&lt;50 Predicted Monthly'!$X$8</f>
        <v>-8314018.5106493998</v>
      </c>
      <c r="M47" s="18">
        <f>E47*'GS&lt;50 Predicted Monthly'!$X$9</f>
        <v>625263.78885155998</v>
      </c>
      <c r="N47" s="18">
        <f>F47*'GS&lt;50 Predicted Monthly'!$X$10</f>
        <v>331608.63391008152</v>
      </c>
      <c r="O47" s="18">
        <f>G47*'GS&lt;50 Predicted Monthly'!$X$11</f>
        <v>37731.582882926014</v>
      </c>
      <c r="P47" s="18">
        <f>H47*'GS&lt;50 Predicted Monthly'!$X$12</f>
        <v>10151856.886876691</v>
      </c>
      <c r="Q47" s="18">
        <f>I47*'GS&lt;50 Predicted Monthly'!$X$13</f>
        <v>-202362.33175645399</v>
      </c>
      <c r="R47" s="18">
        <f>J47*'GS&lt;50 Predicted Monthly'!$X$14</f>
        <v>11369665.795809086</v>
      </c>
      <c r="S47" s="18">
        <f t="shared" si="9"/>
        <v>13999745.845924491</v>
      </c>
      <c r="T47" s="18">
        <f t="shared" si="10"/>
        <v>-207883.39796825312</v>
      </c>
      <c r="U47" s="35">
        <f t="shared" si="11"/>
        <v>1.463181466799701E-2</v>
      </c>
    </row>
    <row r="48" spans="1:21" x14ac:dyDescent="0.2">
      <c r="A48" s="9">
        <f>'Monthly Data'!A48</f>
        <v>43405</v>
      </c>
      <c r="B48">
        <f t="shared" si="1"/>
        <v>2018</v>
      </c>
      <c r="C48">
        <f t="shared" si="2"/>
        <v>11</v>
      </c>
      <c r="D48" s="31">
        <f>'Monthly Data'!J48</f>
        <v>14691641.074561741</v>
      </c>
      <c r="E48" s="33">
        <f>'Monthly Data'!AV48</f>
        <v>332.40000000000003</v>
      </c>
      <c r="F48" s="33">
        <f>'Monthly Data'!AW48</f>
        <v>0</v>
      </c>
      <c r="G48" s="33">
        <f>'Monthly Data'!AN48</f>
        <v>5492</v>
      </c>
      <c r="H48" s="8">
        <f>'Monthly Data'!K48</f>
        <v>5496</v>
      </c>
      <c r="I48" s="18">
        <f>'Monthly Data'!BR48</f>
        <v>1</v>
      </c>
      <c r="J48" s="30">
        <f>'Monthly Data'!BT48</f>
        <v>30</v>
      </c>
      <c r="L48" s="18">
        <f>'GS&lt;50 Predicted Monthly'!$X$8</f>
        <v>-8314018.5106493998</v>
      </c>
      <c r="M48" s="18">
        <f>E48*'GS&lt;50 Predicted Monthly'!$X$9</f>
        <v>1566222.1809665302</v>
      </c>
      <c r="N48" s="18">
        <f>F48*'GS&lt;50 Predicted Monthly'!$X$10</f>
        <v>0</v>
      </c>
      <c r="O48" s="18">
        <f>G48*'GS&lt;50 Predicted Monthly'!$X$11</f>
        <v>37731.582882926014</v>
      </c>
      <c r="P48" s="18">
        <f>H48*'GS&lt;50 Predicted Monthly'!$X$12</f>
        <v>10201975.763443828</v>
      </c>
      <c r="Q48" s="18">
        <f>I48*'GS&lt;50 Predicted Monthly'!$X$13</f>
        <v>-202362.33175645399</v>
      </c>
      <c r="R48" s="18">
        <f>J48*'GS&lt;50 Predicted Monthly'!$X$14</f>
        <v>11002902.38304105</v>
      </c>
      <c r="S48" s="18">
        <f t="shared" si="9"/>
        <v>14292451.06792848</v>
      </c>
      <c r="T48" s="18">
        <f t="shared" si="10"/>
        <v>-399190.00663326122</v>
      </c>
      <c r="U48" s="35">
        <f t="shared" si="11"/>
        <v>2.7171233261643595E-2</v>
      </c>
    </row>
    <row r="49" spans="1:24" x14ac:dyDescent="0.2">
      <c r="A49" s="9">
        <f>'Monthly Data'!A49</f>
        <v>43435</v>
      </c>
      <c r="B49">
        <f t="shared" si="1"/>
        <v>2018</v>
      </c>
      <c r="C49">
        <f t="shared" si="2"/>
        <v>12</v>
      </c>
      <c r="D49" s="31">
        <f>'Monthly Data'!J49</f>
        <v>15557414.90523074</v>
      </c>
      <c r="E49" s="33">
        <f>'Monthly Data'!AV49</f>
        <v>392.00000000000006</v>
      </c>
      <c r="F49" s="33">
        <f>'Monthly Data'!AW49</f>
        <v>0</v>
      </c>
      <c r="G49" s="33">
        <f>'Monthly Data'!AN49</f>
        <v>5492</v>
      </c>
      <c r="H49" s="8">
        <f>'Monthly Data'!K49</f>
        <v>5494</v>
      </c>
      <c r="I49" s="18">
        <f>'Monthly Data'!BR49</f>
        <v>0</v>
      </c>
      <c r="J49" s="30">
        <f>'Monthly Data'!BT49</f>
        <v>31</v>
      </c>
      <c r="L49" s="18">
        <f>'GS&lt;50 Predicted Monthly'!$X$8</f>
        <v>-8314018.5106493998</v>
      </c>
      <c r="M49" s="18">
        <f>E49*'GS&lt;50 Predicted Monthly'!$X$9</f>
        <v>1847049.0220784592</v>
      </c>
      <c r="N49" s="18">
        <f>F49*'GS&lt;50 Predicted Monthly'!$X$10</f>
        <v>0</v>
      </c>
      <c r="O49" s="18">
        <f>G49*'GS&lt;50 Predicted Monthly'!$X$11</f>
        <v>37731.582882926014</v>
      </c>
      <c r="P49" s="18">
        <f>H49*'GS&lt;50 Predicted Monthly'!$X$12</f>
        <v>10198263.254068485</v>
      </c>
      <c r="Q49" s="18">
        <f>I49*'GS&lt;50 Predicted Monthly'!$X$13</f>
        <v>0</v>
      </c>
      <c r="R49" s="18">
        <f>J49*'GS&lt;50 Predicted Monthly'!$X$14</f>
        <v>11369665.795809086</v>
      </c>
      <c r="S49" s="18">
        <f t="shared" si="9"/>
        <v>15138691.144189555</v>
      </c>
      <c r="T49" s="18">
        <f t="shared" si="10"/>
        <v>-418723.76104118489</v>
      </c>
      <c r="U49" s="35">
        <f t="shared" si="11"/>
        <v>2.6914738958360034E-2</v>
      </c>
    </row>
    <row r="50" spans="1:24" x14ac:dyDescent="0.2">
      <c r="A50" s="9">
        <f>'Monthly Data'!A50</f>
        <v>43466</v>
      </c>
      <c r="B50">
        <f t="shared" si="1"/>
        <v>2019</v>
      </c>
      <c r="C50">
        <f t="shared" si="2"/>
        <v>1</v>
      </c>
      <c r="D50" s="31">
        <f>'Monthly Data'!J50</f>
        <v>16535161.594954573</v>
      </c>
      <c r="E50" s="33">
        <f>'Monthly Data'!AV50</f>
        <v>576</v>
      </c>
      <c r="F50" s="33">
        <f>'Monthly Data'!AW50</f>
        <v>0</v>
      </c>
      <c r="G50" s="33">
        <f>'Monthly Data'!AN50</f>
        <v>1092</v>
      </c>
      <c r="H50" s="8">
        <f>'Monthly Data'!K50</f>
        <v>5499</v>
      </c>
      <c r="I50" s="18">
        <f>'Monthly Data'!BR50</f>
        <v>0</v>
      </c>
      <c r="J50" s="30">
        <f>'Monthly Data'!BT50</f>
        <v>31</v>
      </c>
      <c r="L50" s="18">
        <f>'GS&lt;50 Predicted Monthly'!$X$8</f>
        <v>-8314018.5106493998</v>
      </c>
      <c r="M50" s="18">
        <f>E50*'GS&lt;50 Predicted Monthly'!$X$9</f>
        <v>2714031.2161152866</v>
      </c>
      <c r="N50" s="18">
        <f>F50*'GS&lt;50 Predicted Monthly'!$X$10</f>
        <v>0</v>
      </c>
      <c r="O50" s="18">
        <f>G50*'GS&lt;50 Predicted Monthly'!$X$11</f>
        <v>7502.346778615296</v>
      </c>
      <c r="P50" s="18">
        <f>H50*'GS&lt;50 Predicted Monthly'!$X$12</f>
        <v>10207544.527506843</v>
      </c>
      <c r="Q50" s="18">
        <f>I50*'GS&lt;50 Predicted Monthly'!$X$13</f>
        <v>0</v>
      </c>
      <c r="R50" s="18">
        <f>J50*'GS&lt;50 Predicted Monthly'!$X$14</f>
        <v>11369665.795809086</v>
      </c>
      <c r="S50" s="18">
        <f t="shared" si="9"/>
        <v>15984725.375560433</v>
      </c>
      <c r="T50" s="18">
        <f t="shared" si="10"/>
        <v>-550436.21939413995</v>
      </c>
      <c r="U50" s="35">
        <f t="shared" si="11"/>
        <v>3.3288832179426436E-2</v>
      </c>
    </row>
    <row r="51" spans="1:24" x14ac:dyDescent="0.2">
      <c r="A51" s="9">
        <f>'Monthly Data'!A51</f>
        <v>43497</v>
      </c>
      <c r="B51">
        <f t="shared" si="1"/>
        <v>2019</v>
      </c>
      <c r="C51">
        <f t="shared" si="2"/>
        <v>2</v>
      </c>
      <c r="D51" s="31">
        <f>'Monthly Data'!J51</f>
        <v>15287128.896075014</v>
      </c>
      <c r="E51" s="33">
        <f>'Monthly Data'!AV51</f>
        <v>459.70000000000005</v>
      </c>
      <c r="F51" s="33">
        <f>'Monthly Data'!AW51</f>
        <v>0</v>
      </c>
      <c r="G51" s="33">
        <f>'Monthly Data'!AN51</f>
        <v>1092</v>
      </c>
      <c r="H51" s="8">
        <f>'Monthly Data'!K51</f>
        <v>5507</v>
      </c>
      <c r="I51" s="18">
        <f>'Monthly Data'!BR51</f>
        <v>0</v>
      </c>
      <c r="J51" s="30">
        <f>'Monthly Data'!BT51</f>
        <v>28</v>
      </c>
      <c r="L51" s="18">
        <f>'GS&lt;50 Predicted Monthly'!$X$8</f>
        <v>-8314018.5106493998</v>
      </c>
      <c r="M51" s="18">
        <f>E51*'GS&lt;50 Predicted Monthly'!$X$9</f>
        <v>2166041.9271670091</v>
      </c>
      <c r="N51" s="18">
        <f>F51*'GS&lt;50 Predicted Monthly'!$X$10</f>
        <v>0</v>
      </c>
      <c r="O51" s="18">
        <f>G51*'GS&lt;50 Predicted Monthly'!$X$11</f>
        <v>7502.346778615296</v>
      </c>
      <c r="P51" s="18">
        <f>H51*'GS&lt;50 Predicted Monthly'!$X$12</f>
        <v>10222394.565008217</v>
      </c>
      <c r="Q51" s="18">
        <f>I51*'GS&lt;50 Predicted Monthly'!$X$13</f>
        <v>0</v>
      </c>
      <c r="R51" s="18">
        <f>J51*'GS&lt;50 Predicted Monthly'!$X$14</f>
        <v>10269375.55750498</v>
      </c>
      <c r="S51" s="18">
        <f t="shared" si="9"/>
        <v>14351295.885809422</v>
      </c>
      <c r="T51" s="18">
        <f t="shared" si="10"/>
        <v>-935833.01026559249</v>
      </c>
      <c r="U51" s="35">
        <f t="shared" si="11"/>
        <v>6.1217054989695846E-2</v>
      </c>
    </row>
    <row r="52" spans="1:24" x14ac:dyDescent="0.2">
      <c r="A52" s="9">
        <f>'Monthly Data'!A52</f>
        <v>43525</v>
      </c>
      <c r="B52">
        <f t="shared" si="1"/>
        <v>2019</v>
      </c>
      <c r="C52">
        <f t="shared" si="2"/>
        <v>3</v>
      </c>
      <c r="D52" s="31">
        <f>'Monthly Data'!J52</f>
        <v>16050310.197195457</v>
      </c>
      <c r="E52" s="33">
        <f>'Monthly Data'!AV52</f>
        <v>432.49999999999989</v>
      </c>
      <c r="F52" s="33">
        <f>'Monthly Data'!AW52</f>
        <v>0</v>
      </c>
      <c r="G52" s="33">
        <f>'Monthly Data'!AN52</f>
        <v>1092</v>
      </c>
      <c r="H52" s="8">
        <f>'Monthly Data'!K52</f>
        <v>5500</v>
      </c>
      <c r="I52" s="18">
        <f>'Monthly Data'!BR52</f>
        <v>1</v>
      </c>
      <c r="J52" s="30">
        <f>'Monthly Data'!BT52</f>
        <v>31</v>
      </c>
      <c r="L52" s="18">
        <f>'GS&lt;50 Predicted Monthly'!$X$8</f>
        <v>-8314018.5106493998</v>
      </c>
      <c r="M52" s="18">
        <f>E52*'GS&lt;50 Predicted Monthly'!$X$9</f>
        <v>2037879.3419615645</v>
      </c>
      <c r="N52" s="18">
        <f>F52*'GS&lt;50 Predicted Monthly'!$X$10</f>
        <v>0</v>
      </c>
      <c r="O52" s="18">
        <f>G52*'GS&lt;50 Predicted Monthly'!$X$11</f>
        <v>7502.346778615296</v>
      </c>
      <c r="P52" s="18">
        <f>H52*'GS&lt;50 Predicted Monthly'!$X$12</f>
        <v>10209400.782194514</v>
      </c>
      <c r="Q52" s="18">
        <f>I52*'GS&lt;50 Predicted Monthly'!$X$13</f>
        <v>-202362.33175645399</v>
      </c>
      <c r="R52" s="18">
        <f>J52*'GS&lt;50 Predicted Monthly'!$X$14</f>
        <v>11369665.795809086</v>
      </c>
      <c r="S52" s="18">
        <f t="shared" si="9"/>
        <v>15108067.424337927</v>
      </c>
      <c r="T52" s="18">
        <f t="shared" si="10"/>
        <v>-942242.77285753004</v>
      </c>
      <c r="U52" s="35">
        <f t="shared" si="11"/>
        <v>5.8705580221257804E-2</v>
      </c>
    </row>
    <row r="53" spans="1:24" x14ac:dyDescent="0.2">
      <c r="A53" s="9">
        <f>'Monthly Data'!A53</f>
        <v>43556</v>
      </c>
      <c r="B53">
        <f t="shared" si="1"/>
        <v>2019</v>
      </c>
      <c r="C53">
        <f t="shared" si="2"/>
        <v>4</v>
      </c>
      <c r="D53" s="31">
        <f>'Monthly Data'!J53</f>
        <v>14274222.498315901</v>
      </c>
      <c r="E53" s="33">
        <f>'Monthly Data'!AV53</f>
        <v>231.89999999999995</v>
      </c>
      <c r="F53" s="33">
        <f>'Monthly Data'!AW53</f>
        <v>0</v>
      </c>
      <c r="G53" s="33">
        <f>'Monthly Data'!AN53</f>
        <v>5906</v>
      </c>
      <c r="H53" s="8">
        <f>'Monthly Data'!K53</f>
        <v>5496</v>
      </c>
      <c r="I53" s="18">
        <f>'Monthly Data'!BR53</f>
        <v>1</v>
      </c>
      <c r="J53" s="30">
        <f>'Monthly Data'!BT53</f>
        <v>30</v>
      </c>
      <c r="L53" s="18">
        <f>'GS&lt;50 Predicted Monthly'!$X$8</f>
        <v>-8314018.5106493998</v>
      </c>
      <c r="M53" s="18">
        <f>E53*'GS&lt;50 Predicted Monthly'!$X$9</f>
        <v>1092680.2760714146</v>
      </c>
      <c r="N53" s="18">
        <f>F53*'GS&lt;50 Predicted Monthly'!$X$10</f>
        <v>0</v>
      </c>
      <c r="O53" s="18">
        <f>G53*'GS&lt;50 Predicted Monthly'!$X$11</f>
        <v>40575.879189104337</v>
      </c>
      <c r="P53" s="18">
        <f>H53*'GS&lt;50 Predicted Monthly'!$X$12</f>
        <v>10201975.763443828</v>
      </c>
      <c r="Q53" s="18">
        <f>I53*'GS&lt;50 Predicted Monthly'!$X$13</f>
        <v>-202362.33175645399</v>
      </c>
      <c r="R53" s="18">
        <f>J53*'GS&lt;50 Predicted Monthly'!$X$14</f>
        <v>11002902.38304105</v>
      </c>
      <c r="S53" s="18">
        <f t="shared" si="9"/>
        <v>13821753.459339544</v>
      </c>
      <c r="T53" s="18">
        <f t="shared" si="10"/>
        <v>-452469.03897635639</v>
      </c>
      <c r="U53" s="35">
        <f t="shared" si="11"/>
        <v>3.1698331662529396E-2</v>
      </c>
    </row>
    <row r="54" spans="1:24" x14ac:dyDescent="0.2">
      <c r="A54" s="9">
        <f>'Monthly Data'!A54</f>
        <v>43586</v>
      </c>
      <c r="B54">
        <f t="shared" si="1"/>
        <v>2019</v>
      </c>
      <c r="C54">
        <f t="shared" si="2"/>
        <v>5</v>
      </c>
      <c r="D54" s="31">
        <f>'Monthly Data'!J54</f>
        <v>14029473.799436344</v>
      </c>
      <c r="E54" s="33">
        <f>'Monthly Data'!AV54</f>
        <v>105.80000000000003</v>
      </c>
      <c r="F54" s="33">
        <f>'Monthly Data'!AW54</f>
        <v>14.6</v>
      </c>
      <c r="G54" s="33">
        <f>'Monthly Data'!AN54</f>
        <v>5906</v>
      </c>
      <c r="H54" s="8">
        <f>'Monthly Data'!K54</f>
        <v>5489</v>
      </c>
      <c r="I54" s="18">
        <f>'Monthly Data'!BR54</f>
        <v>1</v>
      </c>
      <c r="J54" s="30">
        <f>'Monthly Data'!BT54</f>
        <v>31</v>
      </c>
      <c r="L54" s="18">
        <f>'GS&lt;50 Predicted Monthly'!$X$8</f>
        <v>-8314018.5106493998</v>
      </c>
      <c r="M54" s="18">
        <f>E54*'GS&lt;50 Predicted Monthly'!$X$9</f>
        <v>498514.761571176</v>
      </c>
      <c r="N54" s="18">
        <f>F54*'GS&lt;50 Predicted Monthly'!$X$10</f>
        <v>168692.89390547702</v>
      </c>
      <c r="O54" s="18">
        <f>G54*'GS&lt;50 Predicted Monthly'!$X$11</f>
        <v>40575.879189104337</v>
      </c>
      <c r="P54" s="18">
        <f>H54*'GS&lt;50 Predicted Monthly'!$X$12</f>
        <v>10188981.980630126</v>
      </c>
      <c r="Q54" s="18">
        <f>I54*'GS&lt;50 Predicted Monthly'!$X$13</f>
        <v>-202362.33175645399</v>
      </c>
      <c r="R54" s="18">
        <f>J54*'GS&lt;50 Predicted Monthly'!$X$14</f>
        <v>11369665.795809086</v>
      </c>
      <c r="S54" s="18">
        <f t="shared" si="9"/>
        <v>13750050.468699116</v>
      </c>
      <c r="T54" s="18">
        <f t="shared" si="10"/>
        <v>-279423.33073722757</v>
      </c>
      <c r="U54" s="35">
        <f t="shared" si="11"/>
        <v>1.9916878903074316E-2</v>
      </c>
    </row>
    <row r="55" spans="1:24" x14ac:dyDescent="0.2">
      <c r="A55" s="9">
        <f>'Monthly Data'!A55</f>
        <v>43617</v>
      </c>
      <c r="B55">
        <f t="shared" si="1"/>
        <v>2019</v>
      </c>
      <c r="C55">
        <f t="shared" si="2"/>
        <v>6</v>
      </c>
      <c r="D55" s="31">
        <f>'Monthly Data'!J55</f>
        <v>14575779.100556785</v>
      </c>
      <c r="E55" s="33">
        <f>'Monthly Data'!AV55</f>
        <v>4.3999999999999986</v>
      </c>
      <c r="F55" s="33">
        <f>'Monthly Data'!AW55</f>
        <v>103.60000000000002</v>
      </c>
      <c r="G55" s="33">
        <f>'Monthly Data'!AN55</f>
        <v>5906</v>
      </c>
      <c r="H55" s="8">
        <f>'Monthly Data'!K55</f>
        <v>5489</v>
      </c>
      <c r="I55" s="18">
        <f>'Monthly Data'!BR55</f>
        <v>0</v>
      </c>
      <c r="J55" s="30">
        <f>'Monthly Data'!BT55</f>
        <v>30</v>
      </c>
      <c r="L55" s="18">
        <f>'GS&lt;50 Predicted Monthly'!$X$8</f>
        <v>-8314018.5106493998</v>
      </c>
      <c r="M55" s="18">
        <f>E55*'GS&lt;50 Predicted Monthly'!$X$9</f>
        <v>20732.182900880656</v>
      </c>
      <c r="N55" s="18">
        <f>F55*'GS&lt;50 Predicted Monthly'!$X$10</f>
        <v>1197026.2882607824</v>
      </c>
      <c r="O55" s="18">
        <f>G55*'GS&lt;50 Predicted Monthly'!$X$11</f>
        <v>40575.879189104337</v>
      </c>
      <c r="P55" s="18">
        <f>H55*'GS&lt;50 Predicted Monthly'!$X$12</f>
        <v>10188981.980630126</v>
      </c>
      <c r="Q55" s="18">
        <f>I55*'GS&lt;50 Predicted Monthly'!$X$13</f>
        <v>0</v>
      </c>
      <c r="R55" s="18">
        <f>J55*'GS&lt;50 Predicted Monthly'!$X$14</f>
        <v>11002902.38304105</v>
      </c>
      <c r="S55" s="18">
        <f t="shared" si="9"/>
        <v>14136200.203372544</v>
      </c>
      <c r="T55" s="18">
        <f t="shared" si="10"/>
        <v>-439578.89718424156</v>
      </c>
      <c r="U55" s="35">
        <f t="shared" si="11"/>
        <v>3.0158175021152037E-2</v>
      </c>
    </row>
    <row r="56" spans="1:24" x14ac:dyDescent="0.2">
      <c r="A56" s="9">
        <f>'Monthly Data'!A56</f>
        <v>43647</v>
      </c>
      <c r="B56">
        <f t="shared" si="1"/>
        <v>2019</v>
      </c>
      <c r="C56">
        <f t="shared" si="2"/>
        <v>7</v>
      </c>
      <c r="D56" s="31">
        <f>'Monthly Data'!J56</f>
        <v>17103909.401677229</v>
      </c>
      <c r="E56" s="33">
        <f>'Monthly Data'!AV56</f>
        <v>0</v>
      </c>
      <c r="F56" s="33">
        <f>'Monthly Data'!AW56</f>
        <v>276.59999999999997</v>
      </c>
      <c r="G56" s="33">
        <f>'Monthly Data'!AN56</f>
        <v>3717</v>
      </c>
      <c r="H56" s="8">
        <f>'Monthly Data'!K56</f>
        <v>5495</v>
      </c>
      <c r="I56" s="18">
        <f>'Monthly Data'!BR56</f>
        <v>0</v>
      </c>
      <c r="J56" s="30">
        <f>'Monthly Data'!BT56</f>
        <v>31</v>
      </c>
      <c r="L56" s="18">
        <f>'GS&lt;50 Predicted Monthly'!$X$8</f>
        <v>-8314018.5106493998</v>
      </c>
      <c r="M56" s="18">
        <f>E56*'GS&lt;50 Predicted Monthly'!$X$9</f>
        <v>0</v>
      </c>
      <c r="N56" s="18">
        <f>F56*'GS&lt;50 Predicted Monthly'!$X$10</f>
        <v>3195921.5379626667</v>
      </c>
      <c r="O56" s="18">
        <f>G56*'GS&lt;50 Predicted Monthly'!$X$11</f>
        <v>25536.834227209758</v>
      </c>
      <c r="P56" s="18">
        <f>H56*'GS&lt;50 Predicted Monthly'!$X$12</f>
        <v>10200119.508756155</v>
      </c>
      <c r="Q56" s="18">
        <f>I56*'GS&lt;50 Predicted Monthly'!$X$13</f>
        <v>0</v>
      </c>
      <c r="R56" s="18">
        <f>J56*'GS&lt;50 Predicted Monthly'!$X$14</f>
        <v>11369665.795809086</v>
      </c>
      <c r="S56" s="18">
        <f t="shared" si="9"/>
        <v>16477225.166105717</v>
      </c>
      <c r="T56" s="18">
        <f t="shared" si="10"/>
        <v>-626684.23557151109</v>
      </c>
      <c r="U56" s="35">
        <f t="shared" si="11"/>
        <v>3.6639824314671457E-2</v>
      </c>
    </row>
    <row r="57" spans="1:24" x14ac:dyDescent="0.2">
      <c r="A57" s="9">
        <f>'Monthly Data'!A57</f>
        <v>43678</v>
      </c>
      <c r="B57">
        <f t="shared" si="1"/>
        <v>2019</v>
      </c>
      <c r="C57">
        <f t="shared" si="2"/>
        <v>8</v>
      </c>
      <c r="D57" s="31">
        <f>'Monthly Data'!J57</f>
        <v>16383214.702797672</v>
      </c>
      <c r="E57" s="33">
        <f>'Monthly Data'!AV57</f>
        <v>0</v>
      </c>
      <c r="F57" s="33">
        <f>'Monthly Data'!AW57</f>
        <v>225.29999999999998</v>
      </c>
      <c r="G57" s="33">
        <f>'Monthly Data'!AN57</f>
        <v>3717</v>
      </c>
      <c r="H57" s="8">
        <f>'Monthly Data'!K57</f>
        <v>5492</v>
      </c>
      <c r="I57" s="18">
        <f>'Monthly Data'!BR57</f>
        <v>0</v>
      </c>
      <c r="J57" s="30">
        <f>'Monthly Data'!BT57</f>
        <v>31</v>
      </c>
      <c r="L57" s="18">
        <f>'GS&lt;50 Predicted Monthly'!$X$8</f>
        <v>-8314018.5106493998</v>
      </c>
      <c r="M57" s="18">
        <f>E57*'GS&lt;50 Predicted Monthly'!$X$9</f>
        <v>0</v>
      </c>
      <c r="N57" s="18">
        <f>F57*'GS&lt;50 Predicted Monthly'!$X$10</f>
        <v>2603185.5477331486</v>
      </c>
      <c r="O57" s="18">
        <f>G57*'GS&lt;50 Predicted Monthly'!$X$11</f>
        <v>25536.834227209758</v>
      </c>
      <c r="P57" s="18">
        <f>H57*'GS&lt;50 Predicted Monthly'!$X$12</f>
        <v>10194550.744693141</v>
      </c>
      <c r="Q57" s="18">
        <f>I57*'GS&lt;50 Predicted Monthly'!$X$13</f>
        <v>0</v>
      </c>
      <c r="R57" s="18">
        <f>J57*'GS&lt;50 Predicted Monthly'!$X$14</f>
        <v>11369665.795809086</v>
      </c>
      <c r="S57" s="18">
        <f t="shared" si="9"/>
        <v>15878920.411813186</v>
      </c>
      <c r="T57" s="18">
        <f t="shared" si="10"/>
        <v>-504294.2909844853</v>
      </c>
      <c r="U57" s="35">
        <f t="shared" si="11"/>
        <v>3.0781156209737624E-2</v>
      </c>
    </row>
    <row r="58" spans="1:24" x14ac:dyDescent="0.2">
      <c r="A58" s="9">
        <f>'Monthly Data'!A58</f>
        <v>43709</v>
      </c>
      <c r="B58">
        <f t="shared" si="1"/>
        <v>2019</v>
      </c>
      <c r="C58">
        <f t="shared" si="2"/>
        <v>9</v>
      </c>
      <c r="D58" s="31">
        <f>'Monthly Data'!J58</f>
        <v>14536936.003918113</v>
      </c>
      <c r="E58" s="33">
        <f>'Monthly Data'!AV58</f>
        <v>0.30000000000000071</v>
      </c>
      <c r="F58" s="33">
        <f>'Monthly Data'!AW58</f>
        <v>133.90000000000003</v>
      </c>
      <c r="G58" s="33">
        <f>'Monthly Data'!AN58</f>
        <v>3717</v>
      </c>
      <c r="H58" s="8">
        <f>'Monthly Data'!K58</f>
        <v>5496</v>
      </c>
      <c r="I58" s="18">
        <f>'Monthly Data'!BR58</f>
        <v>1</v>
      </c>
      <c r="J58" s="30">
        <f>'Monthly Data'!BT58</f>
        <v>30</v>
      </c>
      <c r="L58" s="18">
        <f>'GS&lt;50 Predicted Monthly'!$X$8</f>
        <v>-8314018.5106493998</v>
      </c>
      <c r="M58" s="18">
        <f>E58*'GS&lt;50 Predicted Monthly'!$X$9</f>
        <v>1413.5579250600485</v>
      </c>
      <c r="N58" s="18">
        <f>F58*'GS&lt;50 Predicted Monthly'!$X$10</f>
        <v>1547121.814653656</v>
      </c>
      <c r="O58" s="18">
        <f>G58*'GS&lt;50 Predicted Monthly'!$X$11</f>
        <v>25536.834227209758</v>
      </c>
      <c r="P58" s="18">
        <f>H58*'GS&lt;50 Predicted Monthly'!$X$12</f>
        <v>10201975.763443828</v>
      </c>
      <c r="Q58" s="18">
        <f>I58*'GS&lt;50 Predicted Monthly'!$X$13</f>
        <v>-202362.33175645399</v>
      </c>
      <c r="R58" s="18">
        <f>J58*'GS&lt;50 Predicted Monthly'!$X$14</f>
        <v>11002902.38304105</v>
      </c>
      <c r="S58" s="18">
        <f t="shared" si="9"/>
        <v>14262569.51088495</v>
      </c>
      <c r="T58" s="18">
        <f t="shared" si="10"/>
        <v>-274366.49303316325</v>
      </c>
      <c r="U58" s="35">
        <f t="shared" si="11"/>
        <v>1.887374980251779E-2</v>
      </c>
    </row>
    <row r="59" spans="1:24" x14ac:dyDescent="0.2">
      <c r="A59" s="9">
        <f>'Monthly Data'!A59</f>
        <v>43739</v>
      </c>
      <c r="B59">
        <f t="shared" si="1"/>
        <v>2019</v>
      </c>
      <c r="C59">
        <f t="shared" si="2"/>
        <v>10</v>
      </c>
      <c r="D59" s="31">
        <f>'Monthly Data'!J59</f>
        <v>13867496.305038556</v>
      </c>
      <c r="E59" s="33">
        <f>'Monthly Data'!AV59</f>
        <v>74.100000000000009</v>
      </c>
      <c r="F59" s="33">
        <f>'Monthly Data'!AW59</f>
        <v>15.999999999999998</v>
      </c>
      <c r="G59" s="33">
        <f>'Monthly Data'!AN59</f>
        <v>1050</v>
      </c>
      <c r="H59" s="8">
        <f>'Monthly Data'!K59</f>
        <v>5495</v>
      </c>
      <c r="I59" s="18">
        <f>'Monthly Data'!BR59</f>
        <v>1</v>
      </c>
      <c r="J59" s="30">
        <f>'Monthly Data'!BT59</f>
        <v>31</v>
      </c>
      <c r="L59" s="18">
        <f>'GS&lt;50 Predicted Monthly'!$X$8</f>
        <v>-8314018.5106493998</v>
      </c>
      <c r="M59" s="18">
        <f>E59*'GS&lt;50 Predicted Monthly'!$X$9</f>
        <v>349148.80748983118</v>
      </c>
      <c r="N59" s="18">
        <f>F59*'GS&lt;50 Predicted Monthly'!$X$10</f>
        <v>184868.92482791998</v>
      </c>
      <c r="O59" s="18">
        <f>G59*'GS&lt;50 Predicted Monthly'!$X$11</f>
        <v>7213.7949794377846</v>
      </c>
      <c r="P59" s="18">
        <f>H59*'GS&lt;50 Predicted Monthly'!$X$12</f>
        <v>10200119.508756155</v>
      </c>
      <c r="Q59" s="18">
        <f>I59*'GS&lt;50 Predicted Monthly'!$X$13</f>
        <v>-202362.33175645399</v>
      </c>
      <c r="R59" s="18">
        <f>J59*'GS&lt;50 Predicted Monthly'!$X$14</f>
        <v>11369665.795809086</v>
      </c>
      <c r="S59" s="18">
        <f t="shared" si="9"/>
        <v>13594635.989456577</v>
      </c>
      <c r="T59" s="18">
        <f t="shared" si="10"/>
        <v>-272860.31558197923</v>
      </c>
      <c r="U59" s="35">
        <f t="shared" si="11"/>
        <v>1.9676249380563334E-2</v>
      </c>
    </row>
    <row r="60" spans="1:24" x14ac:dyDescent="0.2">
      <c r="A60" s="9">
        <f>'Monthly Data'!A60</f>
        <v>43770</v>
      </c>
      <c r="B60">
        <f t="shared" ref="B60:B115" si="12">YEAR(A60)</f>
        <v>2019</v>
      </c>
      <c r="C60">
        <f t="shared" ref="C60:C115" si="13">MONTH(A60)</f>
        <v>11</v>
      </c>
      <c r="D60" s="31">
        <f>'Monthly Data'!J60</f>
        <v>14353293.606159</v>
      </c>
      <c r="E60" s="33">
        <f>'Monthly Data'!AV60</f>
        <v>343.99999999999994</v>
      </c>
      <c r="F60" s="33">
        <f>'Monthly Data'!AW60</f>
        <v>0</v>
      </c>
      <c r="G60" s="33">
        <f>'Monthly Data'!AN60</f>
        <v>1050</v>
      </c>
      <c r="H60" s="8">
        <f>'Monthly Data'!K60</f>
        <v>5456</v>
      </c>
      <c r="I60" s="18">
        <f>'Monthly Data'!BR60</f>
        <v>1</v>
      </c>
      <c r="J60" s="30">
        <f>'Monthly Data'!BT60</f>
        <v>30</v>
      </c>
      <c r="L60" s="18">
        <f>'GS&lt;50 Predicted Monthly'!$X$8</f>
        <v>-8314018.5106493998</v>
      </c>
      <c r="M60" s="18">
        <f>E60*'GS&lt;50 Predicted Monthly'!$X$9</f>
        <v>1620879.7540688515</v>
      </c>
      <c r="N60" s="18">
        <f>F60*'GS&lt;50 Predicted Monthly'!$X$10</f>
        <v>0</v>
      </c>
      <c r="O60" s="18">
        <f>G60*'GS&lt;50 Predicted Monthly'!$X$11</f>
        <v>7213.7949794377846</v>
      </c>
      <c r="P60" s="18">
        <f>H60*'GS&lt;50 Predicted Monthly'!$X$12</f>
        <v>10127725.575936958</v>
      </c>
      <c r="Q60" s="18">
        <f>I60*'GS&lt;50 Predicted Monthly'!$X$13</f>
        <v>-202362.33175645399</v>
      </c>
      <c r="R60" s="18">
        <f>J60*'GS&lt;50 Predicted Monthly'!$X$14</f>
        <v>11002902.38304105</v>
      </c>
      <c r="S60" s="18">
        <f t="shared" si="9"/>
        <v>14242340.665620444</v>
      </c>
      <c r="T60" s="18">
        <f t="shared" si="10"/>
        <v>-110952.94053855538</v>
      </c>
      <c r="U60" s="35">
        <f t="shared" si="11"/>
        <v>7.7301380145213131E-3</v>
      </c>
    </row>
    <row r="61" spans="1:24" x14ac:dyDescent="0.2">
      <c r="A61" s="9">
        <f>'Monthly Data'!A61</f>
        <v>43800</v>
      </c>
      <c r="B61">
        <f t="shared" si="12"/>
        <v>2019</v>
      </c>
      <c r="C61">
        <f t="shared" si="13"/>
        <v>12</v>
      </c>
      <c r="D61" s="31">
        <f>'Monthly Data'!J61</f>
        <v>15207078.907279443</v>
      </c>
      <c r="E61" s="33">
        <f>'Monthly Data'!AV61</f>
        <v>396.4</v>
      </c>
      <c r="F61" s="33">
        <f>'Monthly Data'!AW61</f>
        <v>0</v>
      </c>
      <c r="G61" s="33">
        <f>'Monthly Data'!AN61</f>
        <v>1050</v>
      </c>
      <c r="H61" s="8">
        <f>'Monthly Data'!K61</f>
        <v>5460</v>
      </c>
      <c r="I61" s="18">
        <f>'Monthly Data'!BR61</f>
        <v>0</v>
      </c>
      <c r="J61" s="30">
        <f>'Monthly Data'!BT61</f>
        <v>31</v>
      </c>
      <c r="L61" s="18">
        <f>'GS&lt;50 Predicted Monthly'!$X$8</f>
        <v>-8314018.5106493998</v>
      </c>
      <c r="M61" s="18">
        <f>E61*'GS&lt;50 Predicted Monthly'!$X$9</f>
        <v>1867781.2049793394</v>
      </c>
      <c r="N61" s="18">
        <f>F61*'GS&lt;50 Predicted Monthly'!$X$10</f>
        <v>0</v>
      </c>
      <c r="O61" s="18">
        <f>G61*'GS&lt;50 Predicted Monthly'!$X$11</f>
        <v>7213.7949794377846</v>
      </c>
      <c r="P61" s="18">
        <f>H61*'GS&lt;50 Predicted Monthly'!$X$12</f>
        <v>10135150.594687646</v>
      </c>
      <c r="Q61" s="18">
        <f>I61*'GS&lt;50 Predicted Monthly'!$X$13</f>
        <v>0</v>
      </c>
      <c r="R61" s="18">
        <f>J61*'GS&lt;50 Predicted Monthly'!$X$14</f>
        <v>11369665.795809086</v>
      </c>
      <c r="S61" s="18">
        <f t="shared" si="9"/>
        <v>15065792.879806111</v>
      </c>
      <c r="T61" s="18">
        <f t="shared" si="10"/>
        <v>-141286.02747333236</v>
      </c>
      <c r="U61" s="35">
        <f t="shared" si="11"/>
        <v>9.2908064944478234E-3</v>
      </c>
    </row>
    <row r="62" spans="1:24" x14ac:dyDescent="0.2">
      <c r="A62" s="9">
        <f>'Monthly Data'!A62</f>
        <v>43831</v>
      </c>
      <c r="B62">
        <f t="shared" si="12"/>
        <v>2020</v>
      </c>
      <c r="C62">
        <f t="shared" si="13"/>
        <v>1</v>
      </c>
      <c r="D62" s="31">
        <f>'Monthly Data'!J62</f>
        <v>15460614.932394793</v>
      </c>
      <c r="E62" s="33">
        <f>'Monthly Data'!AV62</f>
        <v>427.8</v>
      </c>
      <c r="F62" s="33">
        <f>'Monthly Data'!AW62</f>
        <v>0</v>
      </c>
      <c r="G62" s="33">
        <f>'Monthly Data'!AN62</f>
        <v>-11271</v>
      </c>
      <c r="H62" s="8">
        <f>'Monthly Data'!K62</f>
        <v>5491</v>
      </c>
      <c r="I62" s="18">
        <f>'Monthly Data'!BR62</f>
        <v>0</v>
      </c>
      <c r="J62" s="30">
        <f>'Monthly Data'!BT62</f>
        <v>31</v>
      </c>
      <c r="L62" s="18">
        <f>'GS&lt;50 Predicted Monthly'!$X$8</f>
        <v>-8314018.5106493998</v>
      </c>
      <c r="M62" s="18">
        <f>E62*'GS&lt;50 Predicted Monthly'!$X$9</f>
        <v>2015733.6011356243</v>
      </c>
      <c r="N62" s="18">
        <f>F62*'GS&lt;50 Predicted Monthly'!$X$10</f>
        <v>0</v>
      </c>
      <c r="O62" s="18">
        <f>G62*'GS&lt;50 Predicted Monthly'!$X$11</f>
        <v>-77434.936393565018</v>
      </c>
      <c r="P62" s="18">
        <f>H62*'GS&lt;50 Predicted Monthly'!$X$12</f>
        <v>10192694.490005469</v>
      </c>
      <c r="Q62" s="18">
        <f>I62*'GS&lt;50 Predicted Monthly'!$X$13</f>
        <v>0</v>
      </c>
      <c r="R62" s="18">
        <f>J62*'GS&lt;50 Predicted Monthly'!$X$14</f>
        <v>11369665.795809086</v>
      </c>
      <c r="S62" s="18">
        <f t="shared" si="9"/>
        <v>15186640.439907216</v>
      </c>
      <c r="T62" s="18">
        <f t="shared" si="10"/>
        <v>-273974.49248757772</v>
      </c>
      <c r="U62" s="35">
        <f t="shared" si="11"/>
        <v>1.7720801771830951E-2</v>
      </c>
    </row>
    <row r="63" spans="1:24" x14ac:dyDescent="0.2">
      <c r="A63" s="9">
        <f>'Monthly Data'!A63</f>
        <v>43862</v>
      </c>
      <c r="B63">
        <f t="shared" si="12"/>
        <v>2020</v>
      </c>
      <c r="C63">
        <f t="shared" si="13"/>
        <v>2</v>
      </c>
      <c r="D63" s="31">
        <f>'Monthly Data'!J63</f>
        <v>14562080.289898498</v>
      </c>
      <c r="E63" s="33">
        <f>'Monthly Data'!AV63</f>
        <v>445.2</v>
      </c>
      <c r="F63" s="33">
        <f>'Monthly Data'!AW63</f>
        <v>0</v>
      </c>
      <c r="G63" s="33">
        <f>'Monthly Data'!AN63</f>
        <v>-11271</v>
      </c>
      <c r="H63" s="8">
        <f>'Monthly Data'!K63</f>
        <v>5489</v>
      </c>
      <c r="I63" s="18">
        <f>'Monthly Data'!BR63</f>
        <v>0</v>
      </c>
      <c r="J63" s="30">
        <f>'Monthly Data'!BT63</f>
        <v>29</v>
      </c>
      <c r="L63" s="18">
        <f>'GS&lt;50 Predicted Monthly'!$X$8</f>
        <v>-8314018.5106493998</v>
      </c>
      <c r="M63" s="18">
        <f>E63*'GS&lt;50 Predicted Monthly'!$X$9</f>
        <v>2097719.9607891068</v>
      </c>
      <c r="N63" s="18">
        <f>F63*'GS&lt;50 Predicted Monthly'!$X$10</f>
        <v>0</v>
      </c>
      <c r="O63" s="18">
        <f>G63*'GS&lt;50 Predicted Monthly'!$X$11</f>
        <v>-77434.936393565018</v>
      </c>
      <c r="P63" s="18">
        <f>H63*'GS&lt;50 Predicted Monthly'!$X$12</f>
        <v>10188981.980630126</v>
      </c>
      <c r="Q63" s="18">
        <f>I63*'GS&lt;50 Predicted Monthly'!$X$13</f>
        <v>0</v>
      </c>
      <c r="R63" s="18">
        <f>J63*'GS&lt;50 Predicted Monthly'!$X$14</f>
        <v>10636138.970273016</v>
      </c>
      <c r="S63" s="18">
        <f t="shared" si="9"/>
        <v>14531387.464649284</v>
      </c>
      <c r="T63" s="18">
        <f t="shared" si="10"/>
        <v>-30692.825249213725</v>
      </c>
      <c r="U63" s="35">
        <f t="shared" si="11"/>
        <v>2.1077225669813736E-3</v>
      </c>
    </row>
    <row r="64" spans="1:24" x14ac:dyDescent="0.2">
      <c r="A64" s="9">
        <f>'Monthly Data'!A64</f>
        <v>43891</v>
      </c>
      <c r="B64">
        <f t="shared" si="12"/>
        <v>2020</v>
      </c>
      <c r="C64">
        <f t="shared" si="13"/>
        <v>3</v>
      </c>
      <c r="D64" s="31">
        <f>'Monthly Data'!J64</f>
        <v>13828647.647402203</v>
      </c>
      <c r="E64" s="33">
        <f>'Monthly Data'!AV64</f>
        <v>316</v>
      </c>
      <c r="F64" s="33">
        <f>'Monthly Data'!AW64</f>
        <v>0</v>
      </c>
      <c r="G64" s="33">
        <f>'Monthly Data'!AN64</f>
        <v>-11271</v>
      </c>
      <c r="H64" s="8">
        <f>'Monthly Data'!K64</f>
        <v>5500</v>
      </c>
      <c r="I64" s="18">
        <f>'Monthly Data'!BR64</f>
        <v>1</v>
      </c>
      <c r="J64" s="30">
        <f>'Monthly Data'!BT64</f>
        <v>31</v>
      </c>
      <c r="L64" s="18">
        <f>'GS&lt;50 Predicted Monthly'!$X$8</f>
        <v>-8314018.5106493998</v>
      </c>
      <c r="M64" s="18">
        <f>E64*'GS&lt;50 Predicted Monthly'!$X$9</f>
        <v>1488947.6810632474</v>
      </c>
      <c r="N64" s="18">
        <f>F64*'GS&lt;50 Predicted Monthly'!$X$10</f>
        <v>0</v>
      </c>
      <c r="O64" s="18">
        <f>G64*'GS&lt;50 Predicted Monthly'!$X$11</f>
        <v>-77434.936393565018</v>
      </c>
      <c r="P64" s="18">
        <f>H64*'GS&lt;50 Predicted Monthly'!$X$12</f>
        <v>10209400.782194514</v>
      </c>
      <c r="Q64" s="18">
        <f>I64*'GS&lt;50 Predicted Monthly'!$X$13</f>
        <v>-202362.33175645399</v>
      </c>
      <c r="R64" s="18">
        <f>J64*'GS&lt;50 Predicted Monthly'!$X$14</f>
        <v>11369665.795809086</v>
      </c>
      <c r="S64" s="18">
        <f t="shared" si="9"/>
        <v>14474198.48026743</v>
      </c>
      <c r="T64" s="18">
        <f t="shared" si="10"/>
        <v>645550.83286522701</v>
      </c>
      <c r="U64" s="35">
        <f t="shared" si="11"/>
        <v>4.6682137641022164E-2</v>
      </c>
      <c r="W64" s="18"/>
      <c r="X64" s="35"/>
    </row>
    <row r="65" spans="1:28" x14ac:dyDescent="0.2">
      <c r="A65" s="9">
        <f>'Monthly Data'!A65</f>
        <v>43922</v>
      </c>
      <c r="B65">
        <f t="shared" si="12"/>
        <v>2020</v>
      </c>
      <c r="C65">
        <f t="shared" si="13"/>
        <v>4</v>
      </c>
      <c r="D65" s="31">
        <f>'Monthly Data'!J65</f>
        <v>11361907.004905907</v>
      </c>
      <c r="E65" s="33">
        <f>'Monthly Data'!AV65</f>
        <v>241.00000000000003</v>
      </c>
      <c r="F65" s="33">
        <f>'Monthly Data'!AW65</f>
        <v>0</v>
      </c>
      <c r="G65" s="33">
        <f>'Monthly Data'!AN65</f>
        <v>-93587</v>
      </c>
      <c r="H65" s="8">
        <f>'Monthly Data'!K65</f>
        <v>5502</v>
      </c>
      <c r="I65" s="18">
        <f>'Monthly Data'!BR65</f>
        <v>1</v>
      </c>
      <c r="J65" s="30">
        <f>'Monthly Data'!BT65</f>
        <v>30</v>
      </c>
      <c r="L65" s="18">
        <f>'GS&lt;50 Predicted Monthly'!$X$8</f>
        <v>-8314018.5106493998</v>
      </c>
      <c r="M65" s="18">
        <f>E65*'GS&lt;50 Predicted Monthly'!$X$9</f>
        <v>1135558.1997982364</v>
      </c>
      <c r="N65" s="18">
        <f>F65*'GS&lt;50 Predicted Monthly'!$X$10</f>
        <v>0</v>
      </c>
      <c r="O65" s="18">
        <f>G65*'GS&lt;50 Predicted Monthly'!$X$11</f>
        <v>-642968.98165775614</v>
      </c>
      <c r="P65" s="18">
        <f>H65*'GS&lt;50 Predicted Monthly'!$X$12</f>
        <v>10213113.291569859</v>
      </c>
      <c r="Q65" s="18">
        <f>I65*'GS&lt;50 Predicted Monthly'!$X$13</f>
        <v>-202362.33175645399</v>
      </c>
      <c r="R65" s="18">
        <f>J65*'GS&lt;50 Predicted Monthly'!$X$14</f>
        <v>11002902.38304105</v>
      </c>
      <c r="S65" s="18">
        <f t="shared" si="9"/>
        <v>13192224.050345536</v>
      </c>
      <c r="T65" s="18">
        <f t="shared" si="10"/>
        <v>1830317.0454396289</v>
      </c>
      <c r="U65" s="35">
        <f t="shared" si="11"/>
        <v>0.16109241561731885</v>
      </c>
      <c r="W65" s="18"/>
      <c r="X65" s="35"/>
    </row>
    <row r="66" spans="1:28" x14ac:dyDescent="0.2">
      <c r="A66" s="9">
        <f>'Monthly Data'!A66</f>
        <v>43952</v>
      </c>
      <c r="B66">
        <f t="shared" si="12"/>
        <v>2020</v>
      </c>
      <c r="C66">
        <f t="shared" si="13"/>
        <v>5</v>
      </c>
      <c r="D66" s="31">
        <f>'Monthly Data'!J66</f>
        <v>11649396.362409612</v>
      </c>
      <c r="E66" s="33">
        <f>'Monthly Data'!AV66</f>
        <v>122.60000000000001</v>
      </c>
      <c r="F66" s="33">
        <f>'Monthly Data'!AW66</f>
        <v>35.1</v>
      </c>
      <c r="G66" s="33">
        <f>'Monthly Data'!AN66</f>
        <v>-93587</v>
      </c>
      <c r="H66" s="8">
        <f>'Monthly Data'!K66</f>
        <v>5501</v>
      </c>
      <c r="I66" s="18">
        <f>'Monthly Data'!BR66</f>
        <v>1</v>
      </c>
      <c r="J66" s="30">
        <f>'Monthly Data'!BT66</f>
        <v>31</v>
      </c>
      <c r="L66" s="18">
        <f>'GS&lt;50 Predicted Monthly'!$X$8</f>
        <v>-8314018.5106493998</v>
      </c>
      <c r="M66" s="18">
        <f>E66*'GS&lt;50 Predicted Monthly'!$X$9</f>
        <v>577674.00537453848</v>
      </c>
      <c r="N66" s="18">
        <f>F66*'GS&lt;50 Predicted Monthly'!$X$10</f>
        <v>405556.20384124952</v>
      </c>
      <c r="O66" s="18">
        <f>G66*'GS&lt;50 Predicted Monthly'!$X$11</f>
        <v>-642968.98165775614</v>
      </c>
      <c r="P66" s="18">
        <f>H66*'GS&lt;50 Predicted Monthly'!$X$12</f>
        <v>10211257.036882186</v>
      </c>
      <c r="Q66" s="18">
        <f>I66*'GS&lt;50 Predicted Monthly'!$X$13</f>
        <v>-202362.33175645399</v>
      </c>
      <c r="R66" s="18">
        <f>J66*'GS&lt;50 Predicted Monthly'!$X$14</f>
        <v>11369665.795809086</v>
      </c>
      <c r="S66" s="18">
        <f t="shared" si="9"/>
        <v>13404803.217843451</v>
      </c>
      <c r="T66" s="18">
        <f t="shared" si="10"/>
        <v>1755406.8554338384</v>
      </c>
      <c r="U66" s="35">
        <f t="shared" si="11"/>
        <v>0.15068650776603351</v>
      </c>
      <c r="W66" s="18"/>
      <c r="X66" s="35"/>
    </row>
    <row r="67" spans="1:28" x14ac:dyDescent="0.2">
      <c r="A67" s="9">
        <f>'Monthly Data'!A67</f>
        <v>43983</v>
      </c>
      <c r="B67">
        <f t="shared" si="12"/>
        <v>2020</v>
      </c>
      <c r="C67">
        <f t="shared" si="13"/>
        <v>6</v>
      </c>
      <c r="D67" s="31">
        <f>'Monthly Data'!J67</f>
        <v>13516522.719913317</v>
      </c>
      <c r="E67" s="33">
        <f>'Monthly Data'!AV67</f>
        <v>3.0999999999999996</v>
      </c>
      <c r="F67" s="33">
        <f>'Monthly Data'!AW67</f>
        <v>182.39999999999995</v>
      </c>
      <c r="G67" s="33">
        <f>'Monthly Data'!AN67</f>
        <v>-93587</v>
      </c>
      <c r="H67" s="8">
        <f>'Monthly Data'!K67</f>
        <v>5504</v>
      </c>
      <c r="I67" s="18">
        <f>'Monthly Data'!BR67</f>
        <v>0</v>
      </c>
      <c r="J67" s="30">
        <f>'Monthly Data'!BT67</f>
        <v>30</v>
      </c>
      <c r="L67" s="18">
        <f>'GS&lt;50 Predicted Monthly'!$X$8</f>
        <v>-8314018.5106493998</v>
      </c>
      <c r="M67" s="18">
        <f>E67*'GS&lt;50 Predicted Monthly'!$X$9</f>
        <v>14606.765225620464</v>
      </c>
      <c r="N67" s="18">
        <f>F67*'GS&lt;50 Predicted Monthly'!$X$10</f>
        <v>2107505.7430382874</v>
      </c>
      <c r="O67" s="18">
        <f>G67*'GS&lt;50 Predicted Monthly'!$X$11</f>
        <v>-642968.98165775614</v>
      </c>
      <c r="P67" s="18">
        <f>H67*'GS&lt;50 Predicted Monthly'!$X$12</f>
        <v>10216825.800945202</v>
      </c>
      <c r="Q67" s="18">
        <f>I67*'GS&lt;50 Predicted Monthly'!$X$13</f>
        <v>0</v>
      </c>
      <c r="R67" s="18">
        <f>J67*'GS&lt;50 Predicted Monthly'!$X$14</f>
        <v>11002902.38304105</v>
      </c>
      <c r="S67" s="18">
        <f t="shared" si="9"/>
        <v>14384853.199943002</v>
      </c>
      <c r="T67" s="18">
        <f t="shared" si="10"/>
        <v>868330.48002968542</v>
      </c>
      <c r="U67" s="35">
        <f t="shared" si="11"/>
        <v>6.4242149998417208E-2</v>
      </c>
      <c r="W67" s="18"/>
      <c r="X67" s="35"/>
    </row>
    <row r="68" spans="1:28" x14ac:dyDescent="0.2">
      <c r="A68" s="9">
        <f>'Monthly Data'!A68</f>
        <v>44013</v>
      </c>
      <c r="B68">
        <f t="shared" si="12"/>
        <v>2020</v>
      </c>
      <c r="C68">
        <f t="shared" si="13"/>
        <v>7</v>
      </c>
      <c r="D68" s="31">
        <f>'Monthly Data'!J68</f>
        <v>15828746.077417022</v>
      </c>
      <c r="E68" s="33">
        <f>'Monthly Data'!AV68</f>
        <v>0</v>
      </c>
      <c r="F68" s="33">
        <f>'Monthly Data'!AW68</f>
        <v>326.5</v>
      </c>
      <c r="G68" s="33">
        <f>'Monthly Data'!AN68</f>
        <v>70686</v>
      </c>
      <c r="H68" s="8">
        <f>'Monthly Data'!K68</f>
        <v>5501</v>
      </c>
      <c r="I68" s="18">
        <f>'Monthly Data'!BR68</f>
        <v>0</v>
      </c>
      <c r="J68" s="30">
        <f>'Monthly Data'!BT68</f>
        <v>31</v>
      </c>
      <c r="L68" s="18">
        <f>'GS&lt;50 Predicted Monthly'!$X$8</f>
        <v>-8314018.5106493998</v>
      </c>
      <c r="M68" s="18">
        <f>E68*'GS&lt;50 Predicted Monthly'!$X$9</f>
        <v>0</v>
      </c>
      <c r="N68" s="18">
        <f>F68*'GS&lt;50 Predicted Monthly'!$X$10</f>
        <v>3772481.4972697427</v>
      </c>
      <c r="O68" s="18">
        <f>G68*'GS&lt;50 Predicted Monthly'!$X$11</f>
        <v>485632.67801575165</v>
      </c>
      <c r="P68" s="18">
        <f>H68*'GS&lt;50 Predicted Monthly'!$X$12</f>
        <v>10211257.036882186</v>
      </c>
      <c r="Q68" s="18">
        <f>I68*'GS&lt;50 Predicted Monthly'!$X$13</f>
        <v>0</v>
      </c>
      <c r="R68" s="18">
        <f>J68*'GS&lt;50 Predicted Monthly'!$X$14</f>
        <v>11369665.795809086</v>
      </c>
      <c r="S68" s="18">
        <f t="shared" si="9"/>
        <v>17525018.497327365</v>
      </c>
      <c r="T68" s="18">
        <f t="shared" si="10"/>
        <v>1696272.4199103434</v>
      </c>
      <c r="U68" s="35">
        <f t="shared" si="11"/>
        <v>0.107164042660993</v>
      </c>
      <c r="W68" s="18"/>
      <c r="X68" s="35"/>
    </row>
    <row r="69" spans="1:28" x14ac:dyDescent="0.2">
      <c r="A69" s="9">
        <f>'Monthly Data'!A69</f>
        <v>44044</v>
      </c>
      <c r="B69">
        <f t="shared" si="12"/>
        <v>2020</v>
      </c>
      <c r="C69">
        <f t="shared" si="13"/>
        <v>8</v>
      </c>
      <c r="D69" s="31">
        <f>'Monthly Data'!J69</f>
        <v>15475786.434920726</v>
      </c>
      <c r="E69" s="33">
        <f>'Monthly Data'!AV69</f>
        <v>0</v>
      </c>
      <c r="F69" s="33">
        <f>'Monthly Data'!AW69</f>
        <v>245.54999999999998</v>
      </c>
      <c r="G69" s="33">
        <f>'Monthly Data'!AN69</f>
        <v>70686</v>
      </c>
      <c r="H69" s="8">
        <f>'Monthly Data'!K69</f>
        <v>5502</v>
      </c>
      <c r="I69" s="18">
        <f>'Monthly Data'!BR69</f>
        <v>0</v>
      </c>
      <c r="J69" s="30">
        <f>'Monthly Data'!BT69</f>
        <v>31</v>
      </c>
      <c r="L69" s="18">
        <f>'GS&lt;50 Predicted Monthly'!$X$8</f>
        <v>-8314018.5106493998</v>
      </c>
      <c r="M69" s="18">
        <f>E69*'GS&lt;50 Predicted Monthly'!$X$9</f>
        <v>0</v>
      </c>
      <c r="N69" s="18">
        <f>F69*'GS&lt;50 Predicted Monthly'!$X$10</f>
        <v>2837160.2807184849</v>
      </c>
      <c r="O69" s="18">
        <f>G69*'GS&lt;50 Predicted Monthly'!$X$11</f>
        <v>485632.67801575165</v>
      </c>
      <c r="P69" s="18">
        <f>H69*'GS&lt;50 Predicted Monthly'!$X$12</f>
        <v>10213113.291569859</v>
      </c>
      <c r="Q69" s="18">
        <f>I69*'GS&lt;50 Predicted Monthly'!$X$13</f>
        <v>0</v>
      </c>
      <c r="R69" s="18">
        <f>J69*'GS&lt;50 Predicted Monthly'!$X$14</f>
        <v>11369665.795809086</v>
      </c>
      <c r="S69" s="18">
        <f t="shared" si="9"/>
        <v>16591553.535463782</v>
      </c>
      <c r="T69" s="18">
        <f t="shared" si="10"/>
        <v>1115767.1005430557</v>
      </c>
      <c r="U69" s="35">
        <f t="shared" si="11"/>
        <v>7.2097602615228337E-2</v>
      </c>
      <c r="W69" s="18"/>
      <c r="X69" s="35"/>
    </row>
    <row r="70" spans="1:28" x14ac:dyDescent="0.2">
      <c r="A70" s="9">
        <f>'Monthly Data'!A70</f>
        <v>44075</v>
      </c>
      <c r="B70">
        <f t="shared" si="12"/>
        <v>2020</v>
      </c>
      <c r="C70">
        <f t="shared" si="13"/>
        <v>9</v>
      </c>
      <c r="D70" s="31">
        <f>'Monthly Data'!J70</f>
        <v>13348828.792424431</v>
      </c>
      <c r="E70" s="33">
        <f>'Monthly Data'!AV70</f>
        <v>6.7999999999999989</v>
      </c>
      <c r="F70" s="33">
        <f>'Monthly Data'!AW70</f>
        <v>108.09999999999998</v>
      </c>
      <c r="G70" s="33">
        <f>'Monthly Data'!AN70</f>
        <v>70686</v>
      </c>
      <c r="H70" s="8">
        <f>'Monthly Data'!K70</f>
        <v>5550</v>
      </c>
      <c r="I70" s="18">
        <f>'Monthly Data'!BR70</f>
        <v>1</v>
      </c>
      <c r="J70" s="30">
        <f>'Monthly Data'!BT70</f>
        <v>30</v>
      </c>
      <c r="L70" s="18">
        <f>'GS&lt;50 Predicted Monthly'!$X$8</f>
        <v>-8314018.5106493998</v>
      </c>
      <c r="M70" s="18">
        <f>E70*'GS&lt;50 Predicted Monthly'!$X$9</f>
        <v>32040.646301361016</v>
      </c>
      <c r="N70" s="18">
        <f>F70*'GS&lt;50 Predicted Monthly'!$X$10</f>
        <v>1249020.6733686344</v>
      </c>
      <c r="O70" s="18">
        <f>G70*'GS&lt;50 Predicted Monthly'!$X$11</f>
        <v>485632.67801575165</v>
      </c>
      <c r="P70" s="18">
        <f>H70*'GS&lt;50 Predicted Monthly'!$X$12</f>
        <v>10302213.516578101</v>
      </c>
      <c r="Q70" s="18">
        <f>I70*'GS&lt;50 Predicted Monthly'!$X$13</f>
        <v>-202362.33175645399</v>
      </c>
      <c r="R70" s="18">
        <f>J70*'GS&lt;50 Predicted Monthly'!$X$14</f>
        <v>11002902.38304105</v>
      </c>
      <c r="S70" s="18">
        <f t="shared" ref="S70:S101" si="14">SUM(L70:R70)</f>
        <v>14555429.054899044</v>
      </c>
      <c r="T70" s="18">
        <f t="shared" ref="T70:T101" si="15">S70-D70</f>
        <v>1206600.2624746133</v>
      </c>
      <c r="U70" s="35">
        <f t="shared" ref="U70:U101" si="16">ABS(T70/D70)</f>
        <v>9.0389972126945606E-2</v>
      </c>
      <c r="W70" s="18"/>
      <c r="X70" s="35"/>
    </row>
    <row r="71" spans="1:28" x14ac:dyDescent="0.2">
      <c r="A71" s="9">
        <f>'Monthly Data'!A71</f>
        <v>44105</v>
      </c>
      <c r="B71">
        <f t="shared" si="12"/>
        <v>2020</v>
      </c>
      <c r="C71">
        <f t="shared" si="13"/>
        <v>10</v>
      </c>
      <c r="D71" s="31">
        <f>'Monthly Data'!J71</f>
        <v>12958296.149928138</v>
      </c>
      <c r="E71" s="33">
        <f>'Monthly Data'!AV71</f>
        <v>116.69999999999999</v>
      </c>
      <c r="F71" s="33">
        <f>'Monthly Data'!AW71</f>
        <v>7.6999999999999993</v>
      </c>
      <c r="G71" s="33">
        <f>'Monthly Data'!AN71</f>
        <v>18654</v>
      </c>
      <c r="H71" s="8">
        <f>'Monthly Data'!K71</f>
        <v>5531</v>
      </c>
      <c r="I71" s="18">
        <f>'Monthly Data'!BR71</f>
        <v>1</v>
      </c>
      <c r="J71" s="30">
        <f>'Monthly Data'!BT71</f>
        <v>31</v>
      </c>
      <c r="L71" s="18">
        <f>'GS&lt;50 Predicted Monthly'!$X$8</f>
        <v>-8314018.5106493998</v>
      </c>
      <c r="M71" s="18">
        <f>E71*'GS&lt;50 Predicted Monthly'!$X$9</f>
        <v>549874.03284835746</v>
      </c>
      <c r="N71" s="18">
        <f>F71*'GS&lt;50 Predicted Monthly'!$X$10</f>
        <v>88968.1700734365</v>
      </c>
      <c r="O71" s="18">
        <f>G71*'GS&lt;50 Predicted Monthly'!$X$11</f>
        <v>128158.22052041184</v>
      </c>
      <c r="P71" s="18">
        <f>H71*'GS&lt;50 Predicted Monthly'!$X$12</f>
        <v>10266944.677512338</v>
      </c>
      <c r="Q71" s="18">
        <f>I71*'GS&lt;50 Predicted Monthly'!$X$13</f>
        <v>-202362.33175645399</v>
      </c>
      <c r="R71" s="18">
        <f>J71*'GS&lt;50 Predicted Monthly'!$X$14</f>
        <v>11369665.795809086</v>
      </c>
      <c r="S71" s="18">
        <f t="shared" si="14"/>
        <v>13887230.054357776</v>
      </c>
      <c r="T71" s="18">
        <f t="shared" si="15"/>
        <v>928933.90442963876</v>
      </c>
      <c r="U71" s="35">
        <f t="shared" si="16"/>
        <v>7.1686423406428348E-2</v>
      </c>
      <c r="W71" s="18"/>
      <c r="X71" s="35"/>
    </row>
    <row r="72" spans="1:28" x14ac:dyDescent="0.2">
      <c r="A72" s="9">
        <f>'Monthly Data'!A72</f>
        <v>44136</v>
      </c>
      <c r="B72">
        <f t="shared" si="12"/>
        <v>2020</v>
      </c>
      <c r="C72">
        <f t="shared" si="13"/>
        <v>11</v>
      </c>
      <c r="D72" s="31">
        <f>'Monthly Data'!J72</f>
        <v>13270098.507431842</v>
      </c>
      <c r="E72" s="33">
        <f>'Monthly Data'!AV72</f>
        <v>184.59999999999997</v>
      </c>
      <c r="F72" s="33">
        <f>'Monthly Data'!AW72</f>
        <v>8.6999999999999993</v>
      </c>
      <c r="G72" s="33">
        <f>'Monthly Data'!AN72</f>
        <v>18654</v>
      </c>
      <c r="H72" s="8">
        <f>'Monthly Data'!K72</f>
        <v>5535</v>
      </c>
      <c r="I72" s="18">
        <f>'Monthly Data'!BR72</f>
        <v>1</v>
      </c>
      <c r="J72" s="30">
        <f>'Monthly Data'!BT72</f>
        <v>30</v>
      </c>
      <c r="L72" s="18">
        <f>'GS&lt;50 Predicted Monthly'!$X$8</f>
        <v>-8314018.5106493998</v>
      </c>
      <c r="M72" s="18">
        <f>E72*'GS&lt;50 Predicted Monthly'!$X$9</f>
        <v>869809.30988694762</v>
      </c>
      <c r="N72" s="18">
        <f>F72*'GS&lt;50 Predicted Monthly'!$X$10</f>
        <v>100522.4778751815</v>
      </c>
      <c r="O72" s="18">
        <f>G72*'GS&lt;50 Predicted Monthly'!$X$11</f>
        <v>128158.22052041184</v>
      </c>
      <c r="P72" s="18">
        <f>H72*'GS&lt;50 Predicted Monthly'!$X$12</f>
        <v>10274369.696263025</v>
      </c>
      <c r="Q72" s="18">
        <f>I72*'GS&lt;50 Predicted Monthly'!$X$13</f>
        <v>-202362.33175645399</v>
      </c>
      <c r="R72" s="18">
        <f>J72*'GS&lt;50 Predicted Monthly'!$X$14</f>
        <v>11002902.38304105</v>
      </c>
      <c r="S72" s="18">
        <f t="shared" si="14"/>
        <v>13859381.245180761</v>
      </c>
      <c r="T72" s="18">
        <f t="shared" si="15"/>
        <v>589282.73774891905</v>
      </c>
      <c r="U72" s="35">
        <f t="shared" si="16"/>
        <v>4.4406809596695504E-2</v>
      </c>
      <c r="W72" s="18"/>
      <c r="X72" s="35"/>
    </row>
    <row r="73" spans="1:28" x14ac:dyDescent="0.2">
      <c r="A73" s="9">
        <f>'Monthly Data'!A73</f>
        <v>44166</v>
      </c>
      <c r="B73">
        <f t="shared" si="12"/>
        <v>2020</v>
      </c>
      <c r="C73">
        <f t="shared" si="13"/>
        <v>12</v>
      </c>
      <c r="D73" s="31">
        <f>'Monthly Data'!J73</f>
        <v>14143324.864935547</v>
      </c>
      <c r="E73" s="33">
        <f>'Monthly Data'!AV73</f>
        <v>388.10000000000008</v>
      </c>
      <c r="F73" s="33">
        <f>'Monthly Data'!AW73</f>
        <v>0</v>
      </c>
      <c r="G73" s="33">
        <f>'Monthly Data'!AN73</f>
        <v>18654</v>
      </c>
      <c r="H73" s="8">
        <f>'Monthly Data'!K73</f>
        <v>5560</v>
      </c>
      <c r="I73" s="18">
        <f>'Monthly Data'!BR73</f>
        <v>0</v>
      </c>
      <c r="J73" s="30">
        <f>'Monthly Data'!BT73</f>
        <v>31</v>
      </c>
      <c r="L73" s="18">
        <f>'GS&lt;50 Predicted Monthly'!$X$8</f>
        <v>-8314018.5106493998</v>
      </c>
      <c r="M73" s="18">
        <f>E73*'GS&lt;50 Predicted Monthly'!$X$9</f>
        <v>1828672.7690526787</v>
      </c>
      <c r="N73" s="18">
        <f>F73*'GS&lt;50 Predicted Monthly'!$X$10</f>
        <v>0</v>
      </c>
      <c r="O73" s="18">
        <f>G73*'GS&lt;50 Predicted Monthly'!$X$11</f>
        <v>128158.22052041184</v>
      </c>
      <c r="P73" s="18">
        <f>H73*'GS&lt;50 Predicted Monthly'!$X$12</f>
        <v>10320776.063454818</v>
      </c>
      <c r="Q73" s="18">
        <f>I73*'GS&lt;50 Predicted Monthly'!$X$13</f>
        <v>0</v>
      </c>
      <c r="R73" s="18">
        <f>J73*'GS&lt;50 Predicted Monthly'!$X$14</f>
        <v>11369665.795809086</v>
      </c>
      <c r="S73" s="18">
        <f t="shared" si="14"/>
        <v>15333254.338187594</v>
      </c>
      <c r="T73" s="18">
        <f t="shared" si="15"/>
        <v>1189929.4732520469</v>
      </c>
      <c r="U73" s="35">
        <f t="shared" si="16"/>
        <v>8.4133644996173929E-2</v>
      </c>
      <c r="W73" s="18"/>
      <c r="X73" s="35"/>
    </row>
    <row r="74" spans="1:28" x14ac:dyDescent="0.2">
      <c r="A74" s="9">
        <f>'Monthly Data'!A74</f>
        <v>44197</v>
      </c>
      <c r="B74">
        <f t="shared" si="12"/>
        <v>2021</v>
      </c>
      <c r="C74">
        <f t="shared" si="13"/>
        <v>1</v>
      </c>
      <c r="D74" s="31">
        <f>'Monthly Data'!J74</f>
        <v>14381534.39165709</v>
      </c>
      <c r="E74" s="33">
        <f>'Monthly Data'!AV74</f>
        <v>461.9</v>
      </c>
      <c r="F74" s="33">
        <f>'Monthly Data'!AW74</f>
        <v>0</v>
      </c>
      <c r="G74" s="33">
        <f>'Monthly Data'!AN74</f>
        <v>12705</v>
      </c>
      <c r="H74" s="8">
        <f>'Monthly Data'!K74</f>
        <v>5573</v>
      </c>
      <c r="I74" s="18">
        <f>'Monthly Data'!BR74</f>
        <v>0</v>
      </c>
      <c r="J74" s="30">
        <f>'Monthly Data'!BT74</f>
        <v>31</v>
      </c>
      <c r="L74" s="18">
        <f>'GS&lt;50 Predicted Monthly'!$X$8</f>
        <v>-8314018.5106493998</v>
      </c>
      <c r="M74" s="18">
        <f>E74*'GS&lt;50 Predicted Monthly'!$X$9</f>
        <v>2176408.0186174493</v>
      </c>
      <c r="N74" s="18">
        <f>F74*'GS&lt;50 Predicted Monthly'!$X$10</f>
        <v>0</v>
      </c>
      <c r="O74" s="18">
        <f>G74*'GS&lt;50 Predicted Monthly'!$X$11</f>
        <v>87286.919251197192</v>
      </c>
      <c r="P74" s="18">
        <f>H74*'GS&lt;50 Predicted Monthly'!$X$12</f>
        <v>10344907.374394551</v>
      </c>
      <c r="Q74" s="18">
        <f>I74*'GS&lt;50 Predicted Monthly'!$X$13</f>
        <v>0</v>
      </c>
      <c r="R74" s="18">
        <f>J74*'GS&lt;50 Predicted Monthly'!$X$14</f>
        <v>11369665.795809086</v>
      </c>
      <c r="S74" s="18">
        <f t="shared" si="14"/>
        <v>15664249.597422883</v>
      </c>
      <c r="T74" s="18">
        <f t="shared" si="15"/>
        <v>1282715.2057657931</v>
      </c>
      <c r="U74" s="35">
        <f t="shared" si="16"/>
        <v>8.9191818538494227E-2</v>
      </c>
      <c r="W74" s="18"/>
      <c r="X74" s="35"/>
    </row>
    <row r="75" spans="1:28" x14ac:dyDescent="0.2">
      <c r="A75" s="9">
        <f>'Monthly Data'!A75</f>
        <v>44228</v>
      </c>
      <c r="B75">
        <f t="shared" si="12"/>
        <v>2021</v>
      </c>
      <c r="C75">
        <f t="shared" si="13"/>
        <v>2</v>
      </c>
      <c r="D75" s="31">
        <f>'Monthly Data'!J75</f>
        <v>13667119.590722678</v>
      </c>
      <c r="E75" s="33">
        <f>'Monthly Data'!AV75</f>
        <v>496.99999999999994</v>
      </c>
      <c r="F75" s="33">
        <f>'Monthly Data'!AW75</f>
        <v>0</v>
      </c>
      <c r="G75" s="33">
        <f>'Monthly Data'!AN75</f>
        <v>12705</v>
      </c>
      <c r="H75" s="8">
        <f>'Monthly Data'!K75</f>
        <v>5585</v>
      </c>
      <c r="I75" s="18">
        <f>'Monthly Data'!BR75</f>
        <v>0</v>
      </c>
      <c r="J75" s="30">
        <f>'Monthly Data'!BT75</f>
        <v>28</v>
      </c>
      <c r="L75" s="18">
        <f>'GS&lt;50 Predicted Monthly'!$X$8</f>
        <v>-8314018.5106493998</v>
      </c>
      <c r="M75" s="18">
        <f>E75*'GS&lt;50 Predicted Monthly'!$X$9</f>
        <v>2341794.2958494746</v>
      </c>
      <c r="N75" s="18">
        <f>F75*'GS&lt;50 Predicted Monthly'!$X$10</f>
        <v>0</v>
      </c>
      <c r="O75" s="18">
        <f>G75*'GS&lt;50 Predicted Monthly'!$X$11</f>
        <v>87286.919251197192</v>
      </c>
      <c r="P75" s="18">
        <f>H75*'GS&lt;50 Predicted Monthly'!$X$12</f>
        <v>10367182.430646611</v>
      </c>
      <c r="Q75" s="18">
        <f>I75*'GS&lt;50 Predicted Monthly'!$X$13</f>
        <v>0</v>
      </c>
      <c r="R75" s="18">
        <f>J75*'GS&lt;50 Predicted Monthly'!$X$14</f>
        <v>10269375.55750498</v>
      </c>
      <c r="S75" s="18">
        <f t="shared" si="14"/>
        <v>14751620.692602862</v>
      </c>
      <c r="T75" s="18">
        <f t="shared" si="15"/>
        <v>1084501.1018801834</v>
      </c>
      <c r="U75" s="35">
        <f t="shared" si="16"/>
        <v>7.9351109403941203E-2</v>
      </c>
      <c r="W75" s="18"/>
      <c r="X75" s="35"/>
    </row>
    <row r="76" spans="1:28" x14ac:dyDescent="0.2">
      <c r="A76" s="9">
        <f>'Monthly Data'!A76</f>
        <v>44256</v>
      </c>
      <c r="B76">
        <f t="shared" si="12"/>
        <v>2021</v>
      </c>
      <c r="C76">
        <f t="shared" si="13"/>
        <v>3</v>
      </c>
      <c r="D76" s="31">
        <f>'Monthly Data'!J76</f>
        <v>14309991.789788269</v>
      </c>
      <c r="E76" s="33">
        <f>'Monthly Data'!AV76</f>
        <v>325.00000000000006</v>
      </c>
      <c r="F76" s="33">
        <f>'Monthly Data'!AW76</f>
        <v>0</v>
      </c>
      <c r="G76" s="33">
        <f>'Monthly Data'!AN76</f>
        <v>12705</v>
      </c>
      <c r="H76" s="8">
        <f>'Monthly Data'!K76</f>
        <v>5589</v>
      </c>
      <c r="I76" s="18">
        <f>'Monthly Data'!BR76</f>
        <v>1</v>
      </c>
      <c r="J76" s="30">
        <f>'Monthly Data'!BT76</f>
        <v>31</v>
      </c>
      <c r="L76" s="18">
        <f>'GS&lt;50 Predicted Monthly'!$X$8</f>
        <v>-8314018.5106493998</v>
      </c>
      <c r="M76" s="18">
        <f>E76*'GS&lt;50 Predicted Monthly'!$X$9</f>
        <v>1531354.4188150491</v>
      </c>
      <c r="N76" s="18">
        <f>F76*'GS&lt;50 Predicted Monthly'!$X$10</f>
        <v>0</v>
      </c>
      <c r="O76" s="18">
        <f>G76*'GS&lt;50 Predicted Monthly'!$X$11</f>
        <v>87286.919251197192</v>
      </c>
      <c r="P76" s="18">
        <f>H76*'GS&lt;50 Predicted Monthly'!$X$12</f>
        <v>10374607.449397299</v>
      </c>
      <c r="Q76" s="18">
        <f>I76*'GS&lt;50 Predicted Monthly'!$X$13</f>
        <v>-202362.33175645399</v>
      </c>
      <c r="R76" s="18">
        <f>J76*'GS&lt;50 Predicted Monthly'!$X$14</f>
        <v>11369665.795809086</v>
      </c>
      <c r="S76" s="18">
        <f t="shared" si="14"/>
        <v>14846533.740866778</v>
      </c>
      <c r="T76" s="18">
        <f t="shared" si="15"/>
        <v>536541.95107850991</v>
      </c>
      <c r="U76" s="35">
        <f t="shared" si="16"/>
        <v>3.749421795345758E-2</v>
      </c>
      <c r="X76" s="35"/>
    </row>
    <row r="77" spans="1:28" x14ac:dyDescent="0.2">
      <c r="A77" s="9">
        <f>'Monthly Data'!A77</f>
        <v>44287</v>
      </c>
      <c r="B77">
        <f t="shared" si="12"/>
        <v>2021</v>
      </c>
      <c r="C77">
        <f t="shared" si="13"/>
        <v>4</v>
      </c>
      <c r="D77" s="31">
        <f>'Monthly Data'!J77</f>
        <v>12572792.988853857</v>
      </c>
      <c r="E77" s="33">
        <f>'Monthly Data'!AV77</f>
        <v>216.7</v>
      </c>
      <c r="F77" s="33">
        <f>'Monthly Data'!AW77</f>
        <v>0</v>
      </c>
      <c r="G77" s="33">
        <f>'Monthly Data'!AN77</f>
        <v>-6066</v>
      </c>
      <c r="H77" s="8">
        <f>'Monthly Data'!K77</f>
        <v>5595</v>
      </c>
      <c r="I77" s="18">
        <f>'Monthly Data'!BR77</f>
        <v>1</v>
      </c>
      <c r="J77" s="30">
        <f>'Monthly Data'!BT77</f>
        <v>30</v>
      </c>
      <c r="L77" s="18">
        <f>'GS&lt;50 Predicted Monthly'!$X$8</f>
        <v>-8314018.5106493998</v>
      </c>
      <c r="M77" s="18">
        <f>E77*'GS&lt;50 Predicted Monthly'!$X$9</f>
        <v>1021060.0078683725</v>
      </c>
      <c r="N77" s="18">
        <f>F77*'GS&lt;50 Predicted Monthly'!$X$10</f>
        <v>0</v>
      </c>
      <c r="O77" s="18">
        <f>G77*'GS&lt;50 Predicted Monthly'!$X$11</f>
        <v>-41675.124138352003</v>
      </c>
      <c r="P77" s="18">
        <f>H77*'GS&lt;50 Predicted Monthly'!$X$12</f>
        <v>10385744.977523329</v>
      </c>
      <c r="Q77" s="18">
        <f>I77*'GS&lt;50 Predicted Monthly'!$X$13</f>
        <v>-202362.33175645399</v>
      </c>
      <c r="R77" s="18">
        <f>J77*'GS&lt;50 Predicted Monthly'!$X$14</f>
        <v>11002902.38304105</v>
      </c>
      <c r="S77" s="18">
        <f t="shared" si="14"/>
        <v>13851651.401888546</v>
      </c>
      <c r="T77" s="18">
        <f t="shared" si="15"/>
        <v>1278858.4130346887</v>
      </c>
      <c r="U77" s="35">
        <f t="shared" si="16"/>
        <v>0.10171633416444807</v>
      </c>
      <c r="W77" s="18"/>
      <c r="X77" s="35"/>
    </row>
    <row r="78" spans="1:28" x14ac:dyDescent="0.2">
      <c r="A78" s="9">
        <f>'Monthly Data'!A78</f>
        <v>44317</v>
      </c>
      <c r="B78">
        <f t="shared" si="12"/>
        <v>2021</v>
      </c>
      <c r="C78">
        <f t="shared" si="13"/>
        <v>5</v>
      </c>
      <c r="D78" s="31">
        <f>'Monthly Data'!J78</f>
        <v>13147250.187919445</v>
      </c>
      <c r="E78" s="33">
        <f>'Monthly Data'!AV78</f>
        <v>79.400000000000006</v>
      </c>
      <c r="F78" s="33">
        <f>'Monthly Data'!AW78</f>
        <v>53.6</v>
      </c>
      <c r="G78" s="33">
        <f>'Monthly Data'!AN78</f>
        <v>-6066</v>
      </c>
      <c r="H78" s="8">
        <f>'Monthly Data'!K78</f>
        <v>5611</v>
      </c>
      <c r="I78" s="18">
        <f>'Monthly Data'!BR78</f>
        <v>1</v>
      </c>
      <c r="J78" s="30">
        <f>'Monthly Data'!BT78</f>
        <v>31</v>
      </c>
      <c r="L78" s="18">
        <f>'GS&lt;50 Predicted Monthly'!$X$8</f>
        <v>-8314018.5106493998</v>
      </c>
      <c r="M78" s="18">
        <f>E78*'GS&lt;50 Predicted Monthly'!$X$9</f>
        <v>374121.66416589194</v>
      </c>
      <c r="N78" s="18">
        <f>F78*'GS&lt;50 Predicted Monthly'!$X$10</f>
        <v>619310.8981735321</v>
      </c>
      <c r="O78" s="18">
        <f>G78*'GS&lt;50 Predicted Monthly'!$X$11</f>
        <v>-41675.124138352003</v>
      </c>
      <c r="P78" s="18">
        <f>H78*'GS&lt;50 Predicted Monthly'!$X$12</f>
        <v>10415445.052526077</v>
      </c>
      <c r="Q78" s="18">
        <f>I78*'GS&lt;50 Predicted Monthly'!$X$13</f>
        <v>-202362.33175645399</v>
      </c>
      <c r="R78" s="18">
        <f>J78*'GS&lt;50 Predicted Monthly'!$X$14</f>
        <v>11369665.795809086</v>
      </c>
      <c r="S78" s="18">
        <f t="shared" si="14"/>
        <v>14220487.444130382</v>
      </c>
      <c r="T78" s="18">
        <f t="shared" si="15"/>
        <v>1073237.2562109362</v>
      </c>
      <c r="U78" s="35">
        <f t="shared" si="16"/>
        <v>8.1632070651328811E-2</v>
      </c>
      <c r="W78" s="18"/>
      <c r="X78" s="35"/>
      <c r="Z78" s="18"/>
      <c r="AA78" s="18"/>
      <c r="AB78" s="75"/>
    </row>
    <row r="79" spans="1:28" x14ac:dyDescent="0.2">
      <c r="A79" s="9">
        <f>'Monthly Data'!A79</f>
        <v>44348</v>
      </c>
      <c r="B79">
        <f t="shared" si="12"/>
        <v>2021</v>
      </c>
      <c r="C79">
        <f t="shared" si="13"/>
        <v>6</v>
      </c>
      <c r="D79" s="31">
        <f>'Monthly Data'!J79</f>
        <v>13511808.386985036</v>
      </c>
      <c r="E79" s="33">
        <f>'Monthly Data'!AV79</f>
        <v>0</v>
      </c>
      <c r="F79" s="33">
        <f>'Monthly Data'!AW79</f>
        <v>209.39999999999995</v>
      </c>
      <c r="G79" s="33">
        <f>'Monthly Data'!AN79</f>
        <v>-6066</v>
      </c>
      <c r="H79" s="8">
        <f>'Monthly Data'!K79</f>
        <v>5608</v>
      </c>
      <c r="I79" s="18">
        <f>'Monthly Data'!BR79</f>
        <v>0</v>
      </c>
      <c r="J79" s="30">
        <f>'Monthly Data'!BT79</f>
        <v>30</v>
      </c>
      <c r="L79" s="18">
        <f>'GS&lt;50 Predicted Monthly'!$X$8</f>
        <v>-8314018.5106493998</v>
      </c>
      <c r="M79" s="18">
        <f>E79*'GS&lt;50 Predicted Monthly'!$X$9</f>
        <v>0</v>
      </c>
      <c r="N79" s="18">
        <f>F79*'GS&lt;50 Predicted Monthly'!$X$10</f>
        <v>2419472.0536854025</v>
      </c>
      <c r="O79" s="18">
        <f>G79*'GS&lt;50 Predicted Monthly'!$X$11</f>
        <v>-41675.124138352003</v>
      </c>
      <c r="P79" s="18">
        <f>H79*'GS&lt;50 Predicted Monthly'!$X$12</f>
        <v>10409876.288463062</v>
      </c>
      <c r="Q79" s="18">
        <f>I79*'GS&lt;50 Predicted Monthly'!$X$13</f>
        <v>0</v>
      </c>
      <c r="R79" s="18">
        <f>J79*'GS&lt;50 Predicted Monthly'!$X$14</f>
        <v>11002902.38304105</v>
      </c>
      <c r="S79" s="18">
        <f t="shared" si="14"/>
        <v>15476557.090401761</v>
      </c>
      <c r="T79" s="18">
        <f t="shared" si="15"/>
        <v>1964748.7034167256</v>
      </c>
      <c r="U79" s="35">
        <f t="shared" si="16"/>
        <v>0.14540975176270471</v>
      </c>
      <c r="W79" s="18"/>
      <c r="X79" s="35"/>
      <c r="Z79" s="18"/>
      <c r="AA79" s="18"/>
      <c r="AB79" s="75"/>
    </row>
    <row r="80" spans="1:28" x14ac:dyDescent="0.2">
      <c r="A80" s="9">
        <f>'Monthly Data'!A80</f>
        <v>44378</v>
      </c>
      <c r="B80">
        <f t="shared" si="12"/>
        <v>2021</v>
      </c>
      <c r="C80">
        <f t="shared" si="13"/>
        <v>7</v>
      </c>
      <c r="D80" s="31">
        <f>'Monthly Data'!J80</f>
        <v>15349955.586050624</v>
      </c>
      <c r="E80" s="33">
        <f>'Monthly Data'!AV80</f>
        <v>0</v>
      </c>
      <c r="F80" s="33">
        <f>'Monthly Data'!AW80</f>
        <v>234.5</v>
      </c>
      <c r="G80" s="33">
        <f>'Monthly Data'!AN80</f>
        <v>17046</v>
      </c>
      <c r="H80" s="8">
        <f>'Monthly Data'!K80</f>
        <v>5611</v>
      </c>
      <c r="I80" s="18">
        <f>'Monthly Data'!BR80</f>
        <v>0</v>
      </c>
      <c r="J80" s="30">
        <f>'Monthly Data'!BT80</f>
        <v>31</v>
      </c>
      <c r="L80" s="18">
        <f>'GS&lt;50 Predicted Monthly'!$X$8</f>
        <v>-8314018.5106493998</v>
      </c>
      <c r="M80" s="18">
        <f>E80*'GS&lt;50 Predicted Monthly'!$X$9</f>
        <v>0</v>
      </c>
      <c r="N80" s="18">
        <f>F80*'GS&lt;50 Predicted Monthly'!$X$10</f>
        <v>2709485.1795092025</v>
      </c>
      <c r="O80" s="18">
        <f>G80*'GS&lt;50 Predicted Monthly'!$X$11</f>
        <v>117110.80878047283</v>
      </c>
      <c r="P80" s="18">
        <f>H80*'GS&lt;50 Predicted Monthly'!$X$12</f>
        <v>10415445.052526077</v>
      </c>
      <c r="Q80" s="18">
        <f>I80*'GS&lt;50 Predicted Monthly'!$X$13</f>
        <v>0</v>
      </c>
      <c r="R80" s="18">
        <f>J80*'GS&lt;50 Predicted Monthly'!$X$14</f>
        <v>11369665.795809086</v>
      </c>
      <c r="S80" s="18">
        <f t="shared" si="14"/>
        <v>16297688.325975439</v>
      </c>
      <c r="T80" s="18">
        <f t="shared" si="15"/>
        <v>947732.73992481455</v>
      </c>
      <c r="U80" s="35">
        <f t="shared" si="16"/>
        <v>6.1741725219457512E-2</v>
      </c>
      <c r="W80" s="18"/>
      <c r="X80" s="35"/>
      <c r="Z80" s="18"/>
      <c r="AA80" s="18"/>
      <c r="AB80" s="75"/>
    </row>
    <row r="81" spans="1:28" x14ac:dyDescent="0.2">
      <c r="A81" s="9">
        <f>'Monthly Data'!A81</f>
        <v>44409</v>
      </c>
      <c r="B81">
        <f t="shared" si="12"/>
        <v>2021</v>
      </c>
      <c r="C81">
        <f t="shared" si="13"/>
        <v>8</v>
      </c>
      <c r="D81" s="31">
        <f>'Monthly Data'!J81</f>
        <v>16375542.785116214</v>
      </c>
      <c r="E81" s="33">
        <f>'Monthly Data'!AV81</f>
        <v>0</v>
      </c>
      <c r="F81" s="33">
        <f>'Monthly Data'!AW81</f>
        <v>299.2</v>
      </c>
      <c r="G81" s="33">
        <f>'Monthly Data'!AN81</f>
        <v>17046</v>
      </c>
      <c r="H81" s="8">
        <f>'Monthly Data'!K81</f>
        <v>5615</v>
      </c>
      <c r="I81" s="18">
        <f>'Monthly Data'!BR81</f>
        <v>0</v>
      </c>
      <c r="J81" s="30">
        <f>'Monthly Data'!BT81</f>
        <v>31</v>
      </c>
      <c r="L81" s="18">
        <f>'GS&lt;50 Predicted Monthly'!$X$8</f>
        <v>-8314018.5106493998</v>
      </c>
      <c r="M81" s="18">
        <f>E81*'GS&lt;50 Predicted Monthly'!$X$9</f>
        <v>0</v>
      </c>
      <c r="N81" s="18">
        <f>F81*'GS&lt;50 Predicted Monthly'!$X$10</f>
        <v>3457048.894282104</v>
      </c>
      <c r="O81" s="18">
        <f>G81*'GS&lt;50 Predicted Monthly'!$X$11</f>
        <v>117110.80878047283</v>
      </c>
      <c r="P81" s="18">
        <f>H81*'GS&lt;50 Predicted Monthly'!$X$12</f>
        <v>10422870.071276763</v>
      </c>
      <c r="Q81" s="18">
        <f>I81*'GS&lt;50 Predicted Monthly'!$X$13</f>
        <v>0</v>
      </c>
      <c r="R81" s="18">
        <f>J81*'GS&lt;50 Predicted Monthly'!$X$14</f>
        <v>11369665.795809086</v>
      </c>
      <c r="S81" s="18">
        <f t="shared" si="14"/>
        <v>17052677.059499025</v>
      </c>
      <c r="T81" s="18">
        <f t="shared" si="15"/>
        <v>677134.27438281104</v>
      </c>
      <c r="U81" s="35">
        <f t="shared" si="16"/>
        <v>4.1350340765391951E-2</v>
      </c>
      <c r="W81" s="18"/>
      <c r="X81" s="35"/>
      <c r="Z81" s="18"/>
      <c r="AA81" s="18"/>
      <c r="AB81" s="75"/>
    </row>
    <row r="82" spans="1:28" x14ac:dyDescent="0.2">
      <c r="A82" s="9">
        <f>'Monthly Data'!A82</f>
        <v>44440</v>
      </c>
      <c r="B82">
        <f t="shared" si="12"/>
        <v>2021</v>
      </c>
      <c r="C82">
        <f t="shared" si="13"/>
        <v>9</v>
      </c>
      <c r="D82" s="31">
        <f>'Monthly Data'!J82</f>
        <v>14161395.984181803</v>
      </c>
      <c r="E82" s="33">
        <f>'Monthly Data'!AV82</f>
        <v>0.69999999999999929</v>
      </c>
      <c r="F82" s="33">
        <f>'Monthly Data'!AW82</f>
        <v>131.20000000000002</v>
      </c>
      <c r="G82" s="33">
        <f>'Monthly Data'!AN82</f>
        <v>17046</v>
      </c>
      <c r="H82" s="8">
        <f>'Monthly Data'!K82</f>
        <v>5618</v>
      </c>
      <c r="I82" s="18">
        <f>'Monthly Data'!BR82</f>
        <v>1</v>
      </c>
      <c r="J82" s="30">
        <f>'Monthly Data'!BT82</f>
        <v>30</v>
      </c>
      <c r="L82" s="18">
        <f>'GS&lt;50 Predicted Monthly'!$X$8</f>
        <v>-8314018.5106493998</v>
      </c>
      <c r="M82" s="18">
        <f>E82*'GS&lt;50 Predicted Monthly'!$X$9</f>
        <v>3298.3018251401018</v>
      </c>
      <c r="N82" s="18">
        <f>F82*'GS&lt;50 Predicted Monthly'!$X$10</f>
        <v>1515925.1835889444</v>
      </c>
      <c r="O82" s="18">
        <f>G82*'GS&lt;50 Predicted Monthly'!$X$11</f>
        <v>117110.80878047283</v>
      </c>
      <c r="P82" s="18">
        <f>H82*'GS&lt;50 Predicted Monthly'!$X$12</f>
        <v>10428438.835339779</v>
      </c>
      <c r="Q82" s="18">
        <f>I82*'GS&lt;50 Predicted Monthly'!$X$13</f>
        <v>-202362.33175645399</v>
      </c>
      <c r="R82" s="18">
        <f>J82*'GS&lt;50 Predicted Monthly'!$X$14</f>
        <v>11002902.38304105</v>
      </c>
      <c r="S82" s="18">
        <f t="shared" si="14"/>
        <v>14551294.670169532</v>
      </c>
      <c r="T82" s="18">
        <f t="shared" si="15"/>
        <v>389898.68598772958</v>
      </c>
      <c r="U82" s="35">
        <f t="shared" si="16"/>
        <v>2.7532503605099679E-2</v>
      </c>
      <c r="W82" s="18"/>
      <c r="X82" s="35"/>
      <c r="Z82" s="18"/>
      <c r="AA82" s="18"/>
      <c r="AB82" s="75"/>
    </row>
    <row r="83" spans="1:28" x14ac:dyDescent="0.2">
      <c r="A83" s="9">
        <f>'Monthly Data'!A83</f>
        <v>44470</v>
      </c>
      <c r="B83">
        <f t="shared" si="12"/>
        <v>2021</v>
      </c>
      <c r="C83">
        <f t="shared" si="13"/>
        <v>10</v>
      </c>
      <c r="D83" s="31">
        <f>'Monthly Data'!J83</f>
        <v>13417367.183247393</v>
      </c>
      <c r="E83" s="33">
        <f>'Monthly Data'!AV83</f>
        <v>47.79999999999999</v>
      </c>
      <c r="F83" s="33">
        <f>'Monthly Data'!AW83</f>
        <v>66.099999999999994</v>
      </c>
      <c r="G83" s="33">
        <f>'Monthly Data'!AN83</f>
        <v>18833</v>
      </c>
      <c r="H83" s="8">
        <f>'Monthly Data'!K83</f>
        <v>5614</v>
      </c>
      <c r="I83" s="18">
        <f>'Monthly Data'!BR83</f>
        <v>1</v>
      </c>
      <c r="J83" s="30">
        <f>'Monthly Data'!BT83</f>
        <v>31</v>
      </c>
      <c r="L83" s="18">
        <f>'GS&lt;50 Predicted Monthly'!$X$8</f>
        <v>-8314018.5106493998</v>
      </c>
      <c r="M83" s="18">
        <f>E83*'GS&lt;50 Predicted Monthly'!$X$9</f>
        <v>225226.89605956714</v>
      </c>
      <c r="N83" s="18">
        <f>F83*'GS&lt;50 Predicted Monthly'!$X$10</f>
        <v>763739.74569534452</v>
      </c>
      <c r="O83" s="18">
        <f>G83*'GS&lt;50 Predicted Monthly'!$X$11</f>
        <v>129388.00080738266</v>
      </c>
      <c r="P83" s="18">
        <f>H83*'GS&lt;50 Predicted Monthly'!$X$12</f>
        <v>10421013.816589091</v>
      </c>
      <c r="Q83" s="18">
        <f>I83*'GS&lt;50 Predicted Monthly'!$X$13</f>
        <v>-202362.33175645399</v>
      </c>
      <c r="R83" s="18">
        <f>J83*'GS&lt;50 Predicted Monthly'!$X$14</f>
        <v>11369665.795809086</v>
      </c>
      <c r="S83" s="18">
        <f t="shared" si="14"/>
        <v>14392653.412554618</v>
      </c>
      <c r="T83" s="18">
        <f t="shared" si="15"/>
        <v>975286.22930722497</v>
      </c>
      <c r="U83" s="35">
        <f t="shared" si="16"/>
        <v>7.2688346080663588E-2</v>
      </c>
      <c r="W83" s="18"/>
      <c r="X83" s="35"/>
      <c r="Z83" s="18"/>
      <c r="AA83" s="18"/>
      <c r="AB83" s="75"/>
    </row>
    <row r="84" spans="1:28" x14ac:dyDescent="0.2">
      <c r="A84" s="9">
        <f>'Monthly Data'!A84</f>
        <v>44501</v>
      </c>
      <c r="B84">
        <f t="shared" si="12"/>
        <v>2021</v>
      </c>
      <c r="C84">
        <f t="shared" si="13"/>
        <v>11</v>
      </c>
      <c r="D84" s="31">
        <f>'Monthly Data'!J84</f>
        <v>13769731.382312981</v>
      </c>
      <c r="E84" s="33">
        <f>'Monthly Data'!AV84</f>
        <v>243.00000000000003</v>
      </c>
      <c r="F84" s="33">
        <f>'Monthly Data'!AW84</f>
        <v>0</v>
      </c>
      <c r="G84" s="33">
        <f>'Monthly Data'!AN84</f>
        <v>18833</v>
      </c>
      <c r="H84" s="8">
        <f>'Monthly Data'!K84</f>
        <v>5619</v>
      </c>
      <c r="I84" s="18">
        <f>'Monthly Data'!BR84</f>
        <v>1</v>
      </c>
      <c r="J84" s="30">
        <f>'Monthly Data'!BT84</f>
        <v>30</v>
      </c>
      <c r="L84" s="18">
        <f>'GS&lt;50 Predicted Monthly'!$X$8</f>
        <v>-8314018.5106493998</v>
      </c>
      <c r="M84" s="18">
        <f>E84*'GS&lt;50 Predicted Monthly'!$X$9</f>
        <v>1144981.9192986367</v>
      </c>
      <c r="N84" s="18">
        <f>F84*'GS&lt;50 Predicted Monthly'!$X$10</f>
        <v>0</v>
      </c>
      <c r="O84" s="18">
        <f>G84*'GS&lt;50 Predicted Monthly'!$X$11</f>
        <v>129388.00080738266</v>
      </c>
      <c r="P84" s="18">
        <f>H84*'GS&lt;50 Predicted Monthly'!$X$12</f>
        <v>10430295.09002745</v>
      </c>
      <c r="Q84" s="18">
        <f>I84*'GS&lt;50 Predicted Monthly'!$X$13</f>
        <v>-202362.33175645399</v>
      </c>
      <c r="R84" s="18">
        <f>J84*'GS&lt;50 Predicted Monthly'!$X$14</f>
        <v>11002902.38304105</v>
      </c>
      <c r="S84" s="18">
        <f t="shared" si="14"/>
        <v>14191186.550768666</v>
      </c>
      <c r="T84" s="18">
        <f t="shared" si="15"/>
        <v>421455.16845568456</v>
      </c>
      <c r="U84" s="35">
        <f t="shared" si="16"/>
        <v>3.0607363117993541E-2</v>
      </c>
      <c r="W84" s="18"/>
      <c r="X84" s="35"/>
      <c r="Z84" s="18"/>
      <c r="AA84" s="18"/>
      <c r="AB84" s="75"/>
    </row>
    <row r="85" spans="1:28" x14ac:dyDescent="0.2">
      <c r="A85" s="9">
        <f>'Monthly Data'!A85</f>
        <v>44531</v>
      </c>
      <c r="B85">
        <f t="shared" si="12"/>
        <v>2021</v>
      </c>
      <c r="C85">
        <f t="shared" si="13"/>
        <v>12</v>
      </c>
      <c r="D85" s="31">
        <f>'Monthly Data'!J85</f>
        <v>14754878.581378572</v>
      </c>
      <c r="E85" s="33">
        <f>'Monthly Data'!AV85</f>
        <v>340.50000000000006</v>
      </c>
      <c r="F85" s="33">
        <f>'Monthly Data'!AW85</f>
        <v>0</v>
      </c>
      <c r="G85" s="33">
        <f>'Monthly Data'!AN85</f>
        <v>18833</v>
      </c>
      <c r="H85" s="8">
        <f>'Monthly Data'!K85</f>
        <v>5623</v>
      </c>
      <c r="I85" s="18">
        <f>'Monthly Data'!BR85</f>
        <v>0</v>
      </c>
      <c r="J85" s="30">
        <f>'Monthly Data'!BT85</f>
        <v>31</v>
      </c>
      <c r="L85" s="18">
        <f>'GS&lt;50 Predicted Monthly'!$X$8</f>
        <v>-8314018.5106493998</v>
      </c>
      <c r="M85" s="18">
        <f>E85*'GS&lt;50 Predicted Monthly'!$X$9</f>
        <v>1604388.2449431515</v>
      </c>
      <c r="N85" s="18">
        <f>F85*'GS&lt;50 Predicted Monthly'!$X$10</f>
        <v>0</v>
      </c>
      <c r="O85" s="18">
        <f>G85*'GS&lt;50 Predicted Monthly'!$X$11</f>
        <v>129388.00080738266</v>
      </c>
      <c r="P85" s="18">
        <f>H85*'GS&lt;50 Predicted Monthly'!$X$12</f>
        <v>10437720.108778138</v>
      </c>
      <c r="Q85" s="18">
        <f>I85*'GS&lt;50 Predicted Monthly'!$X$13</f>
        <v>0</v>
      </c>
      <c r="R85" s="18">
        <f>J85*'GS&lt;50 Predicted Monthly'!$X$14</f>
        <v>11369665.795809086</v>
      </c>
      <c r="S85" s="18">
        <f t="shared" si="14"/>
        <v>15227143.639688358</v>
      </c>
      <c r="T85" s="18">
        <f t="shared" si="15"/>
        <v>472265.05830978602</v>
      </c>
      <c r="U85" s="35">
        <f t="shared" si="16"/>
        <v>3.2007383571818017E-2</v>
      </c>
      <c r="W85" s="18"/>
      <c r="X85" s="35"/>
      <c r="Z85" s="18"/>
      <c r="AA85" s="18"/>
      <c r="AB85" s="75"/>
    </row>
    <row r="86" spans="1:28" x14ac:dyDescent="0.2">
      <c r="A86" s="9">
        <f>'Monthly Data'!A86</f>
        <v>44562</v>
      </c>
      <c r="B86">
        <f t="shared" si="12"/>
        <v>2022</v>
      </c>
      <c r="C86">
        <f t="shared" si="13"/>
        <v>1</v>
      </c>
      <c r="D86" s="31">
        <f>'Monthly Data'!J86</f>
        <v>15788558.386490077</v>
      </c>
      <c r="E86" s="33">
        <f>'Monthly Data'!AV86</f>
        <v>624.19999999999993</v>
      </c>
      <c r="F86" s="33">
        <f>'Monthly Data'!AW86</f>
        <v>0</v>
      </c>
      <c r="G86" s="33">
        <f>'Monthly Data'!AN86</f>
        <v>6821</v>
      </c>
      <c r="H86" s="8">
        <f>'Monthly Data'!K86</f>
        <v>5641</v>
      </c>
      <c r="I86" s="18">
        <f>'Monthly Data'!BR86</f>
        <v>0</v>
      </c>
      <c r="J86" s="30">
        <f>'Monthly Data'!BT86</f>
        <v>31</v>
      </c>
      <c r="L86" s="18">
        <f>'GS&lt;50 Predicted Monthly'!$X$8</f>
        <v>-8314018.5106493998</v>
      </c>
      <c r="M86" s="18">
        <f>E86*'GS&lt;50 Predicted Monthly'!$X$9</f>
        <v>2941142.8560749334</v>
      </c>
      <c r="N86" s="18">
        <f>F86*'GS&lt;50 Predicted Monthly'!$X$10</f>
        <v>0</v>
      </c>
      <c r="O86" s="18">
        <f>G86*'GS&lt;50 Predicted Monthly'!$X$11</f>
        <v>46862.186242614407</v>
      </c>
      <c r="P86" s="18">
        <f>H86*'GS&lt;50 Predicted Monthly'!$X$12</f>
        <v>10471132.693156229</v>
      </c>
      <c r="Q86" s="18">
        <f>I86*'GS&lt;50 Predicted Monthly'!$X$13</f>
        <v>0</v>
      </c>
      <c r="R86" s="18">
        <f>J86*'GS&lt;50 Predicted Monthly'!$X$14</f>
        <v>11369665.795809086</v>
      </c>
      <c r="S86" s="18">
        <f t="shared" si="14"/>
        <v>16514785.020633463</v>
      </c>
      <c r="T86" s="18">
        <f t="shared" si="15"/>
        <v>726226.63414338604</v>
      </c>
      <c r="U86" s="35">
        <f t="shared" si="16"/>
        <v>4.5997019890353145E-2</v>
      </c>
      <c r="W86" s="18"/>
      <c r="X86" s="35"/>
      <c r="Z86" s="18"/>
      <c r="AA86" s="18"/>
      <c r="AB86" s="75"/>
    </row>
    <row r="87" spans="1:28" x14ac:dyDescent="0.2">
      <c r="A87" s="9">
        <f>'Monthly Data'!A87</f>
        <v>44593</v>
      </c>
      <c r="B87">
        <f t="shared" si="12"/>
        <v>2022</v>
      </c>
      <c r="C87">
        <f t="shared" si="13"/>
        <v>2</v>
      </c>
      <c r="D87" s="31">
        <f>'Monthly Data'!J87</f>
        <v>14751049.03981971</v>
      </c>
      <c r="E87" s="33">
        <f>'Monthly Data'!AV87</f>
        <v>464.7</v>
      </c>
      <c r="F87" s="33">
        <f>'Monthly Data'!AW87</f>
        <v>0</v>
      </c>
      <c r="G87" s="33">
        <f>'Monthly Data'!AN87</f>
        <v>6821</v>
      </c>
      <c r="H87" s="8">
        <f>'Monthly Data'!K87</f>
        <v>5639</v>
      </c>
      <c r="I87" s="18">
        <f>'Monthly Data'!BR87</f>
        <v>0</v>
      </c>
      <c r="J87" s="30">
        <f>'Monthly Data'!BT87</f>
        <v>28</v>
      </c>
      <c r="L87" s="18">
        <f>'GS&lt;50 Predicted Monthly'!$X$8</f>
        <v>-8314018.5106493998</v>
      </c>
      <c r="M87" s="18">
        <f>E87*'GS&lt;50 Predicted Monthly'!$X$9</f>
        <v>2189601.2259180099</v>
      </c>
      <c r="N87" s="18">
        <f>F87*'GS&lt;50 Predicted Monthly'!$X$10</f>
        <v>0</v>
      </c>
      <c r="O87" s="18">
        <f>G87*'GS&lt;50 Predicted Monthly'!$X$11</f>
        <v>46862.186242614407</v>
      </c>
      <c r="P87" s="18">
        <f>H87*'GS&lt;50 Predicted Monthly'!$X$12</f>
        <v>10467420.183780884</v>
      </c>
      <c r="Q87" s="18">
        <f>I87*'GS&lt;50 Predicted Monthly'!$X$13</f>
        <v>0</v>
      </c>
      <c r="R87" s="18">
        <f>J87*'GS&lt;50 Predicted Monthly'!$X$14</f>
        <v>10269375.55750498</v>
      </c>
      <c r="S87" s="18">
        <f t="shared" si="14"/>
        <v>14659240.642797088</v>
      </c>
      <c r="T87" s="18">
        <f t="shared" si="15"/>
        <v>-91808.397022621706</v>
      </c>
      <c r="U87" s="35">
        <f t="shared" si="16"/>
        <v>6.2238554542656315E-3</v>
      </c>
      <c r="W87" s="18"/>
      <c r="X87" s="35"/>
      <c r="Z87" s="18"/>
      <c r="AA87" s="18"/>
      <c r="AB87" s="75"/>
    </row>
    <row r="88" spans="1:28" x14ac:dyDescent="0.2">
      <c r="A88" s="9">
        <f>'Monthly Data'!A88</f>
        <v>44621</v>
      </c>
      <c r="B88">
        <f t="shared" si="12"/>
        <v>2022</v>
      </c>
      <c r="C88">
        <f t="shared" si="13"/>
        <v>3</v>
      </c>
      <c r="D88" s="31">
        <f>'Monthly Data'!J88</f>
        <v>15389914.693149343</v>
      </c>
      <c r="E88" s="33">
        <f>'Monthly Data'!AV88</f>
        <v>371.70000000000005</v>
      </c>
      <c r="F88" s="33">
        <f>'Monthly Data'!AW88</f>
        <v>0</v>
      </c>
      <c r="G88" s="33">
        <f>'Monthly Data'!AN88</f>
        <v>6821</v>
      </c>
      <c r="H88" s="8">
        <f>'Monthly Data'!K88</f>
        <v>5650</v>
      </c>
      <c r="I88" s="18">
        <f>'Monthly Data'!BR88</f>
        <v>1</v>
      </c>
      <c r="J88" s="30">
        <f>'Monthly Data'!BT88</f>
        <v>31</v>
      </c>
      <c r="L88" s="18">
        <f>'GS&lt;50 Predicted Monthly'!$X$8</f>
        <v>-8314018.5106493998</v>
      </c>
      <c r="M88" s="18">
        <f>E88*'GS&lt;50 Predicted Monthly'!$X$9</f>
        <v>1751398.2691493961</v>
      </c>
      <c r="N88" s="18">
        <f>F88*'GS&lt;50 Predicted Monthly'!$X$10</f>
        <v>0</v>
      </c>
      <c r="O88" s="18">
        <f>G88*'GS&lt;50 Predicted Monthly'!$X$11</f>
        <v>46862.186242614407</v>
      </c>
      <c r="P88" s="18">
        <f>H88*'GS&lt;50 Predicted Monthly'!$X$12</f>
        <v>10487838.985345274</v>
      </c>
      <c r="Q88" s="18">
        <f>I88*'GS&lt;50 Predicted Monthly'!$X$13</f>
        <v>-202362.33175645399</v>
      </c>
      <c r="R88" s="18">
        <f>J88*'GS&lt;50 Predicted Monthly'!$X$14</f>
        <v>11369665.795809086</v>
      </c>
      <c r="S88" s="18">
        <f t="shared" si="14"/>
        <v>15139384.394140517</v>
      </c>
      <c r="T88" s="18">
        <f t="shared" si="15"/>
        <v>-250530.29900882579</v>
      </c>
      <c r="U88" s="35">
        <f t="shared" si="16"/>
        <v>1.6278862099238709E-2</v>
      </c>
      <c r="W88" s="18"/>
    </row>
    <row r="89" spans="1:28" x14ac:dyDescent="0.2">
      <c r="A89" s="9">
        <f>'Monthly Data'!A89</f>
        <v>44652</v>
      </c>
      <c r="B89">
        <f t="shared" si="12"/>
        <v>2022</v>
      </c>
      <c r="C89">
        <f t="shared" si="13"/>
        <v>4</v>
      </c>
      <c r="D89" s="31">
        <f>'Monthly Data'!J89</f>
        <v>13876561.346478976</v>
      </c>
      <c r="E89" s="33">
        <f>'Monthly Data'!AV89</f>
        <v>233.59999999999997</v>
      </c>
      <c r="F89" s="33">
        <f>'Monthly Data'!AW89</f>
        <v>0</v>
      </c>
      <c r="G89" s="33">
        <f>'Monthly Data'!AN89</f>
        <v>6403</v>
      </c>
      <c r="H89" s="8">
        <f>'Monthly Data'!K89</f>
        <v>5658</v>
      </c>
      <c r="I89" s="18">
        <f>'Monthly Data'!BR89</f>
        <v>1</v>
      </c>
      <c r="J89" s="30">
        <f>'Monthly Data'!BT89</f>
        <v>30</v>
      </c>
      <c r="L89" s="18">
        <f>'GS&lt;50 Predicted Monthly'!$X$8</f>
        <v>-8314018.5106493998</v>
      </c>
      <c r="M89" s="18">
        <f>E89*'GS&lt;50 Predicted Monthly'!$X$9</f>
        <v>1100690.437646755</v>
      </c>
      <c r="N89" s="18">
        <f>F89*'GS&lt;50 Predicted Monthly'!$X$10</f>
        <v>0</v>
      </c>
      <c r="O89" s="18">
        <f>G89*'GS&lt;50 Predicted Monthly'!$X$11</f>
        <v>43990.408812704889</v>
      </c>
      <c r="P89" s="18">
        <f>H89*'GS&lt;50 Predicted Monthly'!$X$12</f>
        <v>10502689.022846648</v>
      </c>
      <c r="Q89" s="18">
        <f>I89*'GS&lt;50 Predicted Monthly'!$X$13</f>
        <v>-202362.33175645399</v>
      </c>
      <c r="R89" s="18">
        <f>J89*'GS&lt;50 Predicted Monthly'!$X$14</f>
        <v>11002902.38304105</v>
      </c>
      <c r="S89" s="18">
        <f t="shared" si="14"/>
        <v>14133891.409941304</v>
      </c>
      <c r="T89" s="18">
        <f t="shared" si="15"/>
        <v>257330.06346232817</v>
      </c>
      <c r="U89" s="35">
        <f t="shared" si="16"/>
        <v>1.8544224108346757E-2</v>
      </c>
      <c r="AB89" s="64"/>
    </row>
    <row r="90" spans="1:28" x14ac:dyDescent="0.2">
      <c r="A90" s="9">
        <f>'Monthly Data'!A90</f>
        <v>44682</v>
      </c>
      <c r="B90">
        <f t="shared" si="12"/>
        <v>2022</v>
      </c>
      <c r="C90">
        <f t="shared" si="13"/>
        <v>5</v>
      </c>
      <c r="D90" s="31">
        <f>'Monthly Data'!J90</f>
        <v>14211702.999808609</v>
      </c>
      <c r="E90" s="33">
        <f>'Monthly Data'!AV90</f>
        <v>68.399999999999977</v>
      </c>
      <c r="F90" s="33">
        <f>'Monthly Data'!AW90</f>
        <v>60.3</v>
      </c>
      <c r="G90" s="33">
        <f>'Monthly Data'!AN90</f>
        <v>6403</v>
      </c>
      <c r="H90" s="8">
        <f>'Monthly Data'!K90</f>
        <v>5669</v>
      </c>
      <c r="I90" s="18">
        <f>'Monthly Data'!BR90</f>
        <v>1</v>
      </c>
      <c r="J90" s="30">
        <f>'Monthly Data'!BT90</f>
        <v>31</v>
      </c>
      <c r="L90" s="18">
        <f>'GS&lt;50 Predicted Monthly'!$X$8</f>
        <v>-8314018.5106493998</v>
      </c>
      <c r="M90" s="18">
        <f>E90*'GS&lt;50 Predicted Monthly'!$X$9</f>
        <v>322291.2069136902</v>
      </c>
      <c r="N90" s="18">
        <f>F90*'GS&lt;50 Predicted Monthly'!$X$10</f>
        <v>696724.76044522354</v>
      </c>
      <c r="O90" s="18">
        <f>G90*'GS&lt;50 Predicted Monthly'!$X$11</f>
        <v>43990.408812704889</v>
      </c>
      <c r="P90" s="18">
        <f>H90*'GS&lt;50 Predicted Monthly'!$X$12</f>
        <v>10523107.824411036</v>
      </c>
      <c r="Q90" s="18">
        <f>I90*'GS&lt;50 Predicted Monthly'!$X$13</f>
        <v>-202362.33175645399</v>
      </c>
      <c r="R90" s="18">
        <f>J90*'GS&lt;50 Predicted Monthly'!$X$14</f>
        <v>11369665.795809086</v>
      </c>
      <c r="S90" s="18">
        <f t="shared" si="14"/>
        <v>14439399.153985888</v>
      </c>
      <c r="T90" s="18">
        <f t="shared" si="15"/>
        <v>227696.15417727828</v>
      </c>
      <c r="U90" s="35">
        <f t="shared" si="16"/>
        <v>1.6021736042495731E-2</v>
      </c>
    </row>
    <row r="91" spans="1:28" x14ac:dyDescent="0.2">
      <c r="A91" s="9">
        <f>'Monthly Data'!A91</f>
        <v>44713</v>
      </c>
      <c r="B91">
        <f t="shared" si="12"/>
        <v>2022</v>
      </c>
      <c r="C91">
        <f t="shared" si="13"/>
        <v>6</v>
      </c>
      <c r="D91" s="31">
        <f>'Monthly Data'!J91</f>
        <v>15055174.653138243</v>
      </c>
      <c r="E91" s="33">
        <f>'Monthly Data'!AV91</f>
        <v>0</v>
      </c>
      <c r="F91" s="33">
        <f>'Monthly Data'!AW91</f>
        <v>154.49999999999994</v>
      </c>
      <c r="G91" s="33">
        <f>'Monthly Data'!AN91</f>
        <v>6403</v>
      </c>
      <c r="H91" s="8">
        <f>'Monthly Data'!K91</f>
        <v>5662</v>
      </c>
      <c r="I91" s="18">
        <f>'Monthly Data'!BR91</f>
        <v>0</v>
      </c>
      <c r="J91" s="30">
        <f>'Monthly Data'!BT91</f>
        <v>30</v>
      </c>
      <c r="L91" s="18">
        <f>'GS&lt;50 Predicted Monthly'!$X$8</f>
        <v>-8314018.5106493998</v>
      </c>
      <c r="M91" s="18">
        <f>E91*'GS&lt;50 Predicted Monthly'!$X$9</f>
        <v>0</v>
      </c>
      <c r="N91" s="18">
        <f>F91*'GS&lt;50 Predicted Monthly'!$X$10</f>
        <v>1785140.5553696021</v>
      </c>
      <c r="O91" s="18">
        <f>G91*'GS&lt;50 Predicted Monthly'!$X$11</f>
        <v>43990.408812704889</v>
      </c>
      <c r="P91" s="18">
        <f>H91*'GS&lt;50 Predicted Monthly'!$X$12</f>
        <v>10510114.041597335</v>
      </c>
      <c r="Q91" s="18">
        <f>I91*'GS&lt;50 Predicted Monthly'!$X$13</f>
        <v>0</v>
      </c>
      <c r="R91" s="18">
        <f>J91*'GS&lt;50 Predicted Monthly'!$X$14</f>
        <v>11002902.38304105</v>
      </c>
      <c r="S91" s="18">
        <f t="shared" si="14"/>
        <v>15028128.878171291</v>
      </c>
      <c r="T91" s="18">
        <f t="shared" si="15"/>
        <v>-27045.77496695146</v>
      </c>
      <c r="U91" s="35">
        <f t="shared" si="16"/>
        <v>1.7964437869416403E-3</v>
      </c>
    </row>
    <row r="92" spans="1:28" x14ac:dyDescent="0.2">
      <c r="A92" s="9">
        <f>'Monthly Data'!A92</f>
        <v>44743</v>
      </c>
      <c r="B92">
        <f t="shared" si="12"/>
        <v>2022</v>
      </c>
      <c r="C92">
        <f t="shared" si="13"/>
        <v>7</v>
      </c>
      <c r="D92" s="31">
        <f>'Monthly Data'!J92</f>
        <v>16754433.306467874</v>
      </c>
      <c r="E92" s="33">
        <f>'Monthly Data'!AV92</f>
        <v>0</v>
      </c>
      <c r="F92" s="33">
        <f>'Monthly Data'!AW92</f>
        <v>260.7</v>
      </c>
      <c r="G92" s="33">
        <f>'Monthly Data'!AN92</f>
        <v>1358</v>
      </c>
      <c r="H92" s="8">
        <f>'Monthly Data'!K92</f>
        <v>5658</v>
      </c>
      <c r="I92" s="18">
        <f>'Monthly Data'!BR92</f>
        <v>0</v>
      </c>
      <c r="J92" s="30">
        <f>'Monthly Data'!BT92</f>
        <v>31</v>
      </c>
      <c r="L92" s="18">
        <f>'GS&lt;50 Predicted Monthly'!$X$8</f>
        <v>-8314018.5106493998</v>
      </c>
      <c r="M92" s="18">
        <f>E92*'GS&lt;50 Predicted Monthly'!$X$9</f>
        <v>0</v>
      </c>
      <c r="N92" s="18">
        <f>F92*'GS&lt;50 Predicted Monthly'!$X$10</f>
        <v>3012208.0439149216</v>
      </c>
      <c r="O92" s="18">
        <f>G92*'GS&lt;50 Predicted Monthly'!$X$11</f>
        <v>9329.8415067395345</v>
      </c>
      <c r="P92" s="18">
        <f>H92*'GS&lt;50 Predicted Monthly'!$X$12</f>
        <v>10502689.022846648</v>
      </c>
      <c r="Q92" s="18">
        <f>I92*'GS&lt;50 Predicted Monthly'!$X$13</f>
        <v>0</v>
      </c>
      <c r="R92" s="18">
        <f>J92*'GS&lt;50 Predicted Monthly'!$X$14</f>
        <v>11369665.795809086</v>
      </c>
      <c r="S92" s="18">
        <f t="shared" si="14"/>
        <v>16579874.193427995</v>
      </c>
      <c r="T92" s="18">
        <f t="shared" si="15"/>
        <v>-174559.11303987913</v>
      </c>
      <c r="U92" s="35">
        <f t="shared" si="16"/>
        <v>1.0418682019671319E-2</v>
      </c>
    </row>
    <row r="93" spans="1:28" x14ac:dyDescent="0.2">
      <c r="A93" s="9">
        <f>'Monthly Data'!A93</f>
        <v>44774</v>
      </c>
      <c r="B93">
        <f t="shared" si="12"/>
        <v>2022</v>
      </c>
      <c r="C93">
        <f t="shared" si="13"/>
        <v>8</v>
      </c>
      <c r="D93" s="31">
        <f>'Monthly Data'!J93</f>
        <v>16753992.959797507</v>
      </c>
      <c r="E93" s="33">
        <f>'Monthly Data'!AV93</f>
        <v>0</v>
      </c>
      <c r="F93" s="33">
        <f>'Monthly Data'!AW93</f>
        <v>256.5</v>
      </c>
      <c r="G93" s="33">
        <f>'Monthly Data'!AN93</f>
        <v>1358</v>
      </c>
      <c r="H93" s="8">
        <f>'Monthly Data'!K93</f>
        <v>5681</v>
      </c>
      <c r="I93" s="18">
        <f>'Monthly Data'!BR93</f>
        <v>0</v>
      </c>
      <c r="J93" s="30">
        <f>'Monthly Data'!BT93</f>
        <v>31</v>
      </c>
      <c r="L93" s="18">
        <f>'GS&lt;50 Predicted Monthly'!$X$8</f>
        <v>-8314018.5106493998</v>
      </c>
      <c r="M93" s="18">
        <f>E93*'GS&lt;50 Predicted Monthly'!$X$9</f>
        <v>0</v>
      </c>
      <c r="N93" s="18">
        <f>F93*'GS&lt;50 Predicted Monthly'!$X$10</f>
        <v>2963679.9511475926</v>
      </c>
      <c r="O93" s="18">
        <f>G93*'GS&lt;50 Predicted Monthly'!$X$11</f>
        <v>9329.8415067395345</v>
      </c>
      <c r="P93" s="18">
        <f>H93*'GS&lt;50 Predicted Monthly'!$X$12</f>
        <v>10545382.880663097</v>
      </c>
      <c r="Q93" s="18">
        <f>I93*'GS&lt;50 Predicted Monthly'!$X$13</f>
        <v>0</v>
      </c>
      <c r="R93" s="18">
        <f>J93*'GS&lt;50 Predicted Monthly'!$X$14</f>
        <v>11369665.795809086</v>
      </c>
      <c r="S93" s="18">
        <f t="shared" si="14"/>
        <v>16574039.958477115</v>
      </c>
      <c r="T93" s="18">
        <f t="shared" si="15"/>
        <v>-179953.00132039189</v>
      </c>
      <c r="U93" s="35">
        <f t="shared" si="16"/>
        <v>1.0740902288320338E-2</v>
      </c>
    </row>
    <row r="94" spans="1:28" x14ac:dyDescent="0.2">
      <c r="A94" s="9">
        <f>'Monthly Data'!A94</f>
        <v>44805</v>
      </c>
      <c r="B94">
        <f t="shared" si="12"/>
        <v>2022</v>
      </c>
      <c r="C94">
        <f t="shared" si="13"/>
        <v>9</v>
      </c>
      <c r="D94" s="31">
        <f>'Monthly Data'!J94</f>
        <v>14523776.61312714</v>
      </c>
      <c r="E94" s="33">
        <f>'Monthly Data'!AV94</f>
        <v>8.1999999999999993</v>
      </c>
      <c r="F94" s="33">
        <f>'Monthly Data'!AW94</f>
        <v>136.20000000000002</v>
      </c>
      <c r="G94" s="33">
        <f>'Monthly Data'!AN94</f>
        <v>1358</v>
      </c>
      <c r="H94" s="8">
        <f>'Monthly Data'!K94</f>
        <v>5679</v>
      </c>
      <c r="I94" s="18">
        <f>'Monthly Data'!BR94</f>
        <v>1</v>
      </c>
      <c r="J94" s="30">
        <f>'Monthly Data'!BT94</f>
        <v>30</v>
      </c>
      <c r="L94" s="18">
        <f>'GS&lt;50 Predicted Monthly'!$X$8</f>
        <v>-8314018.5106493998</v>
      </c>
      <c r="M94" s="18">
        <f>E94*'GS&lt;50 Predicted Monthly'!$X$9</f>
        <v>38637.249951641228</v>
      </c>
      <c r="N94" s="18">
        <f>F94*'GS&lt;50 Predicted Monthly'!$X$10</f>
        <v>1573696.7225976693</v>
      </c>
      <c r="O94" s="18">
        <f>G94*'GS&lt;50 Predicted Monthly'!$X$11</f>
        <v>9329.8415067395345</v>
      </c>
      <c r="P94" s="18">
        <f>H94*'GS&lt;50 Predicted Monthly'!$X$12</f>
        <v>10541670.371287754</v>
      </c>
      <c r="Q94" s="18">
        <f>I94*'GS&lt;50 Predicted Monthly'!$X$13</f>
        <v>-202362.33175645399</v>
      </c>
      <c r="R94" s="18">
        <f>J94*'GS&lt;50 Predicted Monthly'!$X$14</f>
        <v>11002902.38304105</v>
      </c>
      <c r="S94" s="18">
        <f t="shared" si="14"/>
        <v>14649855.725979</v>
      </c>
      <c r="T94" s="18">
        <f t="shared" si="15"/>
        <v>126079.11285186</v>
      </c>
      <c r="U94" s="35">
        <f t="shared" si="16"/>
        <v>8.6808766211609809E-3</v>
      </c>
    </row>
    <row r="95" spans="1:28" x14ac:dyDescent="0.2">
      <c r="A95" s="9">
        <f>'Monthly Data'!A95</f>
        <v>44835</v>
      </c>
      <c r="B95">
        <f t="shared" si="12"/>
        <v>2022</v>
      </c>
      <c r="C95">
        <f t="shared" si="13"/>
        <v>10</v>
      </c>
      <c r="D95" s="31">
        <f>'Monthly Data'!J95</f>
        <v>13812237.266456774</v>
      </c>
      <c r="E95" s="33">
        <f>'Monthly Data'!AV95</f>
        <v>119.99999999999999</v>
      </c>
      <c r="F95" s="33">
        <f>'Monthly Data'!AW95</f>
        <v>12.299999999999999</v>
      </c>
      <c r="G95" s="33">
        <f>'Monthly Data'!AN95</f>
        <v>-950</v>
      </c>
      <c r="H95" s="8">
        <f>'Monthly Data'!K95</f>
        <v>5668</v>
      </c>
      <c r="I95" s="18">
        <f>'Monthly Data'!BR95</f>
        <v>1</v>
      </c>
      <c r="J95" s="30">
        <f>'Monthly Data'!BT95</f>
        <v>31</v>
      </c>
      <c r="L95" s="18">
        <f>'GS&lt;50 Predicted Monthly'!$X$8</f>
        <v>-8314018.5106493998</v>
      </c>
      <c r="M95" s="18">
        <f>E95*'GS&lt;50 Predicted Monthly'!$X$9</f>
        <v>565423.17002401792</v>
      </c>
      <c r="N95" s="18">
        <f>F95*'GS&lt;50 Predicted Monthly'!$X$10</f>
        <v>142117.98596146351</v>
      </c>
      <c r="O95" s="18">
        <f>G95*'GS&lt;50 Predicted Monthly'!$X$11</f>
        <v>-6526.766886157995</v>
      </c>
      <c r="P95" s="18">
        <f>H95*'GS&lt;50 Predicted Monthly'!$X$12</f>
        <v>10521251.569723366</v>
      </c>
      <c r="Q95" s="18">
        <f>I95*'GS&lt;50 Predicted Monthly'!$X$13</f>
        <v>-202362.33175645399</v>
      </c>
      <c r="R95" s="18">
        <f>J95*'GS&lt;50 Predicted Monthly'!$X$14</f>
        <v>11369665.795809086</v>
      </c>
      <c r="S95" s="18">
        <f t="shared" si="14"/>
        <v>14075550.912225921</v>
      </c>
      <c r="T95" s="18">
        <f t="shared" si="15"/>
        <v>263313.6457691472</v>
      </c>
      <c r="U95" s="35">
        <f t="shared" si="16"/>
        <v>1.9063793988582021E-2</v>
      </c>
    </row>
    <row r="96" spans="1:28" x14ac:dyDescent="0.2">
      <c r="A96" s="9">
        <f>'Monthly Data'!A96</f>
        <v>44866</v>
      </c>
      <c r="B96">
        <f t="shared" si="12"/>
        <v>2022</v>
      </c>
      <c r="C96">
        <f t="shared" si="13"/>
        <v>11</v>
      </c>
      <c r="D96" s="31">
        <f>'Monthly Data'!J96</f>
        <v>14497454.919786407</v>
      </c>
      <c r="E96" s="33">
        <f>'Monthly Data'!AV96</f>
        <v>226.90000000000003</v>
      </c>
      <c r="F96" s="33">
        <f>'Monthly Data'!AW96</f>
        <v>9.6</v>
      </c>
      <c r="G96" s="33">
        <f>'Monthly Data'!AN96</f>
        <v>-950</v>
      </c>
      <c r="H96" s="8">
        <f>'Monthly Data'!K96</f>
        <v>5677</v>
      </c>
      <c r="I96" s="18">
        <f>'Monthly Data'!BR96</f>
        <v>1</v>
      </c>
      <c r="J96" s="30">
        <f>'Monthly Data'!BT96</f>
        <v>30</v>
      </c>
      <c r="L96" s="18">
        <f>'GS&lt;50 Predicted Monthly'!$X$8</f>
        <v>-8314018.5106493998</v>
      </c>
      <c r="M96" s="18">
        <f>E96*'GS&lt;50 Predicted Monthly'!$X$9</f>
        <v>1069120.9773204143</v>
      </c>
      <c r="N96" s="18">
        <f>F96*'GS&lt;50 Predicted Monthly'!$X$10</f>
        <v>110921.354896752</v>
      </c>
      <c r="O96" s="18">
        <f>G96*'GS&lt;50 Predicted Monthly'!$X$11</f>
        <v>-6526.766886157995</v>
      </c>
      <c r="P96" s="18">
        <f>H96*'GS&lt;50 Predicted Monthly'!$X$12</f>
        <v>10537957.861912411</v>
      </c>
      <c r="Q96" s="18">
        <f>I96*'GS&lt;50 Predicted Monthly'!$X$13</f>
        <v>-202362.33175645399</v>
      </c>
      <c r="R96" s="18">
        <f>J96*'GS&lt;50 Predicted Monthly'!$X$14</f>
        <v>11002902.38304105</v>
      </c>
      <c r="S96" s="18">
        <f t="shared" si="14"/>
        <v>14197994.967878615</v>
      </c>
      <c r="T96" s="18">
        <f t="shared" si="15"/>
        <v>-299459.9519077912</v>
      </c>
      <c r="U96" s="35">
        <f t="shared" si="16"/>
        <v>2.06560360811388E-2</v>
      </c>
    </row>
    <row r="97" spans="1:21" x14ac:dyDescent="0.2">
      <c r="A97" s="9">
        <f>'Monthly Data'!A97</f>
        <v>44896</v>
      </c>
      <c r="B97">
        <f t="shared" si="12"/>
        <v>2022</v>
      </c>
      <c r="C97">
        <f t="shared" si="13"/>
        <v>12</v>
      </c>
      <c r="D97" s="31">
        <f>'Monthly Data'!J97</f>
        <v>15707320.57311604</v>
      </c>
      <c r="E97" s="33">
        <f>'Monthly Data'!AV97</f>
        <v>398.5</v>
      </c>
      <c r="F97" s="33">
        <f>'Monthly Data'!AW97</f>
        <v>0</v>
      </c>
      <c r="G97" s="33">
        <f>'Monthly Data'!AN97</f>
        <v>-950</v>
      </c>
      <c r="H97" s="8">
        <f>'Monthly Data'!K97</f>
        <v>5690</v>
      </c>
      <c r="I97" s="18">
        <f>'Monthly Data'!BR97</f>
        <v>0</v>
      </c>
      <c r="J97" s="30">
        <f>'Monthly Data'!BT97</f>
        <v>31</v>
      </c>
      <c r="L97" s="18">
        <f>'GS&lt;50 Predicted Monthly'!$X$8</f>
        <v>-8314018.5106493998</v>
      </c>
      <c r="M97" s="18">
        <f>E97*'GS&lt;50 Predicted Monthly'!$X$9</f>
        <v>1877676.1104547598</v>
      </c>
      <c r="N97" s="18">
        <f>F97*'GS&lt;50 Predicted Monthly'!$X$10</f>
        <v>0</v>
      </c>
      <c r="O97" s="18">
        <f>G97*'GS&lt;50 Predicted Monthly'!$X$11</f>
        <v>-6526.766886157995</v>
      </c>
      <c r="P97" s="18">
        <f>H97*'GS&lt;50 Predicted Monthly'!$X$12</f>
        <v>10562089.172852144</v>
      </c>
      <c r="Q97" s="18">
        <f>I97*'GS&lt;50 Predicted Monthly'!$X$13</f>
        <v>0</v>
      </c>
      <c r="R97" s="18">
        <f>J97*'GS&lt;50 Predicted Monthly'!$X$14</f>
        <v>11369665.795809086</v>
      </c>
      <c r="S97" s="18">
        <f t="shared" si="14"/>
        <v>15488885.801580433</v>
      </c>
      <c r="T97" s="18">
        <f t="shared" si="15"/>
        <v>-218434.77153560705</v>
      </c>
      <c r="U97" s="35">
        <f t="shared" si="16"/>
        <v>1.3906558443167603E-2</v>
      </c>
    </row>
    <row r="98" spans="1:21" x14ac:dyDescent="0.2">
      <c r="A98" s="9">
        <f>'Monthly Data'!A98</f>
        <v>44927</v>
      </c>
      <c r="B98">
        <f t="shared" si="12"/>
        <v>2023</v>
      </c>
      <c r="C98">
        <f t="shared" si="13"/>
        <v>1</v>
      </c>
      <c r="D98" s="31">
        <f>'Monthly Data'!J98</f>
        <v>16124970.659739304</v>
      </c>
      <c r="E98" s="33">
        <f>'Monthly Data'!AV98</f>
        <v>415.6</v>
      </c>
      <c r="F98" s="33">
        <f>'Monthly Data'!AW98</f>
        <v>0</v>
      </c>
      <c r="G98" s="33">
        <f>'Monthly Data'!AN98</f>
        <v>8629</v>
      </c>
      <c r="H98" s="8">
        <f>'Monthly Data'!K98</f>
        <v>5697</v>
      </c>
      <c r="I98" s="18">
        <f>'Monthly Data'!BR98</f>
        <v>0</v>
      </c>
      <c r="J98" s="30">
        <f>'Monthly Data'!BT98</f>
        <v>31</v>
      </c>
      <c r="L98" s="18">
        <f>'GS&lt;50 Predicted Monthly'!$X$8</f>
        <v>-8314018.5106493998</v>
      </c>
      <c r="M98" s="18">
        <f>E98*'GS&lt;50 Predicted Monthly'!$X$9</f>
        <v>1958248.9121831825</v>
      </c>
      <c r="N98" s="18">
        <f>F98*'GS&lt;50 Predicted Monthly'!$X$10</f>
        <v>0</v>
      </c>
      <c r="O98" s="18">
        <f>G98*'GS&lt;50 Predicted Monthly'!$X$11</f>
        <v>59283.65416911299</v>
      </c>
      <c r="P98" s="18">
        <f>H98*'GS&lt;50 Predicted Monthly'!$X$12</f>
        <v>10575082.955665845</v>
      </c>
      <c r="Q98" s="18">
        <f>I98*'GS&lt;50 Predicted Monthly'!$X$13</f>
        <v>0</v>
      </c>
      <c r="R98" s="18">
        <f>J98*'GS&lt;50 Predicted Monthly'!$X$14</f>
        <v>11369665.795809086</v>
      </c>
      <c r="S98" s="18">
        <f t="shared" si="14"/>
        <v>15648262.807177827</v>
      </c>
      <c r="T98" s="18">
        <f t="shared" si="15"/>
        <v>-476707.85256147757</v>
      </c>
      <c r="U98" s="35">
        <f t="shared" si="16"/>
        <v>2.9563331470222012E-2</v>
      </c>
    </row>
    <row r="99" spans="1:21" x14ac:dyDescent="0.2">
      <c r="A99" s="9">
        <f>'Monthly Data'!A99</f>
        <v>44958</v>
      </c>
      <c r="B99">
        <f t="shared" si="12"/>
        <v>2023</v>
      </c>
      <c r="C99">
        <f t="shared" si="13"/>
        <v>2</v>
      </c>
      <c r="D99" s="31">
        <f>'Monthly Data'!J99</f>
        <v>14767925.683730803</v>
      </c>
      <c r="E99" s="33">
        <f>'Monthly Data'!AV99</f>
        <v>379.9</v>
      </c>
      <c r="F99" s="33">
        <f>'Monthly Data'!AW99</f>
        <v>0</v>
      </c>
      <c r="G99" s="33">
        <f>'Monthly Data'!AN99</f>
        <v>8629</v>
      </c>
      <c r="H99" s="8">
        <f>'Monthly Data'!K99</f>
        <v>5697</v>
      </c>
      <c r="I99" s="18">
        <f>'Monthly Data'!BR99</f>
        <v>0</v>
      </c>
      <c r="J99" s="30">
        <f>'Monthly Data'!BT99</f>
        <v>28</v>
      </c>
      <c r="L99" s="18">
        <f>'GS&lt;50 Predicted Monthly'!$X$8</f>
        <v>-8314018.5106493998</v>
      </c>
      <c r="M99" s="18">
        <f>E99*'GS&lt;50 Predicted Monthly'!$X$9</f>
        <v>1790035.5191010369</v>
      </c>
      <c r="N99" s="18">
        <f>F99*'GS&lt;50 Predicted Monthly'!$X$10</f>
        <v>0</v>
      </c>
      <c r="O99" s="18">
        <f>G99*'GS&lt;50 Predicted Monthly'!$X$11</f>
        <v>59283.65416911299</v>
      </c>
      <c r="P99" s="18">
        <f>H99*'GS&lt;50 Predicted Monthly'!$X$12</f>
        <v>10575082.955665845</v>
      </c>
      <c r="Q99" s="18">
        <f>I99*'GS&lt;50 Predicted Monthly'!$X$13</f>
        <v>0</v>
      </c>
      <c r="R99" s="18">
        <f>J99*'GS&lt;50 Predicted Monthly'!$X$14</f>
        <v>10269375.55750498</v>
      </c>
      <c r="S99" s="18">
        <f t="shared" si="14"/>
        <v>14379759.175791577</v>
      </c>
      <c r="T99" s="18">
        <f t="shared" si="15"/>
        <v>-388166.50793922693</v>
      </c>
      <c r="U99" s="35">
        <f t="shared" si="16"/>
        <v>2.6284429936348712E-2</v>
      </c>
    </row>
    <row r="100" spans="1:21" x14ac:dyDescent="0.2">
      <c r="A100" s="9">
        <f>'Monthly Data'!A100</f>
        <v>44986</v>
      </c>
      <c r="B100">
        <f t="shared" si="12"/>
        <v>2023</v>
      </c>
      <c r="C100">
        <f t="shared" si="13"/>
        <v>3</v>
      </c>
      <c r="D100" s="31">
        <f>'Monthly Data'!J100</f>
        <v>15713742.707722303</v>
      </c>
      <c r="E100" s="33">
        <f>'Monthly Data'!AV100</f>
        <v>372.4</v>
      </c>
      <c r="F100" s="33">
        <f>'Monthly Data'!AW100</f>
        <v>0</v>
      </c>
      <c r="G100" s="33">
        <f>'Monthly Data'!AN100</f>
        <v>8629</v>
      </c>
      <c r="H100" s="8">
        <f>'Monthly Data'!K100</f>
        <v>5697</v>
      </c>
      <c r="I100" s="18">
        <f>'Monthly Data'!BR100</f>
        <v>1</v>
      </c>
      <c r="J100" s="30">
        <f>'Monthly Data'!BT100</f>
        <v>31</v>
      </c>
      <c r="L100" s="18">
        <f>'GS&lt;50 Predicted Monthly'!$X$8</f>
        <v>-8314018.5106493998</v>
      </c>
      <c r="M100" s="18">
        <f>E100*'GS&lt;50 Predicted Monthly'!$X$9</f>
        <v>1754696.5709745358</v>
      </c>
      <c r="N100" s="18">
        <f>F100*'GS&lt;50 Predicted Monthly'!$X$10</f>
        <v>0</v>
      </c>
      <c r="O100" s="18">
        <f>G100*'GS&lt;50 Predicted Monthly'!$X$11</f>
        <v>59283.65416911299</v>
      </c>
      <c r="P100" s="18">
        <f>H100*'GS&lt;50 Predicted Monthly'!$X$12</f>
        <v>10575082.955665845</v>
      </c>
      <c r="Q100" s="18">
        <f>I100*'GS&lt;50 Predicted Monthly'!$X$13</f>
        <v>-202362.33175645399</v>
      </c>
      <c r="R100" s="18">
        <f>J100*'GS&lt;50 Predicted Monthly'!$X$14</f>
        <v>11369665.795809086</v>
      </c>
      <c r="S100" s="18">
        <f t="shared" si="14"/>
        <v>15242348.134212729</v>
      </c>
      <c r="T100" s="18">
        <f t="shared" si="15"/>
        <v>-471394.57350957394</v>
      </c>
      <c r="U100" s="35">
        <f t="shared" si="16"/>
        <v>2.9998873106017801E-2</v>
      </c>
    </row>
    <row r="101" spans="1:21" x14ac:dyDescent="0.2">
      <c r="A101" s="9">
        <f>'Monthly Data'!A101</f>
        <v>45017</v>
      </c>
      <c r="B101">
        <f t="shared" si="12"/>
        <v>2023</v>
      </c>
      <c r="C101">
        <f t="shared" si="13"/>
        <v>4</v>
      </c>
      <c r="D101" s="31">
        <f>'Monthly Data'!J101</f>
        <v>14335711.731713802</v>
      </c>
      <c r="E101" s="33">
        <f>'Monthly Data'!AV101</f>
        <v>178.9</v>
      </c>
      <c r="F101" s="33">
        <f>'Monthly Data'!AW101</f>
        <v>16.100000000000001</v>
      </c>
      <c r="G101" s="33">
        <f>'Monthly Data'!AN101</f>
        <v>4845</v>
      </c>
      <c r="H101" s="8">
        <f>'Monthly Data'!K101</f>
        <v>5695</v>
      </c>
      <c r="I101" s="18">
        <f>'Monthly Data'!BR101</f>
        <v>1</v>
      </c>
      <c r="J101" s="30">
        <f>'Monthly Data'!BT101</f>
        <v>30</v>
      </c>
      <c r="L101" s="18">
        <f>'GS&lt;50 Predicted Monthly'!$X$8</f>
        <v>-8314018.5106493998</v>
      </c>
      <c r="M101" s="18">
        <f>E101*'GS&lt;50 Predicted Monthly'!$X$9</f>
        <v>842951.70931080694</v>
      </c>
      <c r="N101" s="18">
        <f>F101*'GS&lt;50 Predicted Monthly'!$X$10</f>
        <v>186024.35560809454</v>
      </c>
      <c r="O101" s="18">
        <f>G101*'GS&lt;50 Predicted Monthly'!$X$11</f>
        <v>33286.511119405775</v>
      </c>
      <c r="P101" s="18">
        <f>H101*'GS&lt;50 Predicted Monthly'!$X$12</f>
        <v>10571370.446290502</v>
      </c>
      <c r="Q101" s="18">
        <f>I101*'GS&lt;50 Predicted Monthly'!$X$13</f>
        <v>-202362.33175645399</v>
      </c>
      <c r="R101" s="18">
        <f>J101*'GS&lt;50 Predicted Monthly'!$X$14</f>
        <v>11002902.38304105</v>
      </c>
      <c r="S101" s="18">
        <f t="shared" si="14"/>
        <v>14120154.562964007</v>
      </c>
      <c r="T101" s="18">
        <f t="shared" si="15"/>
        <v>-215557.16874979436</v>
      </c>
      <c r="U101" s="35">
        <f t="shared" si="16"/>
        <v>1.5036377180557675E-2</v>
      </c>
    </row>
    <row r="102" spans="1:21" x14ac:dyDescent="0.2">
      <c r="A102" s="9">
        <f>'Monthly Data'!A102</f>
        <v>45047</v>
      </c>
      <c r="B102">
        <f t="shared" si="12"/>
        <v>2023</v>
      </c>
      <c r="C102">
        <f t="shared" si="13"/>
        <v>5</v>
      </c>
      <c r="D102" s="31">
        <f>'Monthly Data'!J102</f>
        <v>14570433.755705301</v>
      </c>
      <c r="E102" s="33">
        <f>'Monthly Data'!AV102</f>
        <v>73.899999999999977</v>
      </c>
      <c r="F102" s="33">
        <f>'Monthly Data'!AW102</f>
        <v>45.999999999999993</v>
      </c>
      <c r="G102" s="33">
        <f>'Monthly Data'!AN102</f>
        <v>4845</v>
      </c>
      <c r="H102" s="8">
        <f>'Monthly Data'!K102</f>
        <v>5695</v>
      </c>
      <c r="I102" s="18">
        <f>'Monthly Data'!BR102</f>
        <v>1</v>
      </c>
      <c r="J102" s="30">
        <f>'Monthly Data'!BT102</f>
        <v>31</v>
      </c>
      <c r="L102" s="18">
        <f>'GS&lt;50 Predicted Monthly'!$X$8</f>
        <v>-8314018.5106493998</v>
      </c>
      <c r="M102" s="18">
        <f>E102*'GS&lt;50 Predicted Monthly'!$X$9</f>
        <v>348206.43553979101</v>
      </c>
      <c r="N102" s="18">
        <f>F102*'GS&lt;50 Predicted Monthly'!$X$10</f>
        <v>531498.15888026997</v>
      </c>
      <c r="O102" s="18">
        <f>G102*'GS&lt;50 Predicted Monthly'!$X$11</f>
        <v>33286.511119405775</v>
      </c>
      <c r="P102" s="18">
        <f>H102*'GS&lt;50 Predicted Monthly'!$X$12</f>
        <v>10571370.446290502</v>
      </c>
      <c r="Q102" s="18">
        <f>I102*'GS&lt;50 Predicted Monthly'!$X$13</f>
        <v>-202362.33175645399</v>
      </c>
      <c r="R102" s="18">
        <f>J102*'GS&lt;50 Predicted Monthly'!$X$14</f>
        <v>11369665.795809086</v>
      </c>
      <c r="S102" s="18">
        <f t="shared" ref="S102:S109" si="17">SUM(L102:R102)</f>
        <v>14337646.505233202</v>
      </c>
      <c r="T102" s="18">
        <f t="shared" ref="T102:T109" si="18">S102-D102</f>
        <v>-232787.25047209859</v>
      </c>
      <c r="U102" s="35">
        <f t="shared" ref="U102:U109" si="19">ABS(T102/D102)</f>
        <v>1.5976686375650744E-2</v>
      </c>
    </row>
    <row r="103" spans="1:21" x14ac:dyDescent="0.2">
      <c r="A103" s="9">
        <f>'Monthly Data'!A103</f>
        <v>45078</v>
      </c>
      <c r="B103">
        <f t="shared" si="12"/>
        <v>2023</v>
      </c>
      <c r="C103">
        <f t="shared" si="13"/>
        <v>6</v>
      </c>
      <c r="D103" s="31">
        <f>'Monthly Data'!J103</f>
        <v>15207184.779696802</v>
      </c>
      <c r="E103" s="33">
        <f>'Monthly Data'!AV103</f>
        <v>0</v>
      </c>
      <c r="F103" s="33">
        <f>'Monthly Data'!AW103</f>
        <v>153.99999999999994</v>
      </c>
      <c r="G103" s="33">
        <f>'Monthly Data'!AN103</f>
        <v>4845</v>
      </c>
      <c r="H103" s="8">
        <f>'Monthly Data'!K103</f>
        <v>5713</v>
      </c>
      <c r="I103" s="18">
        <f>'Monthly Data'!BR103</f>
        <v>0</v>
      </c>
      <c r="J103" s="30">
        <f>'Monthly Data'!BT103</f>
        <v>30</v>
      </c>
      <c r="L103" s="18">
        <f>'GS&lt;50 Predicted Monthly'!$X$8</f>
        <v>-8314018.5106493998</v>
      </c>
      <c r="M103" s="18">
        <f>E103*'GS&lt;50 Predicted Monthly'!$X$9</f>
        <v>0</v>
      </c>
      <c r="N103" s="18">
        <f>F103*'GS&lt;50 Predicted Monthly'!$X$10</f>
        <v>1779363.4014687294</v>
      </c>
      <c r="O103" s="18">
        <f>G103*'GS&lt;50 Predicted Monthly'!$X$11</f>
        <v>33286.511119405775</v>
      </c>
      <c r="P103" s="18">
        <f>H103*'GS&lt;50 Predicted Monthly'!$X$12</f>
        <v>10604783.030668594</v>
      </c>
      <c r="Q103" s="18">
        <f>I103*'GS&lt;50 Predicted Monthly'!$X$13</f>
        <v>0</v>
      </c>
      <c r="R103" s="18">
        <f>J103*'GS&lt;50 Predicted Monthly'!$X$14</f>
        <v>11002902.38304105</v>
      </c>
      <c r="S103" s="18">
        <f t="shared" si="17"/>
        <v>15106316.815648381</v>
      </c>
      <c r="T103" s="18">
        <f t="shared" si="18"/>
        <v>-100867.96404842101</v>
      </c>
      <c r="U103" s="35">
        <f t="shared" si="19"/>
        <v>6.6329150010125742E-3</v>
      </c>
    </row>
    <row r="104" spans="1:21" x14ac:dyDescent="0.2">
      <c r="A104" s="9">
        <f>'Monthly Data'!A104</f>
        <v>45108</v>
      </c>
      <c r="B104">
        <f t="shared" si="12"/>
        <v>2023</v>
      </c>
      <c r="C104">
        <f t="shared" si="13"/>
        <v>7</v>
      </c>
      <c r="D104" s="31">
        <f>'Monthly Data'!J104</f>
        <v>17067649.803688299</v>
      </c>
      <c r="E104" s="33">
        <f>'Monthly Data'!AV104</f>
        <v>0</v>
      </c>
      <c r="F104" s="33">
        <f>'Monthly Data'!AW104</f>
        <v>269.50000000000006</v>
      </c>
      <c r="G104" s="33">
        <f>'Monthly Data'!AN104</f>
        <v>2198</v>
      </c>
      <c r="H104" s="8">
        <f>'Monthly Data'!K104</f>
        <v>5701</v>
      </c>
      <c r="I104" s="18">
        <f>'Monthly Data'!BR104</f>
        <v>0</v>
      </c>
      <c r="J104" s="30">
        <f>'Monthly Data'!BT104</f>
        <v>31</v>
      </c>
      <c r="L104" s="18">
        <f>'GS&lt;50 Predicted Monthly'!$X$8</f>
        <v>-8314018.5106493998</v>
      </c>
      <c r="M104" s="18">
        <f>E104*'GS&lt;50 Predicted Monthly'!$X$9</f>
        <v>0</v>
      </c>
      <c r="N104" s="18">
        <f>F104*'GS&lt;50 Predicted Monthly'!$X$10</f>
        <v>3113885.9525702782</v>
      </c>
      <c r="O104" s="18">
        <f>G104*'GS&lt;50 Predicted Monthly'!$X$11</f>
        <v>15100.877490289762</v>
      </c>
      <c r="P104" s="18">
        <f>H104*'GS&lt;50 Predicted Monthly'!$X$12</f>
        <v>10582507.974416532</v>
      </c>
      <c r="Q104" s="18">
        <f>I104*'GS&lt;50 Predicted Monthly'!$X$13</f>
        <v>0</v>
      </c>
      <c r="R104" s="18">
        <f>J104*'GS&lt;50 Predicted Monthly'!$X$14</f>
        <v>11369665.795809086</v>
      </c>
      <c r="S104" s="18">
        <f t="shared" si="17"/>
        <v>16767142.089636786</v>
      </c>
      <c r="T104" s="18">
        <f t="shared" si="18"/>
        <v>-300507.714051513</v>
      </c>
      <c r="U104" s="35">
        <f t="shared" si="19"/>
        <v>1.760685961499946E-2</v>
      </c>
    </row>
    <row r="105" spans="1:21" x14ac:dyDescent="0.2">
      <c r="A105" s="9">
        <f>'Monthly Data'!A105</f>
        <v>45139</v>
      </c>
      <c r="B105">
        <f t="shared" si="12"/>
        <v>2023</v>
      </c>
      <c r="C105">
        <f t="shared" si="13"/>
        <v>8</v>
      </c>
      <c r="D105" s="31">
        <f>'Monthly Data'!J105</f>
        <v>16466173.8276798</v>
      </c>
      <c r="E105" s="33">
        <f>'Monthly Data'!AV105</f>
        <v>0</v>
      </c>
      <c r="F105" s="33">
        <f>'Monthly Data'!AW105</f>
        <v>193.8</v>
      </c>
      <c r="G105" s="33">
        <f>'Monthly Data'!AN105</f>
        <v>2198</v>
      </c>
      <c r="H105" s="8">
        <f>'Monthly Data'!K105</f>
        <v>5705</v>
      </c>
      <c r="I105" s="18">
        <f>'Monthly Data'!BR105</f>
        <v>0</v>
      </c>
      <c r="J105" s="30">
        <f>'Monthly Data'!BT105</f>
        <v>31</v>
      </c>
      <c r="L105" s="18">
        <f>'GS&lt;50 Predicted Monthly'!$X$8</f>
        <v>-8314018.5106493998</v>
      </c>
      <c r="M105" s="18">
        <f>E105*'GS&lt;50 Predicted Monthly'!$X$9</f>
        <v>0</v>
      </c>
      <c r="N105" s="18">
        <f>F105*'GS&lt;50 Predicted Monthly'!$X$10</f>
        <v>2239224.8519781814</v>
      </c>
      <c r="O105" s="18">
        <f>G105*'GS&lt;50 Predicted Monthly'!$X$11</f>
        <v>15100.877490289762</v>
      </c>
      <c r="P105" s="18">
        <f>H105*'GS&lt;50 Predicted Monthly'!$X$12</f>
        <v>10589932.99316722</v>
      </c>
      <c r="Q105" s="18">
        <f>I105*'GS&lt;50 Predicted Monthly'!$X$13</f>
        <v>0</v>
      </c>
      <c r="R105" s="18">
        <f>J105*'GS&lt;50 Predicted Monthly'!$X$14</f>
        <v>11369665.795809086</v>
      </c>
      <c r="S105" s="18">
        <f t="shared" si="17"/>
        <v>15899906.007795377</v>
      </c>
      <c r="T105" s="18">
        <f t="shared" si="18"/>
        <v>-566267.81988442317</v>
      </c>
      <c r="U105" s="35">
        <f t="shared" si="19"/>
        <v>3.4389763269261825E-2</v>
      </c>
    </row>
    <row r="106" spans="1:21" x14ac:dyDescent="0.2">
      <c r="A106" s="9">
        <f>'Monthly Data'!A106</f>
        <v>45170</v>
      </c>
      <c r="B106">
        <f t="shared" si="12"/>
        <v>2023</v>
      </c>
      <c r="C106">
        <f t="shared" si="13"/>
        <v>9</v>
      </c>
      <c r="D106" s="31">
        <f>'Monthly Data'!J106</f>
        <v>14997289.851671299</v>
      </c>
      <c r="E106" s="33">
        <f>'Monthly Data'!AV106</f>
        <v>0</v>
      </c>
      <c r="F106" s="33">
        <f>'Monthly Data'!AW106</f>
        <v>140.60000000000002</v>
      </c>
      <c r="G106" s="33">
        <f>'Monthly Data'!AN106</f>
        <v>2198</v>
      </c>
      <c r="H106" s="8">
        <f>'Monthly Data'!K106</f>
        <v>5691</v>
      </c>
      <c r="I106" s="18">
        <f>'Monthly Data'!BR106</f>
        <v>1</v>
      </c>
      <c r="J106" s="30">
        <f>'Monthly Data'!BT106</f>
        <v>30</v>
      </c>
      <c r="L106" s="18">
        <f>'GS&lt;50 Predicted Monthly'!$X$8</f>
        <v>-8314018.5106493998</v>
      </c>
      <c r="M106" s="18">
        <f>E106*'GS&lt;50 Predicted Monthly'!$X$9</f>
        <v>0</v>
      </c>
      <c r="N106" s="18">
        <f>F106*'GS&lt;50 Predicted Monthly'!$X$10</f>
        <v>1624535.6769253474</v>
      </c>
      <c r="O106" s="18">
        <f>G106*'GS&lt;50 Predicted Monthly'!$X$11</f>
        <v>15100.877490289762</v>
      </c>
      <c r="P106" s="18">
        <f>H106*'GS&lt;50 Predicted Monthly'!$X$12</f>
        <v>10563945.427539814</v>
      </c>
      <c r="Q106" s="18">
        <f>I106*'GS&lt;50 Predicted Monthly'!$X$13</f>
        <v>-202362.33175645399</v>
      </c>
      <c r="R106" s="18">
        <f>J106*'GS&lt;50 Predicted Monthly'!$X$14</f>
        <v>11002902.38304105</v>
      </c>
      <c r="S106" s="18">
        <f t="shared" si="17"/>
        <v>14690103.522590648</v>
      </c>
      <c r="T106" s="18">
        <f t="shared" si="18"/>
        <v>-307186.32908065058</v>
      </c>
      <c r="U106" s="35">
        <f t="shared" si="19"/>
        <v>2.0482789365201055E-2</v>
      </c>
    </row>
    <row r="107" spans="1:21" x14ac:dyDescent="0.2">
      <c r="A107" s="9">
        <f>'Monthly Data'!A107</f>
        <v>45200</v>
      </c>
      <c r="B107">
        <f t="shared" si="12"/>
        <v>2023</v>
      </c>
      <c r="C107">
        <f t="shared" si="13"/>
        <v>10</v>
      </c>
      <c r="D107" s="31">
        <f>'Monthly Data'!J107</f>
        <v>14525201.875662798</v>
      </c>
      <c r="E107" s="33">
        <f>'Monthly Data'!AV107</f>
        <v>77.599999999999994</v>
      </c>
      <c r="F107" s="33">
        <f>'Monthly Data'!AW107</f>
        <v>55.400000000000006</v>
      </c>
      <c r="G107" s="33">
        <f>'Monthly Data'!AN107</f>
        <v>1875</v>
      </c>
      <c r="H107" s="8">
        <f>'Monthly Data'!K107</f>
        <v>5705</v>
      </c>
      <c r="I107" s="18">
        <f>'Monthly Data'!BR107</f>
        <v>1</v>
      </c>
      <c r="J107" s="30">
        <f>'Monthly Data'!BT107</f>
        <v>31</v>
      </c>
      <c r="L107" s="18">
        <f>'GS&lt;50 Predicted Monthly'!$X$8</f>
        <v>-8314018.5106493998</v>
      </c>
      <c r="M107" s="18">
        <f>E107*'GS&lt;50 Predicted Monthly'!$X$9</f>
        <v>365640.31661553163</v>
      </c>
      <c r="N107" s="18">
        <f>F107*'GS&lt;50 Predicted Monthly'!$X$10</f>
        <v>640108.65221667313</v>
      </c>
      <c r="O107" s="18">
        <f>G107*'GS&lt;50 Predicted Monthly'!$X$11</f>
        <v>12881.776748996042</v>
      </c>
      <c r="P107" s="18">
        <f>H107*'GS&lt;50 Predicted Monthly'!$X$12</f>
        <v>10589932.99316722</v>
      </c>
      <c r="Q107" s="18">
        <f>I107*'GS&lt;50 Predicted Monthly'!$X$13</f>
        <v>-202362.33175645399</v>
      </c>
      <c r="R107" s="18">
        <f>J107*'GS&lt;50 Predicted Monthly'!$X$14</f>
        <v>11369665.795809086</v>
      </c>
      <c r="S107" s="18">
        <f t="shared" si="17"/>
        <v>14461848.692151653</v>
      </c>
      <c r="T107" s="18">
        <f t="shared" si="18"/>
        <v>-63353.183511145413</v>
      </c>
      <c r="U107" s="35">
        <f t="shared" si="19"/>
        <v>4.3616043379950996E-3</v>
      </c>
    </row>
    <row r="108" spans="1:21" x14ac:dyDescent="0.2">
      <c r="A108" s="9">
        <f>'Monthly Data'!A108</f>
        <v>45231</v>
      </c>
      <c r="B108">
        <f t="shared" si="12"/>
        <v>2023</v>
      </c>
      <c r="C108">
        <f t="shared" si="13"/>
        <v>11</v>
      </c>
      <c r="D108" s="31">
        <f>'Monthly Data'!J108</f>
        <v>14789580.899654299</v>
      </c>
      <c r="E108" s="33">
        <f>'Monthly Data'!AV108</f>
        <v>254.10000000000002</v>
      </c>
      <c r="F108" s="33">
        <f>'Monthly Data'!AW108</f>
        <v>0</v>
      </c>
      <c r="G108" s="33">
        <f>'Monthly Data'!AN108</f>
        <v>1875</v>
      </c>
      <c r="H108" s="8">
        <f>'Monthly Data'!K108</f>
        <v>5706</v>
      </c>
      <c r="I108" s="18">
        <f>'Monthly Data'!BR108</f>
        <v>1</v>
      </c>
      <c r="J108" s="30">
        <f>'Monthly Data'!BT108</f>
        <v>30</v>
      </c>
      <c r="L108" s="18">
        <f>'GS&lt;50 Predicted Monthly'!$X$8</f>
        <v>-8314018.5106493998</v>
      </c>
      <c r="M108" s="18">
        <f>E108*'GS&lt;50 Predicted Monthly'!$X$9</f>
        <v>1197283.5625258584</v>
      </c>
      <c r="N108" s="18">
        <f>F108*'GS&lt;50 Predicted Monthly'!$X$10</f>
        <v>0</v>
      </c>
      <c r="O108" s="18">
        <f>G108*'GS&lt;50 Predicted Monthly'!$X$11</f>
        <v>12881.776748996042</v>
      </c>
      <c r="P108" s="18">
        <f>H108*'GS&lt;50 Predicted Monthly'!$X$12</f>
        <v>10591789.24785489</v>
      </c>
      <c r="Q108" s="18">
        <f>I108*'GS&lt;50 Predicted Monthly'!$X$13</f>
        <v>-202362.33175645399</v>
      </c>
      <c r="R108" s="18">
        <f>J108*'GS&lt;50 Predicted Monthly'!$X$14</f>
        <v>11002902.38304105</v>
      </c>
      <c r="S108" s="18">
        <f t="shared" si="17"/>
        <v>14288476.12776494</v>
      </c>
      <c r="T108" s="18">
        <f t="shared" si="18"/>
        <v>-501104.77188935876</v>
      </c>
      <c r="U108" s="35">
        <f t="shared" si="19"/>
        <v>3.3882283432458311E-2</v>
      </c>
    </row>
    <row r="109" spans="1:21" x14ac:dyDescent="0.2">
      <c r="A109" s="9">
        <f>'Monthly Data'!A109</f>
        <v>45261</v>
      </c>
      <c r="B109">
        <f t="shared" si="12"/>
        <v>2023</v>
      </c>
      <c r="C109">
        <f t="shared" si="13"/>
        <v>12</v>
      </c>
      <c r="D109" s="31">
        <f>'Monthly Data'!J109</f>
        <v>15248929.923645798</v>
      </c>
      <c r="E109" s="33">
        <f>'Monthly Data'!AV109</f>
        <v>319.20000000000005</v>
      </c>
      <c r="F109" s="33">
        <f>'Monthly Data'!AW109</f>
        <v>0</v>
      </c>
      <c r="G109" s="33">
        <f>'Monthly Data'!AN109</f>
        <v>1875</v>
      </c>
      <c r="H109" s="8">
        <f>'Monthly Data'!K109</f>
        <v>5684</v>
      </c>
      <c r="I109" s="18">
        <f>'Monthly Data'!BR109</f>
        <v>0</v>
      </c>
      <c r="J109" s="30">
        <f>'Monthly Data'!BT109</f>
        <v>31</v>
      </c>
      <c r="L109" s="18">
        <f>'GS&lt;50 Predicted Monthly'!$X$8</f>
        <v>-8314018.5106493998</v>
      </c>
      <c r="M109" s="18">
        <f>E109*'GS&lt;50 Predicted Monthly'!$X$9</f>
        <v>1504025.6322638881</v>
      </c>
      <c r="N109" s="18">
        <f>F109*'GS&lt;50 Predicted Monthly'!$X$10</f>
        <v>0</v>
      </c>
      <c r="O109" s="18">
        <f>G109*'GS&lt;50 Predicted Monthly'!$X$11</f>
        <v>12881.776748996042</v>
      </c>
      <c r="P109" s="18">
        <f>H109*'GS&lt;50 Predicted Monthly'!$X$12</f>
        <v>10550951.644726112</v>
      </c>
      <c r="Q109" s="18">
        <f>I109*'GS&lt;50 Predicted Monthly'!$X$13</f>
        <v>0</v>
      </c>
      <c r="R109" s="18">
        <f>J109*'GS&lt;50 Predicted Monthly'!$X$14</f>
        <v>11369665.795809086</v>
      </c>
      <c r="S109" s="18">
        <f t="shared" si="17"/>
        <v>15123506.338898683</v>
      </c>
      <c r="T109" s="18">
        <f t="shared" si="18"/>
        <v>-125423.58474711515</v>
      </c>
      <c r="U109" s="35">
        <f t="shared" si="19"/>
        <v>8.2250745052363777E-3</v>
      </c>
    </row>
    <row r="110" spans="1:21" x14ac:dyDescent="0.2">
      <c r="A110" s="9">
        <f>'Monthly Data'!A110</f>
        <v>45292</v>
      </c>
      <c r="B110">
        <f t="shared" si="12"/>
        <v>2024</v>
      </c>
      <c r="C110">
        <f t="shared" si="13"/>
        <v>1</v>
      </c>
      <c r="D110" s="31">
        <f>'Monthly Data'!J110</f>
        <v>15984916.162170708</v>
      </c>
      <c r="E110" s="33">
        <f>'Monthly Data'!AV110</f>
        <v>462.39999999999992</v>
      </c>
      <c r="F110" s="33">
        <f>'Monthly Data'!AW110</f>
        <v>0</v>
      </c>
      <c r="G110" s="33">
        <f>'Monthly Data'!AN110</f>
        <v>4826</v>
      </c>
      <c r="H110" s="8">
        <f>'Monthly Data'!K110</f>
        <v>5693</v>
      </c>
      <c r="I110" s="18">
        <f>'Monthly Data'!BR110</f>
        <v>0</v>
      </c>
      <c r="J110" s="30">
        <f>'Monthly Data'!BT110</f>
        <v>31</v>
      </c>
      <c r="L110" s="18">
        <f>'GS&lt;50 Predicted Monthly'!$X$8</f>
        <v>-8314018.5106493998</v>
      </c>
      <c r="M110" s="18">
        <f>E110*'GS&lt;50 Predicted Monthly'!$X$9</f>
        <v>2178763.9484925489</v>
      </c>
      <c r="N110" s="18">
        <f>F110*'GS&lt;50 Predicted Monthly'!$X$10</f>
        <v>0</v>
      </c>
      <c r="O110" s="18">
        <f>G110*'GS&lt;50 Predicted Monthly'!$X$11</f>
        <v>33155.975781682617</v>
      </c>
      <c r="P110" s="18">
        <f>H110*'GS&lt;50 Predicted Monthly'!$X$12</f>
        <v>10567657.936915159</v>
      </c>
      <c r="Q110" s="18">
        <f>I110*'GS&lt;50 Predicted Monthly'!$X$13</f>
        <v>0</v>
      </c>
      <c r="R110" s="18">
        <f>J110*'GS&lt;50 Predicted Monthly'!$X$14</f>
        <v>11369665.795809086</v>
      </c>
      <c r="S110" s="18">
        <f t="shared" ref="S110:S115" si="20">SUM(L110:R110)</f>
        <v>15835225.146349078</v>
      </c>
      <c r="T110" s="18">
        <f t="shared" ref="T110:T115" si="21">S110-D110</f>
        <v>-149691.01582163014</v>
      </c>
      <c r="U110" s="35">
        <f t="shared" ref="U110:U115" si="22">ABS(T110/D110)</f>
        <v>9.3645167921420306E-3</v>
      </c>
    </row>
    <row r="111" spans="1:21" x14ac:dyDescent="0.2">
      <c r="A111" s="9">
        <f>'Monthly Data'!A111</f>
        <v>45323</v>
      </c>
      <c r="B111">
        <f t="shared" si="12"/>
        <v>2024</v>
      </c>
      <c r="C111">
        <f t="shared" si="13"/>
        <v>2</v>
      </c>
      <c r="D111" s="31">
        <f>'Monthly Data'!J111</f>
        <v>14775433.758234465</v>
      </c>
      <c r="E111" s="33">
        <f>'Monthly Data'!AV111</f>
        <v>373.09999999999997</v>
      </c>
      <c r="F111" s="33">
        <f>'Monthly Data'!AW111</f>
        <v>0</v>
      </c>
      <c r="G111" s="33">
        <f>'Monthly Data'!AN111</f>
        <v>4826</v>
      </c>
      <c r="H111" s="8">
        <f>'Monthly Data'!K111</f>
        <v>5693</v>
      </c>
      <c r="I111" s="18">
        <f>'Monthly Data'!BR111</f>
        <v>0</v>
      </c>
      <c r="J111" s="30">
        <f>'Monthly Data'!BT111</f>
        <v>29</v>
      </c>
      <c r="L111" s="18">
        <f>'GS&lt;50 Predicted Monthly'!$X$8</f>
        <v>-8314018.5106493998</v>
      </c>
      <c r="M111" s="18">
        <f>E111*'GS&lt;50 Predicted Monthly'!$X$9</f>
        <v>1757994.8727996759</v>
      </c>
      <c r="N111" s="18">
        <f>F111*'GS&lt;50 Predicted Monthly'!$X$10</f>
        <v>0</v>
      </c>
      <c r="O111" s="18">
        <f>G111*'GS&lt;50 Predicted Monthly'!$X$11</f>
        <v>33155.975781682617</v>
      </c>
      <c r="P111" s="18">
        <f>H111*'GS&lt;50 Predicted Monthly'!$X$12</f>
        <v>10567657.936915159</v>
      </c>
      <c r="Q111" s="18">
        <f>I111*'GS&lt;50 Predicted Monthly'!$X$13</f>
        <v>0</v>
      </c>
      <c r="R111" s="18">
        <f>J111*'GS&lt;50 Predicted Monthly'!$X$14</f>
        <v>10636138.970273016</v>
      </c>
      <c r="S111" s="18">
        <f t="shared" si="20"/>
        <v>14680929.245120134</v>
      </c>
      <c r="T111" s="18">
        <f t="shared" si="21"/>
        <v>-94504.51311433129</v>
      </c>
      <c r="U111" s="35">
        <f t="shared" si="22"/>
        <v>6.3960567696811728E-3</v>
      </c>
    </row>
    <row r="112" spans="1:21" x14ac:dyDescent="0.2">
      <c r="A112" s="9">
        <f>'Monthly Data'!A112</f>
        <v>45352</v>
      </c>
      <c r="B112">
        <f t="shared" si="12"/>
        <v>2024</v>
      </c>
      <c r="C112">
        <f t="shared" si="13"/>
        <v>3</v>
      </c>
      <c r="D112" s="31">
        <f>'Monthly Data'!J112</f>
        <v>15102644.794298219</v>
      </c>
      <c r="E112" s="33">
        <f>'Monthly Data'!AV112</f>
        <v>305.50000000000006</v>
      </c>
      <c r="F112" s="33">
        <f>'Monthly Data'!AW112</f>
        <v>0</v>
      </c>
      <c r="G112" s="33">
        <f>'Monthly Data'!AN112</f>
        <v>4826</v>
      </c>
      <c r="H112" s="8">
        <f>'Monthly Data'!K112</f>
        <v>5700</v>
      </c>
      <c r="I112" s="18">
        <f>'Monthly Data'!BR112</f>
        <v>1</v>
      </c>
      <c r="J112" s="30">
        <f>'Monthly Data'!BT112</f>
        <v>31</v>
      </c>
      <c r="L112" s="18">
        <f>'GS&lt;50 Predicted Monthly'!$X$8</f>
        <v>-8314018.5106493998</v>
      </c>
      <c r="M112" s="18">
        <f>E112*'GS&lt;50 Predicted Monthly'!$X$9</f>
        <v>1439473.1536861463</v>
      </c>
      <c r="N112" s="18">
        <f>F112*'GS&lt;50 Predicted Monthly'!$X$10</f>
        <v>0</v>
      </c>
      <c r="O112" s="18">
        <f>G112*'GS&lt;50 Predicted Monthly'!$X$11</f>
        <v>33155.975781682617</v>
      </c>
      <c r="P112" s="18">
        <f>H112*'GS&lt;50 Predicted Monthly'!$X$12</f>
        <v>10580651.719728861</v>
      </c>
      <c r="Q112" s="18">
        <f>I112*'GS&lt;50 Predicted Monthly'!$X$13</f>
        <v>-202362.33175645399</v>
      </c>
      <c r="R112" s="18">
        <f>J112*'GS&lt;50 Predicted Monthly'!$X$14</f>
        <v>11369665.795809086</v>
      </c>
      <c r="S112" s="18">
        <f t="shared" si="20"/>
        <v>14906565.802599922</v>
      </c>
      <c r="T112" s="18">
        <f t="shared" si="21"/>
        <v>-196078.99169829674</v>
      </c>
      <c r="U112" s="35">
        <f t="shared" si="22"/>
        <v>1.2983089675281476E-2</v>
      </c>
    </row>
    <row r="113" spans="1:21" x14ac:dyDescent="0.2">
      <c r="A113" s="9">
        <f>'Monthly Data'!A113</f>
        <v>45383</v>
      </c>
      <c r="B113">
        <f t="shared" si="12"/>
        <v>2024</v>
      </c>
      <c r="C113">
        <f t="shared" si="13"/>
        <v>4</v>
      </c>
      <c r="D113" s="31">
        <f>'Monthly Data'!J113</f>
        <v>14096177.490361972</v>
      </c>
      <c r="E113" s="33">
        <f>'Monthly Data'!AV113</f>
        <v>175.79999999999998</v>
      </c>
      <c r="F113" s="33">
        <f>'Monthly Data'!AW113</f>
        <v>1.0999999999999996</v>
      </c>
      <c r="G113" s="33">
        <f>'Monthly Data'!AN113</f>
        <v>2733</v>
      </c>
      <c r="H113" s="8">
        <f>'Monthly Data'!K113</f>
        <v>5698</v>
      </c>
      <c r="I113" s="18">
        <f>'Monthly Data'!BR113</f>
        <v>1</v>
      </c>
      <c r="J113" s="30">
        <f>'Monthly Data'!BT113</f>
        <v>30</v>
      </c>
      <c r="L113" s="18">
        <f>'GS&lt;50 Predicted Monthly'!$X$8</f>
        <v>-8314018.5106493998</v>
      </c>
      <c r="M113" s="18">
        <f>E113*'GS&lt;50 Predicted Monthly'!$X$9</f>
        <v>828344.94408518635</v>
      </c>
      <c r="N113" s="18">
        <f>F113*'GS&lt;50 Predicted Monthly'!$X$10</f>
        <v>12709.738581919497</v>
      </c>
      <c r="O113" s="18">
        <f>G113*'GS&lt;50 Predicted Monthly'!$X$11</f>
        <v>18776.477789336634</v>
      </c>
      <c r="P113" s="18">
        <f>H113*'GS&lt;50 Predicted Monthly'!$X$12</f>
        <v>10576939.210353518</v>
      </c>
      <c r="Q113" s="18">
        <f>I113*'GS&lt;50 Predicted Monthly'!$X$13</f>
        <v>-202362.33175645399</v>
      </c>
      <c r="R113" s="18">
        <f>J113*'GS&lt;50 Predicted Monthly'!$X$14</f>
        <v>11002902.38304105</v>
      </c>
      <c r="S113" s="18">
        <f t="shared" si="20"/>
        <v>13923291.911445156</v>
      </c>
      <c r="T113" s="18">
        <f t="shared" si="21"/>
        <v>-172885.57891681604</v>
      </c>
      <c r="U113" s="35">
        <f t="shared" si="22"/>
        <v>1.2264713539186329E-2</v>
      </c>
    </row>
    <row r="114" spans="1:21" x14ac:dyDescent="0.2">
      <c r="A114" s="9">
        <f>'Monthly Data'!A114</f>
        <v>45413</v>
      </c>
      <c r="B114">
        <f t="shared" si="12"/>
        <v>2024</v>
      </c>
      <c r="C114">
        <f t="shared" si="13"/>
        <v>5</v>
      </c>
      <c r="D114" s="31">
        <f>'Monthly Data'!J114</f>
        <v>14561726.336425725</v>
      </c>
      <c r="E114" s="33">
        <f>'Monthly Data'!AV114</f>
        <v>30</v>
      </c>
      <c r="F114" s="33">
        <f>'Monthly Data'!AW114</f>
        <v>59</v>
      </c>
      <c r="G114" s="33">
        <f>'Monthly Data'!AN114</f>
        <v>2733</v>
      </c>
      <c r="H114" s="8">
        <f>'Monthly Data'!K114</f>
        <v>5710</v>
      </c>
      <c r="I114" s="18">
        <f>'Monthly Data'!BR114</f>
        <v>1</v>
      </c>
      <c r="J114" s="30">
        <f>'Monthly Data'!BT114</f>
        <v>31</v>
      </c>
      <c r="L114" s="18">
        <f>'GS&lt;50 Predicted Monthly'!$X$8</f>
        <v>-8314018.5106493998</v>
      </c>
      <c r="M114" s="18">
        <f>E114*'GS&lt;50 Predicted Monthly'!$X$9</f>
        <v>141355.79250600451</v>
      </c>
      <c r="N114" s="18">
        <f>F114*'GS&lt;50 Predicted Monthly'!$X$10</f>
        <v>681704.16030295508</v>
      </c>
      <c r="O114" s="18">
        <f>G114*'GS&lt;50 Predicted Monthly'!$X$11</f>
        <v>18776.477789336634</v>
      </c>
      <c r="P114" s="18">
        <f>H114*'GS&lt;50 Predicted Monthly'!$X$12</f>
        <v>10599214.266605578</v>
      </c>
      <c r="Q114" s="18">
        <f>I114*'GS&lt;50 Predicted Monthly'!$X$13</f>
        <v>-202362.33175645399</v>
      </c>
      <c r="R114" s="18">
        <f>J114*'GS&lt;50 Predicted Monthly'!$X$14</f>
        <v>11369665.795809086</v>
      </c>
      <c r="S114" s="18">
        <f t="shared" si="20"/>
        <v>14294335.650607107</v>
      </c>
      <c r="T114" s="18">
        <f t="shared" si="21"/>
        <v>-267390.68581861816</v>
      </c>
      <c r="U114" s="35">
        <f t="shared" si="22"/>
        <v>1.8362567709417001E-2</v>
      </c>
    </row>
    <row r="115" spans="1:21" x14ac:dyDescent="0.2">
      <c r="A115" s="9">
        <f>'Monthly Data'!A115</f>
        <v>45444</v>
      </c>
      <c r="B115">
        <f t="shared" si="12"/>
        <v>2024</v>
      </c>
      <c r="C115">
        <f t="shared" si="13"/>
        <v>6</v>
      </c>
      <c r="D115" s="31">
        <f>'Monthly Data'!J115</f>
        <v>15556106.23248948</v>
      </c>
      <c r="E115" s="33">
        <f>'Monthly Data'!AV115</f>
        <v>0</v>
      </c>
      <c r="F115" s="33">
        <f>'Monthly Data'!AW115</f>
        <v>164.40000000000006</v>
      </c>
      <c r="G115" s="33">
        <f>'Monthly Data'!AN115</f>
        <v>2733</v>
      </c>
      <c r="H115" s="8">
        <f>'Monthly Data'!K115</f>
        <v>5709</v>
      </c>
      <c r="I115" s="18">
        <f>'Monthly Data'!BR115</f>
        <v>0</v>
      </c>
      <c r="J115" s="30">
        <f>'Monthly Data'!BT115</f>
        <v>30</v>
      </c>
      <c r="L115" s="18">
        <f>'GS&lt;50 Predicted Monthly'!$X$8</f>
        <v>-8314018.5106493998</v>
      </c>
      <c r="M115" s="18">
        <f>E115*'GS&lt;50 Predicted Monthly'!$X$9</f>
        <v>0</v>
      </c>
      <c r="N115" s="18">
        <f>F115*'GS&lt;50 Predicted Monthly'!$X$10</f>
        <v>1899528.2026068789</v>
      </c>
      <c r="O115" s="18">
        <f>G115*'GS&lt;50 Predicted Monthly'!$X$11</f>
        <v>18776.477789336634</v>
      </c>
      <c r="P115" s="18">
        <f>H115*'GS&lt;50 Predicted Monthly'!$X$12</f>
        <v>10597358.011917906</v>
      </c>
      <c r="Q115" s="18">
        <f>I115*'GS&lt;50 Predicted Monthly'!$X$13</f>
        <v>0</v>
      </c>
      <c r="R115" s="18">
        <f>J115*'GS&lt;50 Predicted Monthly'!$X$14</f>
        <v>11002902.38304105</v>
      </c>
      <c r="S115" s="18">
        <f t="shared" si="20"/>
        <v>15204546.564705772</v>
      </c>
      <c r="T115" s="18">
        <f t="shared" si="21"/>
        <v>-351559.66778370738</v>
      </c>
      <c r="U115" s="35">
        <f t="shared" si="22"/>
        <v>2.2599464321570558E-2</v>
      </c>
    </row>
    <row r="116" spans="1:21" x14ac:dyDescent="0.2">
      <c r="A116" s="9">
        <f>'Monthly Data'!A116</f>
        <v>45474</v>
      </c>
      <c r="B116">
        <f t="shared" ref="B116:B121" si="23">YEAR(A116)</f>
        <v>2024</v>
      </c>
      <c r="C116">
        <f t="shared" ref="C116:C121" si="24">MONTH(A116)</f>
        <v>7</v>
      </c>
      <c r="D116" s="31">
        <f>'Monthly Data'!J116</f>
        <v>17398173.568553235</v>
      </c>
      <c r="E116" s="33">
        <f>'Monthly Data'!AV116</f>
        <v>0</v>
      </c>
      <c r="F116" s="33">
        <f>'Monthly Data'!AW116</f>
        <v>261.8</v>
      </c>
      <c r="G116" s="33">
        <f>'Monthly Data'!AN116</f>
        <v>730</v>
      </c>
      <c r="H116" s="8">
        <f>'Monthly Data'!K116</f>
        <v>5715</v>
      </c>
      <c r="I116" s="18">
        <f>'Monthly Data'!BR116</f>
        <v>0</v>
      </c>
      <c r="J116" s="30">
        <f>'Monthly Data'!BT116</f>
        <v>31</v>
      </c>
      <c r="L116" s="18">
        <f>'GS&lt;50 Predicted Monthly'!$X$8</f>
        <v>-8314018.5106493998</v>
      </c>
      <c r="M116" s="18">
        <f>E116*'GS&lt;50 Predicted Monthly'!$X$9</f>
        <v>0</v>
      </c>
      <c r="N116" s="18">
        <f>F116*'GS&lt;50 Predicted Monthly'!$X$10</f>
        <v>3024917.7824968412</v>
      </c>
      <c r="O116" s="18">
        <f>G116*'GS&lt;50 Predicted Monthly'!$X$11</f>
        <v>5015.3050809424594</v>
      </c>
      <c r="P116" s="18">
        <f>H116*'GS&lt;50 Predicted Monthly'!$X$12</f>
        <v>10608495.540043937</v>
      </c>
      <c r="Q116" s="18">
        <f>I116*'GS&lt;50 Predicted Monthly'!$X$13</f>
        <v>0</v>
      </c>
      <c r="R116" s="18">
        <f>J116*'GS&lt;50 Predicted Monthly'!$X$14</f>
        <v>11369665.795809086</v>
      </c>
      <c r="S116" s="18">
        <f t="shared" ref="S116:S121" si="25">SUM(L116:R116)</f>
        <v>16694075.912781408</v>
      </c>
      <c r="T116" s="18">
        <f t="shared" ref="T116:T121" si="26">S116-D116</f>
        <v>-704097.65577182733</v>
      </c>
      <c r="U116" s="35">
        <f t="shared" ref="U116:U121" si="27">ABS(T116/D116)</f>
        <v>4.0469630504460896E-2</v>
      </c>
    </row>
    <row r="117" spans="1:21" x14ac:dyDescent="0.2">
      <c r="A117" s="9">
        <f>'Monthly Data'!A117</f>
        <v>45505</v>
      </c>
      <c r="B117">
        <f t="shared" si="23"/>
        <v>2024</v>
      </c>
      <c r="C117">
        <f t="shared" si="24"/>
        <v>8</v>
      </c>
      <c r="D117" s="31">
        <f>'Monthly Data'!J117</f>
        <v>16751789.404616991</v>
      </c>
      <c r="E117" s="33">
        <f>'Monthly Data'!AV117</f>
        <v>0</v>
      </c>
      <c r="F117" s="33">
        <f>'Monthly Data'!AW117</f>
        <v>240.3</v>
      </c>
      <c r="G117" s="33">
        <f>'Monthly Data'!AN117</f>
        <v>730</v>
      </c>
      <c r="H117" s="8">
        <f>'Monthly Data'!K117</f>
        <v>5712</v>
      </c>
      <c r="I117" s="18">
        <f>'Monthly Data'!BR117</f>
        <v>0</v>
      </c>
      <c r="J117" s="30">
        <f>'Monthly Data'!BT117</f>
        <v>31</v>
      </c>
      <c r="L117" s="18">
        <f>'GS&lt;50 Predicted Monthly'!$X$8</f>
        <v>-8314018.5106493998</v>
      </c>
      <c r="M117" s="18">
        <f>E117*'GS&lt;50 Predicted Monthly'!$X$9</f>
        <v>0</v>
      </c>
      <c r="N117" s="18">
        <f>F117*'GS&lt;50 Predicted Monthly'!$X$10</f>
        <v>2776500.1647593239</v>
      </c>
      <c r="O117" s="18">
        <f>G117*'GS&lt;50 Predicted Monthly'!$X$11</f>
        <v>5015.3050809424594</v>
      </c>
      <c r="P117" s="18">
        <f>H117*'GS&lt;50 Predicted Monthly'!$X$12</f>
        <v>10602926.775980921</v>
      </c>
      <c r="Q117" s="18">
        <f>I117*'GS&lt;50 Predicted Monthly'!$X$13</f>
        <v>0</v>
      </c>
      <c r="R117" s="18">
        <f>J117*'GS&lt;50 Predicted Monthly'!$X$14</f>
        <v>11369665.795809086</v>
      </c>
      <c r="S117" s="18">
        <f t="shared" si="25"/>
        <v>16440089.530980874</v>
      </c>
      <c r="T117" s="18">
        <f t="shared" si="26"/>
        <v>-311699.87363611721</v>
      </c>
      <c r="U117" s="35">
        <f t="shared" si="27"/>
        <v>1.8606959895890826E-2</v>
      </c>
    </row>
    <row r="118" spans="1:21" x14ac:dyDescent="0.2">
      <c r="A118" s="9">
        <f>'Monthly Data'!A118</f>
        <v>45536</v>
      </c>
      <c r="B118">
        <f t="shared" si="23"/>
        <v>2024</v>
      </c>
      <c r="C118">
        <f t="shared" si="24"/>
        <v>9</v>
      </c>
      <c r="D118" s="31">
        <f>'Monthly Data'!J118</f>
        <v>15120870.800680745</v>
      </c>
      <c r="E118" s="33">
        <f>'Monthly Data'!AV118</f>
        <v>0.40000000000000036</v>
      </c>
      <c r="F118" s="33">
        <f>'Monthly Data'!AW118</f>
        <v>148.19999999999999</v>
      </c>
      <c r="G118" s="33">
        <f>'Monthly Data'!AN118</f>
        <v>730</v>
      </c>
      <c r="H118" s="8">
        <f>'Monthly Data'!K118</f>
        <v>5736</v>
      </c>
      <c r="I118" s="18">
        <f>'Monthly Data'!BR118</f>
        <v>1</v>
      </c>
      <c r="J118" s="30">
        <f>'Monthly Data'!BT118</f>
        <v>30</v>
      </c>
      <c r="L118" s="18">
        <f>'GS&lt;50 Predicted Monthly'!$X$8</f>
        <v>-8314018.5106493998</v>
      </c>
      <c r="M118" s="18">
        <f>E118*'GS&lt;50 Predicted Monthly'!$X$9</f>
        <v>1884.7439000800618</v>
      </c>
      <c r="N118" s="18">
        <f>F118*'GS&lt;50 Predicted Monthly'!$X$10</f>
        <v>1712348.4162186091</v>
      </c>
      <c r="O118" s="18">
        <f>G118*'GS&lt;50 Predicted Monthly'!$X$11</f>
        <v>5015.3050809424594</v>
      </c>
      <c r="P118" s="18">
        <f>H118*'GS&lt;50 Predicted Monthly'!$X$12</f>
        <v>10647476.888485042</v>
      </c>
      <c r="Q118" s="18">
        <f>I118*'GS&lt;50 Predicted Monthly'!$X$13</f>
        <v>-202362.33175645399</v>
      </c>
      <c r="R118" s="18">
        <f>J118*'GS&lt;50 Predicted Monthly'!$X$14</f>
        <v>11002902.38304105</v>
      </c>
      <c r="S118" s="18">
        <f t="shared" si="25"/>
        <v>14853246.894319871</v>
      </c>
      <c r="T118" s="18">
        <f t="shared" si="26"/>
        <v>-267623.90636087395</v>
      </c>
      <c r="U118" s="35">
        <f t="shared" si="27"/>
        <v>1.7698974476312929E-2</v>
      </c>
    </row>
    <row r="119" spans="1:21" x14ac:dyDescent="0.2">
      <c r="A119" s="9">
        <f>'Monthly Data'!A119</f>
        <v>45566</v>
      </c>
      <c r="B119">
        <f t="shared" si="23"/>
        <v>2024</v>
      </c>
      <c r="C119">
        <f t="shared" si="24"/>
        <v>10</v>
      </c>
      <c r="D119" s="31">
        <f>'Monthly Data'!J119</f>
        <v>14429502.936744498</v>
      </c>
      <c r="E119" s="33">
        <f>'Monthly Data'!AV119</f>
        <v>55.2</v>
      </c>
      <c r="F119" s="33">
        <f>'Monthly Data'!AW119</f>
        <v>47.400000000000006</v>
      </c>
      <c r="G119" s="33">
        <f>'Monthly Data'!AN119</f>
        <v>4174.92266666668</v>
      </c>
      <c r="H119" s="8">
        <f>'Monthly Data'!K119</f>
        <v>5733</v>
      </c>
      <c r="I119" s="18">
        <f>'Monthly Data'!BR119</f>
        <v>1</v>
      </c>
      <c r="J119" s="30">
        <f>'Monthly Data'!BT119</f>
        <v>31</v>
      </c>
      <c r="L119" s="18">
        <f>'GS&lt;50 Predicted Monthly'!$X$8</f>
        <v>-8314018.5106493998</v>
      </c>
      <c r="M119" s="18">
        <f>E119*'GS&lt;50 Predicted Monthly'!$X$9</f>
        <v>260094.65821104831</v>
      </c>
      <c r="N119" s="18">
        <f>F119*'GS&lt;50 Predicted Monthly'!$X$10</f>
        <v>547674.18980271311</v>
      </c>
      <c r="O119" s="18">
        <f>G119*'GS&lt;50 Predicted Monthly'!$X$11</f>
        <v>28682.891592705811</v>
      </c>
      <c r="P119" s="18">
        <f>H119*'GS&lt;50 Predicted Monthly'!$X$12</f>
        <v>10641908.124422027</v>
      </c>
      <c r="Q119" s="18">
        <f>I119*'GS&lt;50 Predicted Monthly'!$X$13</f>
        <v>-202362.33175645399</v>
      </c>
      <c r="R119" s="18">
        <f>J119*'GS&lt;50 Predicted Monthly'!$X$14</f>
        <v>11369665.795809086</v>
      </c>
      <c r="S119" s="18">
        <f t="shared" si="25"/>
        <v>14331644.817431726</v>
      </c>
      <c r="T119" s="18">
        <f t="shared" si="26"/>
        <v>-97858.119312772527</v>
      </c>
      <c r="U119" s="35">
        <f t="shared" si="27"/>
        <v>6.7818080596233421E-3</v>
      </c>
    </row>
    <row r="120" spans="1:21" x14ac:dyDescent="0.2">
      <c r="A120" s="9">
        <f>'Monthly Data'!A120</f>
        <v>45597</v>
      </c>
      <c r="B120">
        <f t="shared" si="23"/>
        <v>2024</v>
      </c>
      <c r="C120">
        <f t="shared" si="24"/>
        <v>11</v>
      </c>
      <c r="D120" s="31">
        <f>'Monthly Data'!J120</f>
        <v>14351434.502808254</v>
      </c>
      <c r="E120" s="33">
        <f>'Monthly Data'!AV120</f>
        <v>194.20000000000002</v>
      </c>
      <c r="F120" s="33">
        <f>'Monthly Data'!AW120</f>
        <v>9.9000000000000021</v>
      </c>
      <c r="G120" s="33">
        <f>'Monthly Data'!AN120</f>
        <v>4174.92266666668</v>
      </c>
      <c r="H120" s="8">
        <f>'Monthly Data'!K120</f>
        <v>5717</v>
      </c>
      <c r="I120" s="18">
        <f>'Monthly Data'!BR120</f>
        <v>1</v>
      </c>
      <c r="J120" s="30">
        <f>'Monthly Data'!BT120</f>
        <v>30</v>
      </c>
      <c r="L120" s="18">
        <f>'GS&lt;50 Predicted Monthly'!$X$8</f>
        <v>-8314018.5106493998</v>
      </c>
      <c r="M120" s="18">
        <f>E120*'GS&lt;50 Predicted Monthly'!$X$9</f>
        <v>915043.16348886932</v>
      </c>
      <c r="N120" s="18">
        <f>F120*'GS&lt;50 Predicted Monthly'!$X$10</f>
        <v>114387.64723727554</v>
      </c>
      <c r="O120" s="18">
        <f>G120*'GS&lt;50 Predicted Monthly'!$X$11</f>
        <v>28682.891592705811</v>
      </c>
      <c r="P120" s="18">
        <f>H120*'GS&lt;50 Predicted Monthly'!$X$12</f>
        <v>10612208.04941928</v>
      </c>
      <c r="Q120" s="18">
        <f>I120*'GS&lt;50 Predicted Monthly'!$X$13</f>
        <v>-202362.33175645399</v>
      </c>
      <c r="R120" s="18">
        <f>J120*'GS&lt;50 Predicted Monthly'!$X$14</f>
        <v>11002902.38304105</v>
      </c>
      <c r="S120" s="18">
        <f t="shared" si="25"/>
        <v>14156843.292373328</v>
      </c>
      <c r="T120" s="18">
        <f t="shared" si="26"/>
        <v>-194591.21043492667</v>
      </c>
      <c r="U120" s="35">
        <f t="shared" si="27"/>
        <v>1.355900766552985E-2</v>
      </c>
    </row>
    <row r="121" spans="1:21" x14ac:dyDescent="0.2">
      <c r="A121" s="9">
        <f>'Monthly Data'!A121</f>
        <v>45627</v>
      </c>
      <c r="B121">
        <f t="shared" si="23"/>
        <v>2024</v>
      </c>
      <c r="C121">
        <f t="shared" si="24"/>
        <v>12</v>
      </c>
      <c r="D121" s="31">
        <f>'Monthly Data'!J121</f>
        <v>16012677.658872008</v>
      </c>
      <c r="E121" s="33">
        <f>'Monthly Data'!AV121</f>
        <v>400.7999999999999</v>
      </c>
      <c r="F121" s="33">
        <f>'Monthly Data'!AW121</f>
        <v>0</v>
      </c>
      <c r="G121" s="33">
        <f>'Monthly Data'!AN121</f>
        <v>4174.92266666668</v>
      </c>
      <c r="H121" s="8">
        <f>'Monthly Data'!K121</f>
        <v>5733</v>
      </c>
      <c r="I121" s="18">
        <f>'Monthly Data'!BR121</f>
        <v>0</v>
      </c>
      <c r="J121" s="30">
        <f>'Monthly Data'!BT121</f>
        <v>31</v>
      </c>
      <c r="L121" s="18">
        <f>'GS&lt;50 Predicted Monthly'!$X$8</f>
        <v>-8314018.5106493998</v>
      </c>
      <c r="M121" s="18">
        <f>E121*'GS&lt;50 Predicted Monthly'!$X$9</f>
        <v>1888513.3878802198</v>
      </c>
      <c r="N121" s="18">
        <f>F121*'GS&lt;50 Predicted Monthly'!$X$10</f>
        <v>0</v>
      </c>
      <c r="O121" s="18">
        <f>G121*'GS&lt;50 Predicted Monthly'!$X$11</f>
        <v>28682.891592705811</v>
      </c>
      <c r="P121" s="18">
        <f>H121*'GS&lt;50 Predicted Monthly'!$X$12</f>
        <v>10641908.124422027</v>
      </c>
      <c r="Q121" s="18">
        <f>I121*'GS&lt;50 Predicted Monthly'!$X$13</f>
        <v>0</v>
      </c>
      <c r="R121" s="18">
        <f>J121*'GS&lt;50 Predicted Monthly'!$X$14</f>
        <v>11369665.795809086</v>
      </c>
      <c r="S121" s="18">
        <f t="shared" si="25"/>
        <v>15614751.689054638</v>
      </c>
      <c r="T121" s="18">
        <f t="shared" si="26"/>
        <v>-397925.96981737018</v>
      </c>
      <c r="U121" s="35">
        <f t="shared" si="27"/>
        <v>2.4850682583802262E-2</v>
      </c>
    </row>
    <row r="122" spans="1:21" x14ac:dyDescent="0.2">
      <c r="A122" s="9"/>
      <c r="U122" s="36">
        <f>AVERAGE(U2:U121)</f>
        <v>2.925323739038773E-2</v>
      </c>
    </row>
    <row r="123" spans="1:21" x14ac:dyDescent="0.2">
      <c r="A123" s="9"/>
    </row>
    <row r="124" spans="1:21" x14ac:dyDescent="0.2">
      <c r="A124" s="9"/>
    </row>
    <row r="125" spans="1:21" x14ac:dyDescent="0.2">
      <c r="A125" s="9"/>
    </row>
    <row r="126" spans="1:21" x14ac:dyDescent="0.2">
      <c r="A126" s="9"/>
    </row>
    <row r="127" spans="1:21" x14ac:dyDescent="0.2">
      <c r="A127" s="9"/>
    </row>
    <row r="128" spans="1:21" x14ac:dyDescent="0.2">
      <c r="A128" s="9"/>
    </row>
    <row r="129" spans="1:1" x14ac:dyDescent="0.2">
      <c r="A129" s="9"/>
    </row>
    <row r="130" spans="1:1" x14ac:dyDescent="0.2">
      <c r="A130" s="9"/>
    </row>
    <row r="131" spans="1:1" x14ac:dyDescent="0.2">
      <c r="A131" s="9"/>
    </row>
    <row r="132" spans="1:1" x14ac:dyDescent="0.2">
      <c r="A132" s="9"/>
    </row>
    <row r="133" spans="1:1" x14ac:dyDescent="0.2">
      <c r="A133" s="9"/>
    </row>
    <row r="134" spans="1:1" x14ac:dyDescent="0.2">
      <c r="A134" s="9"/>
    </row>
    <row r="135" spans="1:1" x14ac:dyDescent="0.2">
      <c r="A135" s="9"/>
    </row>
    <row r="136" spans="1:1" x14ac:dyDescent="0.2">
      <c r="A136" s="9"/>
    </row>
    <row r="137" spans="1:1" x14ac:dyDescent="0.2">
      <c r="A137" s="9"/>
    </row>
    <row r="138" spans="1:1" x14ac:dyDescent="0.2">
      <c r="A138" s="9"/>
    </row>
    <row r="139" spans="1:1" x14ac:dyDescent="0.2">
      <c r="A139" s="9"/>
    </row>
    <row r="140" spans="1:1" x14ac:dyDescent="0.2">
      <c r="A140" s="9"/>
    </row>
    <row r="141" spans="1:1" x14ac:dyDescent="0.2">
      <c r="A141" s="9"/>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AC141"/>
  <sheetViews>
    <sheetView topLeftCell="P1" workbookViewId="0">
      <selection activeCell="X12" sqref="X12"/>
    </sheetView>
  </sheetViews>
  <sheetFormatPr defaultColWidth="9.33203125" defaultRowHeight="12.75" x14ac:dyDescent="0.2"/>
  <cols>
    <col min="1" max="1" width="10.5" bestFit="1" customWidth="1"/>
    <col min="4" max="4" width="20.1640625" bestFit="1" customWidth="1"/>
    <col min="10" max="10" width="10.83203125" customWidth="1"/>
    <col min="12" max="12" width="14.6640625" bestFit="1" customWidth="1"/>
    <col min="13" max="13" width="12.83203125" bestFit="1" customWidth="1"/>
    <col min="14" max="14" width="13.83203125" bestFit="1" customWidth="1"/>
    <col min="15" max="15" width="13.83203125" customWidth="1"/>
    <col min="16" max="18" width="15.5" customWidth="1"/>
    <col min="19" max="19" width="18.1640625" customWidth="1"/>
    <col min="20" max="20" width="13.83203125" customWidth="1"/>
    <col min="23" max="23" width="13.83203125" bestFit="1" customWidth="1"/>
    <col min="24" max="24" width="13.5" customWidth="1"/>
    <col min="25" max="25" width="13.83203125" bestFit="1" customWidth="1"/>
    <col min="26" max="26" width="12.83203125" bestFit="1" customWidth="1"/>
    <col min="27" max="27" width="12.6640625" bestFit="1" customWidth="1"/>
    <col min="28" max="28" width="18" bestFit="1" customWidth="1"/>
    <col min="29" max="29" width="12.83203125" bestFit="1" customWidth="1"/>
  </cols>
  <sheetData>
    <row r="1" spans="1:29" x14ac:dyDescent="0.2">
      <c r="A1" s="373" t="str">
        <f>'Monthly Data'!A1</f>
        <v>Date</v>
      </c>
      <c r="B1" s="351" t="s">
        <v>0</v>
      </c>
      <c r="C1" s="351" t="s">
        <v>28</v>
      </c>
      <c r="D1" s="374" t="str">
        <f>'Monthly Data'!N1</f>
        <v>GS_gt_50_NoCDM</v>
      </c>
      <c r="E1" s="375" t="str">
        <f>'Monthly Data'!AZ1</f>
        <v>HDD10</v>
      </c>
      <c r="F1" s="375" t="str">
        <f>'Monthly Data'!AW1</f>
        <v>CDD14</v>
      </c>
      <c r="G1" s="375" t="str">
        <f>'Monthly Data'!BS1</f>
        <v>Trend</v>
      </c>
      <c r="H1" s="374" t="str">
        <f>'Monthly Data'!BO1</f>
        <v>Dec</v>
      </c>
      <c r="I1" s="375" t="str">
        <f>'Monthly Data'!BT1</f>
        <v>Month Days</v>
      </c>
      <c r="J1" s="375" t="str">
        <f>'Monthly Data'!AK1</f>
        <v>Tor_FTEAdjChange</v>
      </c>
      <c r="L1" s="351" t="s">
        <v>72</v>
      </c>
      <c r="M1" s="375" t="str">
        <f>E1</f>
        <v>HDD10</v>
      </c>
      <c r="N1" s="375" t="str">
        <f>F1</f>
        <v>CDD14</v>
      </c>
      <c r="O1" s="375" t="str">
        <f>G1</f>
        <v>Trend</v>
      </c>
      <c r="P1" s="375" t="str">
        <f t="shared" ref="P1:R1" si="0">H1</f>
        <v>Dec</v>
      </c>
      <c r="Q1" s="375" t="str">
        <f t="shared" si="0"/>
        <v>Month Days</v>
      </c>
      <c r="R1" s="375" t="str">
        <f t="shared" si="0"/>
        <v>Tor_FTEAdjChange</v>
      </c>
      <c r="S1" s="351" t="s">
        <v>82</v>
      </c>
      <c r="T1" s="351" t="s">
        <v>83</v>
      </c>
    </row>
    <row r="2" spans="1:29" x14ac:dyDescent="0.2">
      <c r="A2" s="9">
        <f>'Monthly Data'!A2</f>
        <v>42005</v>
      </c>
      <c r="B2">
        <f t="shared" ref="B2:B62" si="1">YEAR(A2)</f>
        <v>2015</v>
      </c>
      <c r="C2">
        <f t="shared" ref="C2:C62" si="2">MONTH(A2)</f>
        <v>1</v>
      </c>
      <c r="D2" s="31">
        <f>'Monthly Data'!N2</f>
        <v>79694681.694532961</v>
      </c>
      <c r="E2" s="33">
        <f>'Monthly Data'!AZ2</f>
        <v>491.59999999999997</v>
      </c>
      <c r="F2" s="33">
        <f>'Monthly Data'!AW2</f>
        <v>0</v>
      </c>
      <c r="G2" s="33">
        <f>'Monthly Data'!BS2</f>
        <v>1</v>
      </c>
      <c r="H2" s="30">
        <f>'Monthly Data'!BO2</f>
        <v>0</v>
      </c>
      <c r="I2" s="33">
        <f>'Monthly Data'!BT2</f>
        <v>31</v>
      </c>
      <c r="J2" s="33">
        <f>'Monthly Data'!AK2</f>
        <v>-34.200000000000273</v>
      </c>
      <c r="L2" s="18">
        <f>'GS&gt;50 Predicted Monthly'!$X$10</f>
        <v>12654537.4440873</v>
      </c>
      <c r="M2" s="18">
        <f>E2*'GS&gt;50 Predicted Monthly'!$X$11</f>
        <v>8964689.5225129444</v>
      </c>
      <c r="N2" s="18">
        <f>F2*'GS&gt;50 Predicted Monthly'!$X$12</f>
        <v>0</v>
      </c>
      <c r="O2" s="18">
        <f>G2*'GS&gt;50 Predicted Monthly'!$X$13</f>
        <v>-66522.719028065505</v>
      </c>
      <c r="P2" s="18">
        <f>H2*'GS&gt;50 Predicted Monthly'!$X$14</f>
        <v>0</v>
      </c>
      <c r="Q2" s="18">
        <f>I2*'GS&gt;50 Predicted Monthly'!$X$15</f>
        <v>59070853.247044139</v>
      </c>
      <c r="R2" s="18">
        <f>J2*'GS&gt;50 Predicted Monthly'!$X$16</f>
        <v>-239632.50016988374</v>
      </c>
      <c r="S2" s="18">
        <f t="shared" ref="S2:S6" si="3">SUM(L2:R2)</f>
        <v>80383924.994446427</v>
      </c>
      <c r="T2" s="18">
        <f t="shared" ref="T2:T5" si="4">S2-D2</f>
        <v>689243.29991346598</v>
      </c>
      <c r="U2" s="35">
        <f t="shared" ref="U2:U5" si="5">ABS(T2/D2)</f>
        <v>8.6485482501242987E-3</v>
      </c>
    </row>
    <row r="3" spans="1:29" x14ac:dyDescent="0.2">
      <c r="A3" s="9">
        <f>'Monthly Data'!A3</f>
        <v>42036</v>
      </c>
      <c r="B3">
        <f t="shared" si="1"/>
        <v>2015</v>
      </c>
      <c r="C3">
        <f t="shared" si="2"/>
        <v>2</v>
      </c>
      <c r="D3" s="31">
        <f>'Monthly Data'!N3</f>
        <v>74376312.853804022</v>
      </c>
      <c r="E3" s="33">
        <f>'Monthly Data'!AZ3</f>
        <v>591.9</v>
      </c>
      <c r="F3" s="33">
        <f>'Monthly Data'!AW3</f>
        <v>0</v>
      </c>
      <c r="G3" s="33">
        <f>'Monthly Data'!BS3</f>
        <v>2</v>
      </c>
      <c r="H3" s="30">
        <f>'Monthly Data'!BO3</f>
        <v>0</v>
      </c>
      <c r="I3" s="33">
        <f>'Monthly Data'!BT3</f>
        <v>28</v>
      </c>
      <c r="J3" s="33">
        <f>'Monthly Data'!AK3</f>
        <v>-26.700000000000273</v>
      </c>
      <c r="L3" s="18">
        <f>'GS&gt;50 Predicted Monthly'!$X$10</f>
        <v>12654537.4440873</v>
      </c>
      <c r="M3" s="18">
        <f>E3*'GS&gt;50 Predicted Monthly'!$X$11</f>
        <v>10793734.191162352</v>
      </c>
      <c r="N3" s="18">
        <f>F3*'GS&gt;50 Predicted Monthly'!$X$12</f>
        <v>0</v>
      </c>
      <c r="O3" s="18">
        <f>G3*'GS&gt;50 Predicted Monthly'!$X$13</f>
        <v>-133045.43805613101</v>
      </c>
      <c r="P3" s="18">
        <f>H3*'GS&gt;50 Predicted Monthly'!$X$14</f>
        <v>0</v>
      </c>
      <c r="Q3" s="18">
        <f>I3*'GS&gt;50 Predicted Monthly'!$X$15</f>
        <v>53354319.061846316</v>
      </c>
      <c r="R3" s="18">
        <f>J3*'GS&gt;50 Predicted Monthly'!$X$16</f>
        <v>-187081.5132905237</v>
      </c>
      <c r="S3" s="18">
        <f t="shared" si="3"/>
        <v>76482463.74574931</v>
      </c>
      <c r="T3" s="18">
        <f t="shared" si="4"/>
        <v>2106150.8919452876</v>
      </c>
      <c r="U3" s="35">
        <f t="shared" si="5"/>
        <v>2.8317495330606016E-2</v>
      </c>
    </row>
    <row r="4" spans="1:29" x14ac:dyDescent="0.2">
      <c r="A4" s="9">
        <f>'Monthly Data'!A4</f>
        <v>42064</v>
      </c>
      <c r="B4">
        <f t="shared" si="1"/>
        <v>2015</v>
      </c>
      <c r="C4">
        <f t="shared" si="2"/>
        <v>3</v>
      </c>
      <c r="D4" s="31">
        <f>'Monthly Data'!N4</f>
        <v>77468239.013075083</v>
      </c>
      <c r="E4" s="33">
        <f>'Monthly Data'!AZ4</f>
        <v>346</v>
      </c>
      <c r="F4" s="33">
        <f>'Monthly Data'!AW4</f>
        <v>0</v>
      </c>
      <c r="G4" s="33">
        <f>'Monthly Data'!BS4</f>
        <v>3</v>
      </c>
      <c r="H4" s="30">
        <f>'Monthly Data'!BO4</f>
        <v>0</v>
      </c>
      <c r="I4" s="33">
        <f>'Monthly Data'!BT4</f>
        <v>31</v>
      </c>
      <c r="J4" s="33">
        <f>'Monthly Data'!AK4</f>
        <v>-7.9000000000000909</v>
      </c>
      <c r="L4" s="18">
        <f>'GS&gt;50 Predicted Monthly'!$X$10</f>
        <v>12654537.4440873</v>
      </c>
      <c r="M4" s="18">
        <f>E4*'GS&gt;50 Predicted Monthly'!$X$11</f>
        <v>6309565.8559590708</v>
      </c>
      <c r="N4" s="18">
        <f>F4*'GS&gt;50 Predicted Monthly'!$X$12</f>
        <v>0</v>
      </c>
      <c r="O4" s="18">
        <f>G4*'GS&gt;50 Predicted Monthly'!$X$13</f>
        <v>-199568.15708419651</v>
      </c>
      <c r="P4" s="18">
        <f>H4*'GS&gt;50 Predicted Monthly'!$X$14</f>
        <v>0</v>
      </c>
      <c r="Q4" s="18">
        <f>I4*'GS&gt;50 Predicted Monthly'!$X$15</f>
        <v>59070853.247044139</v>
      </c>
      <c r="R4" s="18">
        <f>J4*'GS&gt;50 Predicted Monthly'!$X$16</f>
        <v>-55353.706179593224</v>
      </c>
      <c r="S4" s="18">
        <f t="shared" si="3"/>
        <v>77780034.683826715</v>
      </c>
      <c r="T4" s="18">
        <f t="shared" si="4"/>
        <v>311795.67075163126</v>
      </c>
      <c r="U4" s="35">
        <f t="shared" si="5"/>
        <v>4.0248193933904502E-3</v>
      </c>
    </row>
    <row r="5" spans="1:29" x14ac:dyDescent="0.2">
      <c r="A5" s="9">
        <f>'Monthly Data'!A5</f>
        <v>42095</v>
      </c>
      <c r="B5">
        <f t="shared" si="1"/>
        <v>2015</v>
      </c>
      <c r="C5">
        <f t="shared" si="2"/>
        <v>4</v>
      </c>
      <c r="D5" s="31">
        <f>'Monthly Data'!N5</f>
        <v>70027916.172346145</v>
      </c>
      <c r="E5" s="33">
        <f>'Monthly Data'!AZ5</f>
        <v>102.5</v>
      </c>
      <c r="F5" s="33">
        <f>'Monthly Data'!AW5</f>
        <v>1.5999999999999996</v>
      </c>
      <c r="G5" s="33">
        <f>'Monthly Data'!BS5</f>
        <v>4</v>
      </c>
      <c r="H5" s="30">
        <f>'Monthly Data'!BO5</f>
        <v>0</v>
      </c>
      <c r="I5" s="33">
        <f>'Monthly Data'!BT5</f>
        <v>30</v>
      </c>
      <c r="J5" s="33">
        <f>'Monthly Data'!AK5</f>
        <v>-3.5999999999999091</v>
      </c>
      <c r="L5" s="18">
        <f>'GS&gt;50 Predicted Monthly'!$X$10</f>
        <v>12654537.4440873</v>
      </c>
      <c r="M5" s="18">
        <f>E5*'GS&gt;50 Predicted Monthly'!$X$11</f>
        <v>1869163.2954792045</v>
      </c>
      <c r="N5" s="18">
        <f>F5*'GS&gt;50 Predicted Monthly'!$X$12</f>
        <v>75058.942331734535</v>
      </c>
      <c r="O5" s="18">
        <f>G5*'GS&gt;50 Predicted Monthly'!$X$13</f>
        <v>-266090.87611226202</v>
      </c>
      <c r="P5" s="18">
        <f>H5*'GS&gt;50 Predicted Monthly'!$X$14</f>
        <v>0</v>
      </c>
      <c r="Q5" s="18">
        <f>I5*'GS&gt;50 Predicted Monthly'!$X$15</f>
        <v>57165341.851978198</v>
      </c>
      <c r="R5" s="18">
        <f>J5*'GS&gt;50 Predicted Monthly'!$X$16</f>
        <v>-25224.473702092186</v>
      </c>
      <c r="S5" s="18">
        <f t="shared" si="3"/>
        <v>71472786.184062093</v>
      </c>
      <c r="T5" s="18">
        <f t="shared" si="4"/>
        <v>1444870.0117159486</v>
      </c>
      <c r="U5" s="35">
        <f t="shared" si="5"/>
        <v>2.0632771767190243E-2</v>
      </c>
      <c r="W5" t="s">
        <v>529</v>
      </c>
    </row>
    <row r="6" spans="1:29" x14ac:dyDescent="0.2">
      <c r="A6" s="9">
        <f>'Monthly Data'!A6</f>
        <v>42125</v>
      </c>
      <c r="B6">
        <f t="shared" si="1"/>
        <v>2015</v>
      </c>
      <c r="C6">
        <f t="shared" si="2"/>
        <v>5</v>
      </c>
      <c r="D6" s="31">
        <f>'Monthly Data'!N6</f>
        <v>73743857.331617206</v>
      </c>
      <c r="E6" s="33">
        <f>'Monthly Data'!AZ6</f>
        <v>4.5999999999999996</v>
      </c>
      <c r="F6" s="33">
        <f>'Monthly Data'!AW6</f>
        <v>60.8</v>
      </c>
      <c r="G6" s="33">
        <f>'Monthly Data'!BS6</f>
        <v>5</v>
      </c>
      <c r="H6" s="30">
        <f>'Monthly Data'!BO6</f>
        <v>0</v>
      </c>
      <c r="I6" s="33">
        <f>'Monthly Data'!BT6</f>
        <v>31</v>
      </c>
      <c r="J6" s="33">
        <f>'Monthly Data'!AK6</f>
        <v>22.5</v>
      </c>
      <c r="L6" s="18">
        <f>'GS&gt;50 Predicted Monthly'!$X$10</f>
        <v>12654537.4440873</v>
      </c>
      <c r="M6" s="18">
        <f>E6*'GS&gt;50 Predicted Monthly'!$X$11</f>
        <v>83884.401553213072</v>
      </c>
      <c r="N6" s="18">
        <f>F6*'GS&gt;50 Predicted Monthly'!$X$12</f>
        <v>2852239.8086059131</v>
      </c>
      <c r="O6" s="18">
        <f>G6*'GS&gt;50 Predicted Monthly'!$X$13</f>
        <v>-332613.59514032752</v>
      </c>
      <c r="P6" s="18">
        <f>H6*'GS&gt;50 Predicted Monthly'!$X$14</f>
        <v>0</v>
      </c>
      <c r="Q6" s="18">
        <f>I6*'GS&gt;50 Predicted Monthly'!$X$15</f>
        <v>59070853.247044139</v>
      </c>
      <c r="R6" s="18">
        <f>J6*'GS&gt;50 Predicted Monthly'!$X$16</f>
        <v>157652.96063808014</v>
      </c>
      <c r="S6" s="18">
        <f t="shared" si="3"/>
        <v>74486554.266788319</v>
      </c>
      <c r="T6" s="18">
        <f t="shared" ref="T6:T37" si="6">S6-D6</f>
        <v>742696.93517111242</v>
      </c>
      <c r="U6" s="35">
        <f t="shared" ref="U6:U37" si="7">ABS(T6/D6)</f>
        <v>1.0071305760848583E-2</v>
      </c>
      <c r="W6" t="s">
        <v>198</v>
      </c>
    </row>
    <row r="7" spans="1:29" x14ac:dyDescent="0.2">
      <c r="A7" s="9">
        <f>'Monthly Data'!A7</f>
        <v>42156</v>
      </c>
      <c r="B7">
        <f t="shared" si="1"/>
        <v>2015</v>
      </c>
      <c r="C7">
        <f t="shared" si="2"/>
        <v>6</v>
      </c>
      <c r="D7" s="31">
        <f>'Monthly Data'!N7</f>
        <v>75664536.490888268</v>
      </c>
      <c r="E7" s="33">
        <f>'Monthly Data'!AZ7</f>
        <v>0</v>
      </c>
      <c r="F7" s="33">
        <f>'Monthly Data'!AW7</f>
        <v>98.000000000000028</v>
      </c>
      <c r="G7" s="33">
        <f>'Monthly Data'!BS7</f>
        <v>6</v>
      </c>
      <c r="H7" s="30">
        <f>'Monthly Data'!BO7</f>
        <v>0</v>
      </c>
      <c r="I7" s="33">
        <f>'Monthly Data'!BT7</f>
        <v>30</v>
      </c>
      <c r="J7" s="33">
        <f>'Monthly Data'!AK7</f>
        <v>46.299999999999727</v>
      </c>
      <c r="L7" s="18">
        <f>'GS&gt;50 Predicted Monthly'!$X$10</f>
        <v>12654537.4440873</v>
      </c>
      <c r="M7" s="18">
        <f>E7*'GS&gt;50 Predicted Monthly'!$X$11</f>
        <v>0</v>
      </c>
      <c r="N7" s="18">
        <f>F7*'GS&gt;50 Predicted Monthly'!$X$12</f>
        <v>4597360.2178187426</v>
      </c>
      <c r="O7" s="18">
        <f>G7*'GS&gt;50 Predicted Monthly'!$X$13</f>
        <v>-399136.31416839303</v>
      </c>
      <c r="P7" s="18">
        <f>H7*'GS&gt;50 Predicted Monthly'!$X$14</f>
        <v>0</v>
      </c>
      <c r="Q7" s="18">
        <f>I7*'GS&gt;50 Predicted Monthly'!$X$15</f>
        <v>57165341.851978198</v>
      </c>
      <c r="R7" s="18">
        <f>J7*'GS&gt;50 Predicted Monthly'!$X$16</f>
        <v>324414.75900191412</v>
      </c>
      <c r="S7" s="18">
        <f t="shared" ref="S7:S70" si="8">SUM(L7:R7)</f>
        <v>74342517.958717763</v>
      </c>
      <c r="T7" s="18">
        <f t="shared" si="6"/>
        <v>-1322018.5321705043</v>
      </c>
      <c r="U7" s="35">
        <f t="shared" si="7"/>
        <v>1.7472102433743256E-2</v>
      </c>
      <c r="W7" t="s">
        <v>530</v>
      </c>
    </row>
    <row r="8" spans="1:29" x14ac:dyDescent="0.2">
      <c r="A8" s="9">
        <f>'Monthly Data'!A8</f>
        <v>42186</v>
      </c>
      <c r="B8">
        <f t="shared" si="1"/>
        <v>2015</v>
      </c>
      <c r="C8">
        <f t="shared" si="2"/>
        <v>7</v>
      </c>
      <c r="D8" s="31">
        <f>'Monthly Data'!N8</f>
        <v>82284876.650159329</v>
      </c>
      <c r="E8" s="33">
        <f>'Monthly Data'!AZ8</f>
        <v>0</v>
      </c>
      <c r="F8" s="33">
        <f>'Monthly Data'!AW8</f>
        <v>244.9</v>
      </c>
      <c r="G8" s="33">
        <f>'Monthly Data'!BS8</f>
        <v>7</v>
      </c>
      <c r="H8" s="30">
        <f>'Monthly Data'!BO8</f>
        <v>0</v>
      </c>
      <c r="I8" s="33">
        <f>'Monthly Data'!BT8</f>
        <v>31</v>
      </c>
      <c r="J8" s="33">
        <f>'Monthly Data'!AK8</f>
        <v>91.599999999999909</v>
      </c>
      <c r="L8" s="18">
        <f>'GS&gt;50 Predicted Monthly'!$X$10</f>
        <v>12654537.4440873</v>
      </c>
      <c r="M8" s="18">
        <f>E8*'GS&gt;50 Predicted Monthly'!$X$11</f>
        <v>0</v>
      </c>
      <c r="N8" s="18">
        <f>F8*'GS&gt;50 Predicted Monthly'!$X$12</f>
        <v>11488709.360651121</v>
      </c>
      <c r="O8" s="18">
        <f>G8*'GS&gt;50 Predicted Monthly'!$X$13</f>
        <v>-465659.03319645853</v>
      </c>
      <c r="P8" s="18">
        <f>H8*'GS&gt;50 Predicted Monthly'!$X$14</f>
        <v>0</v>
      </c>
      <c r="Q8" s="18">
        <f>I8*'GS&gt;50 Predicted Monthly'!$X$15</f>
        <v>59070853.247044139</v>
      </c>
      <c r="R8" s="18">
        <f>J8*'GS&gt;50 Predicted Monthly'!$X$16</f>
        <v>641822.71975325013</v>
      </c>
      <c r="S8" s="18">
        <f t="shared" si="8"/>
        <v>83390263.73833935</v>
      </c>
      <c r="T8" s="18">
        <f t="shared" si="6"/>
        <v>1105387.0881800205</v>
      </c>
      <c r="U8" s="35">
        <f t="shared" si="7"/>
        <v>1.3433660390349265E-2</v>
      </c>
    </row>
    <row r="9" spans="1:29" x14ac:dyDescent="0.2">
      <c r="A9" s="9">
        <f>'Monthly Data'!A9</f>
        <v>42217</v>
      </c>
      <c r="B9">
        <f t="shared" si="1"/>
        <v>2015</v>
      </c>
      <c r="C9">
        <f t="shared" si="2"/>
        <v>8</v>
      </c>
      <c r="D9" s="31">
        <f>'Monthly Data'!N9</f>
        <v>81168529.809430391</v>
      </c>
      <c r="E9" s="33">
        <f>'Monthly Data'!AZ9</f>
        <v>0</v>
      </c>
      <c r="F9" s="33">
        <f>'Monthly Data'!AW9</f>
        <v>210.70000000000002</v>
      </c>
      <c r="G9" s="33">
        <f>'Monthly Data'!BS9</f>
        <v>8</v>
      </c>
      <c r="H9" s="30">
        <f>'Monthly Data'!BO9</f>
        <v>0</v>
      </c>
      <c r="I9" s="33">
        <f>'Monthly Data'!BT9</f>
        <v>31</v>
      </c>
      <c r="J9" s="33">
        <f>'Monthly Data'!AK9</f>
        <v>119.69999999999982</v>
      </c>
      <c r="L9" s="18">
        <f>'GS&gt;50 Predicted Monthly'!$X$10</f>
        <v>12654537.4440873</v>
      </c>
      <c r="M9" s="18">
        <f>E9*'GS&gt;50 Predicted Monthly'!$X$11</f>
        <v>0</v>
      </c>
      <c r="N9" s="18">
        <f>F9*'GS&gt;50 Predicted Monthly'!$X$12</f>
        <v>9884324.4683102947</v>
      </c>
      <c r="O9" s="18">
        <f>G9*'GS&gt;50 Predicted Monthly'!$X$13</f>
        <v>-532181.75222452404</v>
      </c>
      <c r="P9" s="18">
        <f>H9*'GS&gt;50 Predicted Monthly'!$X$14</f>
        <v>0</v>
      </c>
      <c r="Q9" s="18">
        <f>I9*'GS&gt;50 Predicted Monthly'!$X$15</f>
        <v>59070853.247044139</v>
      </c>
      <c r="R9" s="18">
        <f>J9*'GS&gt;50 Predicted Monthly'!$X$16</f>
        <v>838713.75059458509</v>
      </c>
      <c r="S9" s="18">
        <f t="shared" si="8"/>
        <v>81916247.157811791</v>
      </c>
      <c r="T9" s="18">
        <f t="shared" si="6"/>
        <v>747717.34838140011</v>
      </c>
      <c r="U9" s="35">
        <f t="shared" si="7"/>
        <v>9.2119119335647773E-3</v>
      </c>
      <c r="X9" t="s">
        <v>68</v>
      </c>
      <c r="Y9" t="s">
        <v>69</v>
      </c>
      <c r="Z9" t="s">
        <v>70</v>
      </c>
      <c r="AA9" t="s">
        <v>71</v>
      </c>
    </row>
    <row r="10" spans="1:29" x14ac:dyDescent="0.2">
      <c r="A10" s="9">
        <f>'Monthly Data'!A10</f>
        <v>42248</v>
      </c>
      <c r="B10">
        <f t="shared" si="1"/>
        <v>2015</v>
      </c>
      <c r="C10">
        <f t="shared" si="2"/>
        <v>9</v>
      </c>
      <c r="D10" s="31">
        <f>'Monthly Data'!N10</f>
        <v>78691834.968701452</v>
      </c>
      <c r="E10" s="33">
        <f>'Monthly Data'!AZ10</f>
        <v>0</v>
      </c>
      <c r="F10" s="33">
        <f>'Monthly Data'!AW10</f>
        <v>181</v>
      </c>
      <c r="G10" s="33">
        <f>'Monthly Data'!BS10</f>
        <v>9</v>
      </c>
      <c r="H10" s="30">
        <f>'Monthly Data'!BO10</f>
        <v>0</v>
      </c>
      <c r="I10" s="33">
        <f>'Monthly Data'!BT10</f>
        <v>30</v>
      </c>
      <c r="J10" s="33">
        <f>'Monthly Data'!AK10</f>
        <v>132.19999999999982</v>
      </c>
      <c r="L10" s="18">
        <f>'GS&gt;50 Predicted Monthly'!$X$10</f>
        <v>12654537.4440873</v>
      </c>
      <c r="M10" s="18">
        <f>E10*'GS&gt;50 Predicted Monthly'!$X$11</f>
        <v>0</v>
      </c>
      <c r="N10" s="18">
        <f>F10*'GS&gt;50 Predicted Monthly'!$X$12</f>
        <v>8491042.8512774725</v>
      </c>
      <c r="O10" s="18">
        <f>G10*'GS&gt;50 Predicted Monthly'!$X$13</f>
        <v>-598704.47125258949</v>
      </c>
      <c r="P10" s="18">
        <f>H10*'GS&gt;50 Predicted Monthly'!$X$14</f>
        <v>0</v>
      </c>
      <c r="Q10" s="18">
        <f>I10*'GS&gt;50 Predicted Monthly'!$X$15</f>
        <v>57165341.851978198</v>
      </c>
      <c r="R10" s="18">
        <f>J10*'GS&gt;50 Predicted Monthly'!$X$16</f>
        <v>926298.72872685187</v>
      </c>
      <c r="S10" s="18">
        <f t="shared" si="8"/>
        <v>78638516.404817238</v>
      </c>
      <c r="T10" s="18">
        <f t="shared" si="6"/>
        <v>-53318.563884213567</v>
      </c>
      <c r="U10" s="35">
        <f t="shared" si="7"/>
        <v>6.7756157809028422E-4</v>
      </c>
      <c r="W10" t="s">
        <v>72</v>
      </c>
      <c r="X10" s="20">
        <v>12654537.4440873</v>
      </c>
      <c r="Y10" s="20">
        <v>3744929.45296939</v>
      </c>
      <c r="Z10" s="464">
        <v>3.3791123712767002</v>
      </c>
      <c r="AA10" s="465">
        <v>9.9868762531621792E-4</v>
      </c>
    </row>
    <row r="11" spans="1:29" x14ac:dyDescent="0.2">
      <c r="A11" s="9">
        <f>'Monthly Data'!A11</f>
        <v>42278</v>
      </c>
      <c r="B11">
        <f t="shared" si="1"/>
        <v>2015</v>
      </c>
      <c r="C11">
        <f t="shared" si="2"/>
        <v>10</v>
      </c>
      <c r="D11" s="31">
        <f>'Monthly Data'!N11</f>
        <v>73009956.127972499</v>
      </c>
      <c r="E11" s="33">
        <f>'Monthly Data'!AZ11</f>
        <v>26.9</v>
      </c>
      <c r="F11" s="33">
        <f>'Monthly Data'!AW11</f>
        <v>14.399999999999997</v>
      </c>
      <c r="G11" s="33">
        <f>'Monthly Data'!BS11</f>
        <v>10</v>
      </c>
      <c r="H11" s="30">
        <f>'Monthly Data'!BO11</f>
        <v>0</v>
      </c>
      <c r="I11" s="33">
        <f>'Monthly Data'!BT11</f>
        <v>31</v>
      </c>
      <c r="J11" s="33">
        <f>'Monthly Data'!AK11</f>
        <v>123.19999999999982</v>
      </c>
      <c r="L11" s="18">
        <f>'GS&gt;50 Predicted Monthly'!$X$10</f>
        <v>12654537.4440873</v>
      </c>
      <c r="M11" s="18">
        <f>E11*'GS&gt;50 Predicted Monthly'!$X$11</f>
        <v>490541.39169161557</v>
      </c>
      <c r="N11" s="18">
        <f>F11*'GS&gt;50 Predicted Monthly'!$X$12</f>
        <v>675530.48098561086</v>
      </c>
      <c r="O11" s="18">
        <f>G11*'GS&gt;50 Predicted Monthly'!$X$13</f>
        <v>-665227.19028065505</v>
      </c>
      <c r="P11" s="18">
        <f>H11*'GS&gt;50 Predicted Monthly'!$X$14</f>
        <v>0</v>
      </c>
      <c r="Q11" s="18">
        <f>I11*'GS&gt;50 Predicted Monthly'!$X$15</f>
        <v>59070853.247044139</v>
      </c>
      <c r="R11" s="18">
        <f>J11*'GS&gt;50 Predicted Monthly'!$X$16</f>
        <v>863237.54447161977</v>
      </c>
      <c r="S11" s="18">
        <f t="shared" si="8"/>
        <v>73089472.917999625</v>
      </c>
      <c r="T11" s="18">
        <f t="shared" si="6"/>
        <v>79516.79002712667</v>
      </c>
      <c r="U11" s="35">
        <f t="shared" si="7"/>
        <v>1.0891225559394794E-3</v>
      </c>
      <c r="W11" t="s">
        <v>153</v>
      </c>
      <c r="X11" s="20">
        <v>18235.7394680898</v>
      </c>
      <c r="Y11" s="20">
        <v>1547.9026803632601</v>
      </c>
      <c r="Z11" s="464">
        <v>11.7809340983958</v>
      </c>
      <c r="AA11" s="465">
        <v>2.1926789034534399E-21</v>
      </c>
    </row>
    <row r="12" spans="1:29" x14ac:dyDescent="0.2">
      <c r="A12" s="9">
        <f>'Monthly Data'!A12</f>
        <v>42309</v>
      </c>
      <c r="B12">
        <f t="shared" si="1"/>
        <v>2015</v>
      </c>
      <c r="C12">
        <f t="shared" si="2"/>
        <v>11</v>
      </c>
      <c r="D12" s="31">
        <f>'Monthly Data'!N12</f>
        <v>71846695.28724356</v>
      </c>
      <c r="E12" s="33">
        <f>'Monthly Data'!AZ12</f>
        <v>90.2</v>
      </c>
      <c r="F12" s="33">
        <f>'Monthly Data'!AW12</f>
        <v>4.0000000000000018</v>
      </c>
      <c r="G12" s="33">
        <f>'Monthly Data'!BS12</f>
        <v>11</v>
      </c>
      <c r="H12" s="30">
        <f>'Monthly Data'!BO12</f>
        <v>0</v>
      </c>
      <c r="I12" s="33">
        <f>'Monthly Data'!BT12</f>
        <v>30</v>
      </c>
      <c r="J12" s="33">
        <f>'Monthly Data'!AK12</f>
        <v>108</v>
      </c>
      <c r="L12" s="18">
        <f>'GS&gt;50 Predicted Monthly'!$X$10</f>
        <v>12654537.4440873</v>
      </c>
      <c r="M12" s="18">
        <f>E12*'GS&gt;50 Predicted Monthly'!$X$11</f>
        <v>1644863.7000217</v>
      </c>
      <c r="N12" s="18">
        <f>F12*'GS&gt;50 Predicted Monthly'!$X$12</f>
        <v>187647.35582933648</v>
      </c>
      <c r="O12" s="18">
        <f>G12*'GS&gt;50 Predicted Monthly'!$X$13</f>
        <v>-731749.90930872061</v>
      </c>
      <c r="P12" s="18">
        <f>H12*'GS&gt;50 Predicted Monthly'!$X$14</f>
        <v>0</v>
      </c>
      <c r="Q12" s="18">
        <f>I12*'GS&gt;50 Predicted Monthly'!$X$15</f>
        <v>57165341.851978198</v>
      </c>
      <c r="R12" s="18">
        <f>J12*'GS&gt;50 Predicted Monthly'!$X$16</f>
        <v>756734.21106278466</v>
      </c>
      <c r="S12" s="18">
        <f t="shared" si="8"/>
        <v>71677374.653670609</v>
      </c>
      <c r="T12" s="18">
        <f t="shared" si="6"/>
        <v>-169320.63357295096</v>
      </c>
      <c r="U12" s="35">
        <f t="shared" si="7"/>
        <v>2.3566934136080436E-3</v>
      </c>
      <c r="W12" t="s">
        <v>36</v>
      </c>
      <c r="X12" s="20">
        <v>46911.838957334097</v>
      </c>
      <c r="Y12" s="20">
        <v>2225.2566882435999</v>
      </c>
      <c r="Z12" s="464">
        <v>21.081540482577701</v>
      </c>
      <c r="AA12" s="465">
        <v>5.7782575256484001E-41</v>
      </c>
    </row>
    <row r="13" spans="1:29" x14ac:dyDescent="0.2">
      <c r="A13" s="9">
        <f>'Monthly Data'!A13</f>
        <v>42339</v>
      </c>
      <c r="B13">
        <f t="shared" si="1"/>
        <v>2015</v>
      </c>
      <c r="C13">
        <f t="shared" si="2"/>
        <v>12</v>
      </c>
      <c r="D13" s="31">
        <f>'Monthly Data'!N13</f>
        <v>72643978.446514621</v>
      </c>
      <c r="E13" s="33">
        <f>'Monthly Data'!AZ13</f>
        <v>148</v>
      </c>
      <c r="F13" s="33">
        <f>'Monthly Data'!AW13</f>
        <v>0</v>
      </c>
      <c r="G13" s="33">
        <f>'Monthly Data'!BS13</f>
        <v>12</v>
      </c>
      <c r="H13" s="30">
        <f>'Monthly Data'!BO13</f>
        <v>1</v>
      </c>
      <c r="I13" s="33">
        <f>'Monthly Data'!BT13</f>
        <v>31</v>
      </c>
      <c r="J13" s="33">
        <f>'Monthly Data'!AK13</f>
        <v>108.29999999999973</v>
      </c>
      <c r="L13" s="18">
        <f>'GS&gt;50 Predicted Monthly'!$X$10</f>
        <v>12654537.4440873</v>
      </c>
      <c r="M13" s="18">
        <f>E13*'GS&gt;50 Predicted Monthly'!$X$11</f>
        <v>2698889.4412772902</v>
      </c>
      <c r="N13" s="18">
        <f>F13*'GS&gt;50 Predicted Monthly'!$X$12</f>
        <v>0</v>
      </c>
      <c r="O13" s="18">
        <f>G13*'GS&gt;50 Predicted Monthly'!$X$13</f>
        <v>-798272.62833678606</v>
      </c>
      <c r="P13" s="18">
        <f>H13*'GS&gt;50 Predicted Monthly'!$X$14</f>
        <v>-2455659.1490839599</v>
      </c>
      <c r="Q13" s="18">
        <f>I13*'GS&gt;50 Predicted Monthly'!$X$15</f>
        <v>59070853.247044139</v>
      </c>
      <c r="R13" s="18">
        <f>J13*'GS&gt;50 Predicted Monthly'!$X$16</f>
        <v>758836.25053795718</v>
      </c>
      <c r="S13" s="18">
        <f t="shared" si="8"/>
        <v>71929184.605525941</v>
      </c>
      <c r="T13" s="18">
        <f t="shared" si="6"/>
        <v>-714793.84098868072</v>
      </c>
      <c r="U13" s="35">
        <f t="shared" si="7"/>
        <v>9.8396846686330652E-3</v>
      </c>
      <c r="W13" t="s">
        <v>65</v>
      </c>
      <c r="X13" s="20">
        <v>-66522.719028065505</v>
      </c>
      <c r="Y13" s="20">
        <v>11904.003004034599</v>
      </c>
      <c r="Z13" s="464">
        <v>-5.5882646371576703</v>
      </c>
      <c r="AA13" s="465">
        <v>1.60863438323261E-7</v>
      </c>
      <c r="AC13" s="403"/>
    </row>
    <row r="14" spans="1:29" x14ac:dyDescent="0.2">
      <c r="A14" s="9">
        <f>'Monthly Data'!A14</f>
        <v>42370</v>
      </c>
      <c r="B14">
        <f t="shared" si="1"/>
        <v>2016</v>
      </c>
      <c r="C14">
        <f t="shared" si="2"/>
        <v>1</v>
      </c>
      <c r="D14" s="31">
        <f>'Monthly Data'!N14</f>
        <v>78763477.389551774</v>
      </c>
      <c r="E14" s="33">
        <f>'Monthly Data'!AZ14</f>
        <v>377.00000000000006</v>
      </c>
      <c r="F14" s="33">
        <f>'Monthly Data'!AW14</f>
        <v>0</v>
      </c>
      <c r="G14" s="33">
        <f>'Monthly Data'!BS14</f>
        <v>13</v>
      </c>
      <c r="H14" s="30">
        <f>'Monthly Data'!BO14</f>
        <v>0</v>
      </c>
      <c r="I14" s="33">
        <f>'Monthly Data'!BT14</f>
        <v>31</v>
      </c>
      <c r="J14" s="33">
        <f>'Monthly Data'!AK14</f>
        <v>113.80000000000018</v>
      </c>
      <c r="L14" s="18">
        <f>'GS&gt;50 Predicted Monthly'!$X$10</f>
        <v>12654537.4440873</v>
      </c>
      <c r="M14" s="18">
        <f>E14*'GS&gt;50 Predicted Monthly'!$X$11</f>
        <v>6874873.7794698551</v>
      </c>
      <c r="N14" s="18">
        <f>F14*'GS&gt;50 Predicted Monthly'!$X$12</f>
        <v>0</v>
      </c>
      <c r="O14" s="18">
        <f>G14*'GS&gt;50 Predicted Monthly'!$X$13</f>
        <v>-864795.34736485151</v>
      </c>
      <c r="P14" s="18">
        <f>H14*'GS&gt;50 Predicted Monthly'!$X$14</f>
        <v>0</v>
      </c>
      <c r="Q14" s="18">
        <f>I14*'GS&gt;50 Predicted Monthly'!$X$15</f>
        <v>59070853.247044139</v>
      </c>
      <c r="R14" s="18">
        <f>J14*'GS&gt;50 Predicted Monthly'!$X$16</f>
        <v>797373.64091615775</v>
      </c>
      <c r="S14" s="18">
        <f t="shared" si="8"/>
        <v>78532842.764152601</v>
      </c>
      <c r="T14" s="18">
        <f t="shared" si="6"/>
        <v>-230634.62539917231</v>
      </c>
      <c r="U14" s="35">
        <f t="shared" si="7"/>
        <v>2.9281925207350827E-3</v>
      </c>
      <c r="W14" t="s">
        <v>61</v>
      </c>
      <c r="X14" s="20">
        <v>-2455659.1490839599</v>
      </c>
      <c r="Y14" s="20">
        <v>411423.18588773703</v>
      </c>
      <c r="Z14" s="464">
        <v>-5.9686941167045102</v>
      </c>
      <c r="AA14" s="465">
        <v>2.8121474304282402E-8</v>
      </c>
      <c r="AC14" s="403"/>
    </row>
    <row r="15" spans="1:29" x14ac:dyDescent="0.2">
      <c r="A15" s="9">
        <f>'Monthly Data'!A15</f>
        <v>42401</v>
      </c>
      <c r="B15">
        <f t="shared" si="1"/>
        <v>2016</v>
      </c>
      <c r="C15">
        <f t="shared" si="2"/>
        <v>2</v>
      </c>
      <c r="D15" s="31">
        <f>'Monthly Data'!N15</f>
        <v>74636760.565422177</v>
      </c>
      <c r="E15" s="33">
        <f>'Monthly Data'!AZ15</f>
        <v>312.5</v>
      </c>
      <c r="F15" s="33">
        <f>'Monthly Data'!AW15</f>
        <v>0</v>
      </c>
      <c r="G15" s="33">
        <f>'Monthly Data'!BS15</f>
        <v>14</v>
      </c>
      <c r="H15" s="30">
        <f>'Monthly Data'!BO15</f>
        <v>0</v>
      </c>
      <c r="I15" s="33">
        <f>'Monthly Data'!BT15</f>
        <v>29</v>
      </c>
      <c r="J15" s="33">
        <f>'Monthly Data'!AK15</f>
        <v>103.30000000000018</v>
      </c>
      <c r="L15" s="18">
        <f>'GS&gt;50 Predicted Monthly'!$X$10</f>
        <v>12654537.4440873</v>
      </c>
      <c r="M15" s="18">
        <f>E15*'GS&gt;50 Predicted Monthly'!$X$11</f>
        <v>5698668.5837780628</v>
      </c>
      <c r="N15" s="18">
        <f>F15*'GS&gt;50 Predicted Monthly'!$X$12</f>
        <v>0</v>
      </c>
      <c r="O15" s="18">
        <f>G15*'GS&gt;50 Predicted Monthly'!$X$13</f>
        <v>-931318.06639291707</v>
      </c>
      <c r="P15" s="18">
        <f>H15*'GS&gt;50 Predicted Monthly'!$X$14</f>
        <v>0</v>
      </c>
      <c r="Q15" s="18">
        <f>I15*'GS&gt;50 Predicted Monthly'!$X$15</f>
        <v>55259830.456912257</v>
      </c>
      <c r="R15" s="18">
        <f>J15*'GS&gt;50 Predicted Monthly'!$X$16</f>
        <v>723802.2592850537</v>
      </c>
      <c r="S15" s="18">
        <f t="shared" si="8"/>
        <v>73405520.677669749</v>
      </c>
      <c r="T15" s="18">
        <f t="shared" si="6"/>
        <v>-1231239.8877524287</v>
      </c>
      <c r="U15" s="35">
        <f t="shared" si="7"/>
        <v>1.6496427208589747E-2</v>
      </c>
      <c r="W15" t="s">
        <v>196</v>
      </c>
      <c r="X15" s="20">
        <v>1905511.39506594</v>
      </c>
      <c r="Y15" s="20">
        <v>119922.24403617</v>
      </c>
      <c r="Z15" s="464">
        <v>15.889557524383999</v>
      </c>
      <c r="AA15" s="465">
        <v>1.41368910498645E-30</v>
      </c>
    </row>
    <row r="16" spans="1:29" x14ac:dyDescent="0.2">
      <c r="A16" s="9">
        <f>'Monthly Data'!A16</f>
        <v>42430</v>
      </c>
      <c r="B16">
        <f t="shared" si="1"/>
        <v>2016</v>
      </c>
      <c r="C16">
        <f t="shared" si="2"/>
        <v>3</v>
      </c>
      <c r="D16" s="31">
        <f>'Monthly Data'!N16</f>
        <v>77047328.741292581</v>
      </c>
      <c r="E16" s="33">
        <f>'Monthly Data'!AZ16</f>
        <v>208.49999999999997</v>
      </c>
      <c r="F16" s="33">
        <f>'Monthly Data'!AW16</f>
        <v>0</v>
      </c>
      <c r="G16" s="33">
        <f>'Monthly Data'!BS16</f>
        <v>15</v>
      </c>
      <c r="H16" s="30">
        <f>'Monthly Data'!BO16</f>
        <v>0</v>
      </c>
      <c r="I16" s="33">
        <f>'Monthly Data'!BT16</f>
        <v>31</v>
      </c>
      <c r="J16" s="33">
        <f>'Monthly Data'!AK16</f>
        <v>74.100000000000364</v>
      </c>
      <c r="L16" s="18">
        <f>'GS&gt;50 Predicted Monthly'!$X$10</f>
        <v>12654537.4440873</v>
      </c>
      <c r="M16" s="18">
        <f>E16*'GS&gt;50 Predicted Monthly'!$X$11</f>
        <v>3802151.6790967225</v>
      </c>
      <c r="N16" s="18">
        <f>F16*'GS&gt;50 Predicted Monthly'!$X$12</f>
        <v>0</v>
      </c>
      <c r="O16" s="18">
        <f>G16*'GS&gt;50 Predicted Monthly'!$X$13</f>
        <v>-997840.78542098263</v>
      </c>
      <c r="P16" s="18">
        <f>H16*'GS&gt;50 Predicted Monthly'!$X$14</f>
        <v>0</v>
      </c>
      <c r="Q16" s="18">
        <f>I16*'GS&gt;50 Predicted Monthly'!$X$15</f>
        <v>59070853.247044139</v>
      </c>
      <c r="R16" s="18">
        <f>J16*'GS&gt;50 Predicted Monthly'!$X$16</f>
        <v>519203.75036807981</v>
      </c>
      <c r="S16" s="18">
        <f t="shared" si="8"/>
        <v>75048905.335175261</v>
      </c>
      <c r="T16" s="18">
        <f t="shared" si="6"/>
        <v>-1998423.4061173201</v>
      </c>
      <c r="U16" s="35">
        <f t="shared" si="7"/>
        <v>2.5937607945209516E-2</v>
      </c>
      <c r="W16" t="s">
        <v>466</v>
      </c>
      <c r="X16" s="20">
        <v>7006.7982505813397</v>
      </c>
      <c r="Y16" s="20">
        <v>2306.0737558955402</v>
      </c>
      <c r="Z16" s="464">
        <v>3.0384102991798301</v>
      </c>
      <c r="AA16" s="465">
        <v>2.95466263639033E-3</v>
      </c>
    </row>
    <row r="17" spans="1:26" x14ac:dyDescent="0.2">
      <c r="A17" s="9">
        <f>'Monthly Data'!A17</f>
        <v>42461</v>
      </c>
      <c r="B17">
        <f t="shared" si="1"/>
        <v>2016</v>
      </c>
      <c r="C17">
        <f t="shared" si="2"/>
        <v>4</v>
      </c>
      <c r="D17" s="31">
        <f>'Monthly Data'!N17</f>
        <v>73374646.91716297</v>
      </c>
      <c r="E17" s="33">
        <f>'Monthly Data'!AZ17</f>
        <v>162.69999999999999</v>
      </c>
      <c r="F17" s="33">
        <f>'Monthly Data'!AW17</f>
        <v>2.8000000000000007</v>
      </c>
      <c r="G17" s="33">
        <f>'Monthly Data'!BS17</f>
        <v>16</v>
      </c>
      <c r="H17" s="30">
        <f>'Monthly Data'!BO17</f>
        <v>0</v>
      </c>
      <c r="I17" s="33">
        <f>'Monthly Data'!BT17</f>
        <v>30</v>
      </c>
      <c r="J17" s="33">
        <f>'Monthly Data'!AK17</f>
        <v>60.899999999999636</v>
      </c>
      <c r="L17" s="18">
        <f>'GS&gt;50 Predicted Monthly'!$X$10</f>
        <v>12654537.4440873</v>
      </c>
      <c r="M17" s="18">
        <f>E17*'GS&gt;50 Predicted Monthly'!$X$11</f>
        <v>2966954.81145821</v>
      </c>
      <c r="N17" s="18">
        <f>F17*'GS&gt;50 Predicted Monthly'!$X$12</f>
        <v>131353.14908053551</v>
      </c>
      <c r="O17" s="18">
        <f>G17*'GS&gt;50 Predicted Monthly'!$X$13</f>
        <v>-1064363.5044490481</v>
      </c>
      <c r="P17" s="18">
        <f>H17*'GS&gt;50 Predicted Monthly'!$X$14</f>
        <v>0</v>
      </c>
      <c r="Q17" s="18">
        <f>I17*'GS&gt;50 Predicted Monthly'!$X$15</f>
        <v>57165341.851978198</v>
      </c>
      <c r="R17" s="18">
        <f>J17*'GS&gt;50 Predicted Monthly'!$X$16</f>
        <v>426714.01346040104</v>
      </c>
      <c r="S17" s="18">
        <f t="shared" si="8"/>
        <v>72280537.765615597</v>
      </c>
      <c r="T17" s="18">
        <f t="shared" si="6"/>
        <v>-1094109.1515473723</v>
      </c>
      <c r="U17" s="35">
        <f t="shared" si="7"/>
        <v>1.4911269730300408E-2</v>
      </c>
    </row>
    <row r="18" spans="1:26" x14ac:dyDescent="0.2">
      <c r="A18" s="9">
        <f>'Monthly Data'!A18</f>
        <v>42491</v>
      </c>
      <c r="B18">
        <f t="shared" si="1"/>
        <v>2016</v>
      </c>
      <c r="C18">
        <f t="shared" si="2"/>
        <v>5</v>
      </c>
      <c r="D18" s="31">
        <f>'Monthly Data'!N18</f>
        <v>75400761.093033373</v>
      </c>
      <c r="E18" s="33">
        <f>'Monthly Data'!AZ18</f>
        <v>17.299999999999997</v>
      </c>
      <c r="F18" s="33">
        <f>'Monthly Data'!AW18</f>
        <v>70.599999999999994</v>
      </c>
      <c r="G18" s="33">
        <f>'Monthly Data'!BS18</f>
        <v>17</v>
      </c>
      <c r="H18" s="30">
        <f>'Monthly Data'!BO18</f>
        <v>0</v>
      </c>
      <c r="I18" s="33">
        <f>'Monthly Data'!BT18</f>
        <v>31</v>
      </c>
      <c r="J18" s="33">
        <f>'Monthly Data'!AK18</f>
        <v>53.900000000000091</v>
      </c>
      <c r="L18" s="18">
        <f>'GS&gt;50 Predicted Monthly'!$X$10</f>
        <v>12654537.4440873</v>
      </c>
      <c r="M18" s="18">
        <f>E18*'GS&gt;50 Predicted Monthly'!$X$11</f>
        <v>315478.29279795347</v>
      </c>
      <c r="N18" s="18">
        <f>F18*'GS&gt;50 Predicted Monthly'!$X$12</f>
        <v>3311975.830387787</v>
      </c>
      <c r="O18" s="18">
        <f>G18*'GS&gt;50 Predicted Monthly'!$X$13</f>
        <v>-1130886.2234771135</v>
      </c>
      <c r="P18" s="18">
        <f>H18*'GS&gt;50 Predicted Monthly'!$X$14</f>
        <v>0</v>
      </c>
      <c r="Q18" s="18">
        <f>I18*'GS&gt;50 Predicted Monthly'!$X$15</f>
        <v>59070853.247044139</v>
      </c>
      <c r="R18" s="18">
        <f>J18*'GS&gt;50 Predicted Monthly'!$X$16</f>
        <v>377666.42570633488</v>
      </c>
      <c r="S18" s="18">
        <f t="shared" si="8"/>
        <v>74599625.016546413</v>
      </c>
      <c r="T18" s="18">
        <f t="shared" si="6"/>
        <v>-801136.07648696005</v>
      </c>
      <c r="U18" s="35">
        <f t="shared" si="7"/>
        <v>1.0625039653094175E-2</v>
      </c>
      <c r="W18" t="s">
        <v>165</v>
      </c>
    </row>
    <row r="19" spans="1:26" x14ac:dyDescent="0.2">
      <c r="A19" s="9">
        <f>'Monthly Data'!A19</f>
        <v>42522</v>
      </c>
      <c r="B19">
        <f t="shared" si="1"/>
        <v>2016</v>
      </c>
      <c r="C19">
        <f t="shared" si="2"/>
        <v>6</v>
      </c>
      <c r="D19" s="31">
        <f>'Monthly Data'!N19</f>
        <v>78871885.268903777</v>
      </c>
      <c r="E19" s="33">
        <f>'Monthly Data'!AZ19</f>
        <v>0</v>
      </c>
      <c r="F19" s="33">
        <f>'Monthly Data'!AW19</f>
        <v>163.6</v>
      </c>
      <c r="G19" s="33">
        <f>'Monthly Data'!BS19</f>
        <v>18</v>
      </c>
      <c r="H19" s="30">
        <f>'Monthly Data'!BO19</f>
        <v>0</v>
      </c>
      <c r="I19" s="33">
        <f>'Monthly Data'!BT19</f>
        <v>30</v>
      </c>
      <c r="J19" s="33">
        <f>'Monthly Data'!AK19</f>
        <v>57.700000000000273</v>
      </c>
      <c r="L19" s="18">
        <f>'GS&gt;50 Predicted Monthly'!$X$10</f>
        <v>12654537.4440873</v>
      </c>
      <c r="M19" s="18">
        <f>E19*'GS&gt;50 Predicted Monthly'!$X$11</f>
        <v>0</v>
      </c>
      <c r="N19" s="18">
        <f>F19*'GS&gt;50 Predicted Monthly'!$X$12</f>
        <v>7674776.853419858</v>
      </c>
      <c r="O19" s="18">
        <f>G19*'GS&gt;50 Predicted Monthly'!$X$13</f>
        <v>-1197408.942505179</v>
      </c>
      <c r="P19" s="18">
        <f>H19*'GS&gt;50 Predicted Monthly'!$X$14</f>
        <v>0</v>
      </c>
      <c r="Q19" s="18">
        <f>I19*'GS&gt;50 Predicted Monthly'!$X$15</f>
        <v>57165341.851978198</v>
      </c>
      <c r="R19" s="18">
        <f>J19*'GS&gt;50 Predicted Monthly'!$X$16</f>
        <v>404292.25905854523</v>
      </c>
      <c r="S19" s="18">
        <f t="shared" si="8"/>
        <v>76701539.466038719</v>
      </c>
      <c r="T19" s="18">
        <f t="shared" si="6"/>
        <v>-2170345.8028650582</v>
      </c>
      <c r="U19" s="35">
        <f t="shared" si="7"/>
        <v>2.751735672940411E-2</v>
      </c>
      <c r="W19" t="s">
        <v>75</v>
      </c>
      <c r="X19" s="467">
        <v>258627112781736</v>
      </c>
      <c r="Y19" t="s">
        <v>76</v>
      </c>
      <c r="Z19" s="464">
        <v>1512856.73853898</v>
      </c>
    </row>
    <row r="20" spans="1:26" x14ac:dyDescent="0.2">
      <c r="A20" s="9">
        <f>'Monthly Data'!A20</f>
        <v>42552</v>
      </c>
      <c r="B20">
        <f t="shared" si="1"/>
        <v>2016</v>
      </c>
      <c r="C20">
        <f t="shared" si="2"/>
        <v>7</v>
      </c>
      <c r="D20" s="31">
        <f>'Monthly Data'!N20</f>
        <v>85038422.444774166</v>
      </c>
      <c r="E20" s="33">
        <f>'Monthly Data'!AZ20</f>
        <v>0</v>
      </c>
      <c r="F20" s="33">
        <f>'Monthly Data'!AW20</f>
        <v>276.5</v>
      </c>
      <c r="G20" s="33">
        <f>'Monthly Data'!BS20</f>
        <v>19</v>
      </c>
      <c r="H20" s="30">
        <f>'Monthly Data'!BO20</f>
        <v>0</v>
      </c>
      <c r="I20" s="33">
        <f>'Monthly Data'!BT20</f>
        <v>31</v>
      </c>
      <c r="J20" s="33">
        <f>'Monthly Data'!AK20</f>
        <v>31.900000000000091</v>
      </c>
      <c r="L20" s="18">
        <f>'GS&gt;50 Predicted Monthly'!$X$10</f>
        <v>12654537.4440873</v>
      </c>
      <c r="M20" s="18">
        <f>E20*'GS&gt;50 Predicted Monthly'!$X$11</f>
        <v>0</v>
      </c>
      <c r="N20" s="18">
        <f>F20*'GS&gt;50 Predicted Monthly'!$X$12</f>
        <v>12971123.471702877</v>
      </c>
      <c r="O20" s="18">
        <f>G20*'GS&gt;50 Predicted Monthly'!$X$13</f>
        <v>-1263931.6615332447</v>
      </c>
      <c r="P20" s="18">
        <f>H20*'GS&gt;50 Predicted Monthly'!$X$14</f>
        <v>0</v>
      </c>
      <c r="Q20" s="18">
        <f>I20*'GS&gt;50 Predicted Monthly'!$X$15</f>
        <v>59070853.247044139</v>
      </c>
      <c r="R20" s="18">
        <f>J20*'GS&gt;50 Predicted Monthly'!$X$16</f>
        <v>223516.86419354536</v>
      </c>
      <c r="S20" s="18">
        <f t="shared" si="8"/>
        <v>83656099.365494624</v>
      </c>
      <c r="T20" s="18">
        <f t="shared" si="6"/>
        <v>-1382323.079279542</v>
      </c>
      <c r="U20" s="35">
        <f t="shared" si="7"/>
        <v>1.6255276609549681E-2</v>
      </c>
      <c r="W20" t="s">
        <v>77</v>
      </c>
      <c r="X20" s="465">
        <v>0.92131028196977305</v>
      </c>
      <c r="Y20" t="s">
        <v>78</v>
      </c>
      <c r="Z20" s="465">
        <v>0.91713206685312398</v>
      </c>
    </row>
    <row r="21" spans="1:26" x14ac:dyDescent="0.2">
      <c r="A21" s="9">
        <f>'Monthly Data'!A21</f>
        <v>42583</v>
      </c>
      <c r="B21">
        <f t="shared" si="1"/>
        <v>2016</v>
      </c>
      <c r="C21">
        <f t="shared" si="2"/>
        <v>8</v>
      </c>
      <c r="D21" s="31">
        <f>'Monthly Data'!N21</f>
        <v>88248238.620644569</v>
      </c>
      <c r="E21" s="33">
        <f>'Monthly Data'!AZ21</f>
        <v>0</v>
      </c>
      <c r="F21" s="33">
        <f>'Monthly Data'!AW21</f>
        <v>301.80000000000007</v>
      </c>
      <c r="G21" s="33">
        <f>'Monthly Data'!BS21</f>
        <v>20</v>
      </c>
      <c r="H21" s="30">
        <f>'Monthly Data'!BO21</f>
        <v>0</v>
      </c>
      <c r="I21" s="33">
        <f>'Monthly Data'!BT21</f>
        <v>31</v>
      </c>
      <c r="J21" s="33">
        <f>'Monthly Data'!AK21</f>
        <v>8.5</v>
      </c>
      <c r="L21" s="18">
        <f>'GS&gt;50 Predicted Monthly'!$X$10</f>
        <v>12654537.4440873</v>
      </c>
      <c r="M21" s="18">
        <f>E21*'GS&gt;50 Predicted Monthly'!$X$11</f>
        <v>0</v>
      </c>
      <c r="N21" s="18">
        <f>F21*'GS&gt;50 Predicted Monthly'!$X$12</f>
        <v>14157992.997323433</v>
      </c>
      <c r="O21" s="18">
        <f>G21*'GS&gt;50 Predicted Monthly'!$X$13</f>
        <v>-1330454.3805613101</v>
      </c>
      <c r="P21" s="18">
        <f>H21*'GS&gt;50 Predicted Monthly'!$X$14</f>
        <v>0</v>
      </c>
      <c r="Q21" s="18">
        <f>I21*'GS&gt;50 Predicted Monthly'!$X$15</f>
        <v>59070853.247044139</v>
      </c>
      <c r="R21" s="18">
        <f>J21*'GS&gt;50 Predicted Monthly'!$X$16</f>
        <v>59557.785129941389</v>
      </c>
      <c r="S21" s="18">
        <f t="shared" si="8"/>
        <v>84612487.093023494</v>
      </c>
      <c r="T21" s="18">
        <f t="shared" si="6"/>
        <v>-3635751.5276210755</v>
      </c>
      <c r="U21" s="35">
        <f t="shared" si="7"/>
        <v>4.1199139885955041E-2</v>
      </c>
      <c r="W21" t="s">
        <v>528</v>
      </c>
      <c r="X21" s="464">
        <v>227.71446709018699</v>
      </c>
      <c r="Y21" t="s">
        <v>79</v>
      </c>
      <c r="Z21" s="465">
        <v>1.11942356404881E-60</v>
      </c>
    </row>
    <row r="22" spans="1:26" x14ac:dyDescent="0.2">
      <c r="A22" s="9">
        <f>'Monthly Data'!A22</f>
        <v>42614</v>
      </c>
      <c r="B22">
        <f t="shared" si="1"/>
        <v>2016</v>
      </c>
      <c r="C22">
        <f t="shared" si="2"/>
        <v>9</v>
      </c>
      <c r="D22" s="31">
        <f>'Monthly Data'!N22</f>
        <v>78975239.796514973</v>
      </c>
      <c r="E22" s="33">
        <f>'Monthly Data'!AZ22</f>
        <v>0</v>
      </c>
      <c r="F22" s="33">
        <f>'Monthly Data'!AW22</f>
        <v>181</v>
      </c>
      <c r="G22" s="33">
        <f>'Monthly Data'!BS22</f>
        <v>21</v>
      </c>
      <c r="H22" s="30">
        <f>'Monthly Data'!BO22</f>
        <v>0</v>
      </c>
      <c r="I22" s="33">
        <f>'Monthly Data'!BT22</f>
        <v>30</v>
      </c>
      <c r="J22" s="33">
        <f>'Monthly Data'!AK22</f>
        <v>-12.099999999999909</v>
      </c>
      <c r="L22" s="18">
        <f>'GS&gt;50 Predicted Monthly'!$X$10</f>
        <v>12654537.4440873</v>
      </c>
      <c r="M22" s="18">
        <f>E22*'GS&gt;50 Predicted Monthly'!$X$11</f>
        <v>0</v>
      </c>
      <c r="N22" s="18">
        <f>F22*'GS&gt;50 Predicted Monthly'!$X$12</f>
        <v>8491042.8512774725</v>
      </c>
      <c r="O22" s="18">
        <f>G22*'GS&gt;50 Predicted Monthly'!$X$13</f>
        <v>-1396977.0995893755</v>
      </c>
      <c r="P22" s="18">
        <f>H22*'GS&gt;50 Predicted Monthly'!$X$14</f>
        <v>0</v>
      </c>
      <c r="Q22" s="18">
        <f>I22*'GS&gt;50 Predicted Monthly'!$X$15</f>
        <v>57165341.851978198</v>
      </c>
      <c r="R22" s="18">
        <f>J22*'GS&gt;50 Predicted Monthly'!$X$16</f>
        <v>-84782.258832033578</v>
      </c>
      <c r="S22" s="18">
        <f t="shared" si="8"/>
        <v>76829162.788921565</v>
      </c>
      <c r="T22" s="18">
        <f t="shared" si="6"/>
        <v>-2146077.0075934082</v>
      </c>
      <c r="U22" s="35">
        <f t="shared" si="7"/>
        <v>2.717404864009176E-2</v>
      </c>
      <c r="W22" t="s">
        <v>80</v>
      </c>
      <c r="X22" s="465">
        <v>-0.17287532222500401</v>
      </c>
      <c r="Y22" t="s">
        <v>81</v>
      </c>
      <c r="Z22" s="465">
        <v>2.3412150446670701</v>
      </c>
    </row>
    <row r="23" spans="1:26" x14ac:dyDescent="0.2">
      <c r="A23" s="9">
        <f>'Monthly Data'!A23</f>
        <v>42644</v>
      </c>
      <c r="B23">
        <f t="shared" si="1"/>
        <v>2016</v>
      </c>
      <c r="C23">
        <f t="shared" si="2"/>
        <v>10</v>
      </c>
      <c r="D23" s="31">
        <f>'Monthly Data'!N23</f>
        <v>74338761.972385362</v>
      </c>
      <c r="E23" s="33">
        <f>'Monthly Data'!AZ23</f>
        <v>26.6</v>
      </c>
      <c r="F23" s="33">
        <f>'Monthly Data'!AW23</f>
        <v>52.699999999999989</v>
      </c>
      <c r="G23" s="33">
        <f>'Monthly Data'!BS23</f>
        <v>22</v>
      </c>
      <c r="H23" s="30">
        <f>'Monthly Data'!BO23</f>
        <v>0</v>
      </c>
      <c r="I23" s="33">
        <f>'Monthly Data'!BT23</f>
        <v>31</v>
      </c>
      <c r="J23" s="33">
        <f>'Monthly Data'!AK23</f>
        <v>-16.199999999999818</v>
      </c>
      <c r="L23" s="18">
        <f>'GS&gt;50 Predicted Monthly'!$X$10</f>
        <v>12654537.4440873</v>
      </c>
      <c r="M23" s="18">
        <f>E23*'GS&gt;50 Predicted Monthly'!$X$11</f>
        <v>485070.66985118872</v>
      </c>
      <c r="N23" s="18">
        <f>F23*'GS&gt;50 Predicted Monthly'!$X$12</f>
        <v>2472253.9130515065</v>
      </c>
      <c r="O23" s="18">
        <f>G23*'GS&gt;50 Predicted Monthly'!$X$13</f>
        <v>-1463499.8186174412</v>
      </c>
      <c r="P23" s="18">
        <f>H23*'GS&gt;50 Predicted Monthly'!$X$14</f>
        <v>0</v>
      </c>
      <c r="Q23" s="18">
        <f>I23*'GS&gt;50 Predicted Monthly'!$X$15</f>
        <v>59070853.247044139</v>
      </c>
      <c r="R23" s="18">
        <f>J23*'GS&gt;50 Predicted Monthly'!$X$16</f>
        <v>-113510.13165941642</v>
      </c>
      <c r="S23" s="18">
        <f t="shared" si="8"/>
        <v>73105705.323757276</v>
      </c>
      <c r="T23" s="18">
        <f t="shared" si="6"/>
        <v>-1233056.6486280859</v>
      </c>
      <c r="U23" s="35">
        <f t="shared" si="7"/>
        <v>1.6586994670238518E-2</v>
      </c>
    </row>
    <row r="24" spans="1:26" x14ac:dyDescent="0.2">
      <c r="A24" s="9">
        <f>'Monthly Data'!A24</f>
        <v>42675</v>
      </c>
      <c r="B24">
        <f t="shared" si="1"/>
        <v>2016</v>
      </c>
      <c r="C24">
        <f t="shared" si="2"/>
        <v>11</v>
      </c>
      <c r="D24" s="31">
        <f>'Monthly Data'!N24</f>
        <v>72857624.148255765</v>
      </c>
      <c r="E24" s="33">
        <f>'Monthly Data'!AZ24</f>
        <v>76.000000000000014</v>
      </c>
      <c r="F24" s="33">
        <f>'Monthly Data'!AW24</f>
        <v>1.9000000000000004</v>
      </c>
      <c r="G24" s="33">
        <f>'Monthly Data'!BS24</f>
        <v>23</v>
      </c>
      <c r="H24" s="30">
        <f>'Monthly Data'!BO24</f>
        <v>0</v>
      </c>
      <c r="I24" s="33">
        <f>'Monthly Data'!BT24</f>
        <v>30</v>
      </c>
      <c r="J24" s="33">
        <f>'Monthly Data'!AK24</f>
        <v>-9</v>
      </c>
      <c r="L24" s="18">
        <f>'GS&gt;50 Predicted Monthly'!$X$10</f>
        <v>12654537.4440873</v>
      </c>
      <c r="M24" s="18">
        <f>E24*'GS&gt;50 Predicted Monthly'!$X$11</f>
        <v>1385916.1995748251</v>
      </c>
      <c r="N24" s="18">
        <f>F24*'GS&gt;50 Predicted Monthly'!$X$12</f>
        <v>89132.494018934798</v>
      </c>
      <c r="O24" s="18">
        <f>G24*'GS&gt;50 Predicted Monthly'!$X$13</f>
        <v>-1530022.5376455067</v>
      </c>
      <c r="P24" s="18">
        <f>H24*'GS&gt;50 Predicted Monthly'!$X$14</f>
        <v>0</v>
      </c>
      <c r="Q24" s="18">
        <f>I24*'GS&gt;50 Predicted Monthly'!$X$15</f>
        <v>57165341.851978198</v>
      </c>
      <c r="R24" s="18">
        <f>J24*'GS&gt;50 Predicted Monthly'!$X$16</f>
        <v>-63061.18425523206</v>
      </c>
      <c r="S24" s="18">
        <f t="shared" si="8"/>
        <v>69701844.267758518</v>
      </c>
      <c r="T24" s="18">
        <f t="shared" si="6"/>
        <v>-3155779.880497247</v>
      </c>
      <c r="U24" s="35">
        <f t="shared" si="7"/>
        <v>4.3314339678104878E-2</v>
      </c>
      <c r="W24" t="s">
        <v>462</v>
      </c>
    </row>
    <row r="25" spans="1:26" x14ac:dyDescent="0.2">
      <c r="A25" s="9">
        <f>'Monthly Data'!A25</f>
        <v>42705</v>
      </c>
      <c r="B25">
        <f t="shared" si="1"/>
        <v>2016</v>
      </c>
      <c r="C25">
        <f t="shared" si="2"/>
        <v>12</v>
      </c>
      <c r="D25" s="31">
        <f>'Monthly Data'!N25</f>
        <v>75276873.324126154</v>
      </c>
      <c r="E25" s="33">
        <f>'Monthly Data'!AZ25</f>
        <v>311</v>
      </c>
      <c r="F25" s="33">
        <f>'Monthly Data'!AW25</f>
        <v>0</v>
      </c>
      <c r="G25" s="33">
        <f>'Monthly Data'!BS25</f>
        <v>24</v>
      </c>
      <c r="H25" s="30">
        <f>'Monthly Data'!BO25</f>
        <v>1</v>
      </c>
      <c r="I25" s="33">
        <f>'Monthly Data'!BT25</f>
        <v>31</v>
      </c>
      <c r="J25" s="33">
        <f>'Monthly Data'!AK25</f>
        <v>-12.900000000000091</v>
      </c>
      <c r="L25" s="18">
        <f>'GS&gt;50 Predicted Monthly'!$X$10</f>
        <v>12654537.4440873</v>
      </c>
      <c r="M25" s="18">
        <f>E25*'GS&gt;50 Predicted Monthly'!$X$11</f>
        <v>5671314.9745759275</v>
      </c>
      <c r="N25" s="18">
        <f>F25*'GS&gt;50 Predicted Monthly'!$X$12</f>
        <v>0</v>
      </c>
      <c r="O25" s="18">
        <f>G25*'GS&gt;50 Predicted Monthly'!$X$13</f>
        <v>-1596545.2566735721</v>
      </c>
      <c r="P25" s="18">
        <f>H25*'GS&gt;50 Predicted Monthly'!$X$14</f>
        <v>-2455659.1490839599</v>
      </c>
      <c r="Q25" s="18">
        <f>I25*'GS&gt;50 Predicted Monthly'!$X$15</f>
        <v>59070853.247044139</v>
      </c>
      <c r="R25" s="18">
        <f>J25*'GS&gt;50 Predicted Monthly'!$X$16</f>
        <v>-90387.697432499917</v>
      </c>
      <c r="S25" s="18">
        <f t="shared" si="8"/>
        <v>73254113.56251733</v>
      </c>
      <c r="T25" s="18">
        <f t="shared" si="6"/>
        <v>-2022759.7616088241</v>
      </c>
      <c r="U25" s="35">
        <f t="shared" si="7"/>
        <v>2.687093223039767E-2</v>
      </c>
      <c r="W25" t="s">
        <v>73</v>
      </c>
      <c r="X25" s="18">
        <v>72738785.226792097</v>
      </c>
      <c r="Y25" t="s">
        <v>74</v>
      </c>
      <c r="Z25" s="18">
        <v>5253811.1036303798</v>
      </c>
    </row>
    <row r="26" spans="1:26" x14ac:dyDescent="0.2">
      <c r="A26" s="9">
        <f>'Monthly Data'!A26</f>
        <v>42736</v>
      </c>
      <c r="B26">
        <f t="shared" si="1"/>
        <v>2017</v>
      </c>
      <c r="C26">
        <f t="shared" si="2"/>
        <v>1</v>
      </c>
      <c r="D26" s="31">
        <f>'Monthly Data'!N26</f>
        <v>77812185.537604213</v>
      </c>
      <c r="E26" s="33">
        <f>'Monthly Data'!AZ26</f>
        <v>320.59999999999997</v>
      </c>
      <c r="F26" s="33">
        <f>'Monthly Data'!AW26</f>
        <v>0</v>
      </c>
      <c r="G26" s="33">
        <f>'Monthly Data'!BS26</f>
        <v>25</v>
      </c>
      <c r="H26" s="30">
        <f>'Monthly Data'!BO26</f>
        <v>0</v>
      </c>
      <c r="I26" s="33">
        <f>'Monthly Data'!BT26</f>
        <v>31</v>
      </c>
      <c r="J26" s="33">
        <f>'Monthly Data'!AK26</f>
        <v>-4.7000000000002728</v>
      </c>
      <c r="L26" s="18">
        <f>'GS&gt;50 Predicted Monthly'!$X$10</f>
        <v>12654537.4440873</v>
      </c>
      <c r="M26" s="18">
        <f>E26*'GS&gt;50 Predicted Monthly'!$X$11</f>
        <v>5846378.0734695895</v>
      </c>
      <c r="N26" s="18">
        <f>F26*'GS&gt;50 Predicted Monthly'!$X$12</f>
        <v>0</v>
      </c>
      <c r="O26" s="18">
        <f>G26*'GS&gt;50 Predicted Monthly'!$X$13</f>
        <v>-1663067.9757016376</v>
      </c>
      <c r="P26" s="18">
        <f>H26*'GS&gt;50 Predicted Monthly'!$X$14</f>
        <v>0</v>
      </c>
      <c r="Q26" s="18">
        <f>I26*'GS&gt;50 Predicted Monthly'!$X$15</f>
        <v>59070853.247044139</v>
      </c>
      <c r="R26" s="18">
        <f>J26*'GS&gt;50 Predicted Monthly'!$X$16</f>
        <v>-32931.951777734212</v>
      </c>
      <c r="S26" s="18">
        <f t="shared" si="8"/>
        <v>75875768.837121651</v>
      </c>
      <c r="T26" s="18">
        <f t="shared" si="6"/>
        <v>-1936416.7004825622</v>
      </c>
      <c r="U26" s="35">
        <f t="shared" si="7"/>
        <v>2.4885777042552702E-2</v>
      </c>
    </row>
    <row r="27" spans="1:26" x14ac:dyDescent="0.2">
      <c r="A27" s="9">
        <f>'Monthly Data'!A27</f>
        <v>42767</v>
      </c>
      <c r="B27">
        <f t="shared" si="1"/>
        <v>2017</v>
      </c>
      <c r="C27">
        <f t="shared" si="2"/>
        <v>2</v>
      </c>
      <c r="D27" s="31">
        <f>'Monthly Data'!N27</f>
        <v>69707884.42837292</v>
      </c>
      <c r="E27" s="33">
        <f>'Monthly Data'!AZ27</f>
        <v>247.7</v>
      </c>
      <c r="F27" s="33">
        <f>'Monthly Data'!AW27</f>
        <v>0</v>
      </c>
      <c r="G27" s="33">
        <f>'Monthly Data'!BS27</f>
        <v>26</v>
      </c>
      <c r="H27" s="30">
        <f>'Monthly Data'!BO27</f>
        <v>0</v>
      </c>
      <c r="I27" s="33">
        <f>'Monthly Data'!BT27</f>
        <v>28</v>
      </c>
      <c r="J27" s="33">
        <f>'Monthly Data'!AK27</f>
        <v>9.8000000000001819</v>
      </c>
      <c r="L27" s="18">
        <f>'GS&gt;50 Predicted Monthly'!$X$10</f>
        <v>12654537.4440873</v>
      </c>
      <c r="M27" s="18">
        <f>E27*'GS&gt;50 Predicted Monthly'!$X$11</f>
        <v>4516992.6662458433</v>
      </c>
      <c r="N27" s="18">
        <f>F27*'GS&gt;50 Predicted Monthly'!$X$12</f>
        <v>0</v>
      </c>
      <c r="O27" s="18">
        <f>G27*'GS&gt;50 Predicted Monthly'!$X$13</f>
        <v>-1729590.694729703</v>
      </c>
      <c r="P27" s="18">
        <f>H27*'GS&gt;50 Predicted Monthly'!$X$14</f>
        <v>0</v>
      </c>
      <c r="Q27" s="18">
        <f>I27*'GS&gt;50 Predicted Monthly'!$X$15</f>
        <v>53354319.061846316</v>
      </c>
      <c r="R27" s="18">
        <f>J27*'GS&gt;50 Predicted Monthly'!$X$16</f>
        <v>68666.622855698399</v>
      </c>
      <c r="S27" s="18">
        <f t="shared" si="8"/>
        <v>68864925.100305453</v>
      </c>
      <c r="T27" s="18">
        <f t="shared" si="6"/>
        <v>-842959.32806746662</v>
      </c>
      <c r="U27" s="35">
        <f t="shared" si="7"/>
        <v>1.2092740082129939E-2</v>
      </c>
    </row>
    <row r="28" spans="1:26" x14ac:dyDescent="0.2">
      <c r="A28" s="9">
        <f>'Monthly Data'!A28</f>
        <v>42795</v>
      </c>
      <c r="B28">
        <f t="shared" si="1"/>
        <v>2017</v>
      </c>
      <c r="C28">
        <f t="shared" si="2"/>
        <v>3</v>
      </c>
      <c r="D28" s="31">
        <f>'Monthly Data'!N28</f>
        <v>76997412.319141626</v>
      </c>
      <c r="E28" s="33">
        <f>'Monthly Data'!AZ28</f>
        <v>293.40000000000003</v>
      </c>
      <c r="F28" s="33">
        <f>'Monthly Data'!AW28</f>
        <v>0</v>
      </c>
      <c r="G28" s="33">
        <f>'Monthly Data'!BS28</f>
        <v>27</v>
      </c>
      <c r="H28" s="30">
        <f>'Monthly Data'!BO28</f>
        <v>0</v>
      </c>
      <c r="I28" s="33">
        <f>'Monthly Data'!BT28</f>
        <v>31</v>
      </c>
      <c r="J28" s="33">
        <f>'Monthly Data'!AK28</f>
        <v>37.099999999999909</v>
      </c>
      <c r="L28" s="18">
        <f>'GS&gt;50 Predicted Monthly'!$X$10</f>
        <v>12654537.4440873</v>
      </c>
      <c r="M28" s="18">
        <f>E28*'GS&gt;50 Predicted Monthly'!$X$11</f>
        <v>5350365.9599375483</v>
      </c>
      <c r="N28" s="18">
        <f>F28*'GS&gt;50 Predicted Monthly'!$X$12</f>
        <v>0</v>
      </c>
      <c r="O28" s="18">
        <f>G28*'GS&gt;50 Predicted Monthly'!$X$13</f>
        <v>-1796113.4137577687</v>
      </c>
      <c r="P28" s="18">
        <f>H28*'GS&gt;50 Predicted Monthly'!$X$14</f>
        <v>0</v>
      </c>
      <c r="Q28" s="18">
        <f>I28*'GS&gt;50 Predicted Monthly'!$X$15</f>
        <v>59070853.247044139</v>
      </c>
      <c r="R28" s="18">
        <f>J28*'GS&gt;50 Predicted Monthly'!$X$16</f>
        <v>259952.21509656706</v>
      </c>
      <c r="S28" s="18">
        <f t="shared" si="8"/>
        <v>75539595.452407777</v>
      </c>
      <c r="T28" s="18">
        <f t="shared" si="6"/>
        <v>-1457816.866733849</v>
      </c>
      <c r="U28" s="35">
        <f t="shared" si="7"/>
        <v>1.8933322858844106E-2</v>
      </c>
    </row>
    <row r="29" spans="1:26" x14ac:dyDescent="0.2">
      <c r="A29" s="9">
        <f>'Monthly Data'!A29</f>
        <v>42826</v>
      </c>
      <c r="B29">
        <f t="shared" si="1"/>
        <v>2017</v>
      </c>
      <c r="C29">
        <f t="shared" si="2"/>
        <v>4</v>
      </c>
      <c r="D29" s="31">
        <f>'Monthly Data'!N29</f>
        <v>69695820.209910318</v>
      </c>
      <c r="E29" s="33">
        <f>'Monthly Data'!AZ29</f>
        <v>65.800000000000011</v>
      </c>
      <c r="F29" s="33">
        <f>'Monthly Data'!AW29</f>
        <v>4.6999999999999993</v>
      </c>
      <c r="G29" s="33">
        <f>'Monthly Data'!BS29</f>
        <v>28</v>
      </c>
      <c r="H29" s="30">
        <f>'Monthly Data'!BO29</f>
        <v>0</v>
      </c>
      <c r="I29" s="33">
        <f>'Monthly Data'!BT29</f>
        <v>30</v>
      </c>
      <c r="J29" s="33">
        <f>'Monthly Data'!AK29</f>
        <v>52.800000000000182</v>
      </c>
      <c r="L29" s="18">
        <f>'GS&gt;50 Predicted Monthly'!$X$10</f>
        <v>12654537.4440873</v>
      </c>
      <c r="M29" s="18">
        <f>E29*'GS&gt;50 Predicted Monthly'!$X$11</f>
        <v>1199911.6570003091</v>
      </c>
      <c r="N29" s="18">
        <f>F29*'GS&gt;50 Predicted Monthly'!$X$12</f>
        <v>220485.64309947024</v>
      </c>
      <c r="O29" s="18">
        <f>G29*'GS&gt;50 Predicted Monthly'!$X$13</f>
        <v>-1862636.1327858341</v>
      </c>
      <c r="P29" s="18">
        <f>H29*'GS&gt;50 Predicted Monthly'!$X$14</f>
        <v>0</v>
      </c>
      <c r="Q29" s="18">
        <f>I29*'GS&gt;50 Predicted Monthly'!$X$15</f>
        <v>57165341.851978198</v>
      </c>
      <c r="R29" s="18">
        <f>J29*'GS&gt;50 Predicted Monthly'!$X$16</f>
        <v>369958.947630696</v>
      </c>
      <c r="S29" s="18">
        <f t="shared" si="8"/>
        <v>69747599.411010146</v>
      </c>
      <c r="T29" s="18">
        <f t="shared" si="6"/>
        <v>51779.201099827886</v>
      </c>
      <c r="U29" s="35">
        <f t="shared" si="7"/>
        <v>7.4293122519943024E-4</v>
      </c>
    </row>
    <row r="30" spans="1:26" x14ac:dyDescent="0.2">
      <c r="A30" s="9">
        <f>'Monthly Data'!A30</f>
        <v>42856</v>
      </c>
      <c r="B30">
        <f t="shared" si="1"/>
        <v>2017</v>
      </c>
      <c r="C30">
        <f t="shared" si="2"/>
        <v>5</v>
      </c>
      <c r="D30" s="31">
        <f>'Monthly Data'!N30</f>
        <v>73710670.100679025</v>
      </c>
      <c r="E30" s="33">
        <f>'Monthly Data'!AZ30</f>
        <v>25.700000000000003</v>
      </c>
      <c r="F30" s="33">
        <f>'Monthly Data'!AW30</f>
        <v>29.9</v>
      </c>
      <c r="G30" s="33">
        <f>'Monthly Data'!BS30</f>
        <v>29</v>
      </c>
      <c r="H30" s="30">
        <f>'Monthly Data'!BO30</f>
        <v>0</v>
      </c>
      <c r="I30" s="33">
        <f>'Monthly Data'!BT30</f>
        <v>31</v>
      </c>
      <c r="J30" s="33">
        <f>'Monthly Data'!AK30</f>
        <v>62.599999999999909</v>
      </c>
      <c r="L30" s="18">
        <f>'GS&gt;50 Predicted Monthly'!$X$10</f>
        <v>12654537.4440873</v>
      </c>
      <c r="M30" s="18">
        <f>E30*'GS&gt;50 Predicted Monthly'!$X$11</f>
        <v>468658.50432990788</v>
      </c>
      <c r="N30" s="18">
        <f>F30*'GS&gt;50 Predicted Monthly'!$X$12</f>
        <v>1402663.9848242893</v>
      </c>
      <c r="O30" s="18">
        <f>G30*'GS&gt;50 Predicted Monthly'!$X$13</f>
        <v>-1929158.8518138996</v>
      </c>
      <c r="P30" s="18">
        <f>H30*'GS&gt;50 Predicted Monthly'!$X$14</f>
        <v>0</v>
      </c>
      <c r="Q30" s="18">
        <f>I30*'GS&gt;50 Predicted Monthly'!$X$15</f>
        <v>59070853.247044139</v>
      </c>
      <c r="R30" s="18">
        <f>J30*'GS&gt;50 Predicted Monthly'!$X$16</f>
        <v>438625.57048639125</v>
      </c>
      <c r="S30" s="18">
        <f t="shared" si="8"/>
        <v>72106179.898958132</v>
      </c>
      <c r="T30" s="18">
        <f t="shared" si="6"/>
        <v>-1604490.2017208934</v>
      </c>
      <c r="U30" s="35">
        <f t="shared" si="7"/>
        <v>2.1767407615876672E-2</v>
      </c>
    </row>
    <row r="31" spans="1:26" x14ac:dyDescent="0.2">
      <c r="A31" s="9">
        <f>'Monthly Data'!A31</f>
        <v>42887</v>
      </c>
      <c r="B31">
        <f t="shared" si="1"/>
        <v>2017</v>
      </c>
      <c r="C31">
        <f t="shared" si="2"/>
        <v>6</v>
      </c>
      <c r="D31" s="31">
        <f>'Monthly Data'!N31</f>
        <v>76943218.991447717</v>
      </c>
      <c r="E31" s="33">
        <f>'Monthly Data'!AZ31</f>
        <v>0</v>
      </c>
      <c r="F31" s="33">
        <f>'Monthly Data'!AW31</f>
        <v>159.10000000000002</v>
      </c>
      <c r="G31" s="33">
        <f>'Monthly Data'!BS31</f>
        <v>30</v>
      </c>
      <c r="H31" s="30">
        <f>'Monthly Data'!BO31</f>
        <v>0</v>
      </c>
      <c r="I31" s="33">
        <f>'Monthly Data'!BT31</f>
        <v>30</v>
      </c>
      <c r="J31" s="33">
        <f>'Monthly Data'!AK31</f>
        <v>56.299999999999727</v>
      </c>
      <c r="L31" s="18">
        <f>'GS&gt;50 Predicted Monthly'!$X$10</f>
        <v>12654537.4440873</v>
      </c>
      <c r="M31" s="18">
        <f>E31*'GS&gt;50 Predicted Monthly'!$X$11</f>
        <v>0</v>
      </c>
      <c r="N31" s="18">
        <f>F31*'GS&gt;50 Predicted Monthly'!$X$12</f>
        <v>7463673.5781118562</v>
      </c>
      <c r="O31" s="18">
        <f>G31*'GS&gt;50 Predicted Monthly'!$X$13</f>
        <v>-1995681.5708419653</v>
      </c>
      <c r="P31" s="18">
        <f>H31*'GS&gt;50 Predicted Monthly'!$X$14</f>
        <v>0</v>
      </c>
      <c r="Q31" s="18">
        <f>I31*'GS&gt;50 Predicted Monthly'!$X$15</f>
        <v>57165341.851978198</v>
      </c>
      <c r="R31" s="18">
        <f>J31*'GS&gt;50 Predicted Monthly'!$X$16</f>
        <v>394482.74150772754</v>
      </c>
      <c r="S31" s="18">
        <f t="shared" si="8"/>
        <v>75682354.044843122</v>
      </c>
      <c r="T31" s="18">
        <f t="shared" si="6"/>
        <v>-1260864.9466045946</v>
      </c>
      <c r="U31" s="35">
        <f t="shared" si="7"/>
        <v>1.6386953433086032E-2</v>
      </c>
    </row>
    <row r="32" spans="1:26" x14ac:dyDescent="0.2">
      <c r="A32" s="9">
        <f>'Monthly Data'!A32</f>
        <v>42917</v>
      </c>
      <c r="B32">
        <f t="shared" si="1"/>
        <v>2017</v>
      </c>
      <c r="C32">
        <f t="shared" si="2"/>
        <v>7</v>
      </c>
      <c r="D32" s="31">
        <f>'Monthly Data'!N32</f>
        <v>80788009.882216424</v>
      </c>
      <c r="E32" s="33">
        <f>'Monthly Data'!AZ32</f>
        <v>0</v>
      </c>
      <c r="F32" s="33">
        <f>'Monthly Data'!AW32</f>
        <v>237.5</v>
      </c>
      <c r="G32" s="33">
        <f>'Monthly Data'!BS32</f>
        <v>31</v>
      </c>
      <c r="H32" s="30">
        <f>'Monthly Data'!BO32</f>
        <v>0</v>
      </c>
      <c r="I32" s="33">
        <f>'Monthly Data'!BT32</f>
        <v>31</v>
      </c>
      <c r="J32" s="33">
        <f>'Monthly Data'!AK32</f>
        <v>58.799999999999727</v>
      </c>
      <c r="L32" s="18">
        <f>'GS&gt;50 Predicted Monthly'!$X$10</f>
        <v>12654537.4440873</v>
      </c>
      <c r="M32" s="18">
        <f>E32*'GS&gt;50 Predicted Monthly'!$X$11</f>
        <v>0</v>
      </c>
      <c r="N32" s="18">
        <f>F32*'GS&gt;50 Predicted Monthly'!$X$12</f>
        <v>11141561.752366848</v>
      </c>
      <c r="O32" s="18">
        <f>G32*'GS&gt;50 Predicted Monthly'!$X$13</f>
        <v>-2062204.2898700307</v>
      </c>
      <c r="P32" s="18">
        <f>H32*'GS&gt;50 Predicted Monthly'!$X$14</f>
        <v>0</v>
      </c>
      <c r="Q32" s="18">
        <f>I32*'GS&gt;50 Predicted Monthly'!$X$15</f>
        <v>59070853.247044139</v>
      </c>
      <c r="R32" s="18">
        <f>J32*'GS&gt;50 Predicted Monthly'!$X$16</f>
        <v>411999.73713418085</v>
      </c>
      <c r="S32" s="18">
        <f t="shared" si="8"/>
        <v>81216747.890762433</v>
      </c>
      <c r="T32" s="18">
        <f t="shared" si="6"/>
        <v>428738.00854600966</v>
      </c>
      <c r="U32" s="35">
        <f t="shared" si="7"/>
        <v>5.3069509840764899E-3</v>
      </c>
    </row>
    <row r="33" spans="1:21" x14ac:dyDescent="0.2">
      <c r="A33" s="9">
        <f>'Monthly Data'!A33</f>
        <v>42948</v>
      </c>
      <c r="B33">
        <f t="shared" si="1"/>
        <v>2017</v>
      </c>
      <c r="C33">
        <f t="shared" si="2"/>
        <v>8</v>
      </c>
      <c r="D33" s="31">
        <f>'Monthly Data'!N33</f>
        <v>80742066.772985116</v>
      </c>
      <c r="E33" s="33">
        <f>'Monthly Data'!AZ33</f>
        <v>0</v>
      </c>
      <c r="F33" s="33">
        <f>'Monthly Data'!AW33</f>
        <v>202.19999999999996</v>
      </c>
      <c r="G33" s="33">
        <f>'Monthly Data'!BS33</f>
        <v>32</v>
      </c>
      <c r="H33" s="30">
        <f>'Monthly Data'!BO33</f>
        <v>0</v>
      </c>
      <c r="I33" s="33">
        <f>'Monthly Data'!BT33</f>
        <v>31</v>
      </c>
      <c r="J33" s="33">
        <f>'Monthly Data'!AK33</f>
        <v>61</v>
      </c>
      <c r="L33" s="18">
        <f>'GS&gt;50 Predicted Monthly'!$X$10</f>
        <v>12654537.4440873</v>
      </c>
      <c r="M33" s="18">
        <f>E33*'GS&gt;50 Predicted Monthly'!$X$11</f>
        <v>0</v>
      </c>
      <c r="N33" s="18">
        <f>F33*'GS&gt;50 Predicted Monthly'!$X$12</f>
        <v>9485573.8371729534</v>
      </c>
      <c r="O33" s="18">
        <f>G33*'GS&gt;50 Predicted Monthly'!$X$13</f>
        <v>-2128727.0088980962</v>
      </c>
      <c r="P33" s="18">
        <f>H33*'GS&gt;50 Predicted Monthly'!$X$14</f>
        <v>0</v>
      </c>
      <c r="Q33" s="18">
        <f>I33*'GS&gt;50 Predicted Monthly'!$X$15</f>
        <v>59070853.247044139</v>
      </c>
      <c r="R33" s="18">
        <f>J33*'GS&gt;50 Predicted Monthly'!$X$16</f>
        <v>427414.69328546175</v>
      </c>
      <c r="S33" s="18">
        <f t="shared" si="8"/>
        <v>79509652.212691754</v>
      </c>
      <c r="T33" s="18">
        <f t="shared" si="6"/>
        <v>-1232414.5602933615</v>
      </c>
      <c r="U33" s="35">
        <f t="shared" si="7"/>
        <v>1.5263599379471247E-2</v>
      </c>
    </row>
    <row r="34" spans="1:21" x14ac:dyDescent="0.2">
      <c r="A34" s="9">
        <f>'Monthly Data'!A34</f>
        <v>42979</v>
      </c>
      <c r="B34">
        <f t="shared" si="1"/>
        <v>2017</v>
      </c>
      <c r="C34">
        <f t="shared" si="2"/>
        <v>9</v>
      </c>
      <c r="D34" s="31">
        <f>'Monthly Data'!N34</f>
        <v>76743976.663753822</v>
      </c>
      <c r="E34" s="33">
        <f>'Monthly Data'!AZ34</f>
        <v>0</v>
      </c>
      <c r="F34" s="33">
        <f>'Monthly Data'!AW34</f>
        <v>142.4</v>
      </c>
      <c r="G34" s="33">
        <f>'Monthly Data'!BS34</f>
        <v>33</v>
      </c>
      <c r="H34" s="30">
        <f>'Monthly Data'!BO34</f>
        <v>0</v>
      </c>
      <c r="I34" s="33">
        <f>'Monthly Data'!BT34</f>
        <v>30</v>
      </c>
      <c r="J34" s="33">
        <f>'Monthly Data'!AK34</f>
        <v>83.900000000000091</v>
      </c>
      <c r="L34" s="18">
        <f>'GS&gt;50 Predicted Monthly'!$X$10</f>
        <v>12654537.4440873</v>
      </c>
      <c r="M34" s="18">
        <f>E34*'GS&gt;50 Predicted Monthly'!$X$11</f>
        <v>0</v>
      </c>
      <c r="N34" s="18">
        <f>F34*'GS&gt;50 Predicted Monthly'!$X$12</f>
        <v>6680245.8675243761</v>
      </c>
      <c r="O34" s="18">
        <f>G34*'GS&gt;50 Predicted Monthly'!$X$13</f>
        <v>-2195249.7279261616</v>
      </c>
      <c r="P34" s="18">
        <f>H34*'GS&gt;50 Predicted Monthly'!$X$14</f>
        <v>0</v>
      </c>
      <c r="Q34" s="18">
        <f>I34*'GS&gt;50 Predicted Monthly'!$X$15</f>
        <v>57165341.851978198</v>
      </c>
      <c r="R34" s="18">
        <f>J34*'GS&gt;50 Predicted Monthly'!$X$16</f>
        <v>587870.37322377507</v>
      </c>
      <c r="S34" s="18">
        <f t="shared" si="8"/>
        <v>74892745.808887497</v>
      </c>
      <c r="T34" s="18">
        <f t="shared" si="6"/>
        <v>-1851230.8548663259</v>
      </c>
      <c r="U34" s="35">
        <f t="shared" si="7"/>
        <v>2.4122164830958807E-2</v>
      </c>
    </row>
    <row r="35" spans="1:21" x14ac:dyDescent="0.2">
      <c r="A35" s="9">
        <f>'Monthly Data'!A35</f>
        <v>43009</v>
      </c>
      <c r="B35">
        <f t="shared" si="1"/>
        <v>2017</v>
      </c>
      <c r="C35">
        <f t="shared" si="2"/>
        <v>10</v>
      </c>
      <c r="D35" s="31">
        <f>'Monthly Data'!N35</f>
        <v>74943627.554522514</v>
      </c>
      <c r="E35" s="33">
        <f>'Monthly Data'!AZ35</f>
        <v>12.3</v>
      </c>
      <c r="F35" s="33">
        <f>'Monthly Data'!AW35</f>
        <v>67.900000000000006</v>
      </c>
      <c r="G35" s="33">
        <f>'Monthly Data'!BS35</f>
        <v>34</v>
      </c>
      <c r="H35" s="30">
        <f>'Monthly Data'!BO35</f>
        <v>0</v>
      </c>
      <c r="I35" s="33">
        <f>'Monthly Data'!BT35</f>
        <v>31</v>
      </c>
      <c r="J35" s="33">
        <f>'Monthly Data'!AK35</f>
        <v>108.69999999999982</v>
      </c>
      <c r="L35" s="18">
        <f>'GS&gt;50 Predicted Monthly'!$X$10</f>
        <v>12654537.4440873</v>
      </c>
      <c r="M35" s="18">
        <f>E35*'GS&gt;50 Predicted Monthly'!$X$11</f>
        <v>224299.59545750456</v>
      </c>
      <c r="N35" s="18">
        <f>F35*'GS&gt;50 Predicted Monthly'!$X$12</f>
        <v>3185313.8652029857</v>
      </c>
      <c r="O35" s="18">
        <f>G35*'GS&gt;50 Predicted Monthly'!$X$13</f>
        <v>-2261772.4469542271</v>
      </c>
      <c r="P35" s="18">
        <f>H35*'GS&gt;50 Predicted Monthly'!$X$14</f>
        <v>0</v>
      </c>
      <c r="Q35" s="18">
        <f>I35*'GS&gt;50 Predicted Monthly'!$X$15</f>
        <v>59070853.247044139</v>
      </c>
      <c r="R35" s="18">
        <f>J35*'GS&gt;50 Predicted Monthly'!$X$16</f>
        <v>761638.96983819036</v>
      </c>
      <c r="S35" s="18">
        <f t="shared" si="8"/>
        <v>73634870.674675897</v>
      </c>
      <c r="T35" s="18">
        <f t="shared" si="6"/>
        <v>-1308756.8798466176</v>
      </c>
      <c r="U35" s="35">
        <f t="shared" si="7"/>
        <v>1.7463217655089874E-2</v>
      </c>
    </row>
    <row r="36" spans="1:21" x14ac:dyDescent="0.2">
      <c r="A36" s="9">
        <f>'Monthly Data'!A36</f>
        <v>43040</v>
      </c>
      <c r="B36">
        <f t="shared" si="1"/>
        <v>2017</v>
      </c>
      <c r="C36">
        <f t="shared" si="2"/>
        <v>11</v>
      </c>
      <c r="D36" s="31">
        <f>'Monthly Data'!N36</f>
        <v>73430363.445291221</v>
      </c>
      <c r="E36" s="33">
        <f>'Monthly Data'!AZ36</f>
        <v>151.80000000000004</v>
      </c>
      <c r="F36" s="33">
        <f>'Monthly Data'!AW36</f>
        <v>0</v>
      </c>
      <c r="G36" s="33">
        <f>'Monthly Data'!BS36</f>
        <v>35</v>
      </c>
      <c r="H36" s="30">
        <f>'Monthly Data'!BO36</f>
        <v>0</v>
      </c>
      <c r="I36" s="33">
        <f>'Monthly Data'!BT36</f>
        <v>30</v>
      </c>
      <c r="J36" s="33">
        <f>'Monthly Data'!AK36</f>
        <v>125.5</v>
      </c>
      <c r="L36" s="18">
        <f>'GS&gt;50 Predicted Monthly'!$X$10</f>
        <v>12654537.4440873</v>
      </c>
      <c r="M36" s="18">
        <f>E36*'GS&gt;50 Predicted Monthly'!$X$11</f>
        <v>2768185.2512560324</v>
      </c>
      <c r="N36" s="18">
        <f>F36*'GS&gt;50 Predicted Monthly'!$X$12</f>
        <v>0</v>
      </c>
      <c r="O36" s="18">
        <f>G36*'GS&gt;50 Predicted Monthly'!$X$13</f>
        <v>-2328295.1659822925</v>
      </c>
      <c r="P36" s="18">
        <f>H36*'GS&gt;50 Predicted Monthly'!$X$14</f>
        <v>0</v>
      </c>
      <c r="Q36" s="18">
        <f>I36*'GS&gt;50 Predicted Monthly'!$X$15</f>
        <v>57165341.851978198</v>
      </c>
      <c r="R36" s="18">
        <f>J36*'GS&gt;50 Predicted Monthly'!$X$16</f>
        <v>879353.18044795818</v>
      </c>
      <c r="S36" s="18">
        <f t="shared" si="8"/>
        <v>71139122.561787188</v>
      </c>
      <c r="T36" s="18">
        <f t="shared" si="6"/>
        <v>-2291240.8835040331</v>
      </c>
      <c r="U36" s="35">
        <f t="shared" si="7"/>
        <v>3.1202908115947243E-2</v>
      </c>
    </row>
    <row r="37" spans="1:21" x14ac:dyDescent="0.2">
      <c r="A37" s="9">
        <f>'Monthly Data'!A37</f>
        <v>43070</v>
      </c>
      <c r="B37">
        <f t="shared" si="1"/>
        <v>2017</v>
      </c>
      <c r="C37">
        <f t="shared" si="2"/>
        <v>12</v>
      </c>
      <c r="D37" s="31">
        <f>'Monthly Data'!N37</f>
        <v>74717172.336059913</v>
      </c>
      <c r="E37" s="33">
        <f>'Monthly Data'!AZ37</f>
        <v>401.20000000000005</v>
      </c>
      <c r="F37" s="33">
        <f>'Monthly Data'!AW37</f>
        <v>0</v>
      </c>
      <c r="G37" s="33">
        <f>'Monthly Data'!BS37</f>
        <v>36</v>
      </c>
      <c r="H37" s="30">
        <f>'Monthly Data'!BO37</f>
        <v>1</v>
      </c>
      <c r="I37" s="33">
        <f>'Monthly Data'!BT37</f>
        <v>31</v>
      </c>
      <c r="J37" s="33">
        <f>'Monthly Data'!AK37</f>
        <v>143</v>
      </c>
      <c r="L37" s="18">
        <f>'GS&gt;50 Predicted Monthly'!$X$10</f>
        <v>12654537.4440873</v>
      </c>
      <c r="M37" s="18">
        <f>E37*'GS&gt;50 Predicted Monthly'!$X$11</f>
        <v>7316178.6745976284</v>
      </c>
      <c r="N37" s="18">
        <f>F37*'GS&gt;50 Predicted Monthly'!$X$12</f>
        <v>0</v>
      </c>
      <c r="O37" s="18">
        <f>G37*'GS&gt;50 Predicted Monthly'!$X$13</f>
        <v>-2394817.8850103579</v>
      </c>
      <c r="P37" s="18">
        <f>H37*'GS&gt;50 Predicted Monthly'!$X$14</f>
        <v>-2455659.1490839599</v>
      </c>
      <c r="Q37" s="18">
        <f>I37*'GS&gt;50 Predicted Monthly'!$X$15</f>
        <v>59070853.247044139</v>
      </c>
      <c r="R37" s="18">
        <f>J37*'GS&gt;50 Predicted Monthly'!$X$16</f>
        <v>1001972.1498331316</v>
      </c>
      <c r="S37" s="18">
        <f t="shared" si="8"/>
        <v>75193064.481467873</v>
      </c>
      <c r="T37" s="18">
        <f t="shared" si="6"/>
        <v>475892.14540795982</v>
      </c>
      <c r="U37" s="35">
        <f t="shared" si="7"/>
        <v>6.3692472630991863E-3</v>
      </c>
    </row>
    <row r="38" spans="1:21" x14ac:dyDescent="0.2">
      <c r="A38" s="9">
        <f>'Monthly Data'!A38</f>
        <v>43101</v>
      </c>
      <c r="B38">
        <f t="shared" si="1"/>
        <v>2018</v>
      </c>
      <c r="C38">
        <f t="shared" si="2"/>
        <v>1</v>
      </c>
      <c r="D38" s="31">
        <f>'Monthly Data'!N38</f>
        <v>79618055.13230744</v>
      </c>
      <c r="E38" s="33">
        <f>'Monthly Data'!AZ38</f>
        <v>432.5</v>
      </c>
      <c r="F38" s="33">
        <f>'Monthly Data'!AW38</f>
        <v>0</v>
      </c>
      <c r="G38" s="33">
        <f>'Monthly Data'!BS38</f>
        <v>37</v>
      </c>
      <c r="H38" s="30">
        <f>'Monthly Data'!BO38</f>
        <v>0</v>
      </c>
      <c r="I38" s="33">
        <f>'Monthly Data'!BT38</f>
        <v>31</v>
      </c>
      <c r="J38" s="33">
        <f>'Monthly Data'!AK38</f>
        <v>137.80000000000018</v>
      </c>
      <c r="L38" s="18">
        <f>'GS&gt;50 Predicted Monthly'!$X$10</f>
        <v>12654537.4440873</v>
      </c>
      <c r="M38" s="18">
        <f>E38*'GS&gt;50 Predicted Monthly'!$X$11</f>
        <v>7886957.3199488381</v>
      </c>
      <c r="N38" s="18">
        <f>F38*'GS&gt;50 Predicted Monthly'!$X$12</f>
        <v>0</v>
      </c>
      <c r="O38" s="18">
        <f>G38*'GS&gt;50 Predicted Monthly'!$X$13</f>
        <v>-2461340.6040384239</v>
      </c>
      <c r="P38" s="18">
        <f>H38*'GS&gt;50 Predicted Monthly'!$X$14</f>
        <v>0</v>
      </c>
      <c r="Q38" s="18">
        <f>I38*'GS&gt;50 Predicted Monthly'!$X$15</f>
        <v>59070853.247044139</v>
      </c>
      <c r="R38" s="18">
        <f>J38*'GS&gt;50 Predicted Monthly'!$X$16</f>
        <v>965536.79893010994</v>
      </c>
      <c r="S38" s="18">
        <f t="shared" si="8"/>
        <v>78116544.205971956</v>
      </c>
      <c r="T38" s="18">
        <f t="shared" ref="T38:T69" si="9">S38-D38</f>
        <v>-1501510.9263354838</v>
      </c>
      <c r="U38" s="35">
        <f t="shared" ref="U38:U69" si="10">ABS(T38/D38)</f>
        <v>1.8858924949125017E-2</v>
      </c>
    </row>
    <row r="39" spans="1:21" x14ac:dyDescent="0.2">
      <c r="A39" s="9">
        <f>'Monthly Data'!A39</f>
        <v>43132</v>
      </c>
      <c r="B39">
        <f t="shared" si="1"/>
        <v>2018</v>
      </c>
      <c r="C39">
        <f t="shared" si="2"/>
        <v>2</v>
      </c>
      <c r="D39" s="31">
        <f>'Monthly Data'!N39</f>
        <v>70553686.891704157</v>
      </c>
      <c r="E39" s="33">
        <f>'Monthly Data'!AZ39</f>
        <v>288.50000000000006</v>
      </c>
      <c r="F39" s="33">
        <f>'Monthly Data'!AW39</f>
        <v>0</v>
      </c>
      <c r="G39" s="33">
        <f>'Monthly Data'!BS39</f>
        <v>38</v>
      </c>
      <c r="H39" s="30">
        <f>'Monthly Data'!BO39</f>
        <v>0</v>
      </c>
      <c r="I39" s="33">
        <f>'Monthly Data'!BT39</f>
        <v>28</v>
      </c>
      <c r="J39" s="33">
        <f>'Monthly Data'!AK39</f>
        <v>127.29999999999973</v>
      </c>
      <c r="L39" s="18">
        <f>'GS&gt;50 Predicted Monthly'!$X$10</f>
        <v>12654537.4440873</v>
      </c>
      <c r="M39" s="18">
        <f>E39*'GS&gt;50 Predicted Monthly'!$X$11</f>
        <v>5261010.8365439083</v>
      </c>
      <c r="N39" s="18">
        <f>F39*'GS&gt;50 Predicted Monthly'!$X$12</f>
        <v>0</v>
      </c>
      <c r="O39" s="18">
        <f>G39*'GS&gt;50 Predicted Monthly'!$X$13</f>
        <v>-2527863.3230664893</v>
      </c>
      <c r="P39" s="18">
        <f>H39*'GS&gt;50 Predicted Monthly'!$X$14</f>
        <v>0</v>
      </c>
      <c r="Q39" s="18">
        <f>I39*'GS&gt;50 Predicted Monthly'!$X$15</f>
        <v>53354319.061846316</v>
      </c>
      <c r="R39" s="18">
        <f>J39*'GS&gt;50 Predicted Monthly'!$X$16</f>
        <v>891965.41729900264</v>
      </c>
      <c r="S39" s="18">
        <f t="shared" si="8"/>
        <v>69633969.43671003</v>
      </c>
      <c r="T39" s="18">
        <f t="shared" si="9"/>
        <v>-919717.45499412715</v>
      </c>
      <c r="U39" s="35">
        <f t="shared" si="10"/>
        <v>1.3035710754646181E-2</v>
      </c>
    </row>
    <row r="40" spans="1:21" x14ac:dyDescent="0.2">
      <c r="A40" s="9">
        <f>'Monthly Data'!A40</f>
        <v>43160</v>
      </c>
      <c r="B40">
        <f t="shared" si="1"/>
        <v>2018</v>
      </c>
      <c r="C40">
        <f t="shared" si="2"/>
        <v>3</v>
      </c>
      <c r="D40" s="31">
        <f>'Monthly Data'!N40</f>
        <v>76019363.651100874</v>
      </c>
      <c r="E40" s="33">
        <f>'Monthly Data'!AZ40</f>
        <v>285.89999999999992</v>
      </c>
      <c r="F40" s="33">
        <f>'Monthly Data'!AW40</f>
        <v>0</v>
      </c>
      <c r="G40" s="33">
        <f>'Monthly Data'!BS40</f>
        <v>39</v>
      </c>
      <c r="H40" s="30">
        <f>'Monthly Data'!BO40</f>
        <v>0</v>
      </c>
      <c r="I40" s="33">
        <f>'Monthly Data'!BT40</f>
        <v>31</v>
      </c>
      <c r="J40" s="33">
        <f>'Monthly Data'!AK40</f>
        <v>105.79999999999973</v>
      </c>
      <c r="L40" s="18">
        <f>'GS&gt;50 Predicted Monthly'!$X$10</f>
        <v>12654537.4440873</v>
      </c>
      <c r="M40" s="18">
        <f>E40*'GS&gt;50 Predicted Monthly'!$X$11</f>
        <v>5213597.9139268724</v>
      </c>
      <c r="N40" s="18">
        <f>F40*'GS&gt;50 Predicted Monthly'!$X$12</f>
        <v>0</v>
      </c>
      <c r="O40" s="18">
        <f>G40*'GS&gt;50 Predicted Monthly'!$X$13</f>
        <v>-2594386.0420945548</v>
      </c>
      <c r="P40" s="18">
        <f>H40*'GS&gt;50 Predicted Monthly'!$X$14</f>
        <v>0</v>
      </c>
      <c r="Q40" s="18">
        <f>I40*'GS&gt;50 Predicted Monthly'!$X$15</f>
        <v>59070853.247044139</v>
      </c>
      <c r="R40" s="18">
        <f>J40*'GS&gt;50 Predicted Monthly'!$X$16</f>
        <v>741319.25491150387</v>
      </c>
      <c r="S40" s="18">
        <f t="shared" si="8"/>
        <v>75085921.817875251</v>
      </c>
      <c r="T40" s="18">
        <f t="shared" si="9"/>
        <v>-933441.83322562277</v>
      </c>
      <c r="U40" s="35">
        <f t="shared" si="10"/>
        <v>1.2279000880746061E-2</v>
      </c>
    </row>
    <row r="41" spans="1:21" x14ac:dyDescent="0.2">
      <c r="A41" s="9">
        <f>'Monthly Data'!A41</f>
        <v>43191</v>
      </c>
      <c r="B41">
        <f t="shared" si="1"/>
        <v>2018</v>
      </c>
      <c r="C41">
        <f t="shared" si="2"/>
        <v>4</v>
      </c>
      <c r="D41" s="31">
        <f>'Monthly Data'!N41</f>
        <v>72504561.410497591</v>
      </c>
      <c r="E41" s="33">
        <f>'Monthly Data'!AZ41</f>
        <v>180.8</v>
      </c>
      <c r="F41" s="33">
        <f>'Monthly Data'!AW41</f>
        <v>0</v>
      </c>
      <c r="G41" s="33">
        <f>'Monthly Data'!BS41</f>
        <v>40</v>
      </c>
      <c r="H41" s="30">
        <f>'Monthly Data'!BO41</f>
        <v>0</v>
      </c>
      <c r="I41" s="33">
        <f>'Monthly Data'!BT41</f>
        <v>30</v>
      </c>
      <c r="J41" s="33">
        <f>'Monthly Data'!AK41</f>
        <v>87.599999999999909</v>
      </c>
      <c r="L41" s="18">
        <f>'GS&gt;50 Predicted Monthly'!$X$10</f>
        <v>12654537.4440873</v>
      </c>
      <c r="M41" s="18">
        <f>E41*'GS&gt;50 Predicted Monthly'!$X$11</f>
        <v>3297021.6958306362</v>
      </c>
      <c r="N41" s="18">
        <f>F41*'GS&gt;50 Predicted Monthly'!$X$12</f>
        <v>0</v>
      </c>
      <c r="O41" s="18">
        <f>G41*'GS&gt;50 Predicted Monthly'!$X$13</f>
        <v>-2660908.7611226202</v>
      </c>
      <c r="P41" s="18">
        <f>H41*'GS&gt;50 Predicted Monthly'!$X$14</f>
        <v>0</v>
      </c>
      <c r="Q41" s="18">
        <f>I41*'GS&gt;50 Predicted Monthly'!$X$15</f>
        <v>57165341.851978198</v>
      </c>
      <c r="R41" s="18">
        <f>J41*'GS&gt;50 Predicted Monthly'!$X$16</f>
        <v>613795.52675092476</v>
      </c>
      <c r="S41" s="18">
        <f t="shared" si="8"/>
        <v>71069787.757524431</v>
      </c>
      <c r="T41" s="18">
        <f t="shared" si="9"/>
        <v>-1434773.6529731601</v>
      </c>
      <c r="U41" s="35">
        <f t="shared" si="10"/>
        <v>1.978873639204479E-2</v>
      </c>
    </row>
    <row r="42" spans="1:21" x14ac:dyDescent="0.2">
      <c r="A42" s="9">
        <f>'Monthly Data'!A42</f>
        <v>43221</v>
      </c>
      <c r="B42">
        <f t="shared" si="1"/>
        <v>2018</v>
      </c>
      <c r="C42">
        <f t="shared" si="2"/>
        <v>5</v>
      </c>
      <c r="D42" s="31">
        <f>'Monthly Data'!N42</f>
        <v>75108611.169894308</v>
      </c>
      <c r="E42" s="33">
        <f>'Monthly Data'!AZ42</f>
        <v>6.8999999999999986</v>
      </c>
      <c r="F42" s="33">
        <f>'Monthly Data'!AW42</f>
        <v>74.999999999999986</v>
      </c>
      <c r="G42" s="33">
        <f>'Monthly Data'!BS42</f>
        <v>41</v>
      </c>
      <c r="H42" s="30">
        <f>'Monthly Data'!BO42</f>
        <v>0</v>
      </c>
      <c r="I42" s="33">
        <f>'Monthly Data'!BT42</f>
        <v>31</v>
      </c>
      <c r="J42" s="33">
        <f>'Monthly Data'!AK42</f>
        <v>69</v>
      </c>
      <c r="L42" s="18">
        <f>'GS&gt;50 Predicted Monthly'!$X$10</f>
        <v>12654537.4440873</v>
      </c>
      <c r="M42" s="18">
        <f>E42*'GS&gt;50 Predicted Monthly'!$X$11</f>
        <v>125826.60232981959</v>
      </c>
      <c r="N42" s="18">
        <f>F42*'GS&gt;50 Predicted Monthly'!$X$12</f>
        <v>3518387.9218000565</v>
      </c>
      <c r="O42" s="18">
        <f>G42*'GS&gt;50 Predicted Monthly'!$X$13</f>
        <v>-2727431.4801506856</v>
      </c>
      <c r="P42" s="18">
        <f>H42*'GS&gt;50 Predicted Monthly'!$X$14</f>
        <v>0</v>
      </c>
      <c r="Q42" s="18">
        <f>I42*'GS&gt;50 Predicted Monthly'!$X$15</f>
        <v>59070853.247044139</v>
      </c>
      <c r="R42" s="18">
        <f>J42*'GS&gt;50 Predicted Monthly'!$X$16</f>
        <v>483469.07929011242</v>
      </c>
      <c r="S42" s="18">
        <f t="shared" si="8"/>
        <v>73125642.814400733</v>
      </c>
      <c r="T42" s="18">
        <f t="shared" si="9"/>
        <v>-1982968.3554935753</v>
      </c>
      <c r="U42" s="35">
        <f t="shared" si="10"/>
        <v>2.6401344993693694E-2</v>
      </c>
    </row>
    <row r="43" spans="1:21" x14ac:dyDescent="0.2">
      <c r="A43" s="9">
        <f>'Monthly Data'!A43</f>
        <v>43252</v>
      </c>
      <c r="B43">
        <f t="shared" si="1"/>
        <v>2018</v>
      </c>
      <c r="C43">
        <f t="shared" si="2"/>
        <v>6</v>
      </c>
      <c r="D43" s="31">
        <f>'Monthly Data'!N43</f>
        <v>76769190.929291025</v>
      </c>
      <c r="E43" s="33">
        <f>'Monthly Data'!AZ43</f>
        <v>0</v>
      </c>
      <c r="F43" s="33">
        <f>'Monthly Data'!AW43</f>
        <v>151.49999999999997</v>
      </c>
      <c r="G43" s="33">
        <f>'Monthly Data'!BS43</f>
        <v>42</v>
      </c>
      <c r="H43" s="30">
        <f>'Monthly Data'!BO43</f>
        <v>0</v>
      </c>
      <c r="I43" s="33">
        <f>'Monthly Data'!BT43</f>
        <v>30</v>
      </c>
      <c r="J43" s="33">
        <f>'Monthly Data'!AK43</f>
        <v>66.5</v>
      </c>
      <c r="L43" s="18">
        <f>'GS&gt;50 Predicted Monthly'!$X$10</f>
        <v>12654537.4440873</v>
      </c>
      <c r="M43" s="18">
        <f>E43*'GS&gt;50 Predicted Monthly'!$X$11</f>
        <v>0</v>
      </c>
      <c r="N43" s="18">
        <f>F43*'GS&gt;50 Predicted Monthly'!$X$12</f>
        <v>7107143.6020361148</v>
      </c>
      <c r="O43" s="18">
        <f>G43*'GS&gt;50 Predicted Monthly'!$X$13</f>
        <v>-2793954.1991787511</v>
      </c>
      <c r="P43" s="18">
        <f>H43*'GS&gt;50 Predicted Monthly'!$X$14</f>
        <v>0</v>
      </c>
      <c r="Q43" s="18">
        <f>I43*'GS&gt;50 Predicted Monthly'!$X$15</f>
        <v>57165341.851978198</v>
      </c>
      <c r="R43" s="18">
        <f>J43*'GS&gt;50 Predicted Monthly'!$X$16</f>
        <v>465952.08366365911</v>
      </c>
      <c r="S43" s="18">
        <f t="shared" si="8"/>
        <v>74599020.782586515</v>
      </c>
      <c r="T43" s="18">
        <f t="shared" si="9"/>
        <v>-2170170.1467045099</v>
      </c>
      <c r="U43" s="35">
        <f t="shared" si="10"/>
        <v>2.8268764076247271E-2</v>
      </c>
    </row>
    <row r="44" spans="1:21" x14ac:dyDescent="0.2">
      <c r="A44" s="9">
        <f>'Monthly Data'!A44</f>
        <v>43282</v>
      </c>
      <c r="B44">
        <f t="shared" si="1"/>
        <v>2018</v>
      </c>
      <c r="C44">
        <f t="shared" si="2"/>
        <v>7</v>
      </c>
      <c r="D44" s="31">
        <f>'Monthly Data'!N44</f>
        <v>82170576.688687727</v>
      </c>
      <c r="E44" s="33">
        <f>'Monthly Data'!AZ44</f>
        <v>0</v>
      </c>
      <c r="F44" s="33">
        <f>'Monthly Data'!AW44</f>
        <v>288.2</v>
      </c>
      <c r="G44" s="33">
        <f>'Monthly Data'!BS44</f>
        <v>43</v>
      </c>
      <c r="H44" s="30">
        <f>'Monthly Data'!BO44</f>
        <v>0</v>
      </c>
      <c r="I44" s="33">
        <f>'Monthly Data'!BT44</f>
        <v>31</v>
      </c>
      <c r="J44" s="33">
        <f>'Monthly Data'!AK44</f>
        <v>78.800000000000182</v>
      </c>
      <c r="L44" s="18">
        <f>'GS&gt;50 Predicted Monthly'!$X$10</f>
        <v>12654537.4440873</v>
      </c>
      <c r="M44" s="18">
        <f>E44*'GS&gt;50 Predicted Monthly'!$X$11</f>
        <v>0</v>
      </c>
      <c r="N44" s="18">
        <f>F44*'GS&gt;50 Predicted Monthly'!$X$12</f>
        <v>13519991.987503687</v>
      </c>
      <c r="O44" s="18">
        <f>G44*'GS&gt;50 Predicted Monthly'!$X$13</f>
        <v>-2860476.9182068165</v>
      </c>
      <c r="P44" s="18">
        <f>H44*'GS&gt;50 Predicted Monthly'!$X$14</f>
        <v>0</v>
      </c>
      <c r="Q44" s="18">
        <f>I44*'GS&gt;50 Predicted Monthly'!$X$15</f>
        <v>59070853.247044139</v>
      </c>
      <c r="R44" s="18">
        <f>J44*'GS&gt;50 Predicted Monthly'!$X$16</f>
        <v>552135.70214581082</v>
      </c>
      <c r="S44" s="18">
        <f t="shared" si="8"/>
        <v>82937041.462574124</v>
      </c>
      <c r="T44" s="18">
        <f t="shared" si="9"/>
        <v>766464.77388639748</v>
      </c>
      <c r="U44" s="35">
        <f t="shared" si="10"/>
        <v>9.3277278166153509E-3</v>
      </c>
    </row>
    <row r="45" spans="1:21" x14ac:dyDescent="0.2">
      <c r="A45" s="9">
        <f>'Monthly Data'!A45</f>
        <v>43313</v>
      </c>
      <c r="B45">
        <f t="shared" si="1"/>
        <v>2018</v>
      </c>
      <c r="C45">
        <f t="shared" si="2"/>
        <v>8</v>
      </c>
      <c r="D45" s="31">
        <f>'Monthly Data'!N45</f>
        <v>82374458.448084444</v>
      </c>
      <c r="E45" s="33">
        <f>'Monthly Data'!AZ45</f>
        <v>0</v>
      </c>
      <c r="F45" s="33">
        <f>'Monthly Data'!AW45</f>
        <v>287.79999999999995</v>
      </c>
      <c r="G45" s="33">
        <f>'Monthly Data'!BS45</f>
        <v>44</v>
      </c>
      <c r="H45" s="30">
        <f>'Monthly Data'!BO45</f>
        <v>0</v>
      </c>
      <c r="I45" s="33">
        <f>'Monthly Data'!BT45</f>
        <v>31</v>
      </c>
      <c r="J45" s="33">
        <f>'Monthly Data'!AK45</f>
        <v>80.900000000000091</v>
      </c>
      <c r="L45" s="18">
        <f>'GS&gt;50 Predicted Monthly'!$X$10</f>
        <v>12654537.4440873</v>
      </c>
      <c r="M45" s="18">
        <f>E45*'GS&gt;50 Predicted Monthly'!$X$11</f>
        <v>0</v>
      </c>
      <c r="N45" s="18">
        <f>F45*'GS&gt;50 Predicted Monthly'!$X$12</f>
        <v>13501227.25192075</v>
      </c>
      <c r="O45" s="18">
        <f>G45*'GS&gt;50 Predicted Monthly'!$X$13</f>
        <v>-2926999.6372348825</v>
      </c>
      <c r="P45" s="18">
        <f>H45*'GS&gt;50 Predicted Monthly'!$X$14</f>
        <v>0</v>
      </c>
      <c r="Q45" s="18">
        <f>I45*'GS&gt;50 Predicted Monthly'!$X$15</f>
        <v>59070853.247044139</v>
      </c>
      <c r="R45" s="18">
        <f>J45*'GS&gt;50 Predicted Monthly'!$X$16</f>
        <v>566849.97847203107</v>
      </c>
      <c r="S45" s="18">
        <f t="shared" si="8"/>
        <v>82866468.28428933</v>
      </c>
      <c r="T45" s="18">
        <f t="shared" si="9"/>
        <v>492009.83620488644</v>
      </c>
      <c r="U45" s="35">
        <f t="shared" si="10"/>
        <v>5.9728445621887762E-3</v>
      </c>
    </row>
    <row r="46" spans="1:21" x14ac:dyDescent="0.2">
      <c r="A46" s="9">
        <f>'Monthly Data'!A46</f>
        <v>43344</v>
      </c>
      <c r="B46">
        <f t="shared" si="1"/>
        <v>2018</v>
      </c>
      <c r="C46">
        <f t="shared" si="2"/>
        <v>9</v>
      </c>
      <c r="D46" s="31">
        <f>'Monthly Data'!N46</f>
        <v>74890624.207481161</v>
      </c>
      <c r="E46" s="33">
        <f>'Monthly Data'!AZ46</f>
        <v>0</v>
      </c>
      <c r="F46" s="33">
        <f>'Monthly Data'!AW46</f>
        <v>165.40000000000003</v>
      </c>
      <c r="G46" s="33">
        <f>'Monthly Data'!BS46</f>
        <v>45</v>
      </c>
      <c r="H46" s="30">
        <f>'Monthly Data'!BO46</f>
        <v>0</v>
      </c>
      <c r="I46" s="33">
        <f>'Monthly Data'!BT46</f>
        <v>30</v>
      </c>
      <c r="J46" s="33">
        <f>'Monthly Data'!AK46</f>
        <v>60.299999999999727</v>
      </c>
      <c r="L46" s="18">
        <f>'GS&gt;50 Predicted Monthly'!$X$10</f>
        <v>12654537.4440873</v>
      </c>
      <c r="M46" s="18">
        <f>E46*'GS&gt;50 Predicted Monthly'!$X$11</f>
        <v>0</v>
      </c>
      <c r="N46" s="18">
        <f>F46*'GS&gt;50 Predicted Monthly'!$X$12</f>
        <v>7759218.1635430614</v>
      </c>
      <c r="O46" s="18">
        <f>G46*'GS&gt;50 Predicted Monthly'!$X$13</f>
        <v>-2993522.3562629479</v>
      </c>
      <c r="P46" s="18">
        <f>H46*'GS&gt;50 Predicted Monthly'!$X$14</f>
        <v>0</v>
      </c>
      <c r="Q46" s="18">
        <f>I46*'GS&gt;50 Predicted Monthly'!$X$15</f>
        <v>57165341.851978198</v>
      </c>
      <c r="R46" s="18">
        <f>J46*'GS&gt;50 Predicted Monthly'!$X$16</f>
        <v>422509.9345100529</v>
      </c>
      <c r="S46" s="18">
        <f t="shared" si="8"/>
        <v>75008085.037855655</v>
      </c>
      <c r="T46" s="18">
        <f t="shared" si="9"/>
        <v>117460.83037449419</v>
      </c>
      <c r="U46" s="35">
        <f t="shared" si="10"/>
        <v>1.5684317178219021E-3</v>
      </c>
    </row>
    <row r="47" spans="1:21" x14ac:dyDescent="0.2">
      <c r="A47" s="9">
        <f>'Monthly Data'!A47</f>
        <v>43374</v>
      </c>
      <c r="B47">
        <f t="shared" si="1"/>
        <v>2018</v>
      </c>
      <c r="C47">
        <f t="shared" si="2"/>
        <v>10</v>
      </c>
      <c r="D47" s="31">
        <f>'Monthly Data'!N47</f>
        <v>71126370.966877878</v>
      </c>
      <c r="E47" s="33">
        <f>'Monthly Data'!AZ47</f>
        <v>50.199999999999996</v>
      </c>
      <c r="F47" s="33">
        <f>'Monthly Data'!AW47</f>
        <v>28.7</v>
      </c>
      <c r="G47" s="33">
        <f>'Monthly Data'!BS47</f>
        <v>46</v>
      </c>
      <c r="H47" s="30">
        <f>'Monthly Data'!BO47</f>
        <v>0</v>
      </c>
      <c r="I47" s="33">
        <f>'Monthly Data'!BT47</f>
        <v>31</v>
      </c>
      <c r="J47" s="33">
        <f>'Monthly Data'!AK47</f>
        <v>40</v>
      </c>
      <c r="L47" s="18">
        <f>'GS&gt;50 Predicted Monthly'!$X$10</f>
        <v>12654537.4440873</v>
      </c>
      <c r="M47" s="18">
        <f>E47*'GS&gt;50 Predicted Monthly'!$X$11</f>
        <v>915434.1212981079</v>
      </c>
      <c r="N47" s="18">
        <f>F47*'GS&gt;50 Predicted Monthly'!$X$12</f>
        <v>1346369.7780754885</v>
      </c>
      <c r="O47" s="18">
        <f>G47*'GS&gt;50 Predicted Monthly'!$X$13</f>
        <v>-3060045.0752910133</v>
      </c>
      <c r="P47" s="18">
        <f>H47*'GS&gt;50 Predicted Monthly'!$X$14</f>
        <v>0</v>
      </c>
      <c r="Q47" s="18">
        <f>I47*'GS&gt;50 Predicted Monthly'!$X$15</f>
        <v>59070853.247044139</v>
      </c>
      <c r="R47" s="18">
        <f>J47*'GS&gt;50 Predicted Monthly'!$X$16</f>
        <v>280271.9300232536</v>
      </c>
      <c r="S47" s="18">
        <f t="shared" si="8"/>
        <v>71207421.445237279</v>
      </c>
      <c r="T47" s="18">
        <f t="shared" si="9"/>
        <v>81050.478359401226</v>
      </c>
      <c r="U47" s="35">
        <f t="shared" si="10"/>
        <v>1.1395278186925185E-3</v>
      </c>
    </row>
    <row r="48" spans="1:21" x14ac:dyDescent="0.2">
      <c r="A48" s="9">
        <f>'Monthly Data'!A48</f>
        <v>43405</v>
      </c>
      <c r="B48">
        <f t="shared" si="1"/>
        <v>2018</v>
      </c>
      <c r="C48">
        <f t="shared" si="2"/>
        <v>11</v>
      </c>
      <c r="D48" s="31">
        <f>'Monthly Data'!N48</f>
        <v>70890027.726274595</v>
      </c>
      <c r="E48" s="33">
        <f>'Monthly Data'!AZ48</f>
        <v>214.10000000000002</v>
      </c>
      <c r="F48" s="33">
        <f>'Monthly Data'!AW48</f>
        <v>0</v>
      </c>
      <c r="G48" s="33">
        <f>'Monthly Data'!BS48</f>
        <v>47</v>
      </c>
      <c r="H48" s="30">
        <f>'Monthly Data'!BO48</f>
        <v>0</v>
      </c>
      <c r="I48" s="33">
        <f>'Monthly Data'!BT48</f>
        <v>30</v>
      </c>
      <c r="J48" s="33">
        <f>'Monthly Data'!AK48</f>
        <v>36.099999999999909</v>
      </c>
      <c r="L48" s="18">
        <f>'GS&gt;50 Predicted Monthly'!$X$10</f>
        <v>12654537.4440873</v>
      </c>
      <c r="M48" s="18">
        <f>E48*'GS&gt;50 Predicted Monthly'!$X$11</f>
        <v>3904271.8201180263</v>
      </c>
      <c r="N48" s="18">
        <f>F48*'GS&gt;50 Predicted Monthly'!$X$12</f>
        <v>0</v>
      </c>
      <c r="O48" s="18">
        <f>G48*'GS&gt;50 Predicted Monthly'!$X$13</f>
        <v>-3126567.7943190788</v>
      </c>
      <c r="P48" s="18">
        <f>H48*'GS&gt;50 Predicted Monthly'!$X$14</f>
        <v>0</v>
      </c>
      <c r="Q48" s="18">
        <f>I48*'GS&gt;50 Predicted Monthly'!$X$15</f>
        <v>57165341.851978198</v>
      </c>
      <c r="R48" s="18">
        <f>J48*'GS&gt;50 Predicted Monthly'!$X$16</f>
        <v>252945.41684598572</v>
      </c>
      <c r="S48" s="18">
        <f t="shared" si="8"/>
        <v>70850528.738710433</v>
      </c>
      <c r="T48" s="18">
        <f t="shared" si="9"/>
        <v>-39498.98756416142</v>
      </c>
      <c r="U48" s="35">
        <f t="shared" si="10"/>
        <v>5.5718679807373762E-4</v>
      </c>
    </row>
    <row r="49" spans="1:23" x14ac:dyDescent="0.2">
      <c r="A49" s="9">
        <f>'Monthly Data'!A49</f>
        <v>43435</v>
      </c>
      <c r="B49">
        <f t="shared" si="1"/>
        <v>2018</v>
      </c>
      <c r="C49">
        <f t="shared" si="2"/>
        <v>12</v>
      </c>
      <c r="D49" s="31">
        <f>'Monthly Data'!N49</f>
        <v>70258464.485671312</v>
      </c>
      <c r="E49" s="33">
        <f>'Monthly Data'!AZ49</f>
        <v>267.99999999999994</v>
      </c>
      <c r="F49" s="33">
        <f>'Monthly Data'!AW49</f>
        <v>0</v>
      </c>
      <c r="G49" s="33">
        <f>'Monthly Data'!BS49</f>
        <v>48</v>
      </c>
      <c r="H49" s="30">
        <f>'Monthly Data'!BO49</f>
        <v>1</v>
      </c>
      <c r="I49" s="33">
        <f>'Monthly Data'!BT49</f>
        <v>31</v>
      </c>
      <c r="J49" s="33">
        <f>'Monthly Data'!AK49</f>
        <v>31.800000000000182</v>
      </c>
      <c r="L49" s="18">
        <f>'GS&gt;50 Predicted Monthly'!$X$10</f>
        <v>12654537.4440873</v>
      </c>
      <c r="M49" s="18">
        <f>E49*'GS&gt;50 Predicted Monthly'!$X$11</f>
        <v>4887178.177448065</v>
      </c>
      <c r="N49" s="18">
        <f>F49*'GS&gt;50 Predicted Monthly'!$X$12</f>
        <v>0</v>
      </c>
      <c r="O49" s="18">
        <f>G49*'GS&gt;50 Predicted Monthly'!$X$13</f>
        <v>-3193090.5133471442</v>
      </c>
      <c r="P49" s="18">
        <f>H49*'GS&gt;50 Predicted Monthly'!$X$14</f>
        <v>-2455659.1490839599</v>
      </c>
      <c r="Q49" s="18">
        <f>I49*'GS&gt;50 Predicted Monthly'!$X$15</f>
        <v>59070853.247044139</v>
      </c>
      <c r="R49" s="18">
        <f>J49*'GS&gt;50 Predicted Monthly'!$X$16</f>
        <v>222816.18436848788</v>
      </c>
      <c r="S49" s="18">
        <f t="shared" si="8"/>
        <v>71186635.390516892</v>
      </c>
      <c r="T49" s="18">
        <f t="shared" si="9"/>
        <v>928170.90484558046</v>
      </c>
      <c r="U49" s="35">
        <f t="shared" si="10"/>
        <v>1.321080544017403E-2</v>
      </c>
    </row>
    <row r="50" spans="1:23" x14ac:dyDescent="0.2">
      <c r="A50" s="9">
        <f>'Monthly Data'!A50</f>
        <v>43466</v>
      </c>
      <c r="B50">
        <f t="shared" si="1"/>
        <v>2019</v>
      </c>
      <c r="C50">
        <f t="shared" si="2"/>
        <v>1</v>
      </c>
      <c r="D50" s="31">
        <f>'Monthly Data'!N50</f>
        <v>77017720.98365432</v>
      </c>
      <c r="E50" s="33">
        <f>'Monthly Data'!AZ50</f>
        <v>452.00000000000006</v>
      </c>
      <c r="F50" s="33">
        <f>'Monthly Data'!AW50</f>
        <v>0</v>
      </c>
      <c r="G50" s="33">
        <f>'Monthly Data'!BS50</f>
        <v>49</v>
      </c>
      <c r="H50" s="30">
        <f>'Monthly Data'!BO50</f>
        <v>0</v>
      </c>
      <c r="I50" s="33">
        <f>'Monthly Data'!BT50</f>
        <v>31</v>
      </c>
      <c r="J50" s="33">
        <f>'Monthly Data'!AK50</f>
        <v>27.099999999999909</v>
      </c>
      <c r="L50" s="18">
        <f>'GS&gt;50 Predicted Monthly'!$X$10</f>
        <v>12654537.4440873</v>
      </c>
      <c r="M50" s="18">
        <f>E50*'GS&gt;50 Predicted Monthly'!$X$11</f>
        <v>8242554.2395765902</v>
      </c>
      <c r="N50" s="18">
        <f>F50*'GS&gt;50 Predicted Monthly'!$X$12</f>
        <v>0</v>
      </c>
      <c r="O50" s="18">
        <f>G50*'GS&gt;50 Predicted Monthly'!$X$13</f>
        <v>-3259613.2323752097</v>
      </c>
      <c r="P50" s="18">
        <f>H50*'GS&gt;50 Predicted Monthly'!$X$14</f>
        <v>0</v>
      </c>
      <c r="Q50" s="18">
        <f>I50*'GS&gt;50 Predicted Monthly'!$X$15</f>
        <v>59070853.247044139</v>
      </c>
      <c r="R50" s="18">
        <f>J50*'GS&gt;50 Predicted Monthly'!$X$16</f>
        <v>189884.23259075367</v>
      </c>
      <c r="S50" s="18">
        <f t="shared" si="8"/>
        <v>76898215.930923566</v>
      </c>
      <c r="T50" s="18">
        <f t="shared" si="9"/>
        <v>-119505.05273075402</v>
      </c>
      <c r="U50" s="35">
        <f t="shared" si="10"/>
        <v>1.5516565694811575E-3</v>
      </c>
    </row>
    <row r="51" spans="1:23" x14ac:dyDescent="0.2">
      <c r="A51" s="9">
        <f>'Monthly Data'!A51</f>
        <v>43497</v>
      </c>
      <c r="B51">
        <f t="shared" si="1"/>
        <v>2019</v>
      </c>
      <c r="C51">
        <f t="shared" si="2"/>
        <v>2</v>
      </c>
      <c r="D51" s="31">
        <f>'Monthly Data'!N51</f>
        <v>69584021.673609644</v>
      </c>
      <c r="E51" s="33">
        <f>'Monthly Data'!AZ51</f>
        <v>347.70000000000005</v>
      </c>
      <c r="F51" s="33">
        <f>'Monthly Data'!AW51</f>
        <v>0</v>
      </c>
      <c r="G51" s="33">
        <f>'Monthly Data'!BS51</f>
        <v>50</v>
      </c>
      <c r="H51" s="30">
        <f>'Monthly Data'!BO51</f>
        <v>0</v>
      </c>
      <c r="I51" s="33">
        <f>'Monthly Data'!BT51</f>
        <v>28</v>
      </c>
      <c r="J51" s="33">
        <f>'Monthly Data'!AK51</f>
        <v>40.700000000000273</v>
      </c>
      <c r="L51" s="18">
        <f>'GS&gt;50 Predicted Monthly'!$X$10</f>
        <v>12654537.4440873</v>
      </c>
      <c r="M51" s="18">
        <f>E51*'GS&gt;50 Predicted Monthly'!$X$11</f>
        <v>6340566.6130548241</v>
      </c>
      <c r="N51" s="18">
        <f>F51*'GS&gt;50 Predicted Monthly'!$X$12</f>
        <v>0</v>
      </c>
      <c r="O51" s="18">
        <f>G51*'GS&gt;50 Predicted Monthly'!$X$13</f>
        <v>-3326135.9514032751</v>
      </c>
      <c r="P51" s="18">
        <f>H51*'GS&gt;50 Predicted Monthly'!$X$14</f>
        <v>0</v>
      </c>
      <c r="Q51" s="18">
        <f>I51*'GS&gt;50 Predicted Monthly'!$X$15</f>
        <v>53354319.061846316</v>
      </c>
      <c r="R51" s="18">
        <f>J51*'GS&gt;50 Predicted Monthly'!$X$16</f>
        <v>285176.68879866245</v>
      </c>
      <c r="S51" s="18">
        <f t="shared" si="8"/>
        <v>69308463.85638383</v>
      </c>
      <c r="T51" s="18">
        <f t="shared" si="9"/>
        <v>-275557.81722581387</v>
      </c>
      <c r="U51" s="35">
        <f t="shared" si="10"/>
        <v>3.960073169072399E-3</v>
      </c>
    </row>
    <row r="52" spans="1:23" x14ac:dyDescent="0.2">
      <c r="A52" s="9">
        <f>'Monthly Data'!A52</f>
        <v>43525</v>
      </c>
      <c r="B52">
        <f t="shared" si="1"/>
        <v>2019</v>
      </c>
      <c r="C52">
        <f t="shared" si="2"/>
        <v>3</v>
      </c>
      <c r="D52" s="31">
        <f>'Monthly Data'!N52</f>
        <v>74426627.363564968</v>
      </c>
      <c r="E52" s="33">
        <f>'Monthly Data'!AZ52</f>
        <v>308.49999999999994</v>
      </c>
      <c r="F52" s="33">
        <f>'Monthly Data'!AW52</f>
        <v>0</v>
      </c>
      <c r="G52" s="33">
        <f>'Monthly Data'!BS52</f>
        <v>51</v>
      </c>
      <c r="H52" s="30">
        <f>'Monthly Data'!BO52</f>
        <v>0</v>
      </c>
      <c r="I52" s="33">
        <f>'Monthly Data'!BT52</f>
        <v>31</v>
      </c>
      <c r="J52" s="33">
        <f>'Monthly Data'!AK52</f>
        <v>62.700000000000273</v>
      </c>
      <c r="L52" s="18">
        <f>'GS&gt;50 Predicted Monthly'!$X$10</f>
        <v>12654537.4440873</v>
      </c>
      <c r="M52" s="18">
        <f>E52*'GS&gt;50 Predicted Monthly'!$X$11</f>
        <v>5625725.6259057019</v>
      </c>
      <c r="N52" s="18">
        <f>F52*'GS&gt;50 Predicted Monthly'!$X$12</f>
        <v>0</v>
      </c>
      <c r="O52" s="18">
        <f>G52*'GS&gt;50 Predicted Monthly'!$X$13</f>
        <v>-3392658.6704313406</v>
      </c>
      <c r="P52" s="18">
        <f>H52*'GS&gt;50 Predicted Monthly'!$X$14</f>
        <v>0</v>
      </c>
      <c r="Q52" s="18">
        <f>I52*'GS&gt;50 Predicted Monthly'!$X$15</f>
        <v>59070853.247044139</v>
      </c>
      <c r="R52" s="18">
        <f>J52*'GS&gt;50 Predicted Monthly'!$X$16</f>
        <v>439326.25031145191</v>
      </c>
      <c r="S52" s="18">
        <f t="shared" si="8"/>
        <v>74397783.896917254</v>
      </c>
      <c r="T52" s="18">
        <f t="shared" si="9"/>
        <v>-28843.466647714376</v>
      </c>
      <c r="U52" s="35">
        <f t="shared" si="10"/>
        <v>3.875423040038825E-4</v>
      </c>
    </row>
    <row r="53" spans="1:23" x14ac:dyDescent="0.2">
      <c r="A53" s="9">
        <f>'Monthly Data'!A53</f>
        <v>43556</v>
      </c>
      <c r="B53">
        <f t="shared" si="1"/>
        <v>2019</v>
      </c>
      <c r="C53">
        <f t="shared" si="2"/>
        <v>4</v>
      </c>
      <c r="D53" s="31">
        <f>'Monthly Data'!N53</f>
        <v>68208973.053520292</v>
      </c>
      <c r="E53" s="33">
        <f>'Monthly Data'!AZ53</f>
        <v>116.70000000000002</v>
      </c>
      <c r="F53" s="33">
        <f>'Monthly Data'!AW53</f>
        <v>0</v>
      </c>
      <c r="G53" s="33">
        <f>'Monthly Data'!BS53</f>
        <v>52</v>
      </c>
      <c r="H53" s="30">
        <f>'Monthly Data'!BO53</f>
        <v>0</v>
      </c>
      <c r="I53" s="33">
        <f>'Monthly Data'!BT53</f>
        <v>30</v>
      </c>
      <c r="J53" s="33">
        <f>'Monthly Data'!AK53</f>
        <v>89.200000000000273</v>
      </c>
      <c r="L53" s="18">
        <f>'GS&gt;50 Predicted Monthly'!$X$10</f>
        <v>12654537.4440873</v>
      </c>
      <c r="M53" s="18">
        <f>E53*'GS&gt;50 Predicted Monthly'!$X$11</f>
        <v>2128110.7959260801</v>
      </c>
      <c r="N53" s="18">
        <f>F53*'GS&gt;50 Predicted Monthly'!$X$12</f>
        <v>0</v>
      </c>
      <c r="O53" s="18">
        <f>G53*'GS&gt;50 Predicted Monthly'!$X$13</f>
        <v>-3459181.389459406</v>
      </c>
      <c r="P53" s="18">
        <f>H53*'GS&gt;50 Predicted Monthly'!$X$14</f>
        <v>0</v>
      </c>
      <c r="Q53" s="18">
        <f>I53*'GS&gt;50 Predicted Monthly'!$X$15</f>
        <v>57165341.851978198</v>
      </c>
      <c r="R53" s="18">
        <f>J53*'GS&gt;50 Predicted Monthly'!$X$16</f>
        <v>625006.40395185747</v>
      </c>
      <c r="S53" s="18">
        <f t="shared" si="8"/>
        <v>69113815.106484026</v>
      </c>
      <c r="T53" s="18">
        <f t="shared" si="9"/>
        <v>904842.05296373367</v>
      </c>
      <c r="U53" s="35">
        <f t="shared" si="10"/>
        <v>1.3265733413897725E-2</v>
      </c>
    </row>
    <row r="54" spans="1:23" x14ac:dyDescent="0.2">
      <c r="A54" s="9">
        <f>'Monthly Data'!A54</f>
        <v>43586</v>
      </c>
      <c r="B54">
        <f t="shared" si="1"/>
        <v>2019</v>
      </c>
      <c r="C54">
        <f t="shared" si="2"/>
        <v>5</v>
      </c>
      <c r="D54" s="31">
        <f>'Monthly Data'!N54</f>
        <v>69285910.743475616</v>
      </c>
      <c r="E54" s="33">
        <f>'Monthly Data'!AZ54</f>
        <v>33.1</v>
      </c>
      <c r="F54" s="33">
        <f>'Monthly Data'!AW54</f>
        <v>14.6</v>
      </c>
      <c r="G54" s="33">
        <f>'Monthly Data'!BS54</f>
        <v>53</v>
      </c>
      <c r="H54" s="30">
        <f>'Monthly Data'!BO54</f>
        <v>0</v>
      </c>
      <c r="I54" s="33">
        <f>'Monthly Data'!BT54</f>
        <v>31</v>
      </c>
      <c r="J54" s="33">
        <f>'Monthly Data'!AK54</f>
        <v>103.60000000000036</v>
      </c>
      <c r="L54" s="18">
        <f>'GS&gt;50 Predicted Monthly'!$X$10</f>
        <v>12654537.4440873</v>
      </c>
      <c r="M54" s="18">
        <f>E54*'GS&gt;50 Predicted Monthly'!$X$11</f>
        <v>603602.97639377241</v>
      </c>
      <c r="N54" s="18">
        <f>F54*'GS&gt;50 Predicted Monthly'!$X$12</f>
        <v>684912.84877707786</v>
      </c>
      <c r="O54" s="18">
        <f>G54*'GS&gt;50 Predicted Monthly'!$X$13</f>
        <v>-3525704.1084874719</v>
      </c>
      <c r="P54" s="18">
        <f>H54*'GS&gt;50 Predicted Monthly'!$X$14</f>
        <v>0</v>
      </c>
      <c r="Q54" s="18">
        <f>I54*'GS&gt;50 Predicted Monthly'!$X$15</f>
        <v>59070853.247044139</v>
      </c>
      <c r="R54" s="18">
        <f>J54*'GS&gt;50 Predicted Monthly'!$X$16</f>
        <v>725904.29876022937</v>
      </c>
      <c r="S54" s="18">
        <f t="shared" si="8"/>
        <v>70214106.706575051</v>
      </c>
      <c r="T54" s="18">
        <f t="shared" si="9"/>
        <v>928195.96309943497</v>
      </c>
      <c r="U54" s="35">
        <f t="shared" si="10"/>
        <v>1.339660478067454E-2</v>
      </c>
    </row>
    <row r="55" spans="1:23" x14ac:dyDescent="0.2">
      <c r="A55" s="9">
        <f>'Monthly Data'!A55</f>
        <v>43617</v>
      </c>
      <c r="B55">
        <f t="shared" si="1"/>
        <v>2019</v>
      </c>
      <c r="C55">
        <f t="shared" si="2"/>
        <v>6</v>
      </c>
      <c r="D55" s="31">
        <f>'Monthly Data'!N55</f>
        <v>70340791.43343094</v>
      </c>
      <c r="E55" s="33">
        <f>'Monthly Data'!AZ55</f>
        <v>0</v>
      </c>
      <c r="F55" s="33">
        <f>'Monthly Data'!AW55</f>
        <v>103.60000000000002</v>
      </c>
      <c r="G55" s="33">
        <f>'Monthly Data'!BS55</f>
        <v>54</v>
      </c>
      <c r="H55" s="30">
        <f>'Monthly Data'!BO55</f>
        <v>0</v>
      </c>
      <c r="I55" s="33">
        <f>'Monthly Data'!BT55</f>
        <v>30</v>
      </c>
      <c r="J55" s="33">
        <f>'Monthly Data'!AK55</f>
        <v>108.10000000000036</v>
      </c>
      <c r="L55" s="18">
        <f>'GS&gt;50 Predicted Monthly'!$X$10</f>
        <v>12654537.4440873</v>
      </c>
      <c r="M55" s="18">
        <f>E55*'GS&gt;50 Predicted Monthly'!$X$11</f>
        <v>0</v>
      </c>
      <c r="N55" s="18">
        <f>F55*'GS&gt;50 Predicted Monthly'!$X$12</f>
        <v>4860066.5159798134</v>
      </c>
      <c r="O55" s="18">
        <f>G55*'GS&gt;50 Predicted Monthly'!$X$13</f>
        <v>-3592226.8275155374</v>
      </c>
      <c r="P55" s="18">
        <f>H55*'GS&gt;50 Predicted Monthly'!$X$14</f>
        <v>0</v>
      </c>
      <c r="Q55" s="18">
        <f>I55*'GS&gt;50 Predicted Monthly'!$X$15</f>
        <v>57165341.851978198</v>
      </c>
      <c r="R55" s="18">
        <f>J55*'GS&gt;50 Predicted Monthly'!$X$16</f>
        <v>757434.89088784542</v>
      </c>
      <c r="S55" s="18">
        <f t="shared" si="8"/>
        <v>71845153.87541762</v>
      </c>
      <c r="T55" s="18">
        <f t="shared" si="9"/>
        <v>1504362.44198668</v>
      </c>
      <c r="U55" s="35">
        <f t="shared" si="10"/>
        <v>2.1386771620424221E-2</v>
      </c>
    </row>
    <row r="56" spans="1:23" x14ac:dyDescent="0.2">
      <c r="A56" s="9">
        <f>'Monthly Data'!A56</f>
        <v>43647</v>
      </c>
      <c r="B56">
        <f t="shared" si="1"/>
        <v>2019</v>
      </c>
      <c r="C56">
        <f t="shared" si="2"/>
        <v>7</v>
      </c>
      <c r="D56" s="31">
        <f>'Monthly Data'!N56</f>
        <v>81692876.123386264</v>
      </c>
      <c r="E56" s="33">
        <f>'Monthly Data'!AZ56</f>
        <v>0</v>
      </c>
      <c r="F56" s="33">
        <f>'Monthly Data'!AW56</f>
        <v>276.59999999999997</v>
      </c>
      <c r="G56" s="33">
        <f>'Monthly Data'!BS56</f>
        <v>55</v>
      </c>
      <c r="H56" s="30">
        <f>'Monthly Data'!BO56</f>
        <v>0</v>
      </c>
      <c r="I56" s="33">
        <f>'Monthly Data'!BT56</f>
        <v>31</v>
      </c>
      <c r="J56" s="33">
        <f>'Monthly Data'!AK56</f>
        <v>107.59999999999991</v>
      </c>
      <c r="L56" s="18">
        <f>'GS&gt;50 Predicted Monthly'!$X$10</f>
        <v>12654537.4440873</v>
      </c>
      <c r="M56" s="18">
        <f>E56*'GS&gt;50 Predicted Monthly'!$X$11</f>
        <v>0</v>
      </c>
      <c r="N56" s="18">
        <f>F56*'GS&gt;50 Predicted Monthly'!$X$12</f>
        <v>12975814.655598611</v>
      </c>
      <c r="O56" s="18">
        <f>G56*'GS&gt;50 Predicted Monthly'!$X$13</f>
        <v>-3658749.5465436028</v>
      </c>
      <c r="P56" s="18">
        <f>H56*'GS&gt;50 Predicted Monthly'!$X$14</f>
        <v>0</v>
      </c>
      <c r="Q56" s="18">
        <f>I56*'GS&gt;50 Predicted Monthly'!$X$15</f>
        <v>59070853.247044139</v>
      </c>
      <c r="R56" s="18">
        <f>J56*'GS&gt;50 Predicted Monthly'!$X$16</f>
        <v>753931.49176255148</v>
      </c>
      <c r="S56" s="18">
        <f t="shared" si="8"/>
        <v>81796387.291949004</v>
      </c>
      <c r="T56" s="18">
        <f t="shared" si="9"/>
        <v>103511.16856274009</v>
      </c>
      <c r="U56" s="35">
        <f t="shared" si="10"/>
        <v>1.2670770509585216E-3</v>
      </c>
    </row>
    <row r="57" spans="1:23" x14ac:dyDescent="0.2">
      <c r="A57" s="9">
        <f>'Monthly Data'!A57</f>
        <v>43678</v>
      </c>
      <c r="B57">
        <f t="shared" si="1"/>
        <v>2019</v>
      </c>
      <c r="C57">
        <f t="shared" si="2"/>
        <v>8</v>
      </c>
      <c r="D57" s="31">
        <f>'Monthly Data'!N57</f>
        <v>78330561.813341588</v>
      </c>
      <c r="E57" s="33">
        <f>'Monthly Data'!AZ57</f>
        <v>0</v>
      </c>
      <c r="F57" s="33">
        <f>'Monthly Data'!AW57</f>
        <v>225.29999999999998</v>
      </c>
      <c r="G57" s="33">
        <f>'Monthly Data'!BS57</f>
        <v>56</v>
      </c>
      <c r="H57" s="30">
        <f>'Monthly Data'!BO57</f>
        <v>0</v>
      </c>
      <c r="I57" s="33">
        <f>'Monthly Data'!BT57</f>
        <v>31</v>
      </c>
      <c r="J57" s="33">
        <f>'Monthly Data'!AK57</f>
        <v>114.40000000000009</v>
      </c>
      <c r="L57" s="18">
        <f>'GS&gt;50 Predicted Monthly'!$X$10</f>
        <v>12654537.4440873</v>
      </c>
      <c r="M57" s="18">
        <f>E57*'GS&gt;50 Predicted Monthly'!$X$11</f>
        <v>0</v>
      </c>
      <c r="N57" s="18">
        <f>F57*'GS&gt;50 Predicted Monthly'!$X$12</f>
        <v>10569237.317087371</v>
      </c>
      <c r="O57" s="18">
        <f>G57*'GS&gt;50 Predicted Monthly'!$X$13</f>
        <v>-3725272.2655716683</v>
      </c>
      <c r="P57" s="18">
        <f>H57*'GS&gt;50 Predicted Monthly'!$X$14</f>
        <v>0</v>
      </c>
      <c r="Q57" s="18">
        <f>I57*'GS&gt;50 Predicted Monthly'!$X$15</f>
        <v>59070853.247044139</v>
      </c>
      <c r="R57" s="18">
        <f>J57*'GS&gt;50 Predicted Monthly'!$X$16</f>
        <v>801577.71986650594</v>
      </c>
      <c r="S57" s="18">
        <f t="shared" si="8"/>
        <v>79370933.462513641</v>
      </c>
      <c r="T57" s="18">
        <f t="shared" si="9"/>
        <v>1040371.6491720527</v>
      </c>
      <c r="U57" s="35">
        <f t="shared" si="10"/>
        <v>1.3281810127332093E-2</v>
      </c>
    </row>
    <row r="58" spans="1:23" x14ac:dyDescent="0.2">
      <c r="A58" s="9">
        <f>'Monthly Data'!A58</f>
        <v>43709</v>
      </c>
      <c r="B58">
        <f t="shared" si="1"/>
        <v>2019</v>
      </c>
      <c r="C58">
        <f t="shared" si="2"/>
        <v>9</v>
      </c>
      <c r="D58" s="31">
        <f>'Monthly Data'!N58</f>
        <v>71728053.503296927</v>
      </c>
      <c r="E58" s="33">
        <f>'Monthly Data'!AZ58</f>
        <v>0</v>
      </c>
      <c r="F58" s="33">
        <f>'Monthly Data'!AW58</f>
        <v>133.90000000000003</v>
      </c>
      <c r="G58" s="33">
        <f>'Monthly Data'!BS58</f>
        <v>57</v>
      </c>
      <c r="H58" s="30">
        <f>'Monthly Data'!BO58</f>
        <v>0</v>
      </c>
      <c r="I58" s="33">
        <f>'Monthly Data'!BT58</f>
        <v>30</v>
      </c>
      <c r="J58" s="33">
        <f>'Monthly Data'!AK58</f>
        <v>140</v>
      </c>
      <c r="L58" s="18">
        <f>'GS&gt;50 Predicted Monthly'!$X$10</f>
        <v>12654537.4440873</v>
      </c>
      <c r="M58" s="18">
        <f>E58*'GS&gt;50 Predicted Monthly'!$X$11</f>
        <v>0</v>
      </c>
      <c r="N58" s="18">
        <f>F58*'GS&gt;50 Predicted Monthly'!$X$12</f>
        <v>6281495.2363870377</v>
      </c>
      <c r="O58" s="18">
        <f>G58*'GS&gt;50 Predicted Monthly'!$X$13</f>
        <v>-3791794.9845997337</v>
      </c>
      <c r="P58" s="18">
        <f>H58*'GS&gt;50 Predicted Monthly'!$X$14</f>
        <v>0</v>
      </c>
      <c r="Q58" s="18">
        <f>I58*'GS&gt;50 Predicted Monthly'!$X$15</f>
        <v>57165341.851978198</v>
      </c>
      <c r="R58" s="18">
        <f>J58*'GS&gt;50 Predicted Monthly'!$X$16</f>
        <v>980951.75508138759</v>
      </c>
      <c r="S58" s="18">
        <f t="shared" si="8"/>
        <v>73290531.302934185</v>
      </c>
      <c r="T58" s="18">
        <f t="shared" si="9"/>
        <v>1562477.7996372581</v>
      </c>
      <c r="U58" s="35">
        <f t="shared" si="10"/>
        <v>2.1783357045447219E-2</v>
      </c>
    </row>
    <row r="59" spans="1:23" x14ac:dyDescent="0.2">
      <c r="A59" s="9">
        <f>'Monthly Data'!A59</f>
        <v>43739</v>
      </c>
      <c r="B59">
        <f t="shared" si="1"/>
        <v>2019</v>
      </c>
      <c r="C59">
        <f t="shared" si="2"/>
        <v>10</v>
      </c>
      <c r="D59" s="31">
        <f>'Monthly Data'!N59</f>
        <v>69595229.193252251</v>
      </c>
      <c r="E59" s="33">
        <f>'Monthly Data'!AZ59</f>
        <v>10.4</v>
      </c>
      <c r="F59" s="33">
        <f>'Monthly Data'!AW59</f>
        <v>15.999999999999998</v>
      </c>
      <c r="G59" s="33">
        <f>'Monthly Data'!BS59</f>
        <v>58</v>
      </c>
      <c r="H59" s="30">
        <f>'Monthly Data'!BO59</f>
        <v>0</v>
      </c>
      <c r="I59" s="33">
        <f>'Monthly Data'!BT59</f>
        <v>31</v>
      </c>
      <c r="J59" s="33">
        <f>'Monthly Data'!AK59</f>
        <v>137.30000000000018</v>
      </c>
      <c r="L59" s="18">
        <f>'GS&gt;50 Predicted Monthly'!$X$10</f>
        <v>12654537.4440873</v>
      </c>
      <c r="M59" s="18">
        <f>E59*'GS&gt;50 Predicted Monthly'!$X$11</f>
        <v>189651.69046813392</v>
      </c>
      <c r="N59" s="18">
        <f>F59*'GS&gt;50 Predicted Monthly'!$X$12</f>
        <v>750589.42331734544</v>
      </c>
      <c r="O59" s="18">
        <f>G59*'GS&gt;50 Predicted Monthly'!$X$13</f>
        <v>-3858317.7036277992</v>
      </c>
      <c r="P59" s="18">
        <f>H59*'GS&gt;50 Predicted Monthly'!$X$14</f>
        <v>0</v>
      </c>
      <c r="Q59" s="18">
        <f>I59*'GS&gt;50 Predicted Monthly'!$X$15</f>
        <v>59070853.247044139</v>
      </c>
      <c r="R59" s="18">
        <f>J59*'GS&gt;50 Predicted Monthly'!$X$16</f>
        <v>962033.39980481926</v>
      </c>
      <c r="S59" s="18">
        <f t="shared" si="8"/>
        <v>69769347.501093939</v>
      </c>
      <c r="T59" s="18">
        <f t="shared" si="9"/>
        <v>174118.30784168839</v>
      </c>
      <c r="U59" s="35">
        <f t="shared" si="10"/>
        <v>2.5018713187680741E-3</v>
      </c>
    </row>
    <row r="60" spans="1:23" x14ac:dyDescent="0.2">
      <c r="A60" s="9">
        <f>'Monthly Data'!A60</f>
        <v>43770</v>
      </c>
      <c r="B60">
        <f t="shared" si="1"/>
        <v>2019</v>
      </c>
      <c r="C60">
        <f t="shared" si="2"/>
        <v>11</v>
      </c>
      <c r="D60" s="31">
        <f>'Monthly Data'!N60</f>
        <v>70061546.883207574</v>
      </c>
      <c r="E60" s="33">
        <f>'Monthly Data'!AZ60</f>
        <v>224.00000000000006</v>
      </c>
      <c r="F60" s="33">
        <f>'Monthly Data'!AW60</f>
        <v>0</v>
      </c>
      <c r="G60" s="33">
        <f>'Monthly Data'!BS60</f>
        <v>59</v>
      </c>
      <c r="H60" s="30">
        <f>'Monthly Data'!BO60</f>
        <v>0</v>
      </c>
      <c r="I60" s="33">
        <f>'Monthly Data'!BT60</f>
        <v>30</v>
      </c>
      <c r="J60" s="33">
        <f>'Monthly Data'!AK60</f>
        <v>130.90000000000009</v>
      </c>
      <c r="L60" s="18">
        <f>'GS&gt;50 Predicted Monthly'!$X$10</f>
        <v>12654537.4440873</v>
      </c>
      <c r="M60" s="18">
        <f>E60*'GS&gt;50 Predicted Monthly'!$X$11</f>
        <v>4084805.640852116</v>
      </c>
      <c r="N60" s="18">
        <f>F60*'GS&gt;50 Predicted Monthly'!$X$12</f>
        <v>0</v>
      </c>
      <c r="O60" s="18">
        <f>G60*'GS&gt;50 Predicted Monthly'!$X$13</f>
        <v>-3924840.4226558646</v>
      </c>
      <c r="P60" s="18">
        <f>H60*'GS&gt;50 Predicted Monthly'!$X$14</f>
        <v>0</v>
      </c>
      <c r="Q60" s="18">
        <f>I60*'GS&gt;50 Predicted Monthly'!$X$15</f>
        <v>57165341.851978198</v>
      </c>
      <c r="R60" s="18">
        <f>J60*'GS&gt;50 Predicted Monthly'!$X$16</f>
        <v>917189.89100109797</v>
      </c>
      <c r="S60" s="18">
        <f t="shared" si="8"/>
        <v>70897034.405262858</v>
      </c>
      <c r="T60" s="18">
        <f t="shared" si="9"/>
        <v>835487.52205528319</v>
      </c>
      <c r="U60" s="35">
        <f t="shared" si="10"/>
        <v>1.1925051033315591E-2</v>
      </c>
    </row>
    <row r="61" spans="1:23" x14ac:dyDescent="0.2">
      <c r="A61" s="9">
        <f>'Monthly Data'!A61</f>
        <v>43800</v>
      </c>
      <c r="B61">
        <f t="shared" si="1"/>
        <v>2019</v>
      </c>
      <c r="C61">
        <f t="shared" si="2"/>
        <v>12</v>
      </c>
      <c r="D61" s="31">
        <f>'Monthly Data'!N61</f>
        <v>70940575.573162898</v>
      </c>
      <c r="E61" s="33">
        <f>'Monthly Data'!AZ61</f>
        <v>272.40000000000003</v>
      </c>
      <c r="F61" s="33">
        <f>'Monthly Data'!AW61</f>
        <v>0</v>
      </c>
      <c r="G61" s="33">
        <f>'Monthly Data'!BS61</f>
        <v>60</v>
      </c>
      <c r="H61" s="30">
        <f>'Monthly Data'!BO61</f>
        <v>1</v>
      </c>
      <c r="I61" s="33">
        <f>'Monthly Data'!BT61</f>
        <v>31</v>
      </c>
      <c r="J61" s="33">
        <f>'Monthly Data'!AK61</f>
        <v>120.19999999999982</v>
      </c>
      <c r="L61" s="18">
        <f>'GS&gt;50 Predicted Monthly'!$X$10</f>
        <v>12654537.4440873</v>
      </c>
      <c r="M61" s="18">
        <f>E61*'GS&gt;50 Predicted Monthly'!$X$11</f>
        <v>4967415.4311076617</v>
      </c>
      <c r="N61" s="18">
        <f>F61*'GS&gt;50 Predicted Monthly'!$X$12</f>
        <v>0</v>
      </c>
      <c r="O61" s="18">
        <f>G61*'GS&gt;50 Predicted Monthly'!$X$13</f>
        <v>-3991363.1416839305</v>
      </c>
      <c r="P61" s="18">
        <f>H61*'GS&gt;50 Predicted Monthly'!$X$14</f>
        <v>-2455659.1490839599</v>
      </c>
      <c r="Q61" s="18">
        <f>I61*'GS&gt;50 Predicted Monthly'!$X$15</f>
        <v>59070853.247044139</v>
      </c>
      <c r="R61" s="18">
        <f>J61*'GS&gt;50 Predicted Monthly'!$X$16</f>
        <v>842217.14971987577</v>
      </c>
      <c r="S61" s="18">
        <f t="shared" si="8"/>
        <v>71088000.981191084</v>
      </c>
      <c r="T61" s="18">
        <f t="shared" si="9"/>
        <v>147425.40802818537</v>
      </c>
      <c r="U61" s="35">
        <f t="shared" si="10"/>
        <v>2.0781535367744744E-3</v>
      </c>
    </row>
    <row r="62" spans="1:23" x14ac:dyDescent="0.2">
      <c r="A62" s="9">
        <f>'Monthly Data'!A62</f>
        <v>43831</v>
      </c>
      <c r="B62">
        <f t="shared" si="1"/>
        <v>2020</v>
      </c>
      <c r="C62">
        <f t="shared" si="2"/>
        <v>1</v>
      </c>
      <c r="D62" s="31">
        <f>'Monthly Data'!N62</f>
        <v>76432025.257973492</v>
      </c>
      <c r="E62" s="33">
        <f>'Monthly Data'!AZ62</f>
        <v>303.8</v>
      </c>
      <c r="F62" s="33">
        <f>'Monthly Data'!AW62</f>
        <v>0</v>
      </c>
      <c r="G62" s="33">
        <f>'Monthly Data'!BS62</f>
        <v>61</v>
      </c>
      <c r="H62" s="30">
        <f>'Monthly Data'!BO62</f>
        <v>0</v>
      </c>
      <c r="I62" s="33">
        <f>'Monthly Data'!BT62</f>
        <v>31</v>
      </c>
      <c r="J62" s="33">
        <f>'Monthly Data'!AK62</f>
        <v>141.59999999999991</v>
      </c>
      <c r="L62" s="18">
        <f>'GS&gt;50 Predicted Monthly'!$X$10</f>
        <v>12654537.4440873</v>
      </c>
      <c r="M62" s="18">
        <f>E62*'GS&gt;50 Predicted Monthly'!$X$11</f>
        <v>5540017.6504056817</v>
      </c>
      <c r="N62" s="18">
        <f>F62*'GS&gt;50 Predicted Monthly'!$X$12</f>
        <v>0</v>
      </c>
      <c r="O62" s="18">
        <f>G62*'GS&gt;50 Predicted Monthly'!$X$13</f>
        <v>-4057885.860711996</v>
      </c>
      <c r="P62" s="18">
        <f>H62*'GS&gt;50 Predicted Monthly'!$X$14</f>
        <v>0</v>
      </c>
      <c r="Q62" s="18">
        <f>I62*'GS&gt;50 Predicted Monthly'!$X$15</f>
        <v>59070853.247044139</v>
      </c>
      <c r="R62" s="18">
        <f>J62*'GS&gt;50 Predicted Monthly'!$X$16</f>
        <v>992162.63228231703</v>
      </c>
      <c r="S62" s="18">
        <f t="shared" si="8"/>
        <v>74199685.113107443</v>
      </c>
      <c r="T62" s="18">
        <f t="shared" si="9"/>
        <v>-2232340.1448660493</v>
      </c>
      <c r="U62" s="35">
        <f t="shared" si="10"/>
        <v>2.9206868944417621E-2</v>
      </c>
    </row>
    <row r="63" spans="1:23" x14ac:dyDescent="0.2">
      <c r="A63" s="9">
        <f>'Monthly Data'!A63</f>
        <v>43862</v>
      </c>
      <c r="B63">
        <f t="shared" ref="B63:B115" si="11">YEAR(A63)</f>
        <v>2020</v>
      </c>
      <c r="C63">
        <f t="shared" ref="C63:C115" si="12">MONTH(A63)</f>
        <v>2</v>
      </c>
      <c r="D63" s="31">
        <f>'Monthly Data'!N63</f>
        <v>71230216.188582152</v>
      </c>
      <c r="E63" s="33">
        <f>'Monthly Data'!AZ63</f>
        <v>329.2</v>
      </c>
      <c r="F63" s="33">
        <f>'Monthly Data'!AW63</f>
        <v>0</v>
      </c>
      <c r="G63" s="33">
        <f>'Monthly Data'!BS63</f>
        <v>62</v>
      </c>
      <c r="H63" s="30">
        <f>'Monthly Data'!BO63</f>
        <v>0</v>
      </c>
      <c r="I63" s="33">
        <f>'Monthly Data'!BT63</f>
        <v>29</v>
      </c>
      <c r="J63" s="33">
        <f>'Monthly Data'!AK63</f>
        <v>130.59999999999991</v>
      </c>
      <c r="L63" s="18">
        <f>'GS&gt;50 Predicted Monthly'!$X$10</f>
        <v>12654537.4440873</v>
      </c>
      <c r="M63" s="18">
        <f>E63*'GS&gt;50 Predicted Monthly'!$X$11</f>
        <v>6003205.4328951621</v>
      </c>
      <c r="N63" s="18">
        <f>F63*'GS&gt;50 Predicted Monthly'!$X$12</f>
        <v>0</v>
      </c>
      <c r="O63" s="18">
        <f>G63*'GS&gt;50 Predicted Monthly'!$X$13</f>
        <v>-4124408.5797400614</v>
      </c>
      <c r="P63" s="18">
        <f>H63*'GS&gt;50 Predicted Monthly'!$X$14</f>
        <v>0</v>
      </c>
      <c r="Q63" s="18">
        <f>I63*'GS&gt;50 Predicted Monthly'!$X$15</f>
        <v>55259830.456912257</v>
      </c>
      <c r="R63" s="18">
        <f>J63*'GS&gt;50 Predicted Monthly'!$X$16</f>
        <v>915087.85152592231</v>
      </c>
      <c r="S63" s="18">
        <f t="shared" si="8"/>
        <v>70708252.60568057</v>
      </c>
      <c r="T63" s="18">
        <f t="shared" si="9"/>
        <v>-521963.58290158212</v>
      </c>
      <c r="U63" s="35">
        <f t="shared" si="10"/>
        <v>7.3278393753527628E-3</v>
      </c>
    </row>
    <row r="64" spans="1:23" x14ac:dyDescent="0.2">
      <c r="A64" s="9">
        <f>'Monthly Data'!A64</f>
        <v>43891</v>
      </c>
      <c r="B64">
        <f t="shared" si="11"/>
        <v>2020</v>
      </c>
      <c r="C64">
        <f t="shared" si="12"/>
        <v>3</v>
      </c>
      <c r="D64" s="31">
        <f>'Monthly Data'!N64</f>
        <v>71001661.119190797</v>
      </c>
      <c r="E64" s="33">
        <f>'Monthly Data'!AZ64</f>
        <v>195.30000000000007</v>
      </c>
      <c r="F64" s="33">
        <f>'Monthly Data'!AW64</f>
        <v>0</v>
      </c>
      <c r="G64" s="33">
        <f>'Monthly Data'!BS64</f>
        <v>63</v>
      </c>
      <c r="H64" s="30">
        <f>'Monthly Data'!BO64</f>
        <v>0</v>
      </c>
      <c r="I64" s="33">
        <f>'Monthly Data'!BT64</f>
        <v>31</v>
      </c>
      <c r="J64" s="33">
        <f>'Monthly Data'!AK64</f>
        <v>34.400000000000091</v>
      </c>
      <c r="L64" s="18">
        <f>'GS&gt;50 Predicted Monthly'!$X$10</f>
        <v>12654537.4440873</v>
      </c>
      <c r="M64" s="18">
        <f>E64*'GS&gt;50 Predicted Monthly'!$X$11</f>
        <v>3561439.918117939</v>
      </c>
      <c r="N64" s="18">
        <f>F64*'GS&gt;50 Predicted Monthly'!$X$12</f>
        <v>0</v>
      </c>
      <c r="O64" s="18">
        <f>G64*'GS&gt;50 Predicted Monthly'!$X$13</f>
        <v>-4190931.2987681269</v>
      </c>
      <c r="P64" s="18">
        <f>H64*'GS&gt;50 Predicted Monthly'!$X$14</f>
        <v>0</v>
      </c>
      <c r="Q64" s="18">
        <f>I64*'GS&gt;50 Predicted Monthly'!$X$15</f>
        <v>59070853.247044139</v>
      </c>
      <c r="R64" s="18">
        <f>J64*'GS&gt;50 Predicted Monthly'!$X$16</f>
        <v>241033.85981999873</v>
      </c>
      <c r="S64" s="18">
        <f t="shared" si="8"/>
        <v>71336933.170301244</v>
      </c>
      <c r="T64" s="18">
        <f t="shared" si="9"/>
        <v>335272.05111044645</v>
      </c>
      <c r="U64" s="35">
        <f t="shared" si="10"/>
        <v>4.7220310880843165E-3</v>
      </c>
      <c r="W64" s="18"/>
    </row>
    <row r="65" spans="1:28" x14ac:dyDescent="0.2">
      <c r="A65" s="9">
        <f>'Monthly Data'!A65</f>
        <v>43922</v>
      </c>
      <c r="B65">
        <f t="shared" si="11"/>
        <v>2020</v>
      </c>
      <c r="C65">
        <f t="shared" si="12"/>
        <v>4</v>
      </c>
      <c r="D65" s="31">
        <f>'Monthly Data'!N65</f>
        <v>60883665.04979945</v>
      </c>
      <c r="E65" s="33">
        <f>'Monthly Data'!AZ65</f>
        <v>121.19999999999999</v>
      </c>
      <c r="F65" s="33">
        <f>'Monthly Data'!AW65</f>
        <v>0</v>
      </c>
      <c r="G65" s="33">
        <f>'Monthly Data'!BS65</f>
        <v>64</v>
      </c>
      <c r="H65" s="30">
        <f>'Monthly Data'!BO65</f>
        <v>0</v>
      </c>
      <c r="I65" s="33">
        <f>'Monthly Data'!BT65</f>
        <v>30</v>
      </c>
      <c r="J65" s="33">
        <f>'Monthly Data'!AK65</f>
        <v>-184.10000000000036</v>
      </c>
      <c r="L65" s="18">
        <f>'GS&gt;50 Predicted Monthly'!$X$10</f>
        <v>12654537.4440873</v>
      </c>
      <c r="M65" s="18">
        <f>E65*'GS&gt;50 Predicted Monthly'!$X$11</f>
        <v>2210171.6235324834</v>
      </c>
      <c r="N65" s="18">
        <f>F65*'GS&gt;50 Predicted Monthly'!$X$12</f>
        <v>0</v>
      </c>
      <c r="O65" s="18">
        <f>G65*'GS&gt;50 Predicted Monthly'!$X$13</f>
        <v>-4257454.0177961923</v>
      </c>
      <c r="P65" s="18">
        <f>H65*'GS&gt;50 Predicted Monthly'!$X$14</f>
        <v>0</v>
      </c>
      <c r="Q65" s="18">
        <f>I65*'GS&gt;50 Predicted Monthly'!$X$15</f>
        <v>57165341.851978198</v>
      </c>
      <c r="R65" s="18">
        <f>J65*'GS&gt;50 Predicted Monthly'!$X$16</f>
        <v>-1289951.5579320271</v>
      </c>
      <c r="S65" s="18">
        <f t="shared" si="8"/>
        <v>66482645.343869768</v>
      </c>
      <c r="T65" s="18">
        <f t="shared" si="9"/>
        <v>5598980.2940703183</v>
      </c>
      <c r="U65" s="35">
        <f t="shared" si="10"/>
        <v>9.1961945613666066E-2</v>
      </c>
      <c r="W65" s="18"/>
    </row>
    <row r="66" spans="1:28" x14ac:dyDescent="0.2">
      <c r="A66" s="9">
        <f>'Monthly Data'!A66</f>
        <v>43952</v>
      </c>
      <c r="B66">
        <f t="shared" si="11"/>
        <v>2020</v>
      </c>
      <c r="C66">
        <f t="shared" si="12"/>
        <v>5</v>
      </c>
      <c r="D66" s="31">
        <f>'Monthly Data'!N66</f>
        <v>63891673.980408102</v>
      </c>
      <c r="E66" s="33">
        <f>'Monthly Data'!AZ66</f>
        <v>48.400000000000006</v>
      </c>
      <c r="F66" s="33">
        <f>'Monthly Data'!AW66</f>
        <v>35.1</v>
      </c>
      <c r="G66" s="33">
        <f>'Monthly Data'!BS66</f>
        <v>65</v>
      </c>
      <c r="H66" s="30">
        <f>'Monthly Data'!BO66</f>
        <v>0</v>
      </c>
      <c r="I66" s="33">
        <f>'Monthly Data'!BT66</f>
        <v>31</v>
      </c>
      <c r="J66" s="33">
        <f>'Monthly Data'!AK66</f>
        <v>-407.60000000000036</v>
      </c>
      <c r="L66" s="18">
        <f>'GS&gt;50 Predicted Monthly'!$X$10</f>
        <v>12654537.4440873</v>
      </c>
      <c r="M66" s="18">
        <f>E66*'GS&gt;50 Predicted Monthly'!$X$11</f>
        <v>882609.79025554645</v>
      </c>
      <c r="N66" s="18">
        <f>F66*'GS&gt;50 Predicted Monthly'!$X$12</f>
        <v>1646605.5474024268</v>
      </c>
      <c r="O66" s="18">
        <f>G66*'GS&gt;50 Predicted Monthly'!$X$13</f>
        <v>-4323976.7368242582</v>
      </c>
      <c r="P66" s="18">
        <f>H66*'GS&gt;50 Predicted Monthly'!$X$14</f>
        <v>0</v>
      </c>
      <c r="Q66" s="18">
        <f>I66*'GS&gt;50 Predicted Monthly'!$X$15</f>
        <v>59070853.247044139</v>
      </c>
      <c r="R66" s="18">
        <f>J66*'GS&gt;50 Predicted Monthly'!$X$16</f>
        <v>-2855970.9669369566</v>
      </c>
      <c r="S66" s="18">
        <f t="shared" si="8"/>
        <v>67074658.325028203</v>
      </c>
      <c r="T66" s="18">
        <f t="shared" si="9"/>
        <v>3182984.3446201012</v>
      </c>
      <c r="U66" s="35">
        <f t="shared" si="10"/>
        <v>4.981845280178665E-2</v>
      </c>
      <c r="W66" s="18"/>
    </row>
    <row r="67" spans="1:28" x14ac:dyDescent="0.2">
      <c r="A67" s="9">
        <f>'Monthly Data'!A67</f>
        <v>43983</v>
      </c>
      <c r="B67">
        <f t="shared" si="11"/>
        <v>2020</v>
      </c>
      <c r="C67">
        <f t="shared" si="12"/>
        <v>6</v>
      </c>
      <c r="D67" s="31">
        <f>'Monthly Data'!N67</f>
        <v>70683945.911016747</v>
      </c>
      <c r="E67" s="33">
        <f>'Monthly Data'!AZ67</f>
        <v>0</v>
      </c>
      <c r="F67" s="33">
        <f>'Monthly Data'!AW67</f>
        <v>182.39999999999995</v>
      </c>
      <c r="G67" s="33">
        <f>'Monthly Data'!BS67</f>
        <v>66</v>
      </c>
      <c r="H67" s="30">
        <f>'Monthly Data'!BO67</f>
        <v>0</v>
      </c>
      <c r="I67" s="33">
        <f>'Monthly Data'!BT67</f>
        <v>30</v>
      </c>
      <c r="J67" s="33">
        <f>'Monthly Data'!AK67</f>
        <v>-482.30000000000018</v>
      </c>
      <c r="L67" s="18">
        <f>'GS&gt;50 Predicted Monthly'!$X$10</f>
        <v>12654537.4440873</v>
      </c>
      <c r="M67" s="18">
        <f>E67*'GS&gt;50 Predicted Monthly'!$X$11</f>
        <v>0</v>
      </c>
      <c r="N67" s="18">
        <f>F67*'GS&gt;50 Predicted Monthly'!$X$12</f>
        <v>8556719.4258177374</v>
      </c>
      <c r="O67" s="18">
        <f>G67*'GS&gt;50 Predicted Monthly'!$X$13</f>
        <v>-4390499.4558523232</v>
      </c>
      <c r="P67" s="18">
        <f>H67*'GS&gt;50 Predicted Monthly'!$X$14</f>
        <v>0</v>
      </c>
      <c r="Q67" s="18">
        <f>I67*'GS&gt;50 Predicted Monthly'!$X$15</f>
        <v>57165341.851978198</v>
      </c>
      <c r="R67" s="18">
        <f>J67*'GS&gt;50 Predicted Monthly'!$X$16</f>
        <v>-3379378.7962553813</v>
      </c>
      <c r="S67" s="18">
        <f t="shared" si="8"/>
        <v>70606720.469775528</v>
      </c>
      <c r="T67" s="18">
        <f t="shared" si="9"/>
        <v>-77225.44124121964</v>
      </c>
      <c r="U67" s="35">
        <f t="shared" si="10"/>
        <v>1.0925457010908517E-3</v>
      </c>
      <c r="W67" s="18"/>
    </row>
    <row r="68" spans="1:28" x14ac:dyDescent="0.2">
      <c r="A68" s="9">
        <f>'Monthly Data'!A68</f>
        <v>44013</v>
      </c>
      <c r="B68">
        <f t="shared" si="11"/>
        <v>2020</v>
      </c>
      <c r="C68">
        <f t="shared" si="12"/>
        <v>7</v>
      </c>
      <c r="D68" s="31">
        <f>'Monthly Data'!N68</f>
        <v>75739065.841625407</v>
      </c>
      <c r="E68" s="33">
        <f>'Monthly Data'!AZ68</f>
        <v>0</v>
      </c>
      <c r="F68" s="33">
        <f>'Monthly Data'!AW68</f>
        <v>326.5</v>
      </c>
      <c r="G68" s="33">
        <f>'Monthly Data'!BS68</f>
        <v>67</v>
      </c>
      <c r="H68" s="30">
        <f>'Monthly Data'!BO68</f>
        <v>0</v>
      </c>
      <c r="I68" s="33">
        <f>'Monthly Data'!BT68</f>
        <v>31</v>
      </c>
      <c r="J68" s="33">
        <f>'Monthly Data'!AK68</f>
        <v>-432.80000000000018</v>
      </c>
      <c r="L68" s="18">
        <f>'GS&gt;50 Predicted Monthly'!$X$10</f>
        <v>12654537.4440873</v>
      </c>
      <c r="M68" s="18">
        <f>E68*'GS&gt;50 Predicted Monthly'!$X$11</f>
        <v>0</v>
      </c>
      <c r="N68" s="18">
        <f>F68*'GS&gt;50 Predicted Monthly'!$X$12</f>
        <v>15316715.419569584</v>
      </c>
      <c r="O68" s="18">
        <f>G68*'GS&gt;50 Predicted Monthly'!$X$13</f>
        <v>-4457022.1748803891</v>
      </c>
      <c r="P68" s="18">
        <f>H68*'GS&gt;50 Predicted Monthly'!$X$14</f>
        <v>0</v>
      </c>
      <c r="Q68" s="18">
        <f>I68*'GS&gt;50 Predicted Monthly'!$X$15</f>
        <v>59070853.247044139</v>
      </c>
      <c r="R68" s="18">
        <f>J68*'GS&gt;50 Predicted Monthly'!$X$16</f>
        <v>-3032542.2828516052</v>
      </c>
      <c r="S68" s="18">
        <f t="shared" si="8"/>
        <v>79552541.652969033</v>
      </c>
      <c r="T68" s="18">
        <f t="shared" si="9"/>
        <v>3813475.8113436252</v>
      </c>
      <c r="U68" s="35">
        <f t="shared" si="10"/>
        <v>5.0350182814742066E-2</v>
      </c>
      <c r="W68" s="18"/>
    </row>
    <row r="69" spans="1:28" x14ac:dyDescent="0.2">
      <c r="A69" s="9">
        <f>'Monthly Data'!A69</f>
        <v>44044</v>
      </c>
      <c r="B69">
        <f t="shared" si="11"/>
        <v>2020</v>
      </c>
      <c r="C69">
        <f t="shared" si="12"/>
        <v>8</v>
      </c>
      <c r="D69" s="31">
        <f>'Monthly Data'!N69</f>
        <v>75530851.772234052</v>
      </c>
      <c r="E69" s="33">
        <f>'Monthly Data'!AZ69</f>
        <v>0</v>
      </c>
      <c r="F69" s="33">
        <f>'Monthly Data'!AW69</f>
        <v>245.54999999999998</v>
      </c>
      <c r="G69" s="33">
        <f>'Monthly Data'!BS69</f>
        <v>68</v>
      </c>
      <c r="H69" s="30">
        <f>'Monthly Data'!BO69</f>
        <v>0</v>
      </c>
      <c r="I69" s="33">
        <f>'Monthly Data'!BT69</f>
        <v>31</v>
      </c>
      <c r="J69" s="33">
        <f>'Monthly Data'!AK69</f>
        <v>-307.30000000000018</v>
      </c>
      <c r="L69" s="18">
        <f>'GS&gt;50 Predicted Monthly'!$X$10</f>
        <v>12654537.4440873</v>
      </c>
      <c r="M69" s="18">
        <f>E69*'GS&gt;50 Predicted Monthly'!$X$11</f>
        <v>0</v>
      </c>
      <c r="N69" s="18">
        <f>F69*'GS&gt;50 Predicted Monthly'!$X$12</f>
        <v>11519202.055973386</v>
      </c>
      <c r="O69" s="18">
        <f>G69*'GS&gt;50 Predicted Monthly'!$X$13</f>
        <v>-4523544.8939084541</v>
      </c>
      <c r="P69" s="18">
        <f>H69*'GS&gt;50 Predicted Monthly'!$X$14</f>
        <v>0</v>
      </c>
      <c r="Q69" s="18">
        <f>I69*'GS&gt;50 Predicted Monthly'!$X$15</f>
        <v>59070853.247044139</v>
      </c>
      <c r="R69" s="18">
        <f>J69*'GS&gt;50 Predicted Monthly'!$X$16</f>
        <v>-2153189.1024036468</v>
      </c>
      <c r="S69" s="18">
        <f t="shared" si="8"/>
        <v>76567858.750792727</v>
      </c>
      <c r="T69" s="18">
        <f t="shared" si="9"/>
        <v>1037006.9785586745</v>
      </c>
      <c r="U69" s="35">
        <f t="shared" si="10"/>
        <v>1.3729581412451241E-2</v>
      </c>
      <c r="W69" s="18"/>
    </row>
    <row r="70" spans="1:28" x14ac:dyDescent="0.2">
      <c r="A70" s="9">
        <f>'Monthly Data'!A70</f>
        <v>44075</v>
      </c>
      <c r="B70">
        <f t="shared" si="11"/>
        <v>2020</v>
      </c>
      <c r="C70">
        <f t="shared" si="12"/>
        <v>9</v>
      </c>
      <c r="D70" s="31">
        <f>'Monthly Data'!N70</f>
        <v>65350821.702842705</v>
      </c>
      <c r="E70" s="33">
        <f>'Monthly Data'!AZ70</f>
        <v>0</v>
      </c>
      <c r="F70" s="33">
        <f>'Monthly Data'!AW70</f>
        <v>108.09999999999998</v>
      </c>
      <c r="G70" s="33">
        <f>'Monthly Data'!BS70</f>
        <v>69</v>
      </c>
      <c r="H70" s="30">
        <f>'Monthly Data'!BO70</f>
        <v>0</v>
      </c>
      <c r="I70" s="33">
        <f>'Monthly Data'!BT70</f>
        <v>30</v>
      </c>
      <c r="J70" s="33">
        <f>'Monthly Data'!AK70</f>
        <v>-220</v>
      </c>
      <c r="L70" s="18">
        <f>'GS&gt;50 Predicted Monthly'!$X$10</f>
        <v>12654537.4440873</v>
      </c>
      <c r="M70" s="18">
        <f>E70*'GS&gt;50 Predicted Monthly'!$X$11</f>
        <v>0</v>
      </c>
      <c r="N70" s="18">
        <f>F70*'GS&gt;50 Predicted Monthly'!$X$12</f>
        <v>5071169.7912878152</v>
      </c>
      <c r="O70" s="18">
        <f>G70*'GS&gt;50 Predicted Monthly'!$X$13</f>
        <v>-4590067.61293652</v>
      </c>
      <c r="P70" s="18">
        <f>H70*'GS&gt;50 Predicted Monthly'!$X$14</f>
        <v>0</v>
      </c>
      <c r="Q70" s="18">
        <f>I70*'GS&gt;50 Predicted Monthly'!$X$15</f>
        <v>57165341.851978198</v>
      </c>
      <c r="R70" s="18">
        <f>J70*'GS&gt;50 Predicted Monthly'!$X$16</f>
        <v>-1541495.6151278948</v>
      </c>
      <c r="S70" s="18">
        <f t="shared" si="8"/>
        <v>68759485.859288901</v>
      </c>
      <c r="T70" s="18">
        <f t="shared" ref="T70:T101" si="13">S70-D70</f>
        <v>3408664.1564461961</v>
      </c>
      <c r="U70" s="35">
        <f t="shared" ref="U70:U101" si="14">ABS(T70/D70)</f>
        <v>5.2159468964992711E-2</v>
      </c>
      <c r="W70" s="18"/>
    </row>
    <row r="71" spans="1:28" x14ac:dyDescent="0.2">
      <c r="A71" s="9">
        <f>'Monthly Data'!A71</f>
        <v>44105</v>
      </c>
      <c r="B71">
        <f t="shared" si="11"/>
        <v>2020</v>
      </c>
      <c r="C71">
        <f t="shared" si="12"/>
        <v>10</v>
      </c>
      <c r="D71" s="31">
        <f>'Monthly Data'!N71</f>
        <v>63677703.633451357</v>
      </c>
      <c r="E71" s="33">
        <f>'Monthly Data'!AZ71</f>
        <v>39.5</v>
      </c>
      <c r="F71" s="33">
        <f>'Monthly Data'!AW71</f>
        <v>7.6999999999999993</v>
      </c>
      <c r="G71" s="33">
        <f>'Monthly Data'!BS71</f>
        <v>70</v>
      </c>
      <c r="H71" s="30">
        <f>'Monthly Data'!BO71</f>
        <v>0</v>
      </c>
      <c r="I71" s="33">
        <f>'Monthly Data'!BT71</f>
        <v>31</v>
      </c>
      <c r="J71" s="33">
        <f>'Monthly Data'!AK71</f>
        <v>-113.5</v>
      </c>
      <c r="L71" s="18">
        <f>'GS&gt;50 Predicted Monthly'!$X$10</f>
        <v>12654537.4440873</v>
      </c>
      <c r="M71" s="18">
        <f>E71*'GS&gt;50 Predicted Monthly'!$X$11</f>
        <v>720311.7089895471</v>
      </c>
      <c r="N71" s="18">
        <f>F71*'GS&gt;50 Predicted Monthly'!$X$12</f>
        <v>361221.15997147252</v>
      </c>
      <c r="O71" s="18">
        <f>G71*'GS&gt;50 Predicted Monthly'!$X$13</f>
        <v>-4656590.331964585</v>
      </c>
      <c r="P71" s="18">
        <f>H71*'GS&gt;50 Predicted Monthly'!$X$14</f>
        <v>0</v>
      </c>
      <c r="Q71" s="18">
        <f>I71*'GS&gt;50 Predicted Monthly'!$X$15</f>
        <v>59070853.247044139</v>
      </c>
      <c r="R71" s="18">
        <f>J71*'GS&gt;50 Predicted Monthly'!$X$16</f>
        <v>-795271.60144098208</v>
      </c>
      <c r="S71" s="18">
        <f t="shared" ref="S71:S109" si="15">SUM(L71:R71)</f>
        <v>67355061.626686886</v>
      </c>
      <c r="T71" s="18">
        <f t="shared" si="13"/>
        <v>3677357.9932355285</v>
      </c>
      <c r="U71" s="35">
        <f t="shared" si="14"/>
        <v>5.7749538431906139E-2</v>
      </c>
      <c r="W71" s="18"/>
    </row>
    <row r="72" spans="1:28" x14ac:dyDescent="0.2">
      <c r="A72" s="9">
        <f>'Monthly Data'!A72</f>
        <v>44136</v>
      </c>
      <c r="B72">
        <f t="shared" si="11"/>
        <v>2020</v>
      </c>
      <c r="C72">
        <f t="shared" si="12"/>
        <v>11</v>
      </c>
      <c r="D72" s="31">
        <f>'Monthly Data'!N72</f>
        <v>63426058.56406001</v>
      </c>
      <c r="E72" s="33">
        <f>'Monthly Data'!AZ72</f>
        <v>95.699999999999989</v>
      </c>
      <c r="F72" s="33">
        <f>'Monthly Data'!AW72</f>
        <v>8.6999999999999993</v>
      </c>
      <c r="G72" s="33">
        <f>'Monthly Data'!BS72</f>
        <v>71</v>
      </c>
      <c r="H72" s="30">
        <f>'Monthly Data'!BO72</f>
        <v>0</v>
      </c>
      <c r="I72" s="33">
        <f>'Monthly Data'!BT72</f>
        <v>30</v>
      </c>
      <c r="J72" s="33">
        <f>'Monthly Data'!AK72</f>
        <v>-64.5</v>
      </c>
      <c r="L72" s="18">
        <f>'GS&gt;50 Predicted Monthly'!$X$10</f>
        <v>12654537.4440873</v>
      </c>
      <c r="M72" s="18">
        <f>E72*'GS&gt;50 Predicted Monthly'!$X$11</f>
        <v>1745160.2670961935</v>
      </c>
      <c r="N72" s="18">
        <f>F72*'GS&gt;50 Predicted Monthly'!$X$12</f>
        <v>408132.99892880663</v>
      </c>
      <c r="O72" s="18">
        <f>G72*'GS&gt;50 Predicted Monthly'!$X$13</f>
        <v>-4723113.0509926509</v>
      </c>
      <c r="P72" s="18">
        <f>H72*'GS&gt;50 Predicted Monthly'!$X$14</f>
        <v>0</v>
      </c>
      <c r="Q72" s="18">
        <f>I72*'GS&gt;50 Predicted Monthly'!$X$15</f>
        <v>57165341.851978198</v>
      </c>
      <c r="R72" s="18">
        <f>J72*'GS&gt;50 Predicted Monthly'!$X$16</f>
        <v>-451938.48716249643</v>
      </c>
      <c r="S72" s="18">
        <f t="shared" si="15"/>
        <v>66798121.023935355</v>
      </c>
      <c r="T72" s="18">
        <f t="shared" si="13"/>
        <v>3372062.4598753452</v>
      </c>
      <c r="U72" s="35">
        <f t="shared" si="14"/>
        <v>5.3165253150163488E-2</v>
      </c>
      <c r="W72" s="18"/>
    </row>
    <row r="73" spans="1:28" x14ac:dyDescent="0.2">
      <c r="A73" s="9">
        <f>'Monthly Data'!A73</f>
        <v>44166</v>
      </c>
      <c r="B73">
        <f t="shared" si="11"/>
        <v>2020</v>
      </c>
      <c r="C73">
        <f t="shared" si="12"/>
        <v>12</v>
      </c>
      <c r="D73" s="31">
        <f>'Monthly Data'!N73</f>
        <v>66367198.494668663</v>
      </c>
      <c r="E73" s="33">
        <f>'Monthly Data'!AZ73</f>
        <v>264.09999999999997</v>
      </c>
      <c r="F73" s="33">
        <f>'Monthly Data'!AW73</f>
        <v>0</v>
      </c>
      <c r="G73" s="33">
        <f>'Monthly Data'!BS73</f>
        <v>72</v>
      </c>
      <c r="H73" s="30">
        <f>'Monthly Data'!BO73</f>
        <v>1</v>
      </c>
      <c r="I73" s="33">
        <f>'Monthly Data'!BT73</f>
        <v>31</v>
      </c>
      <c r="J73" s="33">
        <f>'Monthly Data'!AK73</f>
        <v>-73.199999999999818</v>
      </c>
      <c r="L73" s="18">
        <f>'GS&gt;50 Predicted Monthly'!$X$10</f>
        <v>12654537.4440873</v>
      </c>
      <c r="M73" s="18">
        <f>E73*'GS&gt;50 Predicted Monthly'!$X$11</f>
        <v>4816058.7935225153</v>
      </c>
      <c r="N73" s="18">
        <f>F73*'GS&gt;50 Predicted Monthly'!$X$12</f>
        <v>0</v>
      </c>
      <c r="O73" s="18">
        <f>G73*'GS&gt;50 Predicted Monthly'!$X$13</f>
        <v>-4789635.7700207159</v>
      </c>
      <c r="P73" s="18">
        <f>H73*'GS&gt;50 Predicted Monthly'!$X$14</f>
        <v>-2455659.1490839599</v>
      </c>
      <c r="Q73" s="18">
        <f>I73*'GS&gt;50 Predicted Monthly'!$X$15</f>
        <v>59070853.247044139</v>
      </c>
      <c r="R73" s="18">
        <f>J73*'GS&gt;50 Predicted Monthly'!$X$16</f>
        <v>-512897.63194255281</v>
      </c>
      <c r="S73" s="18">
        <f t="shared" si="15"/>
        <v>68783256.933606729</v>
      </c>
      <c r="T73" s="18">
        <f t="shared" si="13"/>
        <v>2416058.4389380664</v>
      </c>
      <c r="U73" s="35">
        <f t="shared" si="14"/>
        <v>3.6404405997823616E-2</v>
      </c>
      <c r="W73" s="18"/>
    </row>
    <row r="74" spans="1:28" x14ac:dyDescent="0.2">
      <c r="A74" s="9">
        <f>'Monthly Data'!A74</f>
        <v>44197</v>
      </c>
      <c r="B74">
        <f t="shared" si="11"/>
        <v>2021</v>
      </c>
      <c r="C74">
        <f t="shared" si="12"/>
        <v>1</v>
      </c>
      <c r="D74" s="31">
        <f>'Monthly Data'!N74</f>
        <v>66761890.620358296</v>
      </c>
      <c r="E74" s="33">
        <f>'Monthly Data'!AZ74</f>
        <v>337.90000000000009</v>
      </c>
      <c r="F74" s="33">
        <f>'Monthly Data'!AW74</f>
        <v>0</v>
      </c>
      <c r="G74" s="33">
        <f>'Monthly Data'!BS74</f>
        <v>73</v>
      </c>
      <c r="H74" s="30">
        <f>'Monthly Data'!BO74</f>
        <v>0</v>
      </c>
      <c r="I74" s="33">
        <f>'Monthly Data'!BT74</f>
        <v>31</v>
      </c>
      <c r="J74" s="33">
        <f>'Monthly Data'!AK74</f>
        <v>-146.39999999999964</v>
      </c>
      <c r="L74" s="18">
        <f>'GS&gt;50 Predicted Monthly'!$X$10</f>
        <v>12654537.4440873</v>
      </c>
      <c r="M74" s="18">
        <f>E74*'GS&gt;50 Predicted Monthly'!$X$11</f>
        <v>6161856.3662675451</v>
      </c>
      <c r="N74" s="18">
        <f>F74*'GS&gt;50 Predicted Monthly'!$X$12</f>
        <v>0</v>
      </c>
      <c r="O74" s="18">
        <f>G74*'GS&gt;50 Predicted Monthly'!$X$13</f>
        <v>-4856158.4890487818</v>
      </c>
      <c r="P74" s="18">
        <f>H74*'GS&gt;50 Predicted Monthly'!$X$14</f>
        <v>0</v>
      </c>
      <c r="Q74" s="18">
        <f>I74*'GS&gt;50 Predicted Monthly'!$X$15</f>
        <v>59070853.247044139</v>
      </c>
      <c r="R74" s="18">
        <f>J74*'GS&gt;50 Predicted Monthly'!$X$16</f>
        <v>-1025795.2638851056</v>
      </c>
      <c r="S74" s="18">
        <f t="shared" si="15"/>
        <v>72005293.304465085</v>
      </c>
      <c r="T74" s="18">
        <f t="shared" si="13"/>
        <v>5243402.6841067895</v>
      </c>
      <c r="U74" s="35">
        <f t="shared" si="14"/>
        <v>7.853885855215538E-2</v>
      </c>
      <c r="W74" s="18"/>
    </row>
    <row r="75" spans="1:28" x14ac:dyDescent="0.2">
      <c r="A75" s="9">
        <f>'Monthly Data'!A75</f>
        <v>44228</v>
      </c>
      <c r="B75">
        <f t="shared" si="11"/>
        <v>2021</v>
      </c>
      <c r="C75">
        <f t="shared" si="12"/>
        <v>2</v>
      </c>
      <c r="D75" s="31">
        <f>'Monthly Data'!N75</f>
        <v>63358967.919563264</v>
      </c>
      <c r="E75" s="33">
        <f>'Monthly Data'!AZ75</f>
        <v>384.99999999999994</v>
      </c>
      <c r="F75" s="33">
        <f>'Monthly Data'!AW75</f>
        <v>0</v>
      </c>
      <c r="G75" s="33">
        <f>'Monthly Data'!BS75</f>
        <v>74</v>
      </c>
      <c r="H75" s="30">
        <f>'Monthly Data'!BO75</f>
        <v>0</v>
      </c>
      <c r="I75" s="33">
        <f>'Monthly Data'!BT75</f>
        <v>28</v>
      </c>
      <c r="J75" s="33">
        <f>'Monthly Data'!AK75</f>
        <v>-191.30000000000018</v>
      </c>
      <c r="L75" s="18">
        <f>'GS&gt;50 Predicted Monthly'!$X$10</f>
        <v>12654537.4440873</v>
      </c>
      <c r="M75" s="18">
        <f>E75*'GS&gt;50 Predicted Monthly'!$X$11</f>
        <v>7020759.6952145714</v>
      </c>
      <c r="N75" s="18">
        <f>F75*'GS&gt;50 Predicted Monthly'!$X$12</f>
        <v>0</v>
      </c>
      <c r="O75" s="18">
        <f>G75*'GS&gt;50 Predicted Monthly'!$X$13</f>
        <v>-4922681.2080768477</v>
      </c>
      <c r="P75" s="18">
        <f>H75*'GS&gt;50 Predicted Monthly'!$X$14</f>
        <v>0</v>
      </c>
      <c r="Q75" s="18">
        <f>I75*'GS&gt;50 Predicted Monthly'!$X$15</f>
        <v>53354319.061846316</v>
      </c>
      <c r="R75" s="18">
        <f>J75*'GS&gt;50 Predicted Monthly'!$X$16</f>
        <v>-1340400.5053362115</v>
      </c>
      <c r="S75" s="18">
        <f t="shared" si="15"/>
        <v>66766534.487735137</v>
      </c>
      <c r="T75" s="18">
        <f t="shared" si="13"/>
        <v>3407566.5681718737</v>
      </c>
      <c r="U75" s="35">
        <f t="shared" si="14"/>
        <v>5.3781914069337675E-2</v>
      </c>
      <c r="W75" s="18"/>
    </row>
    <row r="76" spans="1:28" x14ac:dyDescent="0.2">
      <c r="A76" s="9">
        <f>'Monthly Data'!A76</f>
        <v>44256</v>
      </c>
      <c r="B76">
        <f t="shared" si="11"/>
        <v>2021</v>
      </c>
      <c r="C76">
        <f t="shared" si="12"/>
        <v>3</v>
      </c>
      <c r="D76" s="31">
        <f>'Monthly Data'!N76</f>
        <v>67520952.218768224</v>
      </c>
      <c r="E76" s="33">
        <f>'Monthly Data'!AZ76</f>
        <v>207.8</v>
      </c>
      <c r="F76" s="33">
        <f>'Monthly Data'!AW76</f>
        <v>0</v>
      </c>
      <c r="G76" s="33">
        <f>'Monthly Data'!BS76</f>
        <v>75</v>
      </c>
      <c r="H76" s="30">
        <f>'Monthly Data'!BO76</f>
        <v>0</v>
      </c>
      <c r="I76" s="33">
        <f>'Monthly Data'!BT76</f>
        <v>31</v>
      </c>
      <c r="J76" s="33">
        <f>'Monthly Data'!AK76</f>
        <v>-110.70000000000027</v>
      </c>
      <c r="L76" s="18">
        <f>'GS&gt;50 Predicted Monthly'!$X$10</f>
        <v>12654537.4440873</v>
      </c>
      <c r="M76" s="18">
        <f>E76*'GS&gt;50 Predicted Monthly'!$X$11</f>
        <v>3789386.6614690605</v>
      </c>
      <c r="N76" s="18">
        <f>F76*'GS&gt;50 Predicted Monthly'!$X$12</f>
        <v>0</v>
      </c>
      <c r="O76" s="18">
        <f>G76*'GS&gt;50 Predicted Monthly'!$X$13</f>
        <v>-4989203.9271049127</v>
      </c>
      <c r="P76" s="18">
        <f>H76*'GS&gt;50 Predicted Monthly'!$X$14</f>
        <v>0</v>
      </c>
      <c r="Q76" s="18">
        <f>I76*'GS&gt;50 Predicted Monthly'!$X$15</f>
        <v>59070853.247044139</v>
      </c>
      <c r="R76" s="18">
        <f>J76*'GS&gt;50 Predicted Monthly'!$X$16</f>
        <v>-775652.56633935624</v>
      </c>
      <c r="S76" s="18">
        <f t="shared" si="15"/>
        <v>69749920.859156236</v>
      </c>
      <c r="T76" s="18">
        <f t="shared" si="13"/>
        <v>2228968.6403880119</v>
      </c>
      <c r="U76" s="35">
        <f t="shared" si="14"/>
        <v>3.3011510755448802E-2</v>
      </c>
    </row>
    <row r="77" spans="1:28" x14ac:dyDescent="0.2">
      <c r="A77" s="9">
        <f>'Monthly Data'!A77</f>
        <v>44287</v>
      </c>
      <c r="B77">
        <f t="shared" si="11"/>
        <v>2021</v>
      </c>
      <c r="C77">
        <f t="shared" si="12"/>
        <v>4</v>
      </c>
      <c r="D77" s="31">
        <f>'Monthly Data'!N77</f>
        <v>60994721.517973185</v>
      </c>
      <c r="E77" s="33">
        <f>'Monthly Data'!AZ77</f>
        <v>100.4</v>
      </c>
      <c r="F77" s="33">
        <f>'Monthly Data'!AW77</f>
        <v>0</v>
      </c>
      <c r="G77" s="33">
        <f>'Monthly Data'!BS77</f>
        <v>76</v>
      </c>
      <c r="H77" s="30">
        <f>'Monthly Data'!BO77</f>
        <v>0</v>
      </c>
      <c r="I77" s="33">
        <f>'Monthly Data'!BT77</f>
        <v>30</v>
      </c>
      <c r="J77" s="33">
        <f>'Monthly Data'!AK77</f>
        <v>97</v>
      </c>
      <c r="L77" s="18">
        <f>'GS&gt;50 Predicted Monthly'!$X$10</f>
        <v>12654537.4440873</v>
      </c>
      <c r="M77" s="18">
        <f>E77*'GS&gt;50 Predicted Monthly'!$X$11</f>
        <v>1830868.242596216</v>
      </c>
      <c r="N77" s="18">
        <f>F77*'GS&gt;50 Predicted Monthly'!$X$12</f>
        <v>0</v>
      </c>
      <c r="O77" s="18">
        <f>G77*'GS&gt;50 Predicted Monthly'!$X$13</f>
        <v>-5055726.6461329786</v>
      </c>
      <c r="P77" s="18">
        <f>H77*'GS&gt;50 Predicted Monthly'!$X$14</f>
        <v>0</v>
      </c>
      <c r="Q77" s="18">
        <f>I77*'GS&gt;50 Predicted Monthly'!$X$15</f>
        <v>57165341.851978198</v>
      </c>
      <c r="R77" s="18">
        <f>J77*'GS&gt;50 Predicted Monthly'!$X$16</f>
        <v>679659.43030638993</v>
      </c>
      <c r="S77" s="18">
        <f t="shared" si="15"/>
        <v>67274680.322835118</v>
      </c>
      <c r="T77" s="18">
        <f t="shared" si="13"/>
        <v>6279958.804861933</v>
      </c>
      <c r="U77" s="35">
        <f t="shared" si="14"/>
        <v>0.10295905364550982</v>
      </c>
      <c r="W77" s="18"/>
    </row>
    <row r="78" spans="1:28" x14ac:dyDescent="0.2">
      <c r="A78" s="9">
        <f>'Monthly Data'!A78</f>
        <v>44317</v>
      </c>
      <c r="B78">
        <f t="shared" si="11"/>
        <v>2021</v>
      </c>
      <c r="C78">
        <f t="shared" si="12"/>
        <v>5</v>
      </c>
      <c r="D78" s="31">
        <f>'Monthly Data'!N78</f>
        <v>64228014.817178145</v>
      </c>
      <c r="E78" s="33">
        <f>'Monthly Data'!AZ78</f>
        <v>19.300000000000004</v>
      </c>
      <c r="F78" s="33">
        <f>'Monthly Data'!AW78</f>
        <v>53.6</v>
      </c>
      <c r="G78" s="33">
        <f>'Monthly Data'!BS78</f>
        <v>77</v>
      </c>
      <c r="H78" s="30">
        <f>'Monthly Data'!BO78</f>
        <v>0</v>
      </c>
      <c r="I78" s="33">
        <f>'Monthly Data'!BT78</f>
        <v>31</v>
      </c>
      <c r="J78" s="33">
        <f>'Monthly Data'!AK78</f>
        <v>302.90000000000009</v>
      </c>
      <c r="L78" s="18">
        <f>'GS&gt;50 Predicted Monthly'!$X$10</f>
        <v>12654537.4440873</v>
      </c>
      <c r="M78" s="18">
        <f>E78*'GS&gt;50 Predicted Monthly'!$X$11</f>
        <v>351949.77173413319</v>
      </c>
      <c r="N78" s="18">
        <f>F78*'GS&gt;50 Predicted Monthly'!$X$12</f>
        <v>2514474.5681131077</v>
      </c>
      <c r="O78" s="18">
        <f>G78*'GS&gt;50 Predicted Monthly'!$X$13</f>
        <v>-5122249.3651610436</v>
      </c>
      <c r="P78" s="18">
        <f>H78*'GS&gt;50 Predicted Monthly'!$X$14</f>
        <v>0</v>
      </c>
      <c r="Q78" s="18">
        <f>I78*'GS&gt;50 Predicted Monthly'!$X$15</f>
        <v>59070853.247044139</v>
      </c>
      <c r="R78" s="18">
        <f>J78*'GS&gt;50 Predicted Monthly'!$X$16</f>
        <v>2122359.1901010885</v>
      </c>
      <c r="S78" s="18">
        <f t="shared" si="15"/>
        <v>71591924.85591872</v>
      </c>
      <c r="T78" s="18">
        <f t="shared" si="13"/>
        <v>7363910.0387405753</v>
      </c>
      <c r="U78" s="35">
        <f t="shared" si="14"/>
        <v>0.11465261786000361</v>
      </c>
      <c r="W78" s="18"/>
      <c r="Z78" s="18"/>
      <c r="AA78" s="18"/>
      <c r="AB78" s="75"/>
    </row>
    <row r="79" spans="1:28" x14ac:dyDescent="0.2">
      <c r="A79" s="9">
        <f>'Monthly Data'!A79</f>
        <v>44348</v>
      </c>
      <c r="B79">
        <f t="shared" si="11"/>
        <v>2021</v>
      </c>
      <c r="C79">
        <f t="shared" si="12"/>
        <v>6</v>
      </c>
      <c r="D79" s="31">
        <f>'Monthly Data'!N79</f>
        <v>73762071.116383106</v>
      </c>
      <c r="E79" s="33">
        <f>'Monthly Data'!AZ79</f>
        <v>0</v>
      </c>
      <c r="F79" s="33">
        <f>'Monthly Data'!AW79</f>
        <v>209.39999999999995</v>
      </c>
      <c r="G79" s="33">
        <f>'Monthly Data'!BS79</f>
        <v>78</v>
      </c>
      <c r="H79" s="30">
        <f>'Monthly Data'!BO79</f>
        <v>0</v>
      </c>
      <c r="I79" s="33">
        <f>'Monthly Data'!BT79</f>
        <v>30</v>
      </c>
      <c r="J79" s="33">
        <f>'Monthly Data'!AK79</f>
        <v>372.30000000000018</v>
      </c>
      <c r="L79" s="18">
        <f>'GS&gt;50 Predicted Monthly'!$X$10</f>
        <v>12654537.4440873</v>
      </c>
      <c r="M79" s="18">
        <f>E79*'GS&gt;50 Predicted Monthly'!$X$11</f>
        <v>0</v>
      </c>
      <c r="N79" s="18">
        <f>F79*'GS&gt;50 Predicted Monthly'!$X$12</f>
        <v>9823339.0776657574</v>
      </c>
      <c r="O79" s="18">
        <f>G79*'GS&gt;50 Predicted Monthly'!$X$13</f>
        <v>-5188772.0841891095</v>
      </c>
      <c r="P79" s="18">
        <f>H79*'GS&gt;50 Predicted Monthly'!$X$14</f>
        <v>0</v>
      </c>
      <c r="Q79" s="18">
        <f>I79*'GS&gt;50 Predicted Monthly'!$X$15</f>
        <v>57165341.851978198</v>
      </c>
      <c r="R79" s="18">
        <f>J79*'GS&gt;50 Predicted Monthly'!$X$16</f>
        <v>2608630.9886914343</v>
      </c>
      <c r="S79" s="18">
        <f t="shared" si="15"/>
        <v>77063077.278233573</v>
      </c>
      <c r="T79" s="18">
        <f t="shared" si="13"/>
        <v>3301006.1618504673</v>
      </c>
      <c r="U79" s="35">
        <f t="shared" si="14"/>
        <v>4.4752080735939226E-2</v>
      </c>
      <c r="W79" s="18"/>
      <c r="Z79" s="18"/>
      <c r="AA79" s="18"/>
      <c r="AB79" s="75"/>
    </row>
    <row r="80" spans="1:28" x14ac:dyDescent="0.2">
      <c r="A80" s="9">
        <f>'Monthly Data'!A80</f>
        <v>44378</v>
      </c>
      <c r="B80">
        <f t="shared" si="11"/>
        <v>2021</v>
      </c>
      <c r="C80">
        <f t="shared" si="12"/>
        <v>7</v>
      </c>
      <c r="D80" s="31">
        <f>'Monthly Data'!N80</f>
        <v>76779118.415588066</v>
      </c>
      <c r="E80" s="33">
        <f>'Monthly Data'!AZ80</f>
        <v>0</v>
      </c>
      <c r="F80" s="33">
        <f>'Monthly Data'!AW80</f>
        <v>234.5</v>
      </c>
      <c r="G80" s="33">
        <f>'Monthly Data'!BS80</f>
        <v>79</v>
      </c>
      <c r="H80" s="30">
        <f>'Monthly Data'!BO80</f>
        <v>0</v>
      </c>
      <c r="I80" s="33">
        <f>'Monthly Data'!BT80</f>
        <v>31</v>
      </c>
      <c r="J80" s="33">
        <f>'Monthly Data'!AK80</f>
        <v>350.30000000000018</v>
      </c>
      <c r="L80" s="18">
        <f>'GS&gt;50 Predicted Monthly'!$X$10</f>
        <v>12654537.4440873</v>
      </c>
      <c r="M80" s="18">
        <f>E80*'GS&gt;50 Predicted Monthly'!$X$11</f>
        <v>0</v>
      </c>
      <c r="N80" s="18">
        <f>F80*'GS&gt;50 Predicted Monthly'!$X$12</f>
        <v>11000826.235494846</v>
      </c>
      <c r="O80" s="18">
        <f>G80*'GS&gt;50 Predicted Monthly'!$X$13</f>
        <v>-5255294.8032171745</v>
      </c>
      <c r="P80" s="18">
        <f>H80*'GS&gt;50 Predicted Monthly'!$X$14</f>
        <v>0</v>
      </c>
      <c r="Q80" s="18">
        <f>I80*'GS&gt;50 Predicted Monthly'!$X$15</f>
        <v>59070853.247044139</v>
      </c>
      <c r="R80" s="18">
        <f>J80*'GS&gt;50 Predicted Monthly'!$X$16</f>
        <v>2454481.4271786446</v>
      </c>
      <c r="S80" s="18">
        <f t="shared" si="15"/>
        <v>79925403.550587773</v>
      </c>
      <c r="T80" s="18">
        <f t="shared" si="13"/>
        <v>3146285.1349997073</v>
      </c>
      <c r="U80" s="35">
        <f t="shared" si="14"/>
        <v>4.0978396208843852E-2</v>
      </c>
      <c r="W80" s="18"/>
      <c r="Z80" s="18"/>
      <c r="AA80" s="18"/>
      <c r="AB80" s="75"/>
    </row>
    <row r="81" spans="1:28" x14ac:dyDescent="0.2">
      <c r="A81" s="9">
        <f>'Monthly Data'!A81</f>
        <v>44409</v>
      </c>
      <c r="B81">
        <f t="shared" si="11"/>
        <v>2021</v>
      </c>
      <c r="C81">
        <f t="shared" si="12"/>
        <v>8</v>
      </c>
      <c r="D81" s="31">
        <f>'Monthly Data'!N81</f>
        <v>82287571.714793041</v>
      </c>
      <c r="E81" s="33">
        <f>'Monthly Data'!AZ81</f>
        <v>0</v>
      </c>
      <c r="F81" s="33">
        <f>'Monthly Data'!AW81</f>
        <v>299.2</v>
      </c>
      <c r="G81" s="33">
        <f>'Monthly Data'!BS81</f>
        <v>80</v>
      </c>
      <c r="H81" s="30">
        <f>'Monthly Data'!BO81</f>
        <v>0</v>
      </c>
      <c r="I81" s="33">
        <f>'Monthly Data'!BT81</f>
        <v>31</v>
      </c>
      <c r="J81" s="33">
        <f>'Monthly Data'!AK81</f>
        <v>294.59999999999991</v>
      </c>
      <c r="L81" s="18">
        <f>'GS&gt;50 Predicted Monthly'!$X$10</f>
        <v>12654537.4440873</v>
      </c>
      <c r="M81" s="18">
        <f>E81*'GS&gt;50 Predicted Monthly'!$X$11</f>
        <v>0</v>
      </c>
      <c r="N81" s="18">
        <f>F81*'GS&gt;50 Predicted Monthly'!$X$12</f>
        <v>14036022.216034362</v>
      </c>
      <c r="O81" s="18">
        <f>G81*'GS&gt;50 Predicted Monthly'!$X$13</f>
        <v>-5321817.5222452404</v>
      </c>
      <c r="P81" s="18">
        <f>H81*'GS&gt;50 Predicted Monthly'!$X$14</f>
        <v>0</v>
      </c>
      <c r="Q81" s="18">
        <f>I81*'GS&gt;50 Predicted Monthly'!$X$15</f>
        <v>59070853.247044139</v>
      </c>
      <c r="R81" s="18">
        <f>J81*'GS&gt;50 Predicted Monthly'!$X$16</f>
        <v>2064202.764621262</v>
      </c>
      <c r="S81" s="18">
        <f t="shared" si="15"/>
        <v>82503798.149541825</v>
      </c>
      <c r="T81" s="18">
        <f t="shared" si="13"/>
        <v>216226.43474878371</v>
      </c>
      <c r="U81" s="35">
        <f t="shared" si="14"/>
        <v>2.6276924964831858E-3</v>
      </c>
      <c r="W81" s="18"/>
      <c r="Z81" s="18"/>
      <c r="AA81" s="18"/>
      <c r="AB81" s="75"/>
    </row>
    <row r="82" spans="1:28" x14ac:dyDescent="0.2">
      <c r="A82" s="9">
        <f>'Monthly Data'!A82</f>
        <v>44440</v>
      </c>
      <c r="B82">
        <f t="shared" si="11"/>
        <v>2021</v>
      </c>
      <c r="C82">
        <f t="shared" si="12"/>
        <v>9</v>
      </c>
      <c r="D82" s="31">
        <f>'Monthly Data'!N82</f>
        <v>71607496.013998002</v>
      </c>
      <c r="E82" s="33">
        <f>'Monthly Data'!AZ82</f>
        <v>0</v>
      </c>
      <c r="F82" s="33">
        <f>'Monthly Data'!AW82</f>
        <v>131.20000000000002</v>
      </c>
      <c r="G82" s="33">
        <f>'Monthly Data'!BS82</f>
        <v>81</v>
      </c>
      <c r="H82" s="30">
        <f>'Monthly Data'!BO82</f>
        <v>0</v>
      </c>
      <c r="I82" s="33">
        <f>'Monthly Data'!BT82</f>
        <v>30</v>
      </c>
      <c r="J82" s="33">
        <f>'Monthly Data'!AK82</f>
        <v>252.09999999999991</v>
      </c>
      <c r="L82" s="18">
        <f>'GS&gt;50 Predicted Monthly'!$X$10</f>
        <v>12654537.4440873</v>
      </c>
      <c r="M82" s="18">
        <f>E82*'GS&gt;50 Predicted Monthly'!$X$11</f>
        <v>0</v>
      </c>
      <c r="N82" s="18">
        <f>F82*'GS&gt;50 Predicted Monthly'!$X$12</f>
        <v>6154833.2712022346</v>
      </c>
      <c r="O82" s="18">
        <f>G82*'GS&gt;50 Predicted Monthly'!$X$13</f>
        <v>-5388340.2412733063</v>
      </c>
      <c r="P82" s="18">
        <f>H82*'GS&gt;50 Predicted Monthly'!$X$14</f>
        <v>0</v>
      </c>
      <c r="Q82" s="18">
        <f>I82*'GS&gt;50 Predicted Monthly'!$X$15</f>
        <v>57165341.851978198</v>
      </c>
      <c r="R82" s="18">
        <f>J82*'GS&gt;50 Predicted Monthly'!$X$16</f>
        <v>1766413.838971555</v>
      </c>
      <c r="S82" s="18">
        <f t="shared" si="15"/>
        <v>72352786.164965987</v>
      </c>
      <c r="T82" s="18">
        <f t="shared" si="13"/>
        <v>745290.15096798539</v>
      </c>
      <c r="U82" s="35">
        <f t="shared" si="14"/>
        <v>1.0407990677711931E-2</v>
      </c>
      <c r="W82" s="18"/>
      <c r="Z82" s="18"/>
      <c r="AA82" s="18"/>
      <c r="AB82" s="75"/>
    </row>
    <row r="83" spans="1:28" x14ac:dyDescent="0.2">
      <c r="A83" s="9">
        <f>'Monthly Data'!A83</f>
        <v>44470</v>
      </c>
      <c r="B83">
        <f t="shared" si="11"/>
        <v>2021</v>
      </c>
      <c r="C83">
        <f t="shared" si="12"/>
        <v>10</v>
      </c>
      <c r="D83" s="31">
        <f>'Monthly Data'!N83</f>
        <v>69158586.313202962</v>
      </c>
      <c r="E83" s="33">
        <f>'Monthly Data'!AZ83</f>
        <v>8.6999999999999993</v>
      </c>
      <c r="F83" s="33">
        <f>'Monthly Data'!AW83</f>
        <v>66.099999999999994</v>
      </c>
      <c r="G83" s="33">
        <f>'Monthly Data'!BS83</f>
        <v>82</v>
      </c>
      <c r="H83" s="30">
        <f>'Monthly Data'!BO83</f>
        <v>0</v>
      </c>
      <c r="I83" s="33">
        <f>'Monthly Data'!BT83</f>
        <v>31</v>
      </c>
      <c r="J83" s="33">
        <f>'Monthly Data'!AK83</f>
        <v>200.59999999999991</v>
      </c>
      <c r="L83" s="18">
        <f>'GS&gt;50 Predicted Monthly'!$X$10</f>
        <v>12654537.4440873</v>
      </c>
      <c r="M83" s="18">
        <f>E83*'GS&gt;50 Predicted Monthly'!$X$11</f>
        <v>158650.93337238123</v>
      </c>
      <c r="N83" s="18">
        <f>F83*'GS&gt;50 Predicted Monthly'!$X$12</f>
        <v>3100872.5550797838</v>
      </c>
      <c r="O83" s="18">
        <f>G83*'GS&gt;50 Predicted Monthly'!$X$13</f>
        <v>-5454862.9603013713</v>
      </c>
      <c r="P83" s="18">
        <f>H83*'GS&gt;50 Predicted Monthly'!$X$14</f>
        <v>0</v>
      </c>
      <c r="Q83" s="18">
        <f>I83*'GS&gt;50 Predicted Monthly'!$X$15</f>
        <v>59070853.247044139</v>
      </c>
      <c r="R83" s="18">
        <f>J83*'GS&gt;50 Predicted Monthly'!$X$16</f>
        <v>1405563.7290666162</v>
      </c>
      <c r="S83" s="18">
        <f t="shared" si="15"/>
        <v>70935614.94834885</v>
      </c>
      <c r="T83" s="18">
        <f t="shared" si="13"/>
        <v>1777028.6351458877</v>
      </c>
      <c r="U83" s="35">
        <f t="shared" si="14"/>
        <v>2.5694982067709472E-2</v>
      </c>
      <c r="W83" s="18"/>
      <c r="Z83" s="18"/>
      <c r="AA83" s="18"/>
      <c r="AB83" s="75"/>
    </row>
    <row r="84" spans="1:28" x14ac:dyDescent="0.2">
      <c r="A84" s="9">
        <f>'Monthly Data'!A84</f>
        <v>44501</v>
      </c>
      <c r="B84">
        <f t="shared" si="11"/>
        <v>2021</v>
      </c>
      <c r="C84">
        <f t="shared" si="12"/>
        <v>11</v>
      </c>
      <c r="D84" s="31">
        <f>'Monthly Data'!N84</f>
        <v>69469437.612407923</v>
      </c>
      <c r="E84" s="33">
        <f>'Monthly Data'!AZ84</f>
        <v>132.00000000000003</v>
      </c>
      <c r="F84" s="33">
        <f>'Monthly Data'!AW84</f>
        <v>0</v>
      </c>
      <c r="G84" s="33">
        <f>'Monthly Data'!BS84</f>
        <v>83</v>
      </c>
      <c r="H84" s="30">
        <f>'Monthly Data'!BO84</f>
        <v>0</v>
      </c>
      <c r="I84" s="33">
        <f>'Monthly Data'!BT84</f>
        <v>30</v>
      </c>
      <c r="J84" s="33">
        <f>'Monthly Data'!AK84</f>
        <v>183.19999999999982</v>
      </c>
      <c r="L84" s="18">
        <f>'GS&gt;50 Predicted Monthly'!$X$10</f>
        <v>12654537.4440873</v>
      </c>
      <c r="M84" s="18">
        <f>E84*'GS&gt;50 Predicted Monthly'!$X$11</f>
        <v>2407117.6097878539</v>
      </c>
      <c r="N84" s="18">
        <f>F84*'GS&gt;50 Predicted Monthly'!$X$12</f>
        <v>0</v>
      </c>
      <c r="O84" s="18">
        <f>G84*'GS&gt;50 Predicted Monthly'!$X$13</f>
        <v>-5521385.6793294372</v>
      </c>
      <c r="P84" s="18">
        <f>H84*'GS&gt;50 Predicted Monthly'!$X$14</f>
        <v>0</v>
      </c>
      <c r="Q84" s="18">
        <f>I84*'GS&gt;50 Predicted Monthly'!$X$15</f>
        <v>57165341.851978198</v>
      </c>
      <c r="R84" s="18">
        <f>J84*'GS&gt;50 Predicted Monthly'!$X$16</f>
        <v>1283645.4395065003</v>
      </c>
      <c r="S84" s="18">
        <f t="shared" si="15"/>
        <v>67989256.666030407</v>
      </c>
      <c r="T84" s="18">
        <f t="shared" si="13"/>
        <v>-1480180.9463775158</v>
      </c>
      <c r="U84" s="35">
        <f t="shared" si="14"/>
        <v>2.1306937226639372E-2</v>
      </c>
      <c r="W84" s="18"/>
      <c r="Z84" s="18"/>
      <c r="AA84" s="18"/>
      <c r="AB84" s="75"/>
    </row>
    <row r="85" spans="1:28" x14ac:dyDescent="0.2">
      <c r="A85" s="9">
        <f>'Monthly Data'!A85</f>
        <v>44531</v>
      </c>
      <c r="B85">
        <f t="shared" si="11"/>
        <v>2021</v>
      </c>
      <c r="C85">
        <f t="shared" si="12"/>
        <v>12</v>
      </c>
      <c r="D85" s="31">
        <f>'Monthly Data'!N85</f>
        <v>71198021.911612883</v>
      </c>
      <c r="E85" s="33">
        <f>'Monthly Data'!AZ85</f>
        <v>217.9</v>
      </c>
      <c r="F85" s="33">
        <f>'Monthly Data'!AW85</f>
        <v>0</v>
      </c>
      <c r="G85" s="33">
        <f>'Monthly Data'!BS85</f>
        <v>84</v>
      </c>
      <c r="H85" s="30">
        <f>'Monthly Data'!BO85</f>
        <v>1</v>
      </c>
      <c r="I85" s="33">
        <f>'Monthly Data'!BT85</f>
        <v>31</v>
      </c>
      <c r="J85" s="33">
        <f>'Monthly Data'!AK85</f>
        <v>221.19999999999982</v>
      </c>
      <c r="L85" s="18">
        <f>'GS&gt;50 Predicted Monthly'!$X$10</f>
        <v>12654537.4440873</v>
      </c>
      <c r="M85" s="18">
        <f>E85*'GS&gt;50 Predicted Monthly'!$X$11</f>
        <v>3973567.6300967676</v>
      </c>
      <c r="N85" s="18">
        <f>F85*'GS&gt;50 Predicted Monthly'!$X$12</f>
        <v>0</v>
      </c>
      <c r="O85" s="18">
        <f>G85*'GS&gt;50 Predicted Monthly'!$X$13</f>
        <v>-5587908.3983575022</v>
      </c>
      <c r="P85" s="18">
        <f>H85*'GS&gt;50 Predicted Monthly'!$X$14</f>
        <v>-2455659.1490839599</v>
      </c>
      <c r="Q85" s="18">
        <f>I85*'GS&gt;50 Predicted Monthly'!$X$15</f>
        <v>59070853.247044139</v>
      </c>
      <c r="R85" s="18">
        <f>J85*'GS&gt;50 Predicted Monthly'!$X$16</f>
        <v>1549903.7730285912</v>
      </c>
      <c r="S85" s="18">
        <f t="shared" si="15"/>
        <v>69205294.546815336</v>
      </c>
      <c r="T85" s="18">
        <f t="shared" si="13"/>
        <v>-1992727.3647975475</v>
      </c>
      <c r="U85" s="35">
        <f t="shared" si="14"/>
        <v>2.7988521468635352E-2</v>
      </c>
      <c r="W85" s="18"/>
      <c r="Z85" s="18"/>
      <c r="AA85" s="18"/>
      <c r="AB85" s="75"/>
    </row>
    <row r="86" spans="1:28" x14ac:dyDescent="0.2">
      <c r="A86" s="9">
        <f>'Monthly Data'!A86</f>
        <v>44562</v>
      </c>
      <c r="B86">
        <f t="shared" si="11"/>
        <v>2022</v>
      </c>
      <c r="C86">
        <f t="shared" si="12"/>
        <v>1</v>
      </c>
      <c r="D86" s="31">
        <f>'Monthly Data'!N86</f>
        <v>74478066.188207835</v>
      </c>
      <c r="E86" s="33">
        <f>'Monthly Data'!AZ86</f>
        <v>500.20000000000005</v>
      </c>
      <c r="F86" s="33">
        <f>'Monthly Data'!AW86</f>
        <v>0</v>
      </c>
      <c r="G86" s="33">
        <f>'Monthly Data'!BS86</f>
        <v>85</v>
      </c>
      <c r="H86" s="30">
        <f>'Monthly Data'!BO86</f>
        <v>0</v>
      </c>
      <c r="I86" s="33">
        <f>'Monthly Data'!BT86</f>
        <v>31</v>
      </c>
      <c r="J86" s="33">
        <f>'Monthly Data'!AK86</f>
        <v>252.19999999999982</v>
      </c>
      <c r="L86" s="18">
        <f>'GS&gt;50 Predicted Monthly'!$X$10</f>
        <v>12654537.4440873</v>
      </c>
      <c r="M86" s="18">
        <f>E86*'GS&gt;50 Predicted Monthly'!$X$11</f>
        <v>9121516.881938519</v>
      </c>
      <c r="N86" s="18">
        <f>F86*'GS&gt;50 Predicted Monthly'!$X$12</f>
        <v>0</v>
      </c>
      <c r="O86" s="18">
        <f>G86*'GS&gt;50 Predicted Monthly'!$X$13</f>
        <v>-5654431.1173855681</v>
      </c>
      <c r="P86" s="18">
        <f>H86*'GS&gt;50 Predicted Monthly'!$X$14</f>
        <v>0</v>
      </c>
      <c r="Q86" s="18">
        <f>I86*'GS&gt;50 Predicted Monthly'!$X$15</f>
        <v>59070853.247044139</v>
      </c>
      <c r="R86" s="18">
        <f>J86*'GS&gt;50 Predicted Monthly'!$X$16</f>
        <v>1767114.5187966125</v>
      </c>
      <c r="S86" s="18">
        <f t="shared" si="15"/>
        <v>76959590.974481001</v>
      </c>
      <c r="T86" s="18">
        <f t="shared" si="13"/>
        <v>2481524.7862731665</v>
      </c>
      <c r="U86" s="35">
        <f t="shared" si="14"/>
        <v>3.3318867060837677E-2</v>
      </c>
      <c r="W86" s="18"/>
      <c r="Z86" s="18"/>
      <c r="AA86" s="18"/>
      <c r="AB86" s="75"/>
    </row>
    <row r="87" spans="1:28" x14ac:dyDescent="0.2">
      <c r="A87" s="9">
        <f>'Monthly Data'!A87</f>
        <v>44593</v>
      </c>
      <c r="B87">
        <f t="shared" si="11"/>
        <v>2022</v>
      </c>
      <c r="C87">
        <f t="shared" si="12"/>
        <v>2</v>
      </c>
      <c r="D87" s="31">
        <f>'Monthly Data'!N87</f>
        <v>67971284.977837473</v>
      </c>
      <c r="E87" s="33">
        <f>'Monthly Data'!AZ87</f>
        <v>352.7</v>
      </c>
      <c r="F87" s="33">
        <f>'Monthly Data'!AW87</f>
        <v>0</v>
      </c>
      <c r="G87" s="33">
        <f>'Monthly Data'!BS87</f>
        <v>86</v>
      </c>
      <c r="H87" s="30">
        <f>'Monthly Data'!BO87</f>
        <v>0</v>
      </c>
      <c r="I87" s="33">
        <f>'Monthly Data'!BT87</f>
        <v>28</v>
      </c>
      <c r="J87" s="33">
        <f>'Monthly Data'!AK87</f>
        <v>286.80000000000018</v>
      </c>
      <c r="L87" s="18">
        <f>'GS&gt;50 Predicted Monthly'!$X$10</f>
        <v>12654537.4440873</v>
      </c>
      <c r="M87" s="18">
        <f>E87*'GS&gt;50 Predicted Monthly'!$X$11</f>
        <v>6431745.3103952724</v>
      </c>
      <c r="N87" s="18">
        <f>F87*'GS&gt;50 Predicted Monthly'!$X$12</f>
        <v>0</v>
      </c>
      <c r="O87" s="18">
        <f>G87*'GS&gt;50 Predicted Monthly'!$X$13</f>
        <v>-5720953.8364136331</v>
      </c>
      <c r="P87" s="18">
        <f>H87*'GS&gt;50 Predicted Monthly'!$X$14</f>
        <v>0</v>
      </c>
      <c r="Q87" s="18">
        <f>I87*'GS&gt;50 Predicted Monthly'!$X$15</f>
        <v>53354319.061846316</v>
      </c>
      <c r="R87" s="18">
        <f>J87*'GS&gt;50 Predicted Monthly'!$X$16</f>
        <v>2009549.7382667295</v>
      </c>
      <c r="S87" s="18">
        <f t="shared" si="15"/>
        <v>68729197.718181998</v>
      </c>
      <c r="T87" s="18">
        <f t="shared" si="13"/>
        <v>757912.74034452438</v>
      </c>
      <c r="U87" s="35">
        <f t="shared" si="14"/>
        <v>1.1150484216851973E-2</v>
      </c>
      <c r="W87" s="18"/>
      <c r="Z87" s="18"/>
      <c r="AA87" s="18"/>
      <c r="AB87" s="75"/>
    </row>
    <row r="88" spans="1:28" x14ac:dyDescent="0.2">
      <c r="A88" s="9">
        <f>'Monthly Data'!A88</f>
        <v>44621</v>
      </c>
      <c r="B88">
        <f t="shared" si="11"/>
        <v>2022</v>
      </c>
      <c r="C88">
        <f t="shared" si="12"/>
        <v>3</v>
      </c>
      <c r="D88" s="31">
        <f>'Monthly Data'!N88</f>
        <v>72988414.767467111</v>
      </c>
      <c r="E88" s="33">
        <f>'Monthly Data'!AZ88</f>
        <v>247.89999999999998</v>
      </c>
      <c r="F88" s="33">
        <f>'Monthly Data'!AW88</f>
        <v>0</v>
      </c>
      <c r="G88" s="33">
        <f>'Monthly Data'!BS88</f>
        <v>87</v>
      </c>
      <c r="H88" s="30">
        <f>'Monthly Data'!BO88</f>
        <v>0</v>
      </c>
      <c r="I88" s="33">
        <f>'Monthly Data'!BT88</f>
        <v>31</v>
      </c>
      <c r="J88" s="33">
        <f>'Monthly Data'!AK88</f>
        <v>269.80000000000018</v>
      </c>
      <c r="L88" s="18">
        <f>'GS&gt;50 Predicted Monthly'!$X$10</f>
        <v>12654537.4440873</v>
      </c>
      <c r="M88" s="18">
        <f>E88*'GS&gt;50 Predicted Monthly'!$X$11</f>
        <v>4520639.8141394611</v>
      </c>
      <c r="N88" s="18">
        <f>F88*'GS&gt;50 Predicted Monthly'!$X$12</f>
        <v>0</v>
      </c>
      <c r="O88" s="18">
        <f>G88*'GS&gt;50 Predicted Monthly'!$X$13</f>
        <v>-5787476.555441699</v>
      </c>
      <c r="P88" s="18">
        <f>H88*'GS&gt;50 Predicted Monthly'!$X$14</f>
        <v>0</v>
      </c>
      <c r="Q88" s="18">
        <f>I88*'GS&gt;50 Predicted Monthly'!$X$15</f>
        <v>59070853.247044139</v>
      </c>
      <c r="R88" s="18">
        <f>J88*'GS&gt;50 Predicted Monthly'!$X$16</f>
        <v>1890434.1680068467</v>
      </c>
      <c r="S88" s="18">
        <f t="shared" si="15"/>
        <v>72348988.117836043</v>
      </c>
      <c r="T88" s="18">
        <f t="shared" si="13"/>
        <v>-639426.64963106811</v>
      </c>
      <c r="U88" s="35">
        <f t="shared" si="14"/>
        <v>8.7606595055970127E-3</v>
      </c>
      <c r="W88" s="18"/>
    </row>
    <row r="89" spans="1:28" x14ac:dyDescent="0.2">
      <c r="A89" s="9">
        <f>'Monthly Data'!A89</f>
        <v>44652</v>
      </c>
      <c r="B89">
        <f t="shared" si="11"/>
        <v>2022</v>
      </c>
      <c r="C89">
        <f t="shared" si="12"/>
        <v>4</v>
      </c>
      <c r="D89" s="31">
        <f>'Monthly Data'!N89</f>
        <v>66254711.557096742</v>
      </c>
      <c r="E89" s="33">
        <f>'Monthly Data'!AZ89</f>
        <v>116.39999999999999</v>
      </c>
      <c r="F89" s="33">
        <f>'Monthly Data'!AW89</f>
        <v>0</v>
      </c>
      <c r="G89" s="33">
        <f>'Monthly Data'!BS89</f>
        <v>88</v>
      </c>
      <c r="H89" s="30">
        <f>'Monthly Data'!BO89</f>
        <v>0</v>
      </c>
      <c r="I89" s="33">
        <f>'Monthly Data'!BT89</f>
        <v>30</v>
      </c>
      <c r="J89" s="33">
        <f>'Monthly Data'!AK89</f>
        <v>286.30000000000018</v>
      </c>
      <c r="L89" s="18">
        <f>'GS&gt;50 Predicted Monthly'!$X$10</f>
        <v>12654537.4440873</v>
      </c>
      <c r="M89" s="18">
        <f>E89*'GS&gt;50 Predicted Monthly'!$X$11</f>
        <v>2122640.0740856524</v>
      </c>
      <c r="N89" s="18">
        <f>F89*'GS&gt;50 Predicted Monthly'!$X$12</f>
        <v>0</v>
      </c>
      <c r="O89" s="18">
        <f>G89*'GS&gt;50 Predicted Monthly'!$X$13</f>
        <v>-5853999.2744697649</v>
      </c>
      <c r="P89" s="18">
        <f>H89*'GS&gt;50 Predicted Monthly'!$X$14</f>
        <v>0</v>
      </c>
      <c r="Q89" s="18">
        <f>I89*'GS&gt;50 Predicted Monthly'!$X$15</f>
        <v>57165341.851978198</v>
      </c>
      <c r="R89" s="18">
        <f>J89*'GS&gt;50 Predicted Monthly'!$X$16</f>
        <v>2006046.3391414389</v>
      </c>
      <c r="S89" s="18">
        <f t="shared" si="15"/>
        <v>68094566.434822828</v>
      </c>
      <c r="T89" s="18">
        <f t="shared" si="13"/>
        <v>1839854.8777260855</v>
      </c>
      <c r="U89" s="35">
        <f t="shared" si="14"/>
        <v>2.7769419479557196E-2</v>
      </c>
      <c r="AB89" s="64"/>
    </row>
    <row r="90" spans="1:28" x14ac:dyDescent="0.2">
      <c r="A90" s="9">
        <f>'Monthly Data'!A90</f>
        <v>44682</v>
      </c>
      <c r="B90">
        <f t="shared" si="11"/>
        <v>2022</v>
      </c>
      <c r="C90">
        <f t="shared" si="12"/>
        <v>5</v>
      </c>
      <c r="D90" s="31">
        <f>'Monthly Data'!N90</f>
        <v>70028259.346726373</v>
      </c>
      <c r="E90" s="33">
        <f>'Monthly Data'!AZ90</f>
        <v>13.6</v>
      </c>
      <c r="F90" s="33">
        <f>'Monthly Data'!AW90</f>
        <v>60.3</v>
      </c>
      <c r="G90" s="33">
        <f>'Monthly Data'!BS90</f>
        <v>89</v>
      </c>
      <c r="H90" s="30">
        <f>'Monthly Data'!BO90</f>
        <v>0</v>
      </c>
      <c r="I90" s="33">
        <f>'Monthly Data'!BT90</f>
        <v>31</v>
      </c>
      <c r="J90" s="33">
        <f>'Monthly Data'!AK90</f>
        <v>290</v>
      </c>
      <c r="L90" s="18">
        <f>'GS&gt;50 Predicted Monthly'!$X$10</f>
        <v>12654537.4440873</v>
      </c>
      <c r="M90" s="18">
        <f>E90*'GS&gt;50 Predicted Monthly'!$X$11</f>
        <v>248006.05676602127</v>
      </c>
      <c r="N90" s="18">
        <f>F90*'GS&gt;50 Predicted Monthly'!$X$12</f>
        <v>2828783.8891272461</v>
      </c>
      <c r="O90" s="18">
        <f>G90*'GS&gt;50 Predicted Monthly'!$X$13</f>
        <v>-5920521.9934978299</v>
      </c>
      <c r="P90" s="18">
        <f>H90*'GS&gt;50 Predicted Monthly'!$X$14</f>
        <v>0</v>
      </c>
      <c r="Q90" s="18">
        <f>I90*'GS&gt;50 Predicted Monthly'!$X$15</f>
        <v>59070853.247044139</v>
      </c>
      <c r="R90" s="18">
        <f>J90*'GS&gt;50 Predicted Monthly'!$X$16</f>
        <v>2031971.4926685884</v>
      </c>
      <c r="S90" s="18">
        <f t="shared" si="15"/>
        <v>70913630.136195466</v>
      </c>
      <c r="T90" s="18">
        <f t="shared" si="13"/>
        <v>885370.78946909308</v>
      </c>
      <c r="U90" s="35">
        <f t="shared" si="14"/>
        <v>1.264305007333417E-2</v>
      </c>
    </row>
    <row r="91" spans="1:28" x14ac:dyDescent="0.2">
      <c r="A91" s="9">
        <f>'Monthly Data'!A91</f>
        <v>44713</v>
      </c>
      <c r="B91">
        <f t="shared" si="11"/>
        <v>2022</v>
      </c>
      <c r="C91">
        <f t="shared" si="12"/>
        <v>6</v>
      </c>
      <c r="D91" s="31">
        <f>'Monthly Data'!N91</f>
        <v>73412523.136356011</v>
      </c>
      <c r="E91" s="33">
        <f>'Monthly Data'!AZ91</f>
        <v>0</v>
      </c>
      <c r="F91" s="33">
        <f>'Monthly Data'!AW91</f>
        <v>154.49999999999994</v>
      </c>
      <c r="G91" s="33">
        <f>'Monthly Data'!BS91</f>
        <v>90</v>
      </c>
      <c r="H91" s="30">
        <f>'Monthly Data'!BO91</f>
        <v>0</v>
      </c>
      <c r="I91" s="33">
        <f>'Monthly Data'!BT91</f>
        <v>30</v>
      </c>
      <c r="J91" s="33">
        <f>'Monthly Data'!AK91</f>
        <v>289</v>
      </c>
      <c r="L91" s="18">
        <f>'GS&gt;50 Predicted Monthly'!$X$10</f>
        <v>12654537.4440873</v>
      </c>
      <c r="M91" s="18">
        <f>E91*'GS&gt;50 Predicted Monthly'!$X$11</f>
        <v>0</v>
      </c>
      <c r="N91" s="18">
        <f>F91*'GS&gt;50 Predicted Monthly'!$X$12</f>
        <v>7247879.1189081157</v>
      </c>
      <c r="O91" s="18">
        <f>G91*'GS&gt;50 Predicted Monthly'!$X$13</f>
        <v>-5987044.7125258958</v>
      </c>
      <c r="P91" s="18">
        <f>H91*'GS&gt;50 Predicted Monthly'!$X$14</f>
        <v>0</v>
      </c>
      <c r="Q91" s="18">
        <f>I91*'GS&gt;50 Predicted Monthly'!$X$15</f>
        <v>57165341.851978198</v>
      </c>
      <c r="R91" s="18">
        <f>J91*'GS&gt;50 Predicted Monthly'!$X$16</f>
        <v>2024964.6944180073</v>
      </c>
      <c r="S91" s="18">
        <f t="shared" si="15"/>
        <v>73105678.396865726</v>
      </c>
      <c r="T91" s="18">
        <f t="shared" si="13"/>
        <v>-306844.73949028552</v>
      </c>
      <c r="U91" s="35">
        <f t="shared" si="14"/>
        <v>4.1797329172347589E-3</v>
      </c>
    </row>
    <row r="92" spans="1:28" x14ac:dyDescent="0.2">
      <c r="A92" s="9">
        <f>'Monthly Data'!A92</f>
        <v>44743</v>
      </c>
      <c r="B92">
        <f t="shared" si="11"/>
        <v>2022</v>
      </c>
      <c r="C92">
        <f t="shared" si="12"/>
        <v>7</v>
      </c>
      <c r="D92" s="31">
        <f>'Monthly Data'!N92</f>
        <v>77789632.925985634</v>
      </c>
      <c r="E92" s="33">
        <f>'Monthly Data'!AZ92</f>
        <v>0</v>
      </c>
      <c r="F92" s="33">
        <f>'Monthly Data'!AW92</f>
        <v>260.7</v>
      </c>
      <c r="G92" s="33">
        <f>'Monthly Data'!BS92</f>
        <v>91</v>
      </c>
      <c r="H92" s="30">
        <f>'Monthly Data'!BO92</f>
        <v>0</v>
      </c>
      <c r="I92" s="33">
        <f>'Monthly Data'!BT92</f>
        <v>31</v>
      </c>
      <c r="J92" s="33">
        <f>'Monthly Data'!AK92</f>
        <v>250.90000000000009</v>
      </c>
      <c r="L92" s="18">
        <f>'GS&gt;50 Predicted Monthly'!$X$10</f>
        <v>12654537.4440873</v>
      </c>
      <c r="M92" s="18">
        <f>E92*'GS&gt;50 Predicted Monthly'!$X$11</f>
        <v>0</v>
      </c>
      <c r="N92" s="18">
        <f>F92*'GS&gt;50 Predicted Monthly'!$X$12</f>
        <v>12229916.416176999</v>
      </c>
      <c r="O92" s="18">
        <f>G92*'GS&gt;50 Predicted Monthly'!$X$13</f>
        <v>-6053567.4315539608</v>
      </c>
      <c r="P92" s="18">
        <f>H92*'GS&gt;50 Predicted Monthly'!$X$14</f>
        <v>0</v>
      </c>
      <c r="Q92" s="18">
        <f>I92*'GS&gt;50 Predicted Monthly'!$X$15</f>
        <v>59070853.247044139</v>
      </c>
      <c r="R92" s="18">
        <f>J92*'GS&gt;50 Predicted Monthly'!$X$16</f>
        <v>1758005.6810708588</v>
      </c>
      <c r="S92" s="18">
        <f t="shared" si="15"/>
        <v>79659745.356825352</v>
      </c>
      <c r="T92" s="18">
        <f t="shared" si="13"/>
        <v>1870112.4308397174</v>
      </c>
      <c r="U92" s="35">
        <f t="shared" si="14"/>
        <v>2.4040638327977072E-2</v>
      </c>
    </row>
    <row r="93" spans="1:28" x14ac:dyDescent="0.2">
      <c r="A93" s="9">
        <f>'Monthly Data'!A93</f>
        <v>44774</v>
      </c>
      <c r="B93">
        <f t="shared" si="11"/>
        <v>2022</v>
      </c>
      <c r="C93">
        <f t="shared" si="12"/>
        <v>8</v>
      </c>
      <c r="D93" s="31">
        <f>'Monthly Data'!N93</f>
        <v>79678316.715615273</v>
      </c>
      <c r="E93" s="33">
        <f>'Monthly Data'!AZ93</f>
        <v>0</v>
      </c>
      <c r="F93" s="33">
        <f>'Monthly Data'!AW93</f>
        <v>256.5</v>
      </c>
      <c r="G93" s="33">
        <f>'Monthly Data'!BS93</f>
        <v>92</v>
      </c>
      <c r="H93" s="30">
        <f>'Monthly Data'!BO93</f>
        <v>0</v>
      </c>
      <c r="I93" s="33">
        <f>'Monthly Data'!BT93</f>
        <v>31</v>
      </c>
      <c r="J93" s="33">
        <f>'Monthly Data'!AK93</f>
        <v>177.30000000000018</v>
      </c>
      <c r="L93" s="18">
        <f>'GS&gt;50 Predicted Monthly'!$X$10</f>
        <v>12654537.4440873</v>
      </c>
      <c r="M93" s="18">
        <f>E93*'GS&gt;50 Predicted Monthly'!$X$11</f>
        <v>0</v>
      </c>
      <c r="N93" s="18">
        <f>F93*'GS&gt;50 Predicted Monthly'!$X$12</f>
        <v>12032886.692556197</v>
      </c>
      <c r="O93" s="18">
        <f>G93*'GS&gt;50 Predicted Monthly'!$X$13</f>
        <v>-6120090.1505820267</v>
      </c>
      <c r="P93" s="18">
        <f>H93*'GS&gt;50 Predicted Monthly'!$X$14</f>
        <v>0</v>
      </c>
      <c r="Q93" s="18">
        <f>I93*'GS&gt;50 Predicted Monthly'!$X$15</f>
        <v>59070853.247044139</v>
      </c>
      <c r="R93" s="18">
        <f>J93*'GS&gt;50 Predicted Monthly'!$X$16</f>
        <v>1242305.3298280728</v>
      </c>
      <c r="S93" s="18">
        <f t="shared" si="15"/>
        <v>78880492.562933683</v>
      </c>
      <c r="T93" s="18">
        <f t="shared" si="13"/>
        <v>-797824.15268158913</v>
      </c>
      <c r="U93" s="35">
        <f t="shared" si="14"/>
        <v>1.001306485337977E-2</v>
      </c>
    </row>
    <row r="94" spans="1:28" x14ac:dyDescent="0.2">
      <c r="A94" s="9">
        <f>'Monthly Data'!A94</f>
        <v>44805</v>
      </c>
      <c r="B94">
        <f t="shared" si="11"/>
        <v>2022</v>
      </c>
      <c r="C94">
        <f t="shared" si="12"/>
        <v>9</v>
      </c>
      <c r="D94" s="31">
        <f>'Monthly Data'!N94</f>
        <v>70692856.505244911</v>
      </c>
      <c r="E94" s="33">
        <f>'Monthly Data'!AZ94</f>
        <v>0</v>
      </c>
      <c r="F94" s="33">
        <f>'Monthly Data'!AW94</f>
        <v>136.20000000000002</v>
      </c>
      <c r="G94" s="33">
        <f>'Monthly Data'!BS94</f>
        <v>93</v>
      </c>
      <c r="H94" s="30">
        <f>'Monthly Data'!BO94</f>
        <v>0</v>
      </c>
      <c r="I94" s="33">
        <f>'Monthly Data'!BT94</f>
        <v>30</v>
      </c>
      <c r="J94" s="33">
        <f>'Monthly Data'!AK94</f>
        <v>103.10000000000036</v>
      </c>
      <c r="L94" s="18">
        <f>'GS&gt;50 Predicted Monthly'!$X$10</f>
        <v>12654537.4440873</v>
      </c>
      <c r="M94" s="18">
        <f>E94*'GS&gt;50 Predicted Monthly'!$X$11</f>
        <v>0</v>
      </c>
      <c r="N94" s="18">
        <f>F94*'GS&gt;50 Predicted Monthly'!$X$12</f>
        <v>6389392.4659889052</v>
      </c>
      <c r="O94" s="18">
        <f>G94*'GS&gt;50 Predicted Monthly'!$X$13</f>
        <v>-6186612.8696100917</v>
      </c>
      <c r="P94" s="18">
        <f>H94*'GS&gt;50 Predicted Monthly'!$X$14</f>
        <v>0</v>
      </c>
      <c r="Q94" s="18">
        <f>I94*'GS&gt;50 Predicted Monthly'!$X$15</f>
        <v>57165341.851978198</v>
      </c>
      <c r="R94" s="18">
        <f>J94*'GS&gt;50 Predicted Monthly'!$X$16</f>
        <v>722400.89963493869</v>
      </c>
      <c r="S94" s="18">
        <f t="shared" si="15"/>
        <v>70745059.792079255</v>
      </c>
      <c r="T94" s="18">
        <f t="shared" si="13"/>
        <v>52203.286834344268</v>
      </c>
      <c r="U94" s="35">
        <f t="shared" si="14"/>
        <v>7.3845207868310074E-4</v>
      </c>
    </row>
    <row r="95" spans="1:28" x14ac:dyDescent="0.2">
      <c r="A95" s="9">
        <f>'Monthly Data'!A95</f>
        <v>44835</v>
      </c>
      <c r="B95">
        <f t="shared" si="11"/>
        <v>2022</v>
      </c>
      <c r="C95">
        <f t="shared" si="12"/>
        <v>10</v>
      </c>
      <c r="D95" s="31">
        <f>'Monthly Data'!N95</f>
        <v>66086004.294874541</v>
      </c>
      <c r="E95" s="33">
        <f>'Monthly Data'!AZ95</f>
        <v>34.6</v>
      </c>
      <c r="F95" s="33">
        <f>'Monthly Data'!AW95</f>
        <v>12.299999999999999</v>
      </c>
      <c r="G95" s="33">
        <f>'Monthly Data'!BS95</f>
        <v>94</v>
      </c>
      <c r="H95" s="30">
        <f>'Monthly Data'!BO95</f>
        <v>0</v>
      </c>
      <c r="I95" s="33">
        <f>'Monthly Data'!BT95</f>
        <v>31</v>
      </c>
      <c r="J95" s="33">
        <f>'Monthly Data'!AK95</f>
        <v>45</v>
      </c>
      <c r="L95" s="18">
        <f>'GS&gt;50 Predicted Monthly'!$X$10</f>
        <v>12654537.4440873</v>
      </c>
      <c r="M95" s="18">
        <f>E95*'GS&gt;50 Predicted Monthly'!$X$11</f>
        <v>630956.58559590706</v>
      </c>
      <c r="N95" s="18">
        <f>F95*'GS&gt;50 Predicted Monthly'!$X$12</f>
        <v>577015.61917520931</v>
      </c>
      <c r="O95" s="18">
        <f>G95*'GS&gt;50 Predicted Monthly'!$X$13</f>
        <v>-6253135.5886381576</v>
      </c>
      <c r="P95" s="18">
        <f>H95*'GS&gt;50 Predicted Monthly'!$X$14</f>
        <v>0</v>
      </c>
      <c r="Q95" s="18">
        <f>I95*'GS&gt;50 Predicted Monthly'!$X$15</f>
        <v>59070853.247044139</v>
      </c>
      <c r="R95" s="18">
        <f>J95*'GS&gt;50 Predicted Monthly'!$X$16</f>
        <v>315305.92127616028</v>
      </c>
      <c r="S95" s="18">
        <f t="shared" si="15"/>
        <v>66995533.228540555</v>
      </c>
      <c r="T95" s="18">
        <f t="shared" si="13"/>
        <v>909528.93366601318</v>
      </c>
      <c r="U95" s="35">
        <f t="shared" si="14"/>
        <v>1.3762807168787384E-2</v>
      </c>
    </row>
    <row r="96" spans="1:28" x14ac:dyDescent="0.2">
      <c r="A96" s="9">
        <f>'Monthly Data'!A96</f>
        <v>44866</v>
      </c>
      <c r="B96">
        <f t="shared" si="11"/>
        <v>2022</v>
      </c>
      <c r="C96">
        <f t="shared" si="12"/>
        <v>11</v>
      </c>
      <c r="D96" s="31">
        <f>'Monthly Data'!N96</f>
        <v>67580147.084504172</v>
      </c>
      <c r="E96" s="33">
        <f>'Monthly Data'!AZ96</f>
        <v>130.10000000000002</v>
      </c>
      <c r="F96" s="33">
        <f>'Monthly Data'!AW96</f>
        <v>9.6</v>
      </c>
      <c r="G96" s="33">
        <f>'Monthly Data'!BS96</f>
        <v>95</v>
      </c>
      <c r="H96" s="30">
        <f>'Monthly Data'!BO96</f>
        <v>0</v>
      </c>
      <c r="I96" s="33">
        <f>'Monthly Data'!BT96</f>
        <v>30</v>
      </c>
      <c r="J96" s="33">
        <f>'Monthly Data'!AK96</f>
        <v>1</v>
      </c>
      <c r="L96" s="18">
        <f>'GS&gt;50 Predicted Monthly'!$X$10</f>
        <v>12654537.4440873</v>
      </c>
      <c r="M96" s="18">
        <f>E96*'GS&gt;50 Predicted Monthly'!$X$11</f>
        <v>2372469.7047984833</v>
      </c>
      <c r="N96" s="18">
        <f>F96*'GS&gt;50 Predicted Monthly'!$X$12</f>
        <v>450353.6539904073</v>
      </c>
      <c r="O96" s="18">
        <f>G96*'GS&gt;50 Predicted Monthly'!$X$13</f>
        <v>-6319658.3076662226</v>
      </c>
      <c r="P96" s="18">
        <f>H96*'GS&gt;50 Predicted Monthly'!$X$14</f>
        <v>0</v>
      </c>
      <c r="Q96" s="18">
        <f>I96*'GS&gt;50 Predicted Monthly'!$X$15</f>
        <v>57165341.851978198</v>
      </c>
      <c r="R96" s="18">
        <f>J96*'GS&gt;50 Predicted Monthly'!$X$16</f>
        <v>7006.7982505813397</v>
      </c>
      <c r="S96" s="18">
        <f t="shared" si="15"/>
        <v>66330051.145438738</v>
      </c>
      <c r="T96" s="18">
        <f t="shared" si="13"/>
        <v>-1250095.939065434</v>
      </c>
      <c r="U96" s="35">
        <f t="shared" si="14"/>
        <v>1.8497976003252523E-2</v>
      </c>
    </row>
    <row r="97" spans="1:21" x14ac:dyDescent="0.2">
      <c r="A97" s="9">
        <f>'Monthly Data'!A97</f>
        <v>44896</v>
      </c>
      <c r="B97">
        <f t="shared" si="11"/>
        <v>2022</v>
      </c>
      <c r="C97">
        <f t="shared" si="12"/>
        <v>12</v>
      </c>
      <c r="D97" s="31">
        <f>'Monthly Data'!N97</f>
        <v>69037463.87413381</v>
      </c>
      <c r="E97" s="33">
        <f>'Monthly Data'!AZ97</f>
        <v>275.3</v>
      </c>
      <c r="F97" s="33">
        <f>'Monthly Data'!AW97</f>
        <v>0</v>
      </c>
      <c r="G97" s="33">
        <f>'Monthly Data'!BS97</f>
        <v>96</v>
      </c>
      <c r="H97" s="30">
        <f>'Monthly Data'!BO97</f>
        <v>1</v>
      </c>
      <c r="I97" s="33">
        <f>'Monthly Data'!BT97</f>
        <v>31</v>
      </c>
      <c r="J97" s="33">
        <f>'Monthly Data'!AK97</f>
        <v>-18.699999999999818</v>
      </c>
      <c r="L97" s="18">
        <f>'GS&gt;50 Predicted Monthly'!$X$10</f>
        <v>12654537.4440873</v>
      </c>
      <c r="M97" s="18">
        <f>E97*'GS&gt;50 Predicted Monthly'!$X$11</f>
        <v>5020299.0755651221</v>
      </c>
      <c r="N97" s="18">
        <f>F97*'GS&gt;50 Predicted Monthly'!$X$12</f>
        <v>0</v>
      </c>
      <c r="O97" s="18">
        <f>G97*'GS&gt;50 Predicted Monthly'!$X$13</f>
        <v>-6386181.0266942885</v>
      </c>
      <c r="P97" s="18">
        <f>H97*'GS&gt;50 Predicted Monthly'!$X$14</f>
        <v>-2455659.1490839599</v>
      </c>
      <c r="Q97" s="18">
        <f>I97*'GS&gt;50 Predicted Monthly'!$X$15</f>
        <v>59070853.247044139</v>
      </c>
      <c r="R97" s="18">
        <f>J97*'GS&gt;50 Predicted Monthly'!$X$16</f>
        <v>-131027.12728586978</v>
      </c>
      <c r="S97" s="18">
        <f t="shared" si="15"/>
        <v>67772822.46363245</v>
      </c>
      <c r="T97" s="18">
        <f t="shared" si="13"/>
        <v>-1264641.4105013609</v>
      </c>
      <c r="U97" s="35">
        <f t="shared" si="14"/>
        <v>1.8318190436528804E-2</v>
      </c>
    </row>
    <row r="98" spans="1:21" x14ac:dyDescent="0.2">
      <c r="A98" s="9">
        <f>'Monthly Data'!A98</f>
        <v>44927</v>
      </c>
      <c r="B98">
        <f t="shared" si="11"/>
        <v>2023</v>
      </c>
      <c r="C98">
        <f t="shared" si="12"/>
        <v>1</v>
      </c>
      <c r="D98" s="31">
        <f>'Monthly Data'!N98</f>
        <v>71676689.947135583</v>
      </c>
      <c r="E98" s="33">
        <f>'Monthly Data'!AZ98</f>
        <v>291.60000000000002</v>
      </c>
      <c r="F98" s="33">
        <f>'Monthly Data'!AW98</f>
        <v>0</v>
      </c>
      <c r="G98" s="33">
        <f>'Monthly Data'!BS98</f>
        <v>97</v>
      </c>
      <c r="H98" s="30">
        <f>'Monthly Data'!BO98</f>
        <v>0</v>
      </c>
      <c r="I98" s="33">
        <f>'Monthly Data'!BT98</f>
        <v>31</v>
      </c>
      <c r="J98" s="33">
        <f>'Monthly Data'!AK98</f>
        <v>13.199999999999818</v>
      </c>
      <c r="L98" s="18">
        <f>'GS&gt;50 Predicted Monthly'!$X$10</f>
        <v>12654537.4440873</v>
      </c>
      <c r="M98" s="18">
        <f>E98*'GS&gt;50 Predicted Monthly'!$X$11</f>
        <v>5317541.6288949857</v>
      </c>
      <c r="N98" s="18">
        <f>F98*'GS&gt;50 Predicted Monthly'!$X$12</f>
        <v>0</v>
      </c>
      <c r="O98" s="18">
        <f>G98*'GS&gt;50 Predicted Monthly'!$X$13</f>
        <v>-6452703.7457223544</v>
      </c>
      <c r="P98" s="18">
        <f>H98*'GS&gt;50 Predicted Monthly'!$X$14</f>
        <v>0</v>
      </c>
      <c r="Q98" s="18">
        <f>I98*'GS&gt;50 Predicted Monthly'!$X$15</f>
        <v>59070853.247044139</v>
      </c>
      <c r="R98" s="18">
        <f>J98*'GS&gt;50 Predicted Monthly'!$X$16</f>
        <v>92489.736907672414</v>
      </c>
      <c r="S98" s="18">
        <f t="shared" si="15"/>
        <v>70682718.31121175</v>
      </c>
      <c r="T98" s="18">
        <f t="shared" si="13"/>
        <v>-993971.63592383265</v>
      </c>
      <c r="U98" s="35">
        <f t="shared" si="14"/>
        <v>1.3867432168769601E-2</v>
      </c>
    </row>
    <row r="99" spans="1:21" x14ac:dyDescent="0.2">
      <c r="A99" s="9">
        <f>'Monthly Data'!A99</f>
        <v>44958</v>
      </c>
      <c r="B99">
        <f t="shared" si="11"/>
        <v>2023</v>
      </c>
      <c r="C99">
        <f t="shared" si="12"/>
        <v>2</v>
      </c>
      <c r="D99" s="31">
        <f>'Monthly Data'!N99</f>
        <v>65932492.269264214</v>
      </c>
      <c r="E99" s="33">
        <f>'Monthly Data'!AZ99</f>
        <v>267.90000000000003</v>
      </c>
      <c r="F99" s="33">
        <f>'Monthly Data'!AW99</f>
        <v>0</v>
      </c>
      <c r="G99" s="33">
        <f>'Monthly Data'!BS99</f>
        <v>98</v>
      </c>
      <c r="H99" s="30">
        <f>'Monthly Data'!BO99</f>
        <v>0</v>
      </c>
      <c r="I99" s="33">
        <f>'Monthly Data'!BT99</f>
        <v>28</v>
      </c>
      <c r="J99" s="33">
        <f>'Monthly Data'!AK99</f>
        <v>45.900000000000091</v>
      </c>
      <c r="L99" s="18">
        <f>'GS&gt;50 Predicted Monthly'!$X$10</f>
        <v>12654537.4440873</v>
      </c>
      <c r="M99" s="18">
        <f>E99*'GS&gt;50 Predicted Monthly'!$X$11</f>
        <v>4885354.6035012575</v>
      </c>
      <c r="N99" s="18">
        <f>F99*'GS&gt;50 Predicted Monthly'!$X$12</f>
        <v>0</v>
      </c>
      <c r="O99" s="18">
        <f>G99*'GS&gt;50 Predicted Monthly'!$X$13</f>
        <v>-6519226.4647504194</v>
      </c>
      <c r="P99" s="18">
        <f>H99*'GS&gt;50 Predicted Monthly'!$X$14</f>
        <v>0</v>
      </c>
      <c r="Q99" s="18">
        <f>I99*'GS&gt;50 Predicted Monthly'!$X$15</f>
        <v>53354319.061846316</v>
      </c>
      <c r="R99" s="18">
        <f>J99*'GS&gt;50 Predicted Monthly'!$X$16</f>
        <v>321612.03970168415</v>
      </c>
      <c r="S99" s="18">
        <f t="shared" si="15"/>
        <v>64696596.684386134</v>
      </c>
      <c r="T99" s="18">
        <f t="shared" si="13"/>
        <v>-1235895.5848780796</v>
      </c>
      <c r="U99" s="35">
        <f t="shared" si="14"/>
        <v>1.8744863758990916E-2</v>
      </c>
    </row>
    <row r="100" spans="1:21" x14ac:dyDescent="0.2">
      <c r="A100" s="9">
        <f>'Monthly Data'!A100</f>
        <v>44986</v>
      </c>
      <c r="B100">
        <f t="shared" si="11"/>
        <v>2023</v>
      </c>
      <c r="C100">
        <f t="shared" si="12"/>
        <v>3</v>
      </c>
      <c r="D100" s="31">
        <f>'Monthly Data'!N100</f>
        <v>71645382.591392845</v>
      </c>
      <c r="E100" s="33">
        <f>'Monthly Data'!AZ100</f>
        <v>248.40000000000003</v>
      </c>
      <c r="F100" s="33">
        <f>'Monthly Data'!AW100</f>
        <v>0</v>
      </c>
      <c r="G100" s="33">
        <f>'Monthly Data'!BS100</f>
        <v>99</v>
      </c>
      <c r="H100" s="30">
        <f>'Monthly Data'!BO100</f>
        <v>0</v>
      </c>
      <c r="I100" s="33">
        <f>'Monthly Data'!BT100</f>
        <v>31</v>
      </c>
      <c r="J100" s="33">
        <f>'Monthly Data'!AK100</f>
        <v>92.299999999999727</v>
      </c>
      <c r="L100" s="18">
        <f>'GS&gt;50 Predicted Monthly'!$X$10</f>
        <v>12654537.4440873</v>
      </c>
      <c r="M100" s="18">
        <f>E100*'GS&gt;50 Predicted Monthly'!$X$11</f>
        <v>4529757.6838735072</v>
      </c>
      <c r="N100" s="18">
        <f>F100*'GS&gt;50 Predicted Monthly'!$X$12</f>
        <v>0</v>
      </c>
      <c r="O100" s="18">
        <f>G100*'GS&gt;50 Predicted Monthly'!$X$13</f>
        <v>-6585749.1837784853</v>
      </c>
      <c r="P100" s="18">
        <f>H100*'GS&gt;50 Predicted Monthly'!$X$14</f>
        <v>0</v>
      </c>
      <c r="Q100" s="18">
        <f>I100*'GS&gt;50 Predicted Monthly'!$X$15</f>
        <v>59070853.247044139</v>
      </c>
      <c r="R100" s="18">
        <f>J100*'GS&gt;50 Predicted Monthly'!$X$16</f>
        <v>646727.47852865572</v>
      </c>
      <c r="S100" s="18">
        <f t="shared" si="15"/>
        <v>70316126.669755116</v>
      </c>
      <c r="T100" s="18">
        <f t="shared" si="13"/>
        <v>-1329255.9216377288</v>
      </c>
      <c r="U100" s="35">
        <f t="shared" si="14"/>
        <v>1.8553267127048877E-2</v>
      </c>
    </row>
    <row r="101" spans="1:21" x14ac:dyDescent="0.2">
      <c r="A101" s="9">
        <f>'Monthly Data'!A101</f>
        <v>45017</v>
      </c>
      <c r="B101">
        <f t="shared" si="11"/>
        <v>2023</v>
      </c>
      <c r="C101">
        <f t="shared" si="12"/>
        <v>4</v>
      </c>
      <c r="D101" s="31">
        <f>'Monthly Data'!N101</f>
        <v>64673302.913521484</v>
      </c>
      <c r="E101" s="33">
        <f>'Monthly Data'!AZ101</f>
        <v>83.499999999999986</v>
      </c>
      <c r="F101" s="33">
        <f>'Monthly Data'!AW101</f>
        <v>16.100000000000001</v>
      </c>
      <c r="G101" s="33">
        <f>'Monthly Data'!BS101</f>
        <v>100</v>
      </c>
      <c r="H101" s="30">
        <f>'Monthly Data'!BO101</f>
        <v>0</v>
      </c>
      <c r="I101" s="33">
        <f>'Monthly Data'!BT101</f>
        <v>30</v>
      </c>
      <c r="J101" s="33">
        <f>'Monthly Data'!AK101</f>
        <v>85.599999999999909</v>
      </c>
      <c r="L101" s="18">
        <f>'GS&gt;50 Predicted Monthly'!$X$10</f>
        <v>12654537.4440873</v>
      </c>
      <c r="M101" s="18">
        <f>E101*'GS&gt;50 Predicted Monthly'!$X$11</f>
        <v>1522684.2455854979</v>
      </c>
      <c r="N101" s="18">
        <f>F101*'GS&gt;50 Predicted Monthly'!$X$12</f>
        <v>755280.607213079</v>
      </c>
      <c r="O101" s="18">
        <f>G101*'GS&gt;50 Predicted Monthly'!$X$13</f>
        <v>-6652271.9028065503</v>
      </c>
      <c r="P101" s="18">
        <f>H101*'GS&gt;50 Predicted Monthly'!$X$14</f>
        <v>0</v>
      </c>
      <c r="Q101" s="18">
        <f>I101*'GS&gt;50 Predicted Monthly'!$X$15</f>
        <v>57165341.851978198</v>
      </c>
      <c r="R101" s="18">
        <f>J101*'GS&gt;50 Predicted Monthly'!$X$16</f>
        <v>599781.93024976202</v>
      </c>
      <c r="S101" s="18">
        <f t="shared" si="15"/>
        <v>66045354.176307291</v>
      </c>
      <c r="T101" s="18">
        <f t="shared" si="13"/>
        <v>1372051.2627858073</v>
      </c>
      <c r="U101" s="35">
        <f t="shared" si="14"/>
        <v>2.1215110423855398E-2</v>
      </c>
    </row>
    <row r="102" spans="1:21" x14ac:dyDescent="0.2">
      <c r="A102" s="9">
        <f>'Monthly Data'!A102</f>
        <v>45047</v>
      </c>
      <c r="B102">
        <f t="shared" si="11"/>
        <v>2023</v>
      </c>
      <c r="C102">
        <f t="shared" si="12"/>
        <v>5</v>
      </c>
      <c r="D102" s="31">
        <f>'Monthly Data'!N102</f>
        <v>67530760.235650122</v>
      </c>
      <c r="E102" s="33">
        <f>'Monthly Data'!AZ102</f>
        <v>21.1</v>
      </c>
      <c r="F102" s="33">
        <f>'Monthly Data'!AW102</f>
        <v>45.999999999999993</v>
      </c>
      <c r="G102" s="33">
        <f>'Monthly Data'!BS102</f>
        <v>101</v>
      </c>
      <c r="H102" s="30">
        <f>'Monthly Data'!BO102</f>
        <v>0</v>
      </c>
      <c r="I102" s="33">
        <f>'Monthly Data'!BT102</f>
        <v>31</v>
      </c>
      <c r="J102" s="33">
        <f>'Monthly Data'!AK102</f>
        <v>99.5</v>
      </c>
      <c r="L102" s="18">
        <f>'GS&gt;50 Predicted Monthly'!$X$10</f>
        <v>12654537.4440873</v>
      </c>
      <c r="M102" s="18">
        <f>E102*'GS&gt;50 Predicted Monthly'!$X$11</f>
        <v>384774.10277669481</v>
      </c>
      <c r="N102" s="18">
        <f>F102*'GS&gt;50 Predicted Monthly'!$X$12</f>
        <v>2157944.5920373681</v>
      </c>
      <c r="O102" s="18">
        <f>G102*'GS&gt;50 Predicted Monthly'!$X$13</f>
        <v>-6718794.6218346162</v>
      </c>
      <c r="P102" s="18">
        <f>H102*'GS&gt;50 Predicted Monthly'!$X$14</f>
        <v>0</v>
      </c>
      <c r="Q102" s="18">
        <f>I102*'GS&gt;50 Predicted Monthly'!$X$15</f>
        <v>59070853.247044139</v>
      </c>
      <c r="R102" s="18">
        <f>J102*'GS&gt;50 Predicted Monthly'!$X$16</f>
        <v>697176.42593284335</v>
      </c>
      <c r="S102" s="18">
        <f t="shared" si="15"/>
        <v>68246491.190043733</v>
      </c>
      <c r="T102" s="18">
        <f t="shared" ref="T102:T109" si="16">S102-D102</f>
        <v>715730.95439361036</v>
      </c>
      <c r="U102" s="35">
        <f t="shared" ref="U102:U109" si="17">ABS(T102/D102)</f>
        <v>1.0598591692083E-2</v>
      </c>
    </row>
    <row r="103" spans="1:21" x14ac:dyDescent="0.2">
      <c r="A103" s="9">
        <f>'Monthly Data'!A103</f>
        <v>45078</v>
      </c>
      <c r="B103">
        <f t="shared" si="11"/>
        <v>2023</v>
      </c>
      <c r="C103">
        <f t="shared" si="12"/>
        <v>6</v>
      </c>
      <c r="D103" s="31">
        <f>'Monthly Data'!N103</f>
        <v>70478423.557778746</v>
      </c>
      <c r="E103" s="33">
        <f>'Monthly Data'!AZ103</f>
        <v>0</v>
      </c>
      <c r="F103" s="33">
        <f>'Monthly Data'!AW103</f>
        <v>153.99999999999994</v>
      </c>
      <c r="G103" s="33">
        <f>'Monthly Data'!BS103</f>
        <v>102</v>
      </c>
      <c r="H103" s="30">
        <f>'Monthly Data'!BO103</f>
        <v>0</v>
      </c>
      <c r="I103" s="33">
        <f>'Monthly Data'!BT103</f>
        <v>30</v>
      </c>
      <c r="J103" s="33">
        <f>'Monthly Data'!AK103</f>
        <v>109.89999999999964</v>
      </c>
      <c r="L103" s="18">
        <f>'GS&gt;50 Predicted Monthly'!$X$10</f>
        <v>12654537.4440873</v>
      </c>
      <c r="M103" s="18">
        <f>E103*'GS&gt;50 Predicted Monthly'!$X$11</f>
        <v>0</v>
      </c>
      <c r="N103" s="18">
        <f>F103*'GS&gt;50 Predicted Monthly'!$X$12</f>
        <v>7224423.1994294487</v>
      </c>
      <c r="O103" s="18">
        <f>G103*'GS&gt;50 Predicted Monthly'!$X$13</f>
        <v>-6785317.3408626812</v>
      </c>
      <c r="P103" s="18">
        <f>H103*'GS&gt;50 Predicted Monthly'!$X$14</f>
        <v>0</v>
      </c>
      <c r="Q103" s="18">
        <f>I103*'GS&gt;50 Predicted Monthly'!$X$15</f>
        <v>57165341.851978198</v>
      </c>
      <c r="R103" s="18">
        <f>J103*'GS&gt;50 Predicted Monthly'!$X$16</f>
        <v>770047.12773888675</v>
      </c>
      <c r="S103" s="18">
        <f t="shared" si="15"/>
        <v>71029032.282371163</v>
      </c>
      <c r="T103" s="18">
        <f t="shared" si="16"/>
        <v>550608.72459241748</v>
      </c>
      <c r="U103" s="35">
        <f t="shared" si="17"/>
        <v>7.8124438203562296E-3</v>
      </c>
    </row>
    <row r="104" spans="1:21" x14ac:dyDescent="0.2">
      <c r="A104" s="9">
        <f>'Monthly Data'!A104</f>
        <v>45108</v>
      </c>
      <c r="B104">
        <f t="shared" si="11"/>
        <v>2023</v>
      </c>
      <c r="C104">
        <f t="shared" si="12"/>
        <v>7</v>
      </c>
      <c r="D104" s="31">
        <f>'Monthly Data'!N104</f>
        <v>76112982.879907385</v>
      </c>
      <c r="E104" s="33">
        <f>'Monthly Data'!AZ104</f>
        <v>0</v>
      </c>
      <c r="F104" s="33">
        <f>'Monthly Data'!AW104</f>
        <v>269.50000000000006</v>
      </c>
      <c r="G104" s="33">
        <f>'Monthly Data'!BS104</f>
        <v>103</v>
      </c>
      <c r="H104" s="30">
        <f>'Monthly Data'!BO104</f>
        <v>0</v>
      </c>
      <c r="I104" s="33">
        <f>'Monthly Data'!BT104</f>
        <v>31</v>
      </c>
      <c r="J104" s="33">
        <f>'Monthly Data'!AK104</f>
        <v>116.40000000000009</v>
      </c>
      <c r="L104" s="18">
        <f>'GS&gt;50 Predicted Monthly'!$X$10</f>
        <v>12654537.4440873</v>
      </c>
      <c r="M104" s="18">
        <f>E104*'GS&gt;50 Predicted Monthly'!$X$11</f>
        <v>0</v>
      </c>
      <c r="N104" s="18">
        <f>F104*'GS&gt;50 Predicted Monthly'!$X$12</f>
        <v>12642740.599001542</v>
      </c>
      <c r="O104" s="18">
        <f>G104*'GS&gt;50 Predicted Monthly'!$X$13</f>
        <v>-6851840.0598907471</v>
      </c>
      <c r="P104" s="18">
        <f>H104*'GS&gt;50 Predicted Monthly'!$X$14</f>
        <v>0</v>
      </c>
      <c r="Q104" s="18">
        <f>I104*'GS&gt;50 Predicted Monthly'!$X$15</f>
        <v>59070853.247044139</v>
      </c>
      <c r="R104" s="18">
        <f>J104*'GS&gt;50 Predicted Monthly'!$X$16</f>
        <v>815591.31636766857</v>
      </c>
      <c r="S104" s="18">
        <f t="shared" si="15"/>
        <v>78331882.546609908</v>
      </c>
      <c r="T104" s="18">
        <f t="shared" si="16"/>
        <v>2218899.6667025238</v>
      </c>
      <c r="U104" s="35">
        <f t="shared" si="17"/>
        <v>2.9152709337427349E-2</v>
      </c>
    </row>
    <row r="105" spans="1:21" x14ac:dyDescent="0.2">
      <c r="A105" s="9">
        <f>'Monthly Data'!A105</f>
        <v>45139</v>
      </c>
      <c r="B105">
        <f t="shared" si="11"/>
        <v>2023</v>
      </c>
      <c r="C105">
        <f t="shared" si="12"/>
        <v>8</v>
      </c>
      <c r="D105" s="31">
        <f>'Monthly Data'!N105</f>
        <v>74128294.202036023</v>
      </c>
      <c r="E105" s="33">
        <f>'Monthly Data'!AZ105</f>
        <v>0</v>
      </c>
      <c r="F105" s="33">
        <f>'Monthly Data'!AW105</f>
        <v>193.8</v>
      </c>
      <c r="G105" s="33">
        <f>'Monthly Data'!BS105</f>
        <v>104</v>
      </c>
      <c r="H105" s="30">
        <f>'Monthly Data'!BO105</f>
        <v>0</v>
      </c>
      <c r="I105" s="33">
        <f>'Monthly Data'!BT105</f>
        <v>31</v>
      </c>
      <c r="J105" s="33">
        <f>'Monthly Data'!AK105</f>
        <v>108</v>
      </c>
      <c r="L105" s="18">
        <f>'GS&gt;50 Predicted Monthly'!$X$10</f>
        <v>12654537.4440873</v>
      </c>
      <c r="M105" s="18">
        <f>E105*'GS&gt;50 Predicted Monthly'!$X$11</f>
        <v>0</v>
      </c>
      <c r="N105" s="18">
        <f>F105*'GS&gt;50 Predicted Monthly'!$X$12</f>
        <v>9091514.3899313491</v>
      </c>
      <c r="O105" s="18">
        <f>G105*'GS&gt;50 Predicted Monthly'!$X$13</f>
        <v>-6918362.7789188121</v>
      </c>
      <c r="P105" s="18">
        <f>H105*'GS&gt;50 Predicted Monthly'!$X$14</f>
        <v>0</v>
      </c>
      <c r="Q105" s="18">
        <f>I105*'GS&gt;50 Predicted Monthly'!$X$15</f>
        <v>59070853.247044139</v>
      </c>
      <c r="R105" s="18">
        <f>J105*'GS&gt;50 Predicted Monthly'!$X$16</f>
        <v>756734.21106278466</v>
      </c>
      <c r="S105" s="18">
        <f t="shared" si="15"/>
        <v>74655276.513206765</v>
      </c>
      <c r="T105" s="18">
        <f t="shared" si="16"/>
        <v>526982.31117074192</v>
      </c>
      <c r="U105" s="35">
        <f t="shared" si="17"/>
        <v>7.109057571653493E-3</v>
      </c>
    </row>
    <row r="106" spans="1:21" x14ac:dyDescent="0.2">
      <c r="A106" s="9">
        <f>'Monthly Data'!A106</f>
        <v>45170</v>
      </c>
      <c r="B106">
        <f t="shared" si="11"/>
        <v>2023</v>
      </c>
      <c r="C106">
        <f t="shared" si="12"/>
        <v>9</v>
      </c>
      <c r="D106" s="31">
        <f>'Monthly Data'!N106</f>
        <v>70137255.524164647</v>
      </c>
      <c r="E106" s="33">
        <f>'Monthly Data'!AZ106</f>
        <v>0</v>
      </c>
      <c r="F106" s="33">
        <f>'Monthly Data'!AW106</f>
        <v>140.60000000000002</v>
      </c>
      <c r="G106" s="33">
        <f>'Monthly Data'!BS106</f>
        <v>105</v>
      </c>
      <c r="H106" s="30">
        <f>'Monthly Data'!BO106</f>
        <v>0</v>
      </c>
      <c r="I106" s="33">
        <f>'Monthly Data'!BT106</f>
        <v>30</v>
      </c>
      <c r="J106" s="33">
        <f>'Monthly Data'!AK106</f>
        <v>114.5</v>
      </c>
      <c r="L106" s="18">
        <f>'GS&gt;50 Predicted Monthly'!$X$10</f>
        <v>12654537.4440873</v>
      </c>
      <c r="M106" s="18">
        <f>E106*'GS&gt;50 Predicted Monthly'!$X$11</f>
        <v>0</v>
      </c>
      <c r="N106" s="18">
        <f>F106*'GS&gt;50 Predicted Monthly'!$X$12</f>
        <v>6595804.5574011756</v>
      </c>
      <c r="O106" s="18">
        <f>G106*'GS&gt;50 Predicted Monthly'!$X$13</f>
        <v>-6984885.497946878</v>
      </c>
      <c r="P106" s="18">
        <f>H106*'GS&gt;50 Predicted Monthly'!$X$14</f>
        <v>0</v>
      </c>
      <c r="Q106" s="18">
        <f>I106*'GS&gt;50 Predicted Monthly'!$X$15</f>
        <v>57165341.851978198</v>
      </c>
      <c r="R106" s="18">
        <f>J106*'GS&gt;50 Predicted Monthly'!$X$16</f>
        <v>802278.39969156345</v>
      </c>
      <c r="S106" s="18">
        <f t="shared" si="15"/>
        <v>70233076.755211368</v>
      </c>
      <c r="T106" s="18">
        <f t="shared" si="16"/>
        <v>95821.231046721339</v>
      </c>
      <c r="U106" s="35">
        <f t="shared" si="17"/>
        <v>1.3661959016019339E-3</v>
      </c>
    </row>
    <row r="107" spans="1:21" x14ac:dyDescent="0.2">
      <c r="A107" s="9">
        <f>'Monthly Data'!A107</f>
        <v>45200</v>
      </c>
      <c r="B107">
        <f t="shared" si="11"/>
        <v>2023</v>
      </c>
      <c r="C107">
        <f t="shared" si="12"/>
        <v>10</v>
      </c>
      <c r="D107" s="31">
        <f>'Monthly Data'!N107</f>
        <v>68045049.846293285</v>
      </c>
      <c r="E107" s="33">
        <f>'Monthly Data'!AZ107</f>
        <v>18.100000000000001</v>
      </c>
      <c r="F107" s="33">
        <f>'Monthly Data'!AW107</f>
        <v>55.400000000000006</v>
      </c>
      <c r="G107" s="33">
        <f>'Monthly Data'!BS107</f>
        <v>106</v>
      </c>
      <c r="H107" s="30">
        <f>'Monthly Data'!BO107</f>
        <v>0</v>
      </c>
      <c r="I107" s="33">
        <f>'Monthly Data'!BT107</f>
        <v>31</v>
      </c>
      <c r="J107" s="33">
        <f>'Monthly Data'!AK107</f>
        <v>118.09999999999991</v>
      </c>
      <c r="L107" s="18">
        <f>'GS&gt;50 Predicted Monthly'!$X$10</f>
        <v>12654537.4440873</v>
      </c>
      <c r="M107" s="18">
        <f>E107*'GS&gt;50 Predicted Monthly'!$X$11</f>
        <v>330066.88437242538</v>
      </c>
      <c r="N107" s="18">
        <f>F107*'GS&gt;50 Predicted Monthly'!$X$12</f>
        <v>2598915.8782363092</v>
      </c>
      <c r="O107" s="18">
        <f>G107*'GS&gt;50 Predicted Monthly'!$X$13</f>
        <v>-7051408.2169749439</v>
      </c>
      <c r="P107" s="18">
        <f>H107*'GS&gt;50 Predicted Monthly'!$X$14</f>
        <v>0</v>
      </c>
      <c r="Q107" s="18">
        <f>I107*'GS&gt;50 Predicted Monthly'!$X$15</f>
        <v>59070853.247044139</v>
      </c>
      <c r="R107" s="18">
        <f>J107*'GS&gt;50 Predicted Monthly'!$X$16</f>
        <v>827502.87339365564</v>
      </c>
      <c r="S107" s="18">
        <f t="shared" si="15"/>
        <v>68430468.11015889</v>
      </c>
      <c r="T107" s="18">
        <f t="shared" si="16"/>
        <v>385418.263865605</v>
      </c>
      <c r="U107" s="35">
        <f t="shared" si="17"/>
        <v>5.6641631497989188E-3</v>
      </c>
    </row>
    <row r="108" spans="1:21" x14ac:dyDescent="0.2">
      <c r="A108" s="9">
        <f>'Monthly Data'!A108</f>
        <v>45231</v>
      </c>
      <c r="B108">
        <f t="shared" si="11"/>
        <v>2023</v>
      </c>
      <c r="C108">
        <f t="shared" si="12"/>
        <v>11</v>
      </c>
      <c r="D108" s="31">
        <f>'Monthly Data'!N108</f>
        <v>67535164.168421924</v>
      </c>
      <c r="E108" s="33">
        <f>'Monthly Data'!AZ108</f>
        <v>137.9</v>
      </c>
      <c r="F108" s="33">
        <f>'Monthly Data'!AW108</f>
        <v>0</v>
      </c>
      <c r="G108" s="33">
        <f>'Monthly Data'!BS108</f>
        <v>107</v>
      </c>
      <c r="H108" s="30">
        <f>'Monthly Data'!BO108</f>
        <v>0</v>
      </c>
      <c r="I108" s="33">
        <f>'Monthly Data'!BT108</f>
        <v>30</v>
      </c>
      <c r="J108" s="33">
        <f>'Monthly Data'!AK108</f>
        <v>128.60000000000036</v>
      </c>
      <c r="L108" s="18">
        <f>'GS&gt;50 Predicted Monthly'!$X$10</f>
        <v>12654537.4440873</v>
      </c>
      <c r="M108" s="18">
        <f>E108*'GS&gt;50 Predicted Monthly'!$X$11</f>
        <v>2514708.4726495836</v>
      </c>
      <c r="N108" s="18">
        <f>F108*'GS&gt;50 Predicted Monthly'!$X$12</f>
        <v>0</v>
      </c>
      <c r="O108" s="18">
        <f>G108*'GS&gt;50 Predicted Monthly'!$X$13</f>
        <v>-7117930.9360030089</v>
      </c>
      <c r="P108" s="18">
        <f>H108*'GS&gt;50 Predicted Monthly'!$X$14</f>
        <v>0</v>
      </c>
      <c r="Q108" s="18">
        <f>I108*'GS&gt;50 Predicted Monthly'!$X$15</f>
        <v>57165341.851978198</v>
      </c>
      <c r="R108" s="18">
        <f>J108*'GS&gt;50 Predicted Monthly'!$X$16</f>
        <v>901074.25502476282</v>
      </c>
      <c r="S108" s="18">
        <f t="shared" si="15"/>
        <v>66117731.08773683</v>
      </c>
      <c r="T108" s="18">
        <f t="shared" si="16"/>
        <v>-1417433.080685094</v>
      </c>
      <c r="U108" s="35">
        <f t="shared" si="17"/>
        <v>2.0988074851646797E-2</v>
      </c>
    </row>
    <row r="109" spans="1:21" x14ac:dyDescent="0.2">
      <c r="A109" s="9">
        <f>'Monthly Data'!A109</f>
        <v>45261</v>
      </c>
      <c r="B109">
        <f t="shared" si="11"/>
        <v>2023</v>
      </c>
      <c r="C109">
        <f t="shared" si="12"/>
        <v>12</v>
      </c>
      <c r="D109" s="31">
        <f>'Monthly Data'!N109</f>
        <v>67172872.490550563</v>
      </c>
      <c r="E109" s="33">
        <f>'Monthly Data'!AZ109</f>
        <v>195.20000000000002</v>
      </c>
      <c r="F109" s="33">
        <f>'Monthly Data'!AW109</f>
        <v>0</v>
      </c>
      <c r="G109" s="33">
        <f>'Monthly Data'!BS109</f>
        <v>108</v>
      </c>
      <c r="H109" s="30">
        <f>'Monthly Data'!BO109</f>
        <v>1</v>
      </c>
      <c r="I109" s="33">
        <f>'Monthly Data'!BT109</f>
        <v>31</v>
      </c>
      <c r="J109" s="33">
        <f>'Monthly Data'!AK109</f>
        <v>108.40000000000009</v>
      </c>
      <c r="L109" s="18">
        <f>'GS&gt;50 Predicted Monthly'!$X$10</f>
        <v>12654537.4440873</v>
      </c>
      <c r="M109" s="18">
        <f>E109*'GS&gt;50 Predicted Monthly'!$X$11</f>
        <v>3559616.3441711292</v>
      </c>
      <c r="N109" s="18">
        <f>F109*'GS&gt;50 Predicted Monthly'!$X$12</f>
        <v>0</v>
      </c>
      <c r="O109" s="18">
        <f>G109*'GS&gt;50 Predicted Monthly'!$X$13</f>
        <v>-7184453.6550310748</v>
      </c>
      <c r="P109" s="18">
        <f>H109*'GS&gt;50 Predicted Monthly'!$X$14</f>
        <v>-2455659.1490839599</v>
      </c>
      <c r="Q109" s="18">
        <f>I109*'GS&gt;50 Predicted Monthly'!$X$15</f>
        <v>59070853.247044139</v>
      </c>
      <c r="R109" s="18">
        <f>J109*'GS&gt;50 Predicted Monthly'!$X$16</f>
        <v>759536.93036301783</v>
      </c>
      <c r="S109" s="18">
        <f t="shared" si="15"/>
        <v>66404431.161550552</v>
      </c>
      <c r="T109" s="18">
        <f t="shared" si="16"/>
        <v>-768441.32900001109</v>
      </c>
      <c r="U109" s="35">
        <f t="shared" si="17"/>
        <v>1.1439756861791349E-2</v>
      </c>
    </row>
    <row r="110" spans="1:21" x14ac:dyDescent="0.2">
      <c r="A110" s="9">
        <f>'Monthly Data'!A110</f>
        <v>45292</v>
      </c>
      <c r="B110">
        <f t="shared" si="11"/>
        <v>2024</v>
      </c>
      <c r="C110">
        <f t="shared" si="12"/>
        <v>1</v>
      </c>
      <c r="D110" s="31">
        <f>'Monthly Data'!N110</f>
        <v>73612400.277207389</v>
      </c>
      <c r="E110" s="33">
        <f>'Monthly Data'!AZ110</f>
        <v>338.4</v>
      </c>
      <c r="F110" s="33">
        <f>'Monthly Data'!AW110</f>
        <v>0</v>
      </c>
      <c r="G110" s="33">
        <f>'Monthly Data'!BS110</f>
        <v>109</v>
      </c>
      <c r="H110" s="30">
        <f>'Monthly Data'!BO110</f>
        <v>0</v>
      </c>
      <c r="I110" s="33">
        <f>'Monthly Data'!BT110</f>
        <v>31</v>
      </c>
      <c r="J110" s="33">
        <f>'Monthly Data'!AK110</f>
        <v>88.5</v>
      </c>
      <c r="L110" s="18">
        <f>'GS&gt;50 Predicted Monthly'!$X$10</f>
        <v>12654537.4440873</v>
      </c>
      <c r="M110" s="18">
        <f>E110*'GS&gt;50 Predicted Monthly'!$X$11</f>
        <v>6170974.2360015875</v>
      </c>
      <c r="N110" s="18">
        <f>F110*'GS&gt;50 Predicted Monthly'!$X$12</f>
        <v>0</v>
      </c>
      <c r="O110" s="18">
        <f>G110*'GS&gt;50 Predicted Monthly'!$X$13</f>
        <v>-7250976.3740591398</v>
      </c>
      <c r="P110" s="18">
        <f>H110*'GS&gt;50 Predicted Monthly'!$X$14</f>
        <v>0</v>
      </c>
      <c r="Q110" s="18">
        <f>I110*'GS&gt;50 Predicted Monthly'!$X$15</f>
        <v>59070853.247044139</v>
      </c>
      <c r="R110" s="18">
        <f>J110*'GS&gt;50 Predicted Monthly'!$X$16</f>
        <v>620101.64517644851</v>
      </c>
      <c r="S110" s="18">
        <f t="shared" ref="S110:S115" si="18">SUM(L110:R110)</f>
        <v>71265490.198250338</v>
      </c>
      <c r="T110" s="18">
        <f t="shared" ref="T110:T115" si="19">S110-D110</f>
        <v>-2346910.078957051</v>
      </c>
      <c r="U110" s="35">
        <f t="shared" ref="U110:U115" si="20">ABS(T110/D110)</f>
        <v>3.1881993660295371E-2</v>
      </c>
    </row>
    <row r="111" spans="1:21" x14ac:dyDescent="0.2">
      <c r="A111" s="9">
        <f>'Monthly Data'!A111</f>
        <v>45323</v>
      </c>
      <c r="B111">
        <f t="shared" si="11"/>
        <v>2024</v>
      </c>
      <c r="C111">
        <f t="shared" si="12"/>
        <v>2</v>
      </c>
      <c r="D111" s="31">
        <f>'Monthly Data'!N111</f>
        <v>67426409.722989291</v>
      </c>
      <c r="E111" s="33">
        <f>'Monthly Data'!AZ111</f>
        <v>257.10000000000008</v>
      </c>
      <c r="F111" s="33">
        <f>'Monthly Data'!AW111</f>
        <v>0</v>
      </c>
      <c r="G111" s="33">
        <f>'Monthly Data'!BS111</f>
        <v>110</v>
      </c>
      <c r="H111" s="30">
        <f>'Monthly Data'!BO111</f>
        <v>0</v>
      </c>
      <c r="I111" s="33">
        <f>'Monthly Data'!BT111</f>
        <v>29</v>
      </c>
      <c r="J111" s="33">
        <f>'Monthly Data'!AK111</f>
        <v>61.399999999999636</v>
      </c>
      <c r="L111" s="18">
        <f>'GS&gt;50 Predicted Monthly'!$X$10</f>
        <v>12654537.4440873</v>
      </c>
      <c r="M111" s="18">
        <f>E111*'GS&gt;50 Predicted Monthly'!$X$11</f>
        <v>4688408.6172458893</v>
      </c>
      <c r="N111" s="18">
        <f>F111*'GS&gt;50 Predicted Monthly'!$X$12</f>
        <v>0</v>
      </c>
      <c r="O111" s="18">
        <f>G111*'GS&gt;50 Predicted Monthly'!$X$13</f>
        <v>-7317499.0930872057</v>
      </c>
      <c r="P111" s="18">
        <f>H111*'GS&gt;50 Predicted Monthly'!$X$14</f>
        <v>0</v>
      </c>
      <c r="Q111" s="18">
        <f>I111*'GS&gt;50 Predicted Monthly'!$X$15</f>
        <v>55259830.456912257</v>
      </c>
      <c r="R111" s="18">
        <f>J111*'GS&gt;50 Predicted Monthly'!$X$16</f>
        <v>430217.41258569172</v>
      </c>
      <c r="S111" s="18">
        <f t="shared" si="18"/>
        <v>65715494.837743931</v>
      </c>
      <c r="T111" s="18">
        <f t="shared" si="19"/>
        <v>-1710914.8852453604</v>
      </c>
      <c r="U111" s="35">
        <f t="shared" si="20"/>
        <v>2.5374551192542845E-2</v>
      </c>
    </row>
    <row r="112" spans="1:21" x14ac:dyDescent="0.2">
      <c r="A112" s="9">
        <f>'Monthly Data'!A112</f>
        <v>45352</v>
      </c>
      <c r="B112">
        <f t="shared" si="11"/>
        <v>2024</v>
      </c>
      <c r="C112">
        <f t="shared" si="12"/>
        <v>3</v>
      </c>
      <c r="D112" s="31">
        <f>'Monthly Data'!N112</f>
        <v>69526387.418771222</v>
      </c>
      <c r="E112" s="33">
        <f>'Monthly Data'!AZ112</f>
        <v>184.99999999999997</v>
      </c>
      <c r="F112" s="33">
        <f>'Monthly Data'!AW112</f>
        <v>0</v>
      </c>
      <c r="G112" s="33">
        <f>'Monthly Data'!BS112</f>
        <v>111</v>
      </c>
      <c r="H112" s="30">
        <f>'Monthly Data'!BO112</f>
        <v>0</v>
      </c>
      <c r="I112" s="33">
        <f>'Monthly Data'!BT112</f>
        <v>31</v>
      </c>
      <c r="J112" s="33">
        <f>'Monthly Data'!AK112</f>
        <v>38.300000000000182</v>
      </c>
      <c r="L112" s="18">
        <f>'GS&gt;50 Predicted Monthly'!$X$10</f>
        <v>12654537.4440873</v>
      </c>
      <c r="M112" s="18">
        <f>E112*'GS&gt;50 Predicted Monthly'!$X$11</f>
        <v>3373611.8015966122</v>
      </c>
      <c r="N112" s="18">
        <f>F112*'GS&gt;50 Predicted Monthly'!$X$12</f>
        <v>0</v>
      </c>
      <c r="O112" s="18">
        <f>G112*'GS&gt;50 Predicted Monthly'!$X$13</f>
        <v>-7384021.8121152706</v>
      </c>
      <c r="P112" s="18">
        <f>H112*'GS&gt;50 Predicted Monthly'!$X$14</f>
        <v>0</v>
      </c>
      <c r="Q112" s="18">
        <f>I112*'GS&gt;50 Predicted Monthly'!$X$15</f>
        <v>59070853.247044139</v>
      </c>
      <c r="R112" s="18">
        <f>J112*'GS&gt;50 Predicted Monthly'!$X$16</f>
        <v>268360.37299726659</v>
      </c>
      <c r="S112" s="18">
        <f t="shared" si="18"/>
        <v>67983341.053610042</v>
      </c>
      <c r="T112" s="18">
        <f t="shared" si="19"/>
        <v>-1543046.3651611805</v>
      </c>
      <c r="U112" s="35">
        <f t="shared" si="20"/>
        <v>2.2193679586242646E-2</v>
      </c>
    </row>
    <row r="113" spans="1:21" x14ac:dyDescent="0.2">
      <c r="A113" s="9">
        <f>'Monthly Data'!A113</f>
        <v>45383</v>
      </c>
      <c r="B113">
        <f t="shared" si="11"/>
        <v>2024</v>
      </c>
      <c r="C113">
        <f t="shared" si="12"/>
        <v>4</v>
      </c>
      <c r="D113" s="31">
        <f>'Monthly Data'!N113</f>
        <v>66433277.094553113</v>
      </c>
      <c r="E113" s="33">
        <f>'Monthly Data'!AZ113</f>
        <v>70.7</v>
      </c>
      <c r="F113" s="33">
        <f>'Monthly Data'!AW113</f>
        <v>1.0999999999999996</v>
      </c>
      <c r="G113" s="33">
        <f>'Monthly Data'!BS113</f>
        <v>112</v>
      </c>
      <c r="H113" s="30">
        <f>'Monthly Data'!BO113</f>
        <v>0</v>
      </c>
      <c r="I113" s="33">
        <f>'Monthly Data'!BT113</f>
        <v>30</v>
      </c>
      <c r="J113" s="33">
        <f>'Monthly Data'!AK113</f>
        <v>33.200000000000273</v>
      </c>
      <c r="L113" s="18">
        <f>'GS&gt;50 Predicted Monthly'!$X$10</f>
        <v>12654537.4440873</v>
      </c>
      <c r="M113" s="18">
        <f>E113*'GS&gt;50 Predicted Monthly'!$X$11</f>
        <v>1289266.7803939488</v>
      </c>
      <c r="N113" s="18">
        <f>F113*'GS&gt;50 Predicted Monthly'!$X$12</f>
        <v>51603.022853067494</v>
      </c>
      <c r="O113" s="18">
        <f>G113*'GS&gt;50 Predicted Monthly'!$X$13</f>
        <v>-7450544.5311433366</v>
      </c>
      <c r="P113" s="18">
        <f>H113*'GS&gt;50 Predicted Monthly'!$X$14</f>
        <v>0</v>
      </c>
      <c r="Q113" s="18">
        <f>I113*'GS&gt;50 Predicted Monthly'!$X$15</f>
        <v>57165341.851978198</v>
      </c>
      <c r="R113" s="18">
        <f>J113*'GS&gt;50 Predicted Monthly'!$X$16</f>
        <v>232625.7019193024</v>
      </c>
      <c r="S113" s="18">
        <f t="shared" si="18"/>
        <v>63942830.270088479</v>
      </c>
      <c r="T113" s="18">
        <f t="shared" si="19"/>
        <v>-2490446.8244646341</v>
      </c>
      <c r="U113" s="35">
        <f t="shared" si="20"/>
        <v>3.7487941787367085E-2</v>
      </c>
    </row>
    <row r="114" spans="1:21" x14ac:dyDescent="0.2">
      <c r="A114" s="9">
        <f>'Monthly Data'!A114</f>
        <v>45413</v>
      </c>
      <c r="B114">
        <f t="shared" si="11"/>
        <v>2024</v>
      </c>
      <c r="C114">
        <f t="shared" si="12"/>
        <v>5</v>
      </c>
      <c r="D114" s="31">
        <f>'Monthly Data'!N114</f>
        <v>69679780.220335022</v>
      </c>
      <c r="E114" s="33">
        <f>'Monthly Data'!AZ114</f>
        <v>1.8000000000000007</v>
      </c>
      <c r="F114" s="33">
        <f>'Monthly Data'!AW114</f>
        <v>59</v>
      </c>
      <c r="G114" s="33">
        <f>'Monthly Data'!BS114</f>
        <v>113</v>
      </c>
      <c r="H114" s="30">
        <f>'Monthly Data'!BO114</f>
        <v>0</v>
      </c>
      <c r="I114" s="33">
        <f>'Monthly Data'!BT114</f>
        <v>31</v>
      </c>
      <c r="J114" s="33">
        <f>'Monthly Data'!AK114</f>
        <v>42.300000000000182</v>
      </c>
      <c r="L114" s="18">
        <f>'GS&gt;50 Predicted Monthly'!$X$10</f>
        <v>12654537.4440873</v>
      </c>
      <c r="M114" s="18">
        <f>E114*'GS&gt;50 Predicted Monthly'!$X$11</f>
        <v>32824.331042561651</v>
      </c>
      <c r="N114" s="18">
        <f>F114*'GS&gt;50 Predicted Monthly'!$X$12</f>
        <v>2767798.4984827116</v>
      </c>
      <c r="O114" s="18">
        <f>G114*'GS&gt;50 Predicted Monthly'!$X$13</f>
        <v>-7517067.2501714025</v>
      </c>
      <c r="P114" s="18">
        <f>H114*'GS&gt;50 Predicted Monthly'!$X$14</f>
        <v>0</v>
      </c>
      <c r="Q114" s="18">
        <f>I114*'GS&gt;50 Predicted Monthly'!$X$15</f>
        <v>59070853.247044139</v>
      </c>
      <c r="R114" s="18">
        <f>J114*'GS&gt;50 Predicted Monthly'!$X$16</f>
        <v>296387.56599959196</v>
      </c>
      <c r="S114" s="18">
        <f t="shared" si="18"/>
        <v>67305333.836484909</v>
      </c>
      <c r="T114" s="18">
        <f t="shared" si="19"/>
        <v>-2374446.3838501126</v>
      </c>
      <c r="U114" s="35">
        <f t="shared" si="20"/>
        <v>3.4076548122595328E-2</v>
      </c>
    </row>
    <row r="115" spans="1:21" x14ac:dyDescent="0.2">
      <c r="A115" s="9">
        <f>'Monthly Data'!A115</f>
        <v>45444</v>
      </c>
      <c r="B115">
        <f t="shared" si="11"/>
        <v>2024</v>
      </c>
      <c r="C115">
        <f t="shared" si="12"/>
        <v>6</v>
      </c>
      <c r="D115" s="31">
        <f>'Monthly Data'!N115</f>
        <v>72525274.106116936</v>
      </c>
      <c r="E115" s="33">
        <f>'Monthly Data'!AZ115</f>
        <v>0</v>
      </c>
      <c r="F115" s="33">
        <f>'Monthly Data'!AW115</f>
        <v>164.40000000000006</v>
      </c>
      <c r="G115" s="33">
        <f>'Monthly Data'!BS115</f>
        <v>114</v>
      </c>
      <c r="H115" s="30">
        <f>'Monthly Data'!BO115</f>
        <v>0</v>
      </c>
      <c r="I115" s="33">
        <f>'Monthly Data'!BT115</f>
        <v>30</v>
      </c>
      <c r="J115" s="33">
        <f>'Monthly Data'!AK115</f>
        <v>42.100000000000364</v>
      </c>
      <c r="L115" s="18">
        <f>'GS&gt;50 Predicted Monthly'!$X$10</f>
        <v>12654537.4440873</v>
      </c>
      <c r="M115" s="18">
        <f>E115*'GS&gt;50 Predicted Monthly'!$X$11</f>
        <v>0</v>
      </c>
      <c r="N115" s="18">
        <f>F115*'GS&gt;50 Predicted Monthly'!$X$12</f>
        <v>7712306.3245857283</v>
      </c>
      <c r="O115" s="18">
        <f>G115*'GS&gt;50 Predicted Monthly'!$X$13</f>
        <v>-7583589.9691994675</v>
      </c>
      <c r="P115" s="18">
        <f>H115*'GS&gt;50 Predicted Monthly'!$X$14</f>
        <v>0</v>
      </c>
      <c r="Q115" s="18">
        <f>I115*'GS&gt;50 Predicted Monthly'!$X$15</f>
        <v>57165341.851978198</v>
      </c>
      <c r="R115" s="18">
        <f>J115*'GS&gt;50 Predicted Monthly'!$X$16</f>
        <v>294986.20634947694</v>
      </c>
      <c r="S115" s="18">
        <f t="shared" si="18"/>
        <v>70243581.857801244</v>
      </c>
      <c r="T115" s="18">
        <f t="shared" si="19"/>
        <v>-2281692.2483156919</v>
      </c>
      <c r="U115" s="35">
        <f t="shared" si="20"/>
        <v>3.1460649772618358E-2</v>
      </c>
    </row>
    <row r="116" spans="1:21" x14ac:dyDescent="0.2">
      <c r="A116" s="9">
        <f>'Monthly Data'!A116</f>
        <v>45474</v>
      </c>
      <c r="B116">
        <f t="shared" ref="B116:B121" si="21">YEAR(A116)</f>
        <v>2024</v>
      </c>
      <c r="C116">
        <f t="shared" ref="C116:C121" si="22">MONTH(A116)</f>
        <v>7</v>
      </c>
      <c r="D116" s="31">
        <f>'Monthly Data'!N116</f>
        <v>79765425.231898844</v>
      </c>
      <c r="E116" s="33">
        <f>'Monthly Data'!AZ116</f>
        <v>0</v>
      </c>
      <c r="F116" s="33">
        <f>'Monthly Data'!AW116</f>
        <v>261.8</v>
      </c>
      <c r="G116" s="33">
        <f>'Monthly Data'!BS116</f>
        <v>115</v>
      </c>
      <c r="H116" s="30">
        <f>'Monthly Data'!BO116</f>
        <v>0</v>
      </c>
      <c r="I116" s="33">
        <f>'Monthly Data'!BT116</f>
        <v>31</v>
      </c>
      <c r="J116" s="33">
        <f>'Monthly Data'!AK116</f>
        <v>44.399999999999636</v>
      </c>
      <c r="L116" s="18">
        <f>'GS&gt;50 Predicted Monthly'!$X$10</f>
        <v>12654537.4440873</v>
      </c>
      <c r="M116" s="18">
        <f>E116*'GS&gt;50 Predicted Monthly'!$X$11</f>
        <v>0</v>
      </c>
      <c r="N116" s="18">
        <f>F116*'GS&gt;50 Predicted Monthly'!$X$12</f>
        <v>12281519.439030068</v>
      </c>
      <c r="O116" s="18">
        <f>G116*'GS&gt;50 Predicted Monthly'!$X$13</f>
        <v>-7650112.6882275334</v>
      </c>
      <c r="P116" s="18">
        <f>H116*'GS&gt;50 Predicted Monthly'!$X$14</f>
        <v>0</v>
      </c>
      <c r="Q116" s="18">
        <f>I116*'GS&gt;50 Predicted Monthly'!$X$15</f>
        <v>59070853.247044139</v>
      </c>
      <c r="R116" s="18">
        <f>J116*'GS&gt;50 Predicted Monthly'!$X$16</f>
        <v>311101.84232580895</v>
      </c>
      <c r="S116" s="18">
        <f t="shared" ref="S116:S121" si="23">SUM(L116:R116)</f>
        <v>76667899.284259781</v>
      </c>
      <c r="T116" s="18">
        <f t="shared" ref="T116:T121" si="24">S116-D116</f>
        <v>-3097525.947639063</v>
      </c>
      <c r="U116" s="35">
        <f t="shared" ref="U116:U121" si="25">ABS(T116/D116)</f>
        <v>3.8832939693278751E-2</v>
      </c>
    </row>
    <row r="117" spans="1:21" x14ac:dyDescent="0.2">
      <c r="A117" s="9">
        <f>'Monthly Data'!A117</f>
        <v>45505</v>
      </c>
      <c r="B117">
        <f t="shared" si="21"/>
        <v>2024</v>
      </c>
      <c r="C117">
        <f t="shared" si="22"/>
        <v>8</v>
      </c>
      <c r="D117" s="31">
        <f>'Monthly Data'!N117</f>
        <v>77761792.017680764</v>
      </c>
      <c r="E117" s="33">
        <f>'Monthly Data'!AZ117</f>
        <v>0</v>
      </c>
      <c r="F117" s="33">
        <f>'Monthly Data'!AW117</f>
        <v>240.3</v>
      </c>
      <c r="G117" s="33">
        <f>'Monthly Data'!BS117</f>
        <v>116</v>
      </c>
      <c r="H117" s="30">
        <f>'Monthly Data'!BO117</f>
        <v>0</v>
      </c>
      <c r="I117" s="33">
        <f>'Monthly Data'!BT117</f>
        <v>31</v>
      </c>
      <c r="J117" s="33">
        <f>'Monthly Data'!AK117</f>
        <v>51.199999999999818</v>
      </c>
      <c r="L117" s="18">
        <f>'GS&gt;50 Predicted Monthly'!$X$10</f>
        <v>12654537.4440873</v>
      </c>
      <c r="M117" s="18">
        <f>E117*'GS&gt;50 Predicted Monthly'!$X$11</f>
        <v>0</v>
      </c>
      <c r="N117" s="18">
        <f>F117*'GS&gt;50 Predicted Monthly'!$X$12</f>
        <v>11272914.901447384</v>
      </c>
      <c r="O117" s="18">
        <f>G117*'GS&gt;50 Predicted Monthly'!$X$13</f>
        <v>-7716635.4072555983</v>
      </c>
      <c r="P117" s="18">
        <f>H117*'GS&gt;50 Predicted Monthly'!$X$14</f>
        <v>0</v>
      </c>
      <c r="Q117" s="18">
        <f>I117*'GS&gt;50 Predicted Monthly'!$X$15</f>
        <v>59070853.247044139</v>
      </c>
      <c r="R117" s="18">
        <f>J117*'GS&gt;50 Predicted Monthly'!$X$16</f>
        <v>358748.07042976335</v>
      </c>
      <c r="S117" s="18">
        <f t="shared" si="23"/>
        <v>75640418.255752981</v>
      </c>
      <c r="T117" s="18">
        <f t="shared" si="24"/>
        <v>-2121373.7619277835</v>
      </c>
      <c r="U117" s="35">
        <f t="shared" si="25"/>
        <v>2.7280412486448937E-2</v>
      </c>
    </row>
    <row r="118" spans="1:21" x14ac:dyDescent="0.2">
      <c r="A118" s="9">
        <f>'Monthly Data'!A118</f>
        <v>45536</v>
      </c>
      <c r="B118">
        <f t="shared" si="21"/>
        <v>2024</v>
      </c>
      <c r="C118">
        <f t="shared" si="22"/>
        <v>9</v>
      </c>
      <c r="D118" s="31">
        <f>'Monthly Data'!N118</f>
        <v>71569012.573462665</v>
      </c>
      <c r="E118" s="33">
        <f>'Monthly Data'!AZ118</f>
        <v>0</v>
      </c>
      <c r="F118" s="33">
        <f>'Monthly Data'!AW118</f>
        <v>148.19999999999999</v>
      </c>
      <c r="G118" s="33">
        <f>'Monthly Data'!BS118</f>
        <v>117</v>
      </c>
      <c r="H118" s="30">
        <f>'Monthly Data'!BO118</f>
        <v>0</v>
      </c>
      <c r="I118" s="33">
        <f>'Monthly Data'!BT118</f>
        <v>30</v>
      </c>
      <c r="J118" s="33">
        <f>'Monthly Data'!AK118</f>
        <v>64.399999999999636</v>
      </c>
      <c r="L118" s="18">
        <f>'GS&gt;50 Predicted Monthly'!$X$10</f>
        <v>12654537.4440873</v>
      </c>
      <c r="M118" s="18">
        <f>E118*'GS&gt;50 Predicted Monthly'!$X$11</f>
        <v>0</v>
      </c>
      <c r="N118" s="18">
        <f>F118*'GS&gt;50 Predicted Monthly'!$X$12</f>
        <v>6952334.5334769124</v>
      </c>
      <c r="O118" s="18">
        <f>G118*'GS&gt;50 Predicted Monthly'!$X$13</f>
        <v>-7783158.1262836643</v>
      </c>
      <c r="P118" s="18">
        <f>H118*'GS&gt;50 Predicted Monthly'!$X$14</f>
        <v>0</v>
      </c>
      <c r="Q118" s="18">
        <f>I118*'GS&gt;50 Predicted Monthly'!$X$15</f>
        <v>57165341.851978198</v>
      </c>
      <c r="R118" s="18">
        <f>J118*'GS&gt;50 Predicted Monthly'!$X$16</f>
        <v>451237.80733743572</v>
      </c>
      <c r="S118" s="18">
        <f t="shared" si="23"/>
        <v>69440293.510596186</v>
      </c>
      <c r="T118" s="18">
        <f t="shared" si="24"/>
        <v>-2128719.0628664792</v>
      </c>
      <c r="U118" s="35">
        <f t="shared" si="25"/>
        <v>2.9743585754818624E-2</v>
      </c>
    </row>
    <row r="119" spans="1:21" x14ac:dyDescent="0.2">
      <c r="A119" s="9">
        <f>'Monthly Data'!A119</f>
        <v>45566</v>
      </c>
      <c r="B119">
        <f t="shared" si="21"/>
        <v>2024</v>
      </c>
      <c r="C119">
        <f t="shared" si="22"/>
        <v>10</v>
      </c>
      <c r="D119" s="31">
        <f>'Monthly Data'!N119</f>
        <v>68521516.309244588</v>
      </c>
      <c r="E119" s="33">
        <f>'Monthly Data'!AZ119</f>
        <v>8.6000000000000014</v>
      </c>
      <c r="F119" s="33">
        <f>'Monthly Data'!AW119</f>
        <v>47.400000000000006</v>
      </c>
      <c r="G119" s="33">
        <f>'Monthly Data'!BS119</f>
        <v>118</v>
      </c>
      <c r="H119" s="30">
        <f>'Monthly Data'!BO119</f>
        <v>0</v>
      </c>
      <c r="I119" s="33">
        <f>'Monthly Data'!BT119</f>
        <v>31</v>
      </c>
      <c r="J119" s="33">
        <f>'Monthly Data'!AK119</f>
        <v>75.800000000000182</v>
      </c>
      <c r="L119" s="18">
        <f>'GS&gt;50 Predicted Monthly'!$X$10</f>
        <v>12654537.4440873</v>
      </c>
      <c r="M119" s="18">
        <f>E119*'GS&gt;50 Predicted Monthly'!$X$11</f>
        <v>156827.3594255723</v>
      </c>
      <c r="N119" s="18">
        <f>F119*'GS&gt;50 Predicted Monthly'!$X$12</f>
        <v>2223621.1665776363</v>
      </c>
      <c r="O119" s="18">
        <f>G119*'GS&gt;50 Predicted Monthly'!$X$13</f>
        <v>-7849680.8453117292</v>
      </c>
      <c r="P119" s="18">
        <f>H119*'GS&gt;50 Predicted Monthly'!$X$14</f>
        <v>0</v>
      </c>
      <c r="Q119" s="18">
        <f>I119*'GS&gt;50 Predicted Monthly'!$X$15</f>
        <v>59070853.247044139</v>
      </c>
      <c r="R119" s="18">
        <f>J119*'GS&gt;50 Predicted Monthly'!$X$16</f>
        <v>531115.30739406683</v>
      </c>
      <c r="S119" s="18">
        <f t="shared" si="23"/>
        <v>66787273.679216981</v>
      </c>
      <c r="T119" s="18">
        <f t="shared" si="24"/>
        <v>-1734242.6300276071</v>
      </c>
      <c r="U119" s="35">
        <f t="shared" si="25"/>
        <v>2.5309460786022208E-2</v>
      </c>
    </row>
    <row r="120" spans="1:21" x14ac:dyDescent="0.2">
      <c r="A120" s="9">
        <f>'Monthly Data'!A120</f>
        <v>45597</v>
      </c>
      <c r="B120">
        <f t="shared" si="21"/>
        <v>2024</v>
      </c>
      <c r="C120">
        <f t="shared" si="22"/>
        <v>11</v>
      </c>
      <c r="D120" s="31">
        <f>'Monthly Data'!N120</f>
        <v>66855346.295026518</v>
      </c>
      <c r="E120" s="33">
        <f>'Monthly Data'!AZ120</f>
        <v>90.7</v>
      </c>
      <c r="F120" s="33">
        <f>'Monthly Data'!AW120</f>
        <v>9.9000000000000021</v>
      </c>
      <c r="G120" s="33">
        <f>'Monthly Data'!BS120</f>
        <v>119</v>
      </c>
      <c r="H120" s="30">
        <f>'Monthly Data'!BO120</f>
        <v>0</v>
      </c>
      <c r="I120" s="33">
        <f>'Monthly Data'!BT120</f>
        <v>30</v>
      </c>
      <c r="J120" s="33">
        <f>'Monthly Data'!AK120</f>
        <v>75.299999999999727</v>
      </c>
      <c r="L120" s="18">
        <f>'GS&gt;50 Predicted Monthly'!$X$10</f>
        <v>12654537.4440873</v>
      </c>
      <c r="M120" s="18">
        <f>E120*'GS&gt;50 Predicted Monthly'!$X$11</f>
        <v>1653981.5697557449</v>
      </c>
      <c r="N120" s="18">
        <f>F120*'GS&gt;50 Predicted Monthly'!$X$12</f>
        <v>464427.20567760768</v>
      </c>
      <c r="O120" s="18">
        <f>G120*'GS&gt;50 Predicted Monthly'!$X$13</f>
        <v>-7916203.5643397951</v>
      </c>
      <c r="P120" s="18">
        <f>H120*'GS&gt;50 Predicted Monthly'!$X$14</f>
        <v>0</v>
      </c>
      <c r="Q120" s="18">
        <f>I120*'GS&gt;50 Predicted Monthly'!$X$15</f>
        <v>57165341.851978198</v>
      </c>
      <c r="R120" s="18">
        <f>J120*'GS&gt;50 Predicted Monthly'!$X$16</f>
        <v>527611.908268773</v>
      </c>
      <c r="S120" s="18">
        <f t="shared" si="23"/>
        <v>64549696.415427826</v>
      </c>
      <c r="T120" s="18">
        <f t="shared" si="24"/>
        <v>-2305649.8795986921</v>
      </c>
      <c r="U120" s="35">
        <f t="shared" si="25"/>
        <v>3.4487142874469162E-2</v>
      </c>
    </row>
    <row r="121" spans="1:21" x14ac:dyDescent="0.2">
      <c r="A121" s="9">
        <f>'Monthly Data'!A121</f>
        <v>45627</v>
      </c>
      <c r="B121">
        <f t="shared" si="21"/>
        <v>2024</v>
      </c>
      <c r="C121">
        <f t="shared" si="22"/>
        <v>12</v>
      </c>
      <c r="D121" s="31">
        <f>'Monthly Data'!N121</f>
        <v>69388792.820808396</v>
      </c>
      <c r="E121" s="33">
        <f>'Monthly Data'!AZ121</f>
        <v>276.80000000000007</v>
      </c>
      <c r="F121" s="33">
        <f>'Monthly Data'!AW121</f>
        <v>0</v>
      </c>
      <c r="G121" s="33">
        <f>'Monthly Data'!BS121</f>
        <v>120</v>
      </c>
      <c r="H121" s="30">
        <f>'Monthly Data'!BO121</f>
        <v>1</v>
      </c>
      <c r="I121" s="33">
        <f>'Monthly Data'!BT121</f>
        <v>31</v>
      </c>
      <c r="J121" s="33">
        <f>'Monthly Data'!AK121</f>
        <v>94.699999999999818</v>
      </c>
      <c r="L121" s="18">
        <f>'GS&gt;50 Predicted Monthly'!$X$10</f>
        <v>12654537.4440873</v>
      </c>
      <c r="M121" s="18">
        <f>E121*'GS&gt;50 Predicted Monthly'!$X$11</f>
        <v>5047652.6847672574</v>
      </c>
      <c r="N121" s="18">
        <f>F121*'GS&gt;50 Predicted Monthly'!$X$12</f>
        <v>0</v>
      </c>
      <c r="O121" s="18">
        <f>G121*'GS&gt;50 Predicted Monthly'!$X$13</f>
        <v>-7982726.2833678611</v>
      </c>
      <c r="P121" s="18">
        <f>H121*'GS&gt;50 Predicted Monthly'!$X$14</f>
        <v>-2455659.1490839599</v>
      </c>
      <c r="Q121" s="18">
        <f>I121*'GS&gt;50 Predicted Monthly'!$X$15</f>
        <v>59070853.247044139</v>
      </c>
      <c r="R121" s="18">
        <f>J121*'GS&gt;50 Predicted Monthly'!$X$16</f>
        <v>663543.79433005163</v>
      </c>
      <c r="S121" s="18">
        <f t="shared" si="23"/>
        <v>66998201.737776928</v>
      </c>
      <c r="T121" s="18">
        <f t="shared" si="24"/>
        <v>-2390591.0830314681</v>
      </c>
      <c r="U121" s="35">
        <f t="shared" si="25"/>
        <v>3.4452120952802839E-2</v>
      </c>
    </row>
    <row r="122" spans="1:21" x14ac:dyDescent="0.2">
      <c r="A122" s="9"/>
      <c r="U122" s="36">
        <f>AVERAGE(U2:U121)</f>
        <v>2.1449991142931269E-2</v>
      </c>
    </row>
    <row r="123" spans="1:21" x14ac:dyDescent="0.2">
      <c r="A123" s="9"/>
    </row>
    <row r="124" spans="1:21" x14ac:dyDescent="0.2">
      <c r="A124" s="9"/>
    </row>
    <row r="125" spans="1:21" x14ac:dyDescent="0.2">
      <c r="A125" s="9"/>
    </row>
    <row r="126" spans="1:21" x14ac:dyDescent="0.2">
      <c r="A126" s="9"/>
    </row>
    <row r="127" spans="1:21" x14ac:dyDescent="0.2">
      <c r="A127" s="9"/>
    </row>
    <row r="128" spans="1:21" x14ac:dyDescent="0.2">
      <c r="A128" s="9"/>
    </row>
    <row r="129" spans="1:1" x14ac:dyDescent="0.2">
      <c r="A129" s="9"/>
    </row>
    <row r="130" spans="1:1" x14ac:dyDescent="0.2">
      <c r="A130" s="9"/>
    </row>
    <row r="131" spans="1:1" x14ac:dyDescent="0.2">
      <c r="A131" s="9"/>
    </row>
    <row r="132" spans="1:1" x14ac:dyDescent="0.2">
      <c r="A132" s="9"/>
    </row>
    <row r="133" spans="1:1" x14ac:dyDescent="0.2">
      <c r="A133" s="9"/>
    </row>
    <row r="134" spans="1:1" x14ac:dyDescent="0.2">
      <c r="A134" s="9"/>
    </row>
    <row r="135" spans="1:1" x14ac:dyDescent="0.2">
      <c r="A135" s="9"/>
    </row>
    <row r="136" spans="1:1" x14ac:dyDescent="0.2">
      <c r="A136" s="9"/>
    </row>
    <row r="137" spans="1:1" x14ac:dyDescent="0.2">
      <c r="A137" s="9"/>
    </row>
    <row r="138" spans="1:1" x14ac:dyDescent="0.2">
      <c r="A138" s="9"/>
    </row>
    <row r="139" spans="1:1" x14ac:dyDescent="0.2">
      <c r="A139" s="9"/>
    </row>
    <row r="140" spans="1:1" x14ac:dyDescent="0.2">
      <c r="A140" s="9"/>
    </row>
    <row r="141" spans="1:1" x14ac:dyDescent="0.2">
      <c r="A141" s="9"/>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5047D-D637-4CA9-BCFA-DF5BA0393F48}">
  <sheetPr codeName="Sheet12">
    <tabColor theme="3" tint="0.499984740745262"/>
  </sheetPr>
  <dimension ref="B1:AY99"/>
  <sheetViews>
    <sheetView topLeftCell="AB11" workbookViewId="0">
      <selection activeCell="AJ39" sqref="AJ39"/>
    </sheetView>
  </sheetViews>
  <sheetFormatPr defaultColWidth="8.83203125" defaultRowHeight="14.25" x14ac:dyDescent="0.2"/>
  <cols>
    <col min="1" max="1" width="8.83203125" style="216"/>
    <col min="2" max="2" width="12.83203125" style="216" customWidth="1"/>
    <col min="3" max="3" width="5.5" style="216" customWidth="1"/>
    <col min="4" max="4" width="12.83203125" style="425" customWidth="1"/>
    <col min="5" max="5" width="11.33203125" style="216" bestFit="1" customWidth="1"/>
    <col min="6" max="7" width="11.33203125" style="216" customWidth="1"/>
    <col min="8" max="10" width="12.6640625" style="216" customWidth="1"/>
    <col min="11" max="11" width="8.83203125" style="216"/>
    <col min="12" max="12" width="9" style="216" bestFit="1" customWidth="1"/>
    <col min="13" max="13" width="11.83203125" style="216" bestFit="1" customWidth="1"/>
    <col min="14" max="14" width="10.5" style="216" customWidth="1"/>
    <col min="15" max="15" width="11.33203125" style="216" bestFit="1" customWidth="1"/>
    <col min="16" max="20" width="11.33203125" style="216" customWidth="1"/>
    <col min="21" max="21" width="10.33203125" style="216" bestFit="1" customWidth="1"/>
    <col min="22" max="23" width="10.33203125" style="216" customWidth="1"/>
    <col min="24" max="26" width="12.5" style="216" customWidth="1"/>
    <col min="27" max="29" width="8.83203125" style="216"/>
    <col min="30" max="30" width="5.5" style="216" customWidth="1"/>
    <col min="31" max="31" width="9" style="216" bestFit="1" customWidth="1"/>
    <col min="32" max="32" width="15.1640625" style="216" customWidth="1"/>
    <col min="33" max="33" width="11.83203125" style="216" bestFit="1" customWidth="1"/>
    <col min="34" max="34" width="10.83203125" style="216" customWidth="1"/>
    <col min="35" max="35" width="14" style="216" customWidth="1"/>
    <col min="36" max="36" width="14.83203125" style="216" customWidth="1"/>
    <col min="37" max="37" width="15.33203125" style="216" bestFit="1" customWidth="1"/>
    <col min="38" max="38" width="18.83203125" style="216" customWidth="1"/>
    <col min="39" max="39" width="10.1640625" style="216" customWidth="1"/>
    <col min="40" max="41" width="9" style="216" bestFit="1" customWidth="1"/>
    <col min="42" max="42" width="11.33203125" style="216" bestFit="1" customWidth="1"/>
    <col min="43" max="44" width="10.1640625" style="216" bestFit="1" customWidth="1"/>
    <col min="45" max="45" width="11.33203125" style="216" bestFit="1" customWidth="1"/>
    <col min="46" max="46" width="10.1640625" style="216" bestFit="1" customWidth="1"/>
    <col min="47" max="51" width="9" style="216" bestFit="1" customWidth="1"/>
    <col min="52" max="16384" width="8.83203125" style="216"/>
  </cols>
  <sheetData>
    <row r="1" spans="2:51" x14ac:dyDescent="0.2">
      <c r="B1" s="453" t="s">
        <v>214</v>
      </c>
      <c r="C1" s="454"/>
      <c r="D1" s="447"/>
      <c r="E1" s="454"/>
      <c r="F1" s="454"/>
      <c r="G1" s="454"/>
      <c r="H1" s="454"/>
      <c r="I1" s="454"/>
      <c r="J1" s="455"/>
      <c r="L1" s="239"/>
      <c r="M1" s="240"/>
      <c r="N1" s="284"/>
      <c r="O1" s="526" t="s">
        <v>215</v>
      </c>
      <c r="P1" s="527"/>
      <c r="Q1" s="527"/>
      <c r="R1" s="527"/>
      <c r="S1" s="527"/>
      <c r="T1" s="528"/>
      <c r="U1" s="525" t="s">
        <v>216</v>
      </c>
      <c r="V1" s="525"/>
      <c r="W1" s="525"/>
      <c r="X1" s="525"/>
      <c r="Y1" s="525"/>
      <c r="Z1" s="525"/>
      <c r="AC1" s="216" t="s">
        <v>217</v>
      </c>
    </row>
    <row r="2" spans="2:51" s="361" customFormat="1" ht="28.5" x14ac:dyDescent="0.2">
      <c r="B2" s="360" t="s">
        <v>218</v>
      </c>
      <c r="C2" s="486"/>
      <c r="D2" s="428"/>
      <c r="E2" s="529" t="s">
        <v>219</v>
      </c>
      <c r="F2" s="530"/>
      <c r="G2" s="530"/>
      <c r="H2" s="529" t="s">
        <v>377</v>
      </c>
      <c r="I2" s="530"/>
      <c r="J2" s="531"/>
      <c r="L2" s="362"/>
      <c r="N2" s="363"/>
      <c r="O2" s="529" t="s">
        <v>219</v>
      </c>
      <c r="P2" s="530"/>
      <c r="Q2" s="530"/>
      <c r="R2" s="529" t="s">
        <v>377</v>
      </c>
      <c r="S2" s="530"/>
      <c r="T2" s="531"/>
      <c r="U2" s="529" t="str">
        <f>O2</f>
        <v>Ontario</v>
      </c>
      <c r="V2" s="530"/>
      <c r="W2" s="530"/>
      <c r="X2" s="529" t="str">
        <f>R2</f>
        <v>Burlington</v>
      </c>
      <c r="Y2" s="530"/>
      <c r="Z2" s="531"/>
      <c r="AB2" s="216"/>
      <c r="AC2" s="216" t="s">
        <v>220</v>
      </c>
      <c r="AD2" s="216"/>
      <c r="AE2" s="216"/>
      <c r="AF2" s="525" t="s">
        <v>221</v>
      </c>
      <c r="AG2" s="525"/>
      <c r="AH2" s="525"/>
      <c r="AI2" s="525"/>
      <c r="AJ2" s="525"/>
      <c r="AK2" s="525" t="s">
        <v>222</v>
      </c>
      <c r="AL2" s="525"/>
      <c r="AM2" s="525"/>
      <c r="AN2" s="525"/>
      <c r="AO2" s="525"/>
      <c r="AP2" s="525" t="s">
        <v>223</v>
      </c>
      <c r="AQ2" s="525"/>
      <c r="AR2" s="525"/>
      <c r="AS2" s="525"/>
      <c r="AT2" s="525"/>
      <c r="AU2" s="525" t="s">
        <v>224</v>
      </c>
      <c r="AV2" s="525"/>
      <c r="AW2" s="525"/>
      <c r="AX2" s="525"/>
      <c r="AY2" s="525"/>
    </row>
    <row r="3" spans="2:51" s="361" customFormat="1" ht="38.25" x14ac:dyDescent="0.2">
      <c r="B3" s="362"/>
      <c r="D3" s="483"/>
      <c r="E3" s="450" t="s">
        <v>504</v>
      </c>
      <c r="F3" s="451" t="s">
        <v>222</v>
      </c>
      <c r="G3" s="451" t="s">
        <v>224</v>
      </c>
      <c r="H3" s="450" t="s">
        <v>504</v>
      </c>
      <c r="I3" s="451" t="s">
        <v>222</v>
      </c>
      <c r="J3" s="452" t="s">
        <v>224</v>
      </c>
      <c r="L3" s="362"/>
      <c r="N3" s="363"/>
      <c r="O3" s="450" t="s">
        <v>504</v>
      </c>
      <c r="P3" s="451" t="s">
        <v>222</v>
      </c>
      <c r="Q3" s="451" t="s">
        <v>224</v>
      </c>
      <c r="R3" s="450" t="s">
        <v>504</v>
      </c>
      <c r="S3" s="451" t="s">
        <v>222</v>
      </c>
      <c r="T3" s="452" t="s">
        <v>224</v>
      </c>
      <c r="U3" s="450" t="s">
        <v>504</v>
      </c>
      <c r="V3" s="451" t="s">
        <v>222</v>
      </c>
      <c r="W3" s="451" t="s">
        <v>224</v>
      </c>
      <c r="X3" s="450" t="s">
        <v>504</v>
      </c>
      <c r="Y3" s="451" t="s">
        <v>222</v>
      </c>
      <c r="Z3" s="452" t="s">
        <v>224</v>
      </c>
      <c r="AB3" s="216"/>
      <c r="AC3" s="216" t="s">
        <v>226</v>
      </c>
      <c r="AD3" s="216"/>
      <c r="AE3" s="216"/>
      <c r="AF3" s="216" t="s">
        <v>227</v>
      </c>
      <c r="AG3" s="216" t="s">
        <v>228</v>
      </c>
      <c r="AH3" s="216" t="s">
        <v>229</v>
      </c>
      <c r="AI3" s="216" t="s">
        <v>230</v>
      </c>
      <c r="AJ3" s="216" t="s">
        <v>231</v>
      </c>
      <c r="AK3" s="216" t="s">
        <v>227</v>
      </c>
      <c r="AL3" s="216" t="s">
        <v>228</v>
      </c>
      <c r="AM3" s="216" t="s">
        <v>229</v>
      </c>
      <c r="AN3" s="216" t="s">
        <v>230</v>
      </c>
      <c r="AO3" s="216" t="s">
        <v>231</v>
      </c>
      <c r="AP3" s="216" t="s">
        <v>227</v>
      </c>
      <c r="AQ3" s="216" t="s">
        <v>228</v>
      </c>
      <c r="AR3" s="216" t="s">
        <v>229</v>
      </c>
      <c r="AS3" s="216" t="s">
        <v>230</v>
      </c>
      <c r="AT3" s="216" t="s">
        <v>231</v>
      </c>
      <c r="AU3" s="216" t="s">
        <v>227</v>
      </c>
      <c r="AV3" s="216" t="s">
        <v>228</v>
      </c>
      <c r="AW3" s="216" t="s">
        <v>229</v>
      </c>
      <c r="AX3" s="216" t="s">
        <v>230</v>
      </c>
      <c r="AY3" s="216" t="s">
        <v>231</v>
      </c>
    </row>
    <row r="4" spans="2:51" x14ac:dyDescent="0.2">
      <c r="B4" s="243" t="s">
        <v>225</v>
      </c>
      <c r="C4" s="425" t="str">
        <f>LEFT(B4,2)</f>
        <v>Q1</v>
      </c>
      <c r="D4" s="425">
        <f>VALUE(RIGHT(B4,4))</f>
        <v>2017</v>
      </c>
      <c r="E4" s="367">
        <v>1319</v>
      </c>
      <c r="F4" s="364">
        <v>595</v>
      </c>
      <c r="G4" s="364">
        <v>724</v>
      </c>
      <c r="H4" s="367">
        <v>38</v>
      </c>
      <c r="I4" s="364">
        <v>13</v>
      </c>
      <c r="J4" s="448">
        <v>25</v>
      </c>
      <c r="L4" s="365">
        <v>42736</v>
      </c>
      <c r="M4" s="225">
        <f>YEAR(L4)</f>
        <v>2017</v>
      </c>
      <c r="N4" s="366" t="s">
        <v>225</v>
      </c>
      <c r="O4" s="367">
        <f>SUMIFS(E:E,$B:$B,$N4)</f>
        <v>1319</v>
      </c>
      <c r="P4" s="364">
        <f>SUMIFS(F:F,$B:$B,$N4)</f>
        <v>595</v>
      </c>
      <c r="Q4" s="364">
        <f>SUMIFS(G:G,$B:$B,$N4)</f>
        <v>724</v>
      </c>
      <c r="R4" s="367">
        <f>SUMIFS(H:H,$B:$B,$N4)</f>
        <v>38</v>
      </c>
      <c r="S4" s="364">
        <f>SUMIFS(I:I,$B:$B,$N4)</f>
        <v>13</v>
      </c>
      <c r="T4" s="448">
        <f t="shared" ref="T4:T67" si="0">SUMIFS(J:J,$B:$B,$N4)</f>
        <v>25</v>
      </c>
      <c r="U4" s="367">
        <f>O4/3</f>
        <v>439.66666666666669</v>
      </c>
      <c r="V4" s="364">
        <f t="shared" ref="V4:X4" si="1">P4/3</f>
        <v>198.33333333333334</v>
      </c>
      <c r="W4" s="364">
        <f t="shared" si="1"/>
        <v>241.33333333333334</v>
      </c>
      <c r="X4" s="367">
        <f t="shared" si="1"/>
        <v>12.666666666666666</v>
      </c>
      <c r="Y4" s="364">
        <f>S4/3</f>
        <v>4.333333333333333</v>
      </c>
      <c r="Z4" s="448">
        <f t="shared" ref="Z4" si="2">T4/3</f>
        <v>8.3333333333333339</v>
      </c>
      <c r="AB4" s="216" t="s">
        <v>218</v>
      </c>
      <c r="AC4" s="216" t="s">
        <v>233</v>
      </c>
    </row>
    <row r="5" spans="2:51" x14ac:dyDescent="0.2">
      <c r="B5" s="243" t="s">
        <v>232</v>
      </c>
      <c r="C5" s="425" t="str">
        <f t="shared" ref="C5:C35" si="3">LEFT(B5,2)</f>
        <v>Q2</v>
      </c>
      <c r="D5" s="425">
        <f t="shared" ref="D5:D35" si="4">VALUE(RIGHT(B5,4))</f>
        <v>2017</v>
      </c>
      <c r="E5" s="367">
        <v>2089</v>
      </c>
      <c r="F5" s="364">
        <v>831</v>
      </c>
      <c r="G5" s="364">
        <v>1258</v>
      </c>
      <c r="H5" s="367">
        <v>75</v>
      </c>
      <c r="I5" s="364">
        <v>33</v>
      </c>
      <c r="J5" s="448">
        <v>42</v>
      </c>
      <c r="L5" s="365">
        <v>42767</v>
      </c>
      <c r="M5" s="225">
        <f t="shared" ref="M5:M68" si="5">YEAR(L5)</f>
        <v>2017</v>
      </c>
      <c r="N5" s="366" t="s">
        <v>225</v>
      </c>
      <c r="O5" s="367">
        <f t="shared" ref="O5:O68" si="6">SUMIFS(E:E,$B:$B,$N5)</f>
        <v>1319</v>
      </c>
      <c r="P5" s="364">
        <f t="shared" ref="P5:P19" si="7">SUMIFS(F:F,$B:$B,$N5)</f>
        <v>595</v>
      </c>
      <c r="Q5" s="364">
        <f t="shared" ref="Q5:Q19" si="8">SUMIFS(G:G,$B:$B,$N5)</f>
        <v>724</v>
      </c>
      <c r="R5" s="367">
        <f t="shared" ref="R5:R19" si="9">SUMIFS(H:H,$B:$B,$N5)</f>
        <v>38</v>
      </c>
      <c r="S5" s="364">
        <f t="shared" ref="S5:S68" si="10">SUMIFS(I:I,$B:$B,$N5)</f>
        <v>13</v>
      </c>
      <c r="T5" s="448">
        <f t="shared" si="0"/>
        <v>25</v>
      </c>
      <c r="U5" s="367">
        <f t="shared" ref="U5:U36" si="11">O5/3+U4</f>
        <v>879.33333333333337</v>
      </c>
      <c r="V5" s="364">
        <f t="shared" ref="V5:V68" si="12">P5/3+V4</f>
        <v>396.66666666666669</v>
      </c>
      <c r="W5" s="364">
        <f t="shared" ref="W5:W68" si="13">Q5/3+W4</f>
        <v>482.66666666666669</v>
      </c>
      <c r="X5" s="367">
        <f t="shared" ref="X5:X68" si="14">R5/3+X4</f>
        <v>25.333333333333332</v>
      </c>
      <c r="Y5" s="364">
        <f t="shared" ref="Y5:Y68" si="15">S5/3+Y4</f>
        <v>8.6666666666666661</v>
      </c>
      <c r="Z5" s="448">
        <f t="shared" ref="Z5:Z68" si="16">T5/3+Z4</f>
        <v>16.666666666666668</v>
      </c>
      <c r="AF5" s="216" t="s">
        <v>235</v>
      </c>
    </row>
    <row r="6" spans="2:51" x14ac:dyDescent="0.2">
      <c r="B6" s="243" t="s">
        <v>234</v>
      </c>
      <c r="C6" s="425" t="str">
        <f t="shared" si="3"/>
        <v>Q3</v>
      </c>
      <c r="D6" s="425">
        <f t="shared" si="4"/>
        <v>2017</v>
      </c>
      <c r="E6" s="367">
        <v>2130</v>
      </c>
      <c r="F6" s="364">
        <v>950</v>
      </c>
      <c r="G6" s="364">
        <v>1180</v>
      </c>
      <c r="H6" s="367">
        <v>69</v>
      </c>
      <c r="I6" s="364">
        <v>24</v>
      </c>
      <c r="J6" s="448">
        <v>45</v>
      </c>
      <c r="L6" s="365">
        <v>42795</v>
      </c>
      <c r="M6" s="225">
        <f t="shared" si="5"/>
        <v>2017</v>
      </c>
      <c r="N6" s="366" t="s">
        <v>225</v>
      </c>
      <c r="O6" s="367">
        <f t="shared" si="6"/>
        <v>1319</v>
      </c>
      <c r="P6" s="364">
        <f t="shared" si="7"/>
        <v>595</v>
      </c>
      <c r="Q6" s="364">
        <f t="shared" si="8"/>
        <v>724</v>
      </c>
      <c r="R6" s="367">
        <f t="shared" si="9"/>
        <v>38</v>
      </c>
      <c r="S6" s="364">
        <f t="shared" si="10"/>
        <v>13</v>
      </c>
      <c r="T6" s="448">
        <f t="shared" si="0"/>
        <v>25</v>
      </c>
      <c r="U6" s="367">
        <f t="shared" si="11"/>
        <v>1319</v>
      </c>
      <c r="V6" s="364">
        <f t="shared" si="12"/>
        <v>595</v>
      </c>
      <c r="W6" s="364">
        <f t="shared" si="13"/>
        <v>724</v>
      </c>
      <c r="X6" s="367">
        <f t="shared" si="14"/>
        <v>38</v>
      </c>
      <c r="Y6" s="364">
        <f t="shared" si="15"/>
        <v>13</v>
      </c>
      <c r="Z6" s="448">
        <f t="shared" si="16"/>
        <v>25</v>
      </c>
      <c r="AB6" s="216" t="s">
        <v>219</v>
      </c>
      <c r="AC6" s="216" t="s">
        <v>225</v>
      </c>
      <c r="AD6" s="216" t="str">
        <f>LEFT(AC6,2)</f>
        <v>Q1</v>
      </c>
      <c r="AE6" s="216">
        <f>VALUE(RIGHT(AC6,4))</f>
        <v>2017</v>
      </c>
      <c r="AF6" s="296">
        <v>168231</v>
      </c>
      <c r="AG6" s="296">
        <v>53466</v>
      </c>
      <c r="AH6" s="296">
        <v>31137</v>
      </c>
      <c r="AI6" s="296">
        <v>70807</v>
      </c>
      <c r="AJ6" s="296">
        <v>12821</v>
      </c>
      <c r="AK6" s="216">
        <v>595</v>
      </c>
      <c r="AL6" s="216">
        <v>414</v>
      </c>
      <c r="AM6" s="216">
        <v>0</v>
      </c>
      <c r="AN6" s="216">
        <v>181</v>
      </c>
      <c r="AO6" s="216">
        <v>0</v>
      </c>
      <c r="AP6" s="296">
        <v>1633</v>
      </c>
      <c r="AQ6" s="216">
        <v>918</v>
      </c>
      <c r="AR6" s="216">
        <v>0</v>
      </c>
      <c r="AS6" s="216">
        <v>715</v>
      </c>
      <c r="AT6" s="216">
        <v>0</v>
      </c>
      <c r="AU6" s="216">
        <v>724</v>
      </c>
      <c r="AV6" s="216">
        <v>627</v>
      </c>
      <c r="AW6" s="216">
        <v>0</v>
      </c>
      <c r="AX6" s="216">
        <v>88</v>
      </c>
      <c r="AY6" s="216">
        <v>9</v>
      </c>
    </row>
    <row r="7" spans="2:51" x14ac:dyDescent="0.2">
      <c r="B7" s="243" t="s">
        <v>236</v>
      </c>
      <c r="C7" s="425" t="str">
        <f t="shared" si="3"/>
        <v>Q4</v>
      </c>
      <c r="D7" s="425">
        <f t="shared" si="4"/>
        <v>2017</v>
      </c>
      <c r="E7" s="367">
        <v>2642</v>
      </c>
      <c r="F7" s="364">
        <v>1187</v>
      </c>
      <c r="G7" s="364">
        <v>1455</v>
      </c>
      <c r="H7" s="367">
        <v>64</v>
      </c>
      <c r="I7" s="364">
        <v>26</v>
      </c>
      <c r="J7" s="448">
        <v>38</v>
      </c>
      <c r="L7" s="365">
        <v>42826</v>
      </c>
      <c r="M7" s="225">
        <f t="shared" si="5"/>
        <v>2017</v>
      </c>
      <c r="N7" s="366" t="s">
        <v>232</v>
      </c>
      <c r="O7" s="367">
        <f t="shared" si="6"/>
        <v>2089</v>
      </c>
      <c r="P7" s="364">
        <f t="shared" si="7"/>
        <v>831</v>
      </c>
      <c r="Q7" s="364">
        <f t="shared" si="8"/>
        <v>1258</v>
      </c>
      <c r="R7" s="367">
        <f t="shared" si="9"/>
        <v>75</v>
      </c>
      <c r="S7" s="364">
        <f t="shared" si="10"/>
        <v>33</v>
      </c>
      <c r="T7" s="448">
        <f t="shared" si="0"/>
        <v>42</v>
      </c>
      <c r="U7" s="367">
        <f t="shared" si="11"/>
        <v>2015.3333333333335</v>
      </c>
      <c r="V7" s="364">
        <f t="shared" si="12"/>
        <v>872</v>
      </c>
      <c r="W7" s="364">
        <f t="shared" si="13"/>
        <v>1143.3333333333333</v>
      </c>
      <c r="X7" s="367">
        <f t="shared" si="14"/>
        <v>63</v>
      </c>
      <c r="Y7" s="364">
        <f t="shared" si="15"/>
        <v>24</v>
      </c>
      <c r="Z7" s="448">
        <f t="shared" si="16"/>
        <v>39</v>
      </c>
      <c r="AC7" s="216" t="s">
        <v>232</v>
      </c>
      <c r="AD7" s="216" t="str">
        <f t="shared" ref="AD7:AD37" si="17">LEFT(AC7,2)</f>
        <v>Q2</v>
      </c>
      <c r="AE7" s="216">
        <f t="shared" ref="AE7:AE37" si="18">VALUE(RIGHT(AC7,4))</f>
        <v>2017</v>
      </c>
      <c r="AF7" s="296">
        <v>234023</v>
      </c>
      <c r="AG7" s="296">
        <v>78186</v>
      </c>
      <c r="AH7" s="296">
        <v>43864</v>
      </c>
      <c r="AI7" s="296">
        <v>94987</v>
      </c>
      <c r="AJ7" s="296">
        <v>16986</v>
      </c>
      <c r="AK7" s="216">
        <v>831</v>
      </c>
      <c r="AL7" s="216">
        <v>604</v>
      </c>
      <c r="AM7" s="216">
        <v>0</v>
      </c>
      <c r="AN7" s="216">
        <v>227</v>
      </c>
      <c r="AO7" s="216">
        <v>0</v>
      </c>
      <c r="AP7" s="296">
        <v>2412</v>
      </c>
      <c r="AQ7" s="296">
        <v>1385</v>
      </c>
      <c r="AR7" s="216">
        <v>0</v>
      </c>
      <c r="AS7" s="296">
        <v>1027</v>
      </c>
      <c r="AT7" s="216">
        <v>0</v>
      </c>
      <c r="AU7" s="296">
        <v>1258</v>
      </c>
      <c r="AV7" s="216">
        <v>938</v>
      </c>
      <c r="AW7" s="216">
        <v>0</v>
      </c>
      <c r="AX7" s="216">
        <v>153</v>
      </c>
      <c r="AY7" s="216">
        <v>167</v>
      </c>
    </row>
    <row r="8" spans="2:51" x14ac:dyDescent="0.2">
      <c r="B8" s="243" t="s">
        <v>237</v>
      </c>
      <c r="C8" s="425" t="str">
        <f t="shared" si="3"/>
        <v>Q1</v>
      </c>
      <c r="D8" s="425">
        <f t="shared" si="4"/>
        <v>2018</v>
      </c>
      <c r="E8" s="367">
        <v>2748</v>
      </c>
      <c r="F8" s="364">
        <v>928</v>
      </c>
      <c r="G8" s="364">
        <v>1820</v>
      </c>
      <c r="H8" s="367">
        <v>83</v>
      </c>
      <c r="I8" s="364">
        <v>23</v>
      </c>
      <c r="J8" s="448">
        <v>60</v>
      </c>
      <c r="L8" s="365">
        <v>42856</v>
      </c>
      <c r="M8" s="225">
        <f t="shared" si="5"/>
        <v>2017</v>
      </c>
      <c r="N8" s="366" t="s">
        <v>232</v>
      </c>
      <c r="O8" s="367">
        <f t="shared" si="6"/>
        <v>2089</v>
      </c>
      <c r="P8" s="364">
        <f t="shared" si="7"/>
        <v>831</v>
      </c>
      <c r="Q8" s="364">
        <f t="shared" si="8"/>
        <v>1258</v>
      </c>
      <c r="R8" s="367">
        <f t="shared" si="9"/>
        <v>75</v>
      </c>
      <c r="S8" s="364">
        <f t="shared" si="10"/>
        <v>33</v>
      </c>
      <c r="T8" s="448">
        <f t="shared" si="0"/>
        <v>42</v>
      </c>
      <c r="U8" s="367">
        <f t="shared" si="11"/>
        <v>2711.666666666667</v>
      </c>
      <c r="V8" s="364">
        <f t="shared" si="12"/>
        <v>1149</v>
      </c>
      <c r="W8" s="364">
        <f t="shared" si="13"/>
        <v>1562.6666666666665</v>
      </c>
      <c r="X8" s="367">
        <f t="shared" si="14"/>
        <v>88</v>
      </c>
      <c r="Y8" s="364">
        <f t="shared" si="15"/>
        <v>35</v>
      </c>
      <c r="Z8" s="448">
        <f t="shared" si="16"/>
        <v>53</v>
      </c>
      <c r="AC8" s="216" t="s">
        <v>234</v>
      </c>
      <c r="AD8" s="216" t="str">
        <f t="shared" si="17"/>
        <v>Q3</v>
      </c>
      <c r="AE8" s="216">
        <f t="shared" si="18"/>
        <v>2017</v>
      </c>
      <c r="AF8" s="296">
        <v>219646</v>
      </c>
      <c r="AG8" s="296">
        <v>70145</v>
      </c>
      <c r="AH8" s="296">
        <v>38983</v>
      </c>
      <c r="AI8" s="296">
        <v>94541</v>
      </c>
      <c r="AJ8" s="296">
        <v>15977</v>
      </c>
      <c r="AK8" s="216">
        <v>950</v>
      </c>
      <c r="AL8" s="216">
        <v>685</v>
      </c>
      <c r="AM8" s="216">
        <v>0</v>
      </c>
      <c r="AN8" s="216">
        <v>265</v>
      </c>
      <c r="AO8" s="216">
        <v>0</v>
      </c>
      <c r="AP8" s="296">
        <v>2540</v>
      </c>
      <c r="AQ8" s="296">
        <v>1504</v>
      </c>
      <c r="AR8" s="216">
        <v>0</v>
      </c>
      <c r="AS8" s="296">
        <v>1036</v>
      </c>
      <c r="AT8" s="216">
        <v>0</v>
      </c>
      <c r="AU8" s="296">
        <v>1180</v>
      </c>
      <c r="AV8" s="216">
        <v>985</v>
      </c>
      <c r="AW8" s="216">
        <v>0</v>
      </c>
      <c r="AX8" s="216">
        <v>98</v>
      </c>
      <c r="AY8" s="216">
        <v>97</v>
      </c>
    </row>
    <row r="9" spans="2:51" x14ac:dyDescent="0.2">
      <c r="B9" s="243" t="s">
        <v>238</v>
      </c>
      <c r="C9" s="425" t="str">
        <f t="shared" si="3"/>
        <v>Q2</v>
      </c>
      <c r="D9" s="425">
        <f t="shared" si="4"/>
        <v>2018</v>
      </c>
      <c r="E9" s="367">
        <v>6946</v>
      </c>
      <c r="F9" s="364">
        <v>3615</v>
      </c>
      <c r="G9" s="364">
        <v>3331</v>
      </c>
      <c r="H9" s="367">
        <v>184</v>
      </c>
      <c r="I9" s="364">
        <v>114</v>
      </c>
      <c r="J9" s="448">
        <v>70</v>
      </c>
      <c r="L9" s="365">
        <v>42887</v>
      </c>
      <c r="M9" s="225">
        <f t="shared" si="5"/>
        <v>2017</v>
      </c>
      <c r="N9" s="366" t="s">
        <v>232</v>
      </c>
      <c r="O9" s="367">
        <f t="shared" si="6"/>
        <v>2089</v>
      </c>
      <c r="P9" s="364">
        <f t="shared" si="7"/>
        <v>831</v>
      </c>
      <c r="Q9" s="364">
        <f t="shared" si="8"/>
        <v>1258</v>
      </c>
      <c r="R9" s="367">
        <f t="shared" si="9"/>
        <v>75</v>
      </c>
      <c r="S9" s="364">
        <f t="shared" si="10"/>
        <v>33</v>
      </c>
      <c r="T9" s="448">
        <f t="shared" si="0"/>
        <v>42</v>
      </c>
      <c r="U9" s="367">
        <f t="shared" si="11"/>
        <v>3408.0000000000005</v>
      </c>
      <c r="V9" s="364">
        <f t="shared" si="12"/>
        <v>1426</v>
      </c>
      <c r="W9" s="364">
        <f t="shared" si="13"/>
        <v>1981.9999999999998</v>
      </c>
      <c r="X9" s="367">
        <f t="shared" si="14"/>
        <v>113</v>
      </c>
      <c r="Y9" s="364">
        <f t="shared" si="15"/>
        <v>46</v>
      </c>
      <c r="Z9" s="448">
        <f t="shared" si="16"/>
        <v>67</v>
      </c>
      <c r="AC9" s="216" t="s">
        <v>236</v>
      </c>
      <c r="AD9" s="216" t="str">
        <f t="shared" si="17"/>
        <v>Q4</v>
      </c>
      <c r="AE9" s="216">
        <f t="shared" si="18"/>
        <v>2017</v>
      </c>
      <c r="AF9" s="296">
        <v>179532</v>
      </c>
      <c r="AG9" s="296">
        <v>51455</v>
      </c>
      <c r="AH9" s="296">
        <v>30080</v>
      </c>
      <c r="AI9" s="296">
        <v>84930</v>
      </c>
      <c r="AJ9" s="296">
        <v>13067</v>
      </c>
      <c r="AK9" s="296">
        <v>1187</v>
      </c>
      <c r="AL9" s="216">
        <v>829</v>
      </c>
      <c r="AM9" s="216">
        <v>0</v>
      </c>
      <c r="AN9" s="216">
        <v>358</v>
      </c>
      <c r="AO9" s="216">
        <v>0</v>
      </c>
      <c r="AP9" s="296">
        <v>1998</v>
      </c>
      <c r="AQ9" s="296">
        <v>1115</v>
      </c>
      <c r="AR9" s="216">
        <v>0</v>
      </c>
      <c r="AS9" s="216">
        <v>883</v>
      </c>
      <c r="AT9" s="216">
        <v>0</v>
      </c>
      <c r="AU9" s="296">
        <v>1455</v>
      </c>
      <c r="AV9" s="296">
        <v>1109</v>
      </c>
      <c r="AW9" s="216">
        <v>0</v>
      </c>
      <c r="AX9" s="216">
        <v>97</v>
      </c>
      <c r="AY9" s="216">
        <v>249</v>
      </c>
    </row>
    <row r="10" spans="2:51" x14ac:dyDescent="0.2">
      <c r="B10" s="243" t="s">
        <v>239</v>
      </c>
      <c r="C10" s="425" t="str">
        <f t="shared" si="3"/>
        <v>Q3</v>
      </c>
      <c r="D10" s="425">
        <f t="shared" si="4"/>
        <v>2018</v>
      </c>
      <c r="E10" s="367">
        <v>5258</v>
      </c>
      <c r="F10" s="364">
        <v>2476</v>
      </c>
      <c r="G10" s="364">
        <v>2782</v>
      </c>
      <c r="H10" s="367">
        <v>144</v>
      </c>
      <c r="I10" s="364">
        <v>67</v>
      </c>
      <c r="J10" s="448">
        <v>77</v>
      </c>
      <c r="L10" s="365">
        <v>42917</v>
      </c>
      <c r="M10" s="225">
        <f t="shared" si="5"/>
        <v>2017</v>
      </c>
      <c r="N10" s="366" t="s">
        <v>234</v>
      </c>
      <c r="O10" s="367">
        <f t="shared" si="6"/>
        <v>2130</v>
      </c>
      <c r="P10" s="364">
        <f t="shared" si="7"/>
        <v>950</v>
      </c>
      <c r="Q10" s="364">
        <f t="shared" si="8"/>
        <v>1180</v>
      </c>
      <c r="R10" s="367">
        <f t="shared" si="9"/>
        <v>69</v>
      </c>
      <c r="S10" s="364">
        <f t="shared" si="10"/>
        <v>24</v>
      </c>
      <c r="T10" s="448">
        <f t="shared" si="0"/>
        <v>45</v>
      </c>
      <c r="U10" s="367">
        <f t="shared" si="11"/>
        <v>4118</v>
      </c>
      <c r="V10" s="364">
        <f t="shared" si="12"/>
        <v>1742.6666666666667</v>
      </c>
      <c r="W10" s="364">
        <f t="shared" si="13"/>
        <v>2375.333333333333</v>
      </c>
      <c r="X10" s="367">
        <f t="shared" si="14"/>
        <v>136</v>
      </c>
      <c r="Y10" s="364">
        <f t="shared" si="15"/>
        <v>54</v>
      </c>
      <c r="Z10" s="448">
        <f t="shared" si="16"/>
        <v>82</v>
      </c>
      <c r="AC10" s="216" t="s">
        <v>237</v>
      </c>
      <c r="AD10" s="216" t="str">
        <f t="shared" si="17"/>
        <v>Q1</v>
      </c>
      <c r="AE10" s="216">
        <f t="shared" si="18"/>
        <v>2018</v>
      </c>
      <c r="AF10" s="296">
        <v>165401</v>
      </c>
      <c r="AG10" s="296">
        <v>47845</v>
      </c>
      <c r="AH10" s="296">
        <v>28028</v>
      </c>
      <c r="AI10" s="296">
        <v>76236</v>
      </c>
      <c r="AJ10" s="296">
        <v>13292</v>
      </c>
      <c r="AK10" s="216">
        <v>928</v>
      </c>
      <c r="AL10" s="216">
        <v>754</v>
      </c>
      <c r="AM10" s="216">
        <v>0</v>
      </c>
      <c r="AN10" s="216">
        <v>174</v>
      </c>
      <c r="AO10" s="216">
        <v>0</v>
      </c>
      <c r="AP10" s="296">
        <v>1522</v>
      </c>
      <c r="AQ10" s="216">
        <v>749</v>
      </c>
      <c r="AR10" s="216">
        <v>0</v>
      </c>
      <c r="AS10" s="216">
        <v>773</v>
      </c>
      <c r="AT10" s="216">
        <v>0</v>
      </c>
      <c r="AU10" s="296">
        <v>1820</v>
      </c>
      <c r="AV10" s="296">
        <v>1252</v>
      </c>
      <c r="AW10" s="216">
        <v>0</v>
      </c>
      <c r="AX10" s="216">
        <v>359</v>
      </c>
      <c r="AY10" s="216">
        <v>209</v>
      </c>
    </row>
    <row r="11" spans="2:51" x14ac:dyDescent="0.2">
      <c r="B11" s="243" t="s">
        <v>240</v>
      </c>
      <c r="C11" s="425" t="str">
        <f t="shared" si="3"/>
        <v>Q4</v>
      </c>
      <c r="D11" s="425">
        <f t="shared" si="4"/>
        <v>2018</v>
      </c>
      <c r="E11" s="367">
        <v>1806</v>
      </c>
      <c r="F11" s="364">
        <v>1195</v>
      </c>
      <c r="G11" s="364">
        <v>611</v>
      </c>
      <c r="H11" s="367">
        <v>44</v>
      </c>
      <c r="I11" s="364">
        <v>31</v>
      </c>
      <c r="J11" s="448">
        <v>13</v>
      </c>
      <c r="L11" s="365">
        <v>42948</v>
      </c>
      <c r="M11" s="225">
        <f t="shared" si="5"/>
        <v>2017</v>
      </c>
      <c r="N11" s="366" t="s">
        <v>234</v>
      </c>
      <c r="O11" s="367">
        <f t="shared" si="6"/>
        <v>2130</v>
      </c>
      <c r="P11" s="364">
        <f t="shared" si="7"/>
        <v>950</v>
      </c>
      <c r="Q11" s="364">
        <f t="shared" si="8"/>
        <v>1180</v>
      </c>
      <c r="R11" s="367">
        <f t="shared" si="9"/>
        <v>69</v>
      </c>
      <c r="S11" s="364">
        <f t="shared" si="10"/>
        <v>24</v>
      </c>
      <c r="T11" s="448">
        <f t="shared" si="0"/>
        <v>45</v>
      </c>
      <c r="U11" s="367">
        <f t="shared" si="11"/>
        <v>4828</v>
      </c>
      <c r="V11" s="364">
        <f t="shared" si="12"/>
        <v>2059.3333333333335</v>
      </c>
      <c r="W11" s="364">
        <f t="shared" si="13"/>
        <v>2768.6666666666665</v>
      </c>
      <c r="X11" s="367">
        <f t="shared" si="14"/>
        <v>159</v>
      </c>
      <c r="Y11" s="364">
        <f t="shared" si="15"/>
        <v>62</v>
      </c>
      <c r="Z11" s="448">
        <f t="shared" si="16"/>
        <v>97</v>
      </c>
      <c r="AC11" s="216" t="s">
        <v>238</v>
      </c>
      <c r="AD11" s="216" t="str">
        <f t="shared" si="17"/>
        <v>Q2</v>
      </c>
      <c r="AE11" s="216">
        <f t="shared" si="18"/>
        <v>2018</v>
      </c>
      <c r="AF11" s="296">
        <v>239898</v>
      </c>
      <c r="AG11" s="296">
        <v>77454</v>
      </c>
      <c r="AH11" s="296">
        <v>41155</v>
      </c>
      <c r="AI11" s="296">
        <v>105166</v>
      </c>
      <c r="AJ11" s="296">
        <v>16123</v>
      </c>
      <c r="AK11" s="296">
        <v>3615</v>
      </c>
      <c r="AL11" s="296">
        <v>3303</v>
      </c>
      <c r="AM11" s="216">
        <v>0</v>
      </c>
      <c r="AN11" s="216">
        <v>312</v>
      </c>
      <c r="AO11" s="216">
        <v>0</v>
      </c>
      <c r="AP11" s="296">
        <v>2759</v>
      </c>
      <c r="AQ11" s="296">
        <v>1464</v>
      </c>
      <c r="AR11" s="216">
        <v>0</v>
      </c>
      <c r="AS11" s="296">
        <v>1295</v>
      </c>
      <c r="AT11" s="216">
        <v>0</v>
      </c>
      <c r="AU11" s="296">
        <v>3331</v>
      </c>
      <c r="AV11" s="296">
        <v>2216</v>
      </c>
      <c r="AW11" s="216">
        <v>0</v>
      </c>
      <c r="AX11" s="216">
        <v>707</v>
      </c>
      <c r="AY11" s="216">
        <v>408</v>
      </c>
    </row>
    <row r="12" spans="2:51" x14ac:dyDescent="0.2">
      <c r="B12" s="243" t="s">
        <v>241</v>
      </c>
      <c r="C12" s="425" t="str">
        <f t="shared" si="3"/>
        <v>Q1</v>
      </c>
      <c r="D12" s="425">
        <f t="shared" si="4"/>
        <v>2019</v>
      </c>
      <c r="E12" s="367">
        <v>1342</v>
      </c>
      <c r="F12" s="364">
        <v>849</v>
      </c>
      <c r="G12" s="364">
        <v>493</v>
      </c>
      <c r="H12" s="367">
        <v>30</v>
      </c>
      <c r="I12" s="364">
        <v>16</v>
      </c>
      <c r="J12" s="448">
        <v>14</v>
      </c>
      <c r="L12" s="365">
        <v>42979</v>
      </c>
      <c r="M12" s="225">
        <f t="shared" si="5"/>
        <v>2017</v>
      </c>
      <c r="N12" s="366" t="s">
        <v>234</v>
      </c>
      <c r="O12" s="367">
        <f t="shared" si="6"/>
        <v>2130</v>
      </c>
      <c r="P12" s="364">
        <f t="shared" si="7"/>
        <v>950</v>
      </c>
      <c r="Q12" s="364">
        <f t="shared" si="8"/>
        <v>1180</v>
      </c>
      <c r="R12" s="367">
        <f t="shared" si="9"/>
        <v>69</v>
      </c>
      <c r="S12" s="364">
        <f t="shared" si="10"/>
        <v>24</v>
      </c>
      <c r="T12" s="448">
        <f t="shared" si="0"/>
        <v>45</v>
      </c>
      <c r="U12" s="367">
        <f t="shared" si="11"/>
        <v>5538</v>
      </c>
      <c r="V12" s="364">
        <f t="shared" si="12"/>
        <v>2376</v>
      </c>
      <c r="W12" s="364">
        <f t="shared" si="13"/>
        <v>3162</v>
      </c>
      <c r="X12" s="367">
        <f t="shared" si="14"/>
        <v>182</v>
      </c>
      <c r="Y12" s="364">
        <f t="shared" si="15"/>
        <v>70</v>
      </c>
      <c r="Z12" s="448">
        <f t="shared" si="16"/>
        <v>112</v>
      </c>
      <c r="AC12" s="216" t="s">
        <v>239</v>
      </c>
      <c r="AD12" s="216" t="str">
        <f t="shared" si="17"/>
        <v>Q3</v>
      </c>
      <c r="AE12" s="216">
        <f t="shared" si="18"/>
        <v>2018</v>
      </c>
      <c r="AF12" s="296">
        <v>218772</v>
      </c>
      <c r="AG12" s="296">
        <v>65753</v>
      </c>
      <c r="AH12" s="296">
        <v>36873</v>
      </c>
      <c r="AI12" s="296">
        <v>101715</v>
      </c>
      <c r="AJ12" s="296">
        <v>14431</v>
      </c>
      <c r="AK12" s="296">
        <v>2476</v>
      </c>
      <c r="AL12" s="296">
        <v>2212</v>
      </c>
      <c r="AM12" s="216">
        <v>0</v>
      </c>
      <c r="AN12" s="216">
        <v>264</v>
      </c>
      <c r="AO12" s="216">
        <v>0</v>
      </c>
      <c r="AP12" s="296">
        <v>2598</v>
      </c>
      <c r="AQ12" s="296">
        <v>1342</v>
      </c>
      <c r="AR12" s="216">
        <v>0</v>
      </c>
      <c r="AS12" s="296">
        <v>1256</v>
      </c>
      <c r="AT12" s="216">
        <v>0</v>
      </c>
      <c r="AU12" s="296">
        <v>2782</v>
      </c>
      <c r="AV12" s="296">
        <v>1679</v>
      </c>
      <c r="AW12" s="216">
        <v>0</v>
      </c>
      <c r="AX12" s="216">
        <v>890</v>
      </c>
      <c r="AY12" s="216">
        <v>213</v>
      </c>
    </row>
    <row r="13" spans="2:51" x14ac:dyDescent="0.2">
      <c r="B13" s="243" t="s">
        <v>242</v>
      </c>
      <c r="C13" s="425" t="str">
        <f t="shared" si="3"/>
        <v>Q2</v>
      </c>
      <c r="D13" s="425">
        <f t="shared" si="4"/>
        <v>2019</v>
      </c>
      <c r="E13" s="367">
        <v>2878</v>
      </c>
      <c r="F13" s="364">
        <v>1994</v>
      </c>
      <c r="G13" s="364">
        <v>884</v>
      </c>
      <c r="H13" s="367">
        <v>81</v>
      </c>
      <c r="I13" s="364">
        <v>55</v>
      </c>
      <c r="J13" s="448">
        <v>26</v>
      </c>
      <c r="L13" s="365">
        <v>43009</v>
      </c>
      <c r="M13" s="225">
        <f t="shared" si="5"/>
        <v>2017</v>
      </c>
      <c r="N13" s="366" t="s">
        <v>236</v>
      </c>
      <c r="O13" s="367">
        <f t="shared" si="6"/>
        <v>2642</v>
      </c>
      <c r="P13" s="364">
        <f t="shared" si="7"/>
        <v>1187</v>
      </c>
      <c r="Q13" s="364">
        <f t="shared" si="8"/>
        <v>1455</v>
      </c>
      <c r="R13" s="367">
        <f t="shared" si="9"/>
        <v>64</v>
      </c>
      <c r="S13" s="364">
        <f t="shared" si="10"/>
        <v>26</v>
      </c>
      <c r="T13" s="448">
        <f t="shared" si="0"/>
        <v>38</v>
      </c>
      <c r="U13" s="367">
        <f t="shared" si="11"/>
        <v>6418.666666666667</v>
      </c>
      <c r="V13" s="364">
        <f t="shared" si="12"/>
        <v>2771.6666666666665</v>
      </c>
      <c r="W13" s="364">
        <f t="shared" si="13"/>
        <v>3647</v>
      </c>
      <c r="X13" s="367">
        <f t="shared" si="14"/>
        <v>203.33333333333334</v>
      </c>
      <c r="Y13" s="364">
        <f t="shared" si="15"/>
        <v>78.666666666666671</v>
      </c>
      <c r="Z13" s="448">
        <f t="shared" si="16"/>
        <v>124.66666666666667</v>
      </c>
      <c r="AC13" s="216" t="s">
        <v>240</v>
      </c>
      <c r="AD13" s="216" t="str">
        <f t="shared" si="17"/>
        <v>Q4</v>
      </c>
      <c r="AE13" s="216">
        <f t="shared" si="18"/>
        <v>2018</v>
      </c>
      <c r="AF13" s="296">
        <v>174495</v>
      </c>
      <c r="AG13" s="296">
        <v>49473</v>
      </c>
      <c r="AH13" s="296">
        <v>29305</v>
      </c>
      <c r="AI13" s="296">
        <v>85107</v>
      </c>
      <c r="AJ13" s="296">
        <v>10610</v>
      </c>
      <c r="AK13" s="296">
        <v>1195</v>
      </c>
      <c r="AL13" s="296">
        <v>1042</v>
      </c>
      <c r="AM13" s="216">
        <v>0</v>
      </c>
      <c r="AN13" s="216">
        <v>153</v>
      </c>
      <c r="AO13" s="216">
        <v>0</v>
      </c>
      <c r="AP13" s="296">
        <v>2393</v>
      </c>
      <c r="AQ13" s="296">
        <v>1176</v>
      </c>
      <c r="AR13" s="216">
        <v>0</v>
      </c>
      <c r="AS13" s="296">
        <v>1217</v>
      </c>
      <c r="AT13" s="216">
        <v>0</v>
      </c>
      <c r="AU13" s="216">
        <v>611</v>
      </c>
      <c r="AV13" s="216">
        <v>370</v>
      </c>
      <c r="AW13" s="216">
        <v>0</v>
      </c>
      <c r="AX13" s="216">
        <v>196</v>
      </c>
      <c r="AY13" s="216">
        <v>45</v>
      </c>
    </row>
    <row r="14" spans="2:51" x14ac:dyDescent="0.2">
      <c r="B14" s="243" t="s">
        <v>243</v>
      </c>
      <c r="C14" s="425" t="str">
        <f t="shared" si="3"/>
        <v>Q3</v>
      </c>
      <c r="D14" s="425">
        <f t="shared" si="4"/>
        <v>2019</v>
      </c>
      <c r="E14" s="367">
        <v>3148</v>
      </c>
      <c r="F14" s="364">
        <v>2180</v>
      </c>
      <c r="G14" s="364">
        <v>968</v>
      </c>
      <c r="H14" s="367">
        <v>73</v>
      </c>
      <c r="I14" s="364">
        <v>51</v>
      </c>
      <c r="J14" s="448">
        <v>22</v>
      </c>
      <c r="L14" s="365">
        <v>43040</v>
      </c>
      <c r="M14" s="225">
        <f t="shared" si="5"/>
        <v>2017</v>
      </c>
      <c r="N14" s="366" t="s">
        <v>236</v>
      </c>
      <c r="O14" s="367">
        <f t="shared" si="6"/>
        <v>2642</v>
      </c>
      <c r="P14" s="364">
        <f t="shared" si="7"/>
        <v>1187</v>
      </c>
      <c r="Q14" s="364">
        <f t="shared" si="8"/>
        <v>1455</v>
      </c>
      <c r="R14" s="367">
        <f t="shared" si="9"/>
        <v>64</v>
      </c>
      <c r="S14" s="364">
        <f t="shared" si="10"/>
        <v>26</v>
      </c>
      <c r="T14" s="448">
        <f t="shared" si="0"/>
        <v>38</v>
      </c>
      <c r="U14" s="367">
        <f t="shared" si="11"/>
        <v>7299.3333333333339</v>
      </c>
      <c r="V14" s="364">
        <f t="shared" si="12"/>
        <v>3167.333333333333</v>
      </c>
      <c r="W14" s="364">
        <f t="shared" si="13"/>
        <v>4132</v>
      </c>
      <c r="X14" s="367">
        <f t="shared" si="14"/>
        <v>224.66666666666669</v>
      </c>
      <c r="Y14" s="364">
        <f t="shared" si="15"/>
        <v>87.333333333333343</v>
      </c>
      <c r="Z14" s="448">
        <f t="shared" si="16"/>
        <v>137.33333333333334</v>
      </c>
      <c r="AC14" s="216" t="s">
        <v>241</v>
      </c>
      <c r="AD14" s="216" t="str">
        <f t="shared" si="17"/>
        <v>Q1</v>
      </c>
      <c r="AE14" s="216">
        <f t="shared" si="18"/>
        <v>2019</v>
      </c>
      <c r="AF14" s="296">
        <v>168957</v>
      </c>
      <c r="AG14" s="296">
        <v>44428</v>
      </c>
      <c r="AH14" s="296">
        <v>28460</v>
      </c>
      <c r="AI14" s="296">
        <v>83778</v>
      </c>
      <c r="AJ14" s="296">
        <v>12291</v>
      </c>
      <c r="AK14" s="216">
        <v>849</v>
      </c>
      <c r="AL14" s="216">
        <v>564</v>
      </c>
      <c r="AM14" s="216">
        <v>0</v>
      </c>
      <c r="AN14" s="216">
        <v>285</v>
      </c>
      <c r="AO14" s="216">
        <v>0</v>
      </c>
      <c r="AP14" s="296">
        <v>2648</v>
      </c>
      <c r="AQ14" s="296">
        <v>1907</v>
      </c>
      <c r="AR14" s="216">
        <v>0</v>
      </c>
      <c r="AS14" s="216">
        <v>741</v>
      </c>
      <c r="AT14" s="216">
        <v>0</v>
      </c>
      <c r="AU14" s="216">
        <v>493</v>
      </c>
      <c r="AV14" s="216">
        <v>280</v>
      </c>
      <c r="AW14" s="216">
        <v>0</v>
      </c>
      <c r="AX14" s="216">
        <v>189</v>
      </c>
      <c r="AY14" s="216">
        <v>24</v>
      </c>
    </row>
    <row r="15" spans="2:51" x14ac:dyDescent="0.2">
      <c r="B15" s="243" t="s">
        <v>244</v>
      </c>
      <c r="C15" s="425" t="str">
        <f t="shared" si="3"/>
        <v>Q4</v>
      </c>
      <c r="D15" s="425">
        <f t="shared" si="4"/>
        <v>2019</v>
      </c>
      <c r="E15" s="367">
        <v>2394</v>
      </c>
      <c r="F15" s="364">
        <v>1538</v>
      </c>
      <c r="G15" s="364">
        <v>856</v>
      </c>
      <c r="H15" s="367">
        <v>70</v>
      </c>
      <c r="I15" s="364">
        <v>49</v>
      </c>
      <c r="J15" s="448">
        <v>21</v>
      </c>
      <c r="L15" s="365">
        <v>43070</v>
      </c>
      <c r="M15" s="225">
        <f t="shared" si="5"/>
        <v>2017</v>
      </c>
      <c r="N15" s="366" t="s">
        <v>236</v>
      </c>
      <c r="O15" s="367">
        <f t="shared" si="6"/>
        <v>2642</v>
      </c>
      <c r="P15" s="364">
        <f t="shared" si="7"/>
        <v>1187</v>
      </c>
      <c r="Q15" s="364">
        <f t="shared" si="8"/>
        <v>1455</v>
      </c>
      <c r="R15" s="367">
        <f t="shared" si="9"/>
        <v>64</v>
      </c>
      <c r="S15" s="364">
        <f t="shared" si="10"/>
        <v>26</v>
      </c>
      <c r="T15" s="448">
        <f t="shared" si="0"/>
        <v>38</v>
      </c>
      <c r="U15" s="367">
        <f t="shared" si="11"/>
        <v>8180.0000000000009</v>
      </c>
      <c r="V15" s="364">
        <f t="shared" si="12"/>
        <v>3562.9999999999995</v>
      </c>
      <c r="W15" s="364">
        <f t="shared" si="13"/>
        <v>4617</v>
      </c>
      <c r="X15" s="367">
        <f t="shared" si="14"/>
        <v>246.00000000000003</v>
      </c>
      <c r="Y15" s="364">
        <f t="shared" si="15"/>
        <v>96.000000000000014</v>
      </c>
      <c r="Z15" s="448">
        <f t="shared" si="16"/>
        <v>150</v>
      </c>
      <c r="AC15" s="216" t="s">
        <v>242</v>
      </c>
      <c r="AD15" s="216" t="str">
        <f t="shared" si="17"/>
        <v>Q2</v>
      </c>
      <c r="AE15" s="216">
        <f t="shared" si="18"/>
        <v>2019</v>
      </c>
      <c r="AF15" s="296">
        <v>222798</v>
      </c>
      <c r="AG15" s="296">
        <v>62600</v>
      </c>
      <c r="AH15" s="296">
        <v>40636</v>
      </c>
      <c r="AI15" s="296">
        <v>105628</v>
      </c>
      <c r="AJ15" s="296">
        <v>13934</v>
      </c>
      <c r="AK15" s="296">
        <v>1994</v>
      </c>
      <c r="AL15" s="296">
        <v>1658</v>
      </c>
      <c r="AM15" s="216">
        <v>0</v>
      </c>
      <c r="AN15" s="216">
        <v>336</v>
      </c>
      <c r="AO15" s="216">
        <v>0</v>
      </c>
      <c r="AP15" s="296">
        <v>4327</v>
      </c>
      <c r="AQ15" s="296">
        <v>1862</v>
      </c>
      <c r="AR15" s="216">
        <v>0</v>
      </c>
      <c r="AS15" s="296">
        <v>2465</v>
      </c>
      <c r="AT15" s="216">
        <v>0</v>
      </c>
      <c r="AU15" s="216">
        <v>884</v>
      </c>
      <c r="AV15" s="216">
        <v>498</v>
      </c>
      <c r="AW15" s="216">
        <v>0</v>
      </c>
      <c r="AX15" s="216">
        <v>349</v>
      </c>
      <c r="AY15" s="216">
        <v>37</v>
      </c>
    </row>
    <row r="16" spans="2:51" x14ac:dyDescent="0.2">
      <c r="B16" s="243" t="s">
        <v>245</v>
      </c>
      <c r="C16" s="425" t="str">
        <f t="shared" si="3"/>
        <v>Q1</v>
      </c>
      <c r="D16" s="425">
        <f t="shared" si="4"/>
        <v>2020</v>
      </c>
      <c r="E16" s="367">
        <v>2102</v>
      </c>
      <c r="F16" s="364">
        <v>1554</v>
      </c>
      <c r="G16" s="364">
        <v>548</v>
      </c>
      <c r="H16" s="367">
        <v>40</v>
      </c>
      <c r="I16" s="364">
        <v>29</v>
      </c>
      <c r="J16" s="448">
        <v>11</v>
      </c>
      <c r="L16" s="365">
        <v>43101</v>
      </c>
      <c r="M16" s="225">
        <f t="shared" si="5"/>
        <v>2018</v>
      </c>
      <c r="N16" s="366" t="s">
        <v>237</v>
      </c>
      <c r="O16" s="367">
        <f t="shared" si="6"/>
        <v>2748</v>
      </c>
      <c r="P16" s="364">
        <f t="shared" si="7"/>
        <v>928</v>
      </c>
      <c r="Q16" s="364">
        <f t="shared" si="8"/>
        <v>1820</v>
      </c>
      <c r="R16" s="367">
        <f t="shared" si="9"/>
        <v>83</v>
      </c>
      <c r="S16" s="364">
        <f t="shared" si="10"/>
        <v>23</v>
      </c>
      <c r="T16" s="448">
        <f t="shared" si="0"/>
        <v>60</v>
      </c>
      <c r="U16" s="367">
        <f t="shared" si="11"/>
        <v>9096</v>
      </c>
      <c r="V16" s="364">
        <f t="shared" si="12"/>
        <v>3872.333333333333</v>
      </c>
      <c r="W16" s="364">
        <f t="shared" si="13"/>
        <v>5223.666666666667</v>
      </c>
      <c r="X16" s="367">
        <f t="shared" si="14"/>
        <v>273.66666666666669</v>
      </c>
      <c r="Y16" s="364">
        <f t="shared" si="15"/>
        <v>103.66666666666669</v>
      </c>
      <c r="Z16" s="448">
        <f t="shared" si="16"/>
        <v>170</v>
      </c>
      <c r="AC16" s="216" t="s">
        <v>243</v>
      </c>
      <c r="AD16" s="216" t="str">
        <f t="shared" si="17"/>
        <v>Q3</v>
      </c>
      <c r="AE16" s="216">
        <f t="shared" si="18"/>
        <v>2019</v>
      </c>
      <c r="AF16" s="296">
        <v>219577</v>
      </c>
      <c r="AG16" s="296">
        <v>56213</v>
      </c>
      <c r="AH16" s="296">
        <v>42340</v>
      </c>
      <c r="AI16" s="296">
        <v>108105</v>
      </c>
      <c r="AJ16" s="296">
        <v>12919</v>
      </c>
      <c r="AK16" s="296">
        <v>2180</v>
      </c>
      <c r="AL16" s="296">
        <v>1844</v>
      </c>
      <c r="AM16" s="216">
        <v>0</v>
      </c>
      <c r="AN16" s="216">
        <v>336</v>
      </c>
      <c r="AO16" s="216">
        <v>0</v>
      </c>
      <c r="AP16" s="296">
        <v>3982</v>
      </c>
      <c r="AQ16" s="296">
        <v>2150</v>
      </c>
      <c r="AR16" s="216">
        <v>0</v>
      </c>
      <c r="AS16" s="296">
        <v>1832</v>
      </c>
      <c r="AT16" s="216">
        <v>0</v>
      </c>
      <c r="AU16" s="216">
        <v>968</v>
      </c>
      <c r="AV16" s="216">
        <v>644</v>
      </c>
      <c r="AW16" s="216">
        <v>0</v>
      </c>
      <c r="AX16" s="216">
        <v>306</v>
      </c>
      <c r="AY16" s="216">
        <v>18</v>
      </c>
    </row>
    <row r="17" spans="2:51" x14ac:dyDescent="0.2">
      <c r="B17" s="243" t="s">
        <v>246</v>
      </c>
      <c r="C17" s="425" t="str">
        <f t="shared" si="3"/>
        <v>Q2</v>
      </c>
      <c r="D17" s="425">
        <f t="shared" si="4"/>
        <v>2020</v>
      </c>
      <c r="E17" s="367">
        <v>1640</v>
      </c>
      <c r="F17" s="364">
        <v>1217</v>
      </c>
      <c r="G17" s="364">
        <v>423</v>
      </c>
      <c r="H17" s="367">
        <v>43</v>
      </c>
      <c r="I17" s="364">
        <v>35</v>
      </c>
      <c r="J17" s="448">
        <v>8</v>
      </c>
      <c r="L17" s="365">
        <v>43132</v>
      </c>
      <c r="M17" s="225">
        <f t="shared" si="5"/>
        <v>2018</v>
      </c>
      <c r="N17" s="366" t="s">
        <v>237</v>
      </c>
      <c r="O17" s="367">
        <f t="shared" si="6"/>
        <v>2748</v>
      </c>
      <c r="P17" s="364">
        <f t="shared" si="7"/>
        <v>928</v>
      </c>
      <c r="Q17" s="364">
        <f t="shared" si="8"/>
        <v>1820</v>
      </c>
      <c r="R17" s="367">
        <f t="shared" si="9"/>
        <v>83</v>
      </c>
      <c r="S17" s="364">
        <f t="shared" si="10"/>
        <v>23</v>
      </c>
      <c r="T17" s="448">
        <f t="shared" si="0"/>
        <v>60</v>
      </c>
      <c r="U17" s="367">
        <f t="shared" si="11"/>
        <v>10012</v>
      </c>
      <c r="V17" s="364">
        <f t="shared" si="12"/>
        <v>4181.6666666666661</v>
      </c>
      <c r="W17" s="364">
        <f t="shared" si="13"/>
        <v>5830.3333333333339</v>
      </c>
      <c r="X17" s="367">
        <f t="shared" si="14"/>
        <v>301.33333333333337</v>
      </c>
      <c r="Y17" s="364">
        <f t="shared" si="15"/>
        <v>111.33333333333336</v>
      </c>
      <c r="Z17" s="448">
        <f t="shared" si="16"/>
        <v>190</v>
      </c>
      <c r="AC17" s="216" t="s">
        <v>244</v>
      </c>
      <c r="AD17" s="216" t="str">
        <f t="shared" si="17"/>
        <v>Q4</v>
      </c>
      <c r="AE17" s="216">
        <f t="shared" si="18"/>
        <v>2019</v>
      </c>
      <c r="AF17" s="296">
        <v>184747</v>
      </c>
      <c r="AG17" s="296">
        <v>42523</v>
      </c>
      <c r="AH17" s="296">
        <v>33225</v>
      </c>
      <c r="AI17" s="296">
        <v>98451</v>
      </c>
      <c r="AJ17" s="296">
        <v>10548</v>
      </c>
      <c r="AK17" s="296">
        <v>1538</v>
      </c>
      <c r="AL17" s="296">
        <v>1194</v>
      </c>
      <c r="AM17" s="216">
        <v>0</v>
      </c>
      <c r="AN17" s="216">
        <v>344</v>
      </c>
      <c r="AO17" s="216">
        <v>0</v>
      </c>
      <c r="AP17" s="296">
        <v>3507</v>
      </c>
      <c r="AQ17" s="296">
        <v>1792</v>
      </c>
      <c r="AR17" s="216">
        <v>0</v>
      </c>
      <c r="AS17" s="296">
        <v>1715</v>
      </c>
      <c r="AT17" s="216">
        <v>0</v>
      </c>
      <c r="AU17" s="216">
        <v>856</v>
      </c>
      <c r="AV17" s="216">
        <v>442</v>
      </c>
      <c r="AW17" s="216">
        <v>0</v>
      </c>
      <c r="AX17" s="216">
        <v>401</v>
      </c>
      <c r="AY17" s="216">
        <v>13</v>
      </c>
    </row>
    <row r="18" spans="2:51" x14ac:dyDescent="0.2">
      <c r="B18" s="243" t="s">
        <v>247</v>
      </c>
      <c r="C18" s="425" t="str">
        <f t="shared" si="3"/>
        <v>Q3</v>
      </c>
      <c r="D18" s="425">
        <f t="shared" si="4"/>
        <v>2020</v>
      </c>
      <c r="E18" s="367">
        <v>3296</v>
      </c>
      <c r="F18" s="364">
        <v>2554</v>
      </c>
      <c r="G18" s="364">
        <v>742</v>
      </c>
      <c r="H18" s="367">
        <v>90</v>
      </c>
      <c r="I18" s="364">
        <v>75</v>
      </c>
      <c r="J18" s="448">
        <v>15</v>
      </c>
      <c r="L18" s="365">
        <v>43160</v>
      </c>
      <c r="M18" s="225">
        <f t="shared" si="5"/>
        <v>2018</v>
      </c>
      <c r="N18" s="366" t="s">
        <v>237</v>
      </c>
      <c r="O18" s="367">
        <f t="shared" si="6"/>
        <v>2748</v>
      </c>
      <c r="P18" s="364">
        <f t="shared" si="7"/>
        <v>928</v>
      </c>
      <c r="Q18" s="364">
        <f t="shared" si="8"/>
        <v>1820</v>
      </c>
      <c r="R18" s="367">
        <f t="shared" si="9"/>
        <v>83</v>
      </c>
      <c r="S18" s="364">
        <f t="shared" si="10"/>
        <v>23</v>
      </c>
      <c r="T18" s="448">
        <f t="shared" si="0"/>
        <v>60</v>
      </c>
      <c r="U18" s="367">
        <f t="shared" si="11"/>
        <v>10928</v>
      </c>
      <c r="V18" s="364">
        <f t="shared" si="12"/>
        <v>4490.9999999999991</v>
      </c>
      <c r="W18" s="364">
        <f t="shared" si="13"/>
        <v>6437.0000000000009</v>
      </c>
      <c r="X18" s="367">
        <f t="shared" si="14"/>
        <v>329.00000000000006</v>
      </c>
      <c r="Y18" s="364">
        <f t="shared" si="15"/>
        <v>119.00000000000003</v>
      </c>
      <c r="Z18" s="448">
        <f t="shared" si="16"/>
        <v>210</v>
      </c>
      <c r="AC18" s="216" t="s">
        <v>245</v>
      </c>
      <c r="AD18" s="216" t="str">
        <f t="shared" si="17"/>
        <v>Q1</v>
      </c>
      <c r="AE18" s="216">
        <f t="shared" si="18"/>
        <v>2020</v>
      </c>
      <c r="AF18" s="296">
        <v>139116</v>
      </c>
      <c r="AG18" s="296">
        <v>30723</v>
      </c>
      <c r="AH18" s="296">
        <v>30242</v>
      </c>
      <c r="AI18" s="296">
        <v>69100</v>
      </c>
      <c r="AJ18" s="296">
        <v>9051</v>
      </c>
      <c r="AK18" s="296">
        <v>1554</v>
      </c>
      <c r="AL18" s="296">
        <v>1259</v>
      </c>
      <c r="AM18" s="216">
        <v>0</v>
      </c>
      <c r="AN18" s="216">
        <v>295</v>
      </c>
      <c r="AO18" s="216">
        <v>0</v>
      </c>
      <c r="AP18" s="296">
        <v>3365</v>
      </c>
      <c r="AQ18" s="296">
        <v>1523</v>
      </c>
      <c r="AR18" s="216">
        <v>0</v>
      </c>
      <c r="AS18" s="296">
        <v>1842</v>
      </c>
      <c r="AT18" s="216">
        <v>0</v>
      </c>
      <c r="AU18" s="216">
        <v>548</v>
      </c>
      <c r="AV18" s="216">
        <v>280</v>
      </c>
      <c r="AW18" s="216">
        <v>0</v>
      </c>
      <c r="AX18" s="216">
        <v>228</v>
      </c>
      <c r="AY18" s="216">
        <v>40</v>
      </c>
    </row>
    <row r="19" spans="2:51" x14ac:dyDescent="0.2">
      <c r="B19" s="243" t="s">
        <v>248</v>
      </c>
      <c r="C19" s="425" t="str">
        <f t="shared" si="3"/>
        <v>Q4</v>
      </c>
      <c r="D19" s="425">
        <f t="shared" si="4"/>
        <v>2020</v>
      </c>
      <c r="E19" s="367">
        <v>3477</v>
      </c>
      <c r="F19" s="364">
        <v>2833</v>
      </c>
      <c r="G19" s="364">
        <v>644</v>
      </c>
      <c r="H19" s="367">
        <v>78</v>
      </c>
      <c r="I19" s="364">
        <v>63</v>
      </c>
      <c r="J19" s="448">
        <v>15</v>
      </c>
      <c r="L19" s="365">
        <v>43191</v>
      </c>
      <c r="M19" s="225">
        <f t="shared" si="5"/>
        <v>2018</v>
      </c>
      <c r="N19" s="366" t="s">
        <v>238</v>
      </c>
      <c r="O19" s="367">
        <f t="shared" si="6"/>
        <v>6946</v>
      </c>
      <c r="P19" s="364">
        <f t="shared" si="7"/>
        <v>3615</v>
      </c>
      <c r="Q19" s="364">
        <f t="shared" si="8"/>
        <v>3331</v>
      </c>
      <c r="R19" s="367">
        <f t="shared" si="9"/>
        <v>184</v>
      </c>
      <c r="S19" s="364">
        <f t="shared" si="10"/>
        <v>114</v>
      </c>
      <c r="T19" s="448">
        <f t="shared" si="0"/>
        <v>70</v>
      </c>
      <c r="U19" s="367">
        <f t="shared" si="11"/>
        <v>13243.333333333334</v>
      </c>
      <c r="V19" s="364">
        <f t="shared" si="12"/>
        <v>5695.9999999999991</v>
      </c>
      <c r="W19" s="364">
        <f t="shared" si="13"/>
        <v>7547.3333333333339</v>
      </c>
      <c r="X19" s="367">
        <f t="shared" si="14"/>
        <v>390.33333333333337</v>
      </c>
      <c r="Y19" s="364">
        <f t="shared" si="15"/>
        <v>157.00000000000003</v>
      </c>
      <c r="Z19" s="448">
        <f t="shared" si="16"/>
        <v>233.33333333333334</v>
      </c>
      <c r="AC19" s="216" t="s">
        <v>246</v>
      </c>
      <c r="AD19" s="216" t="str">
        <f t="shared" si="17"/>
        <v>Q2</v>
      </c>
      <c r="AE19" s="216">
        <f t="shared" si="18"/>
        <v>2020</v>
      </c>
      <c r="AF19" s="296">
        <v>109197</v>
      </c>
      <c r="AG19" s="296">
        <v>23550</v>
      </c>
      <c r="AH19" s="296">
        <v>25679</v>
      </c>
      <c r="AI19" s="296">
        <v>53780</v>
      </c>
      <c r="AJ19" s="296">
        <v>6188</v>
      </c>
      <c r="AK19" s="296">
        <v>1217</v>
      </c>
      <c r="AL19" s="216">
        <v>819</v>
      </c>
      <c r="AM19" s="216">
        <v>0</v>
      </c>
      <c r="AN19" s="216">
        <v>398</v>
      </c>
      <c r="AO19" s="216">
        <v>0</v>
      </c>
      <c r="AP19" s="296">
        <v>2612</v>
      </c>
      <c r="AQ19" s="216">
        <v>978</v>
      </c>
      <c r="AR19" s="216">
        <v>0</v>
      </c>
      <c r="AS19" s="296">
        <v>1634</v>
      </c>
      <c r="AT19" s="216">
        <v>0</v>
      </c>
      <c r="AU19" s="216">
        <v>423</v>
      </c>
      <c r="AV19" s="216">
        <v>191</v>
      </c>
      <c r="AW19" s="216">
        <v>0</v>
      </c>
      <c r="AX19" s="216">
        <v>211</v>
      </c>
      <c r="AY19" s="216">
        <v>21</v>
      </c>
    </row>
    <row r="20" spans="2:51" x14ac:dyDescent="0.2">
      <c r="B20" s="243" t="s">
        <v>249</v>
      </c>
      <c r="C20" s="425" t="str">
        <f t="shared" si="3"/>
        <v>Q1</v>
      </c>
      <c r="D20" s="425">
        <f t="shared" si="4"/>
        <v>2021</v>
      </c>
      <c r="E20" s="367">
        <v>3329</v>
      </c>
      <c r="F20" s="364">
        <v>2568</v>
      </c>
      <c r="G20" s="364">
        <v>761</v>
      </c>
      <c r="H20" s="367">
        <v>66</v>
      </c>
      <c r="I20" s="364">
        <v>57</v>
      </c>
      <c r="J20" s="448">
        <v>9</v>
      </c>
      <c r="L20" s="365">
        <v>43221</v>
      </c>
      <c r="M20" s="225">
        <f t="shared" si="5"/>
        <v>2018</v>
      </c>
      <c r="N20" s="366" t="s">
        <v>238</v>
      </c>
      <c r="O20" s="367">
        <f t="shared" si="6"/>
        <v>6946</v>
      </c>
      <c r="P20" s="364">
        <f t="shared" ref="P20:P83" si="19">SUMIFS(F:F,$B:$B,$N20)</f>
        <v>3615</v>
      </c>
      <c r="Q20" s="364">
        <f t="shared" ref="Q20:Q51" si="20">SUMIFS(G:G,$B:$B,$N20)</f>
        <v>3331</v>
      </c>
      <c r="R20" s="367">
        <f t="shared" ref="R20:R51" si="21">SUMIFS(H:H,$B:$B,$N20)</f>
        <v>184</v>
      </c>
      <c r="S20" s="364">
        <f t="shared" si="10"/>
        <v>114</v>
      </c>
      <c r="T20" s="448">
        <f t="shared" si="0"/>
        <v>70</v>
      </c>
      <c r="U20" s="367">
        <f t="shared" si="11"/>
        <v>15558.666666666668</v>
      </c>
      <c r="V20" s="364">
        <f t="shared" si="12"/>
        <v>6900.9999999999991</v>
      </c>
      <c r="W20" s="364">
        <f t="shared" si="13"/>
        <v>8657.6666666666679</v>
      </c>
      <c r="X20" s="367">
        <f t="shared" si="14"/>
        <v>451.66666666666669</v>
      </c>
      <c r="Y20" s="364">
        <f t="shared" si="15"/>
        <v>195.00000000000003</v>
      </c>
      <c r="Z20" s="448">
        <f t="shared" si="16"/>
        <v>256.66666666666669</v>
      </c>
      <c r="AC20" s="216" t="s">
        <v>247</v>
      </c>
      <c r="AD20" s="216" t="str">
        <f t="shared" si="17"/>
        <v>Q3</v>
      </c>
      <c r="AE20" s="216">
        <f t="shared" si="18"/>
        <v>2020</v>
      </c>
      <c r="AF20" s="296">
        <v>198406</v>
      </c>
      <c r="AG20" s="296">
        <v>41219</v>
      </c>
      <c r="AH20" s="296">
        <v>41892</v>
      </c>
      <c r="AI20" s="296">
        <v>103833</v>
      </c>
      <c r="AJ20" s="296">
        <v>11462</v>
      </c>
      <c r="AK20" s="296">
        <v>2554</v>
      </c>
      <c r="AL20" s="296">
        <v>1258</v>
      </c>
      <c r="AM20" s="216">
        <v>0</v>
      </c>
      <c r="AN20" s="296">
        <v>1296</v>
      </c>
      <c r="AO20" s="216">
        <v>0</v>
      </c>
      <c r="AP20" s="296">
        <v>5663</v>
      </c>
      <c r="AQ20" s="296">
        <v>1468</v>
      </c>
      <c r="AR20" s="216">
        <v>0</v>
      </c>
      <c r="AS20" s="296">
        <v>4195</v>
      </c>
      <c r="AT20" s="216">
        <v>0</v>
      </c>
      <c r="AU20" s="216">
        <v>742</v>
      </c>
      <c r="AV20" s="216">
        <v>316</v>
      </c>
      <c r="AW20" s="216">
        <v>0</v>
      </c>
      <c r="AX20" s="216">
        <v>392</v>
      </c>
      <c r="AY20" s="216">
        <v>34</v>
      </c>
    </row>
    <row r="21" spans="2:51" x14ac:dyDescent="0.2">
      <c r="B21" s="243" t="s">
        <v>250</v>
      </c>
      <c r="C21" s="425" t="str">
        <f t="shared" si="3"/>
        <v>Q2</v>
      </c>
      <c r="D21" s="425">
        <f t="shared" si="4"/>
        <v>2021</v>
      </c>
      <c r="E21" s="367">
        <v>5096</v>
      </c>
      <c r="F21" s="364">
        <v>3710</v>
      </c>
      <c r="G21" s="364">
        <v>1386</v>
      </c>
      <c r="H21" s="367">
        <v>121</v>
      </c>
      <c r="I21" s="364">
        <v>90</v>
      </c>
      <c r="J21" s="448">
        <v>31</v>
      </c>
      <c r="L21" s="365">
        <v>43252</v>
      </c>
      <c r="M21" s="225">
        <f t="shared" si="5"/>
        <v>2018</v>
      </c>
      <c r="N21" s="366" t="s">
        <v>238</v>
      </c>
      <c r="O21" s="367">
        <f t="shared" si="6"/>
        <v>6946</v>
      </c>
      <c r="P21" s="364">
        <f t="shared" si="19"/>
        <v>3615</v>
      </c>
      <c r="Q21" s="364">
        <f t="shared" si="20"/>
        <v>3331</v>
      </c>
      <c r="R21" s="367">
        <f t="shared" si="21"/>
        <v>184</v>
      </c>
      <c r="S21" s="364">
        <f t="shared" si="10"/>
        <v>114</v>
      </c>
      <c r="T21" s="448">
        <f t="shared" si="0"/>
        <v>70</v>
      </c>
      <c r="U21" s="367">
        <f t="shared" si="11"/>
        <v>17874</v>
      </c>
      <c r="V21" s="364">
        <f t="shared" si="12"/>
        <v>8105.9999999999991</v>
      </c>
      <c r="W21" s="364">
        <f t="shared" si="13"/>
        <v>9768.0000000000018</v>
      </c>
      <c r="X21" s="367">
        <f t="shared" si="14"/>
        <v>513</v>
      </c>
      <c r="Y21" s="364">
        <f t="shared" si="15"/>
        <v>233.00000000000003</v>
      </c>
      <c r="Z21" s="448">
        <f t="shared" si="16"/>
        <v>280</v>
      </c>
      <c r="AC21" s="216" t="s">
        <v>248</v>
      </c>
      <c r="AD21" s="216" t="str">
        <f t="shared" si="17"/>
        <v>Q4</v>
      </c>
      <c r="AE21" s="216">
        <f t="shared" si="18"/>
        <v>2020</v>
      </c>
      <c r="AF21" s="296">
        <v>153907</v>
      </c>
      <c r="AG21" s="296">
        <v>29160</v>
      </c>
      <c r="AH21" s="296">
        <v>29957</v>
      </c>
      <c r="AI21" s="296">
        <v>86256</v>
      </c>
      <c r="AJ21" s="296">
        <v>8534</v>
      </c>
      <c r="AK21" s="296">
        <v>2833</v>
      </c>
      <c r="AL21" s="296">
        <v>1357</v>
      </c>
      <c r="AM21" s="216">
        <v>0</v>
      </c>
      <c r="AN21" s="296">
        <v>1476</v>
      </c>
      <c r="AO21" s="216">
        <v>0</v>
      </c>
      <c r="AP21" s="296">
        <v>5167</v>
      </c>
      <c r="AQ21" s="296">
        <v>1196</v>
      </c>
      <c r="AR21" s="216">
        <v>10</v>
      </c>
      <c r="AS21" s="296">
        <v>3961</v>
      </c>
      <c r="AT21" s="216">
        <v>0</v>
      </c>
      <c r="AU21" s="216">
        <v>644</v>
      </c>
      <c r="AV21" s="216">
        <v>219</v>
      </c>
      <c r="AW21" s="216">
        <v>0</v>
      </c>
      <c r="AX21" s="216">
        <v>385</v>
      </c>
      <c r="AY21" s="216">
        <v>40</v>
      </c>
    </row>
    <row r="22" spans="2:51" x14ac:dyDescent="0.2">
      <c r="B22" s="243" t="s">
        <v>251</v>
      </c>
      <c r="C22" s="425" t="str">
        <f t="shared" si="3"/>
        <v>Q3</v>
      </c>
      <c r="D22" s="425">
        <f t="shared" si="4"/>
        <v>2021</v>
      </c>
      <c r="E22" s="367">
        <v>5162</v>
      </c>
      <c r="F22" s="364">
        <v>3671</v>
      </c>
      <c r="G22" s="364">
        <v>1491</v>
      </c>
      <c r="H22" s="367">
        <v>111</v>
      </c>
      <c r="I22" s="364">
        <v>78</v>
      </c>
      <c r="J22" s="448">
        <v>33</v>
      </c>
      <c r="L22" s="365">
        <v>43282</v>
      </c>
      <c r="M22" s="225">
        <f t="shared" si="5"/>
        <v>2018</v>
      </c>
      <c r="N22" s="366" t="s">
        <v>239</v>
      </c>
      <c r="O22" s="367">
        <f t="shared" si="6"/>
        <v>5258</v>
      </c>
      <c r="P22" s="364">
        <f t="shared" si="19"/>
        <v>2476</v>
      </c>
      <c r="Q22" s="364">
        <f t="shared" si="20"/>
        <v>2782</v>
      </c>
      <c r="R22" s="367">
        <f t="shared" si="21"/>
        <v>144</v>
      </c>
      <c r="S22" s="364">
        <f t="shared" si="10"/>
        <v>67</v>
      </c>
      <c r="T22" s="448">
        <f t="shared" si="0"/>
        <v>77</v>
      </c>
      <c r="U22" s="367">
        <f t="shared" si="11"/>
        <v>19626.666666666668</v>
      </c>
      <c r="V22" s="364">
        <f t="shared" si="12"/>
        <v>8931.3333333333321</v>
      </c>
      <c r="W22" s="364">
        <f t="shared" si="13"/>
        <v>10695.333333333336</v>
      </c>
      <c r="X22" s="367">
        <f t="shared" si="14"/>
        <v>561</v>
      </c>
      <c r="Y22" s="364">
        <f t="shared" si="15"/>
        <v>255.33333333333337</v>
      </c>
      <c r="Z22" s="448">
        <f t="shared" si="16"/>
        <v>305.66666666666669</v>
      </c>
      <c r="AC22" s="216" t="s">
        <v>249</v>
      </c>
      <c r="AD22" s="216" t="str">
        <f t="shared" si="17"/>
        <v>Q1</v>
      </c>
      <c r="AE22" s="216">
        <f t="shared" si="18"/>
        <v>2021</v>
      </c>
      <c r="AF22" s="296">
        <v>141788</v>
      </c>
      <c r="AG22" s="296">
        <v>24678</v>
      </c>
      <c r="AH22" s="296">
        <v>31358</v>
      </c>
      <c r="AI22" s="296">
        <v>77953</v>
      </c>
      <c r="AJ22" s="296">
        <v>7799</v>
      </c>
      <c r="AK22" s="296">
        <v>2568</v>
      </c>
      <c r="AL22" s="216">
        <v>989</v>
      </c>
      <c r="AM22" s="216">
        <v>0</v>
      </c>
      <c r="AN22" s="296">
        <v>1579</v>
      </c>
      <c r="AO22" s="216">
        <v>0</v>
      </c>
      <c r="AP22" s="296">
        <v>5850</v>
      </c>
      <c r="AQ22" s="296">
        <v>1277</v>
      </c>
      <c r="AR22" s="216">
        <v>468</v>
      </c>
      <c r="AS22" s="296">
        <v>3291</v>
      </c>
      <c r="AT22" s="216">
        <v>814</v>
      </c>
      <c r="AU22" s="216">
        <v>761</v>
      </c>
      <c r="AV22" s="216">
        <v>182</v>
      </c>
      <c r="AW22" s="216">
        <v>0</v>
      </c>
      <c r="AX22" s="216">
        <v>512</v>
      </c>
      <c r="AY22" s="216">
        <v>67</v>
      </c>
    </row>
    <row r="23" spans="2:51" x14ac:dyDescent="0.2">
      <c r="B23" s="243" t="s">
        <v>252</v>
      </c>
      <c r="C23" s="425" t="str">
        <f t="shared" si="3"/>
        <v>Q4</v>
      </c>
      <c r="D23" s="425">
        <f t="shared" si="4"/>
        <v>2021</v>
      </c>
      <c r="E23" s="367">
        <v>6129</v>
      </c>
      <c r="F23" s="364">
        <v>4787</v>
      </c>
      <c r="G23" s="364">
        <v>1342</v>
      </c>
      <c r="H23" s="367">
        <v>101</v>
      </c>
      <c r="I23" s="364">
        <v>77</v>
      </c>
      <c r="J23" s="448">
        <v>24</v>
      </c>
      <c r="L23" s="365">
        <v>43313</v>
      </c>
      <c r="M23" s="225">
        <f t="shared" si="5"/>
        <v>2018</v>
      </c>
      <c r="N23" s="366" t="s">
        <v>239</v>
      </c>
      <c r="O23" s="367">
        <f t="shared" si="6"/>
        <v>5258</v>
      </c>
      <c r="P23" s="364">
        <f t="shared" si="19"/>
        <v>2476</v>
      </c>
      <c r="Q23" s="364">
        <f t="shared" si="20"/>
        <v>2782</v>
      </c>
      <c r="R23" s="367">
        <f t="shared" si="21"/>
        <v>144</v>
      </c>
      <c r="S23" s="364">
        <f t="shared" si="10"/>
        <v>67</v>
      </c>
      <c r="T23" s="448">
        <f t="shared" si="0"/>
        <v>77</v>
      </c>
      <c r="U23" s="367">
        <f t="shared" si="11"/>
        <v>21379.333333333336</v>
      </c>
      <c r="V23" s="364">
        <f t="shared" si="12"/>
        <v>9756.6666666666661</v>
      </c>
      <c r="W23" s="364">
        <f t="shared" si="13"/>
        <v>11622.66666666667</v>
      </c>
      <c r="X23" s="367">
        <f t="shared" si="14"/>
        <v>609</v>
      </c>
      <c r="Y23" s="364">
        <f t="shared" si="15"/>
        <v>277.66666666666669</v>
      </c>
      <c r="Z23" s="448">
        <f t="shared" si="16"/>
        <v>331.33333333333337</v>
      </c>
      <c r="AC23" s="216" t="s">
        <v>250</v>
      </c>
      <c r="AD23" s="216" t="str">
        <f t="shared" si="17"/>
        <v>Q2</v>
      </c>
      <c r="AE23" s="216">
        <f t="shared" si="18"/>
        <v>2021</v>
      </c>
      <c r="AF23" s="296">
        <v>180118</v>
      </c>
      <c r="AG23" s="296">
        <v>38742</v>
      </c>
      <c r="AH23" s="296">
        <v>30651</v>
      </c>
      <c r="AI23" s="296">
        <v>102427</v>
      </c>
      <c r="AJ23" s="296">
        <v>8298</v>
      </c>
      <c r="AK23" s="296">
        <v>3710</v>
      </c>
      <c r="AL23" s="296">
        <v>1648</v>
      </c>
      <c r="AM23" s="216">
        <v>0</v>
      </c>
      <c r="AN23" s="296">
        <v>2062</v>
      </c>
      <c r="AO23" s="216">
        <v>0</v>
      </c>
      <c r="AP23" s="296">
        <v>11078</v>
      </c>
      <c r="AQ23" s="296">
        <v>2150</v>
      </c>
      <c r="AR23" s="216">
        <v>546</v>
      </c>
      <c r="AS23" s="296">
        <v>6774</v>
      </c>
      <c r="AT23" s="296">
        <v>1608</v>
      </c>
      <c r="AU23" s="296">
        <v>1386</v>
      </c>
      <c r="AV23" s="216">
        <v>267</v>
      </c>
      <c r="AW23" s="216">
        <v>0</v>
      </c>
      <c r="AX23" s="296">
        <v>1063</v>
      </c>
      <c r="AY23" s="216">
        <v>56</v>
      </c>
    </row>
    <row r="24" spans="2:51" x14ac:dyDescent="0.2">
      <c r="B24" s="243" t="s">
        <v>253</v>
      </c>
      <c r="C24" s="425" t="str">
        <f t="shared" si="3"/>
        <v>Q1</v>
      </c>
      <c r="D24" s="425">
        <f t="shared" si="4"/>
        <v>2022</v>
      </c>
      <c r="E24" s="367">
        <v>7124</v>
      </c>
      <c r="F24" s="364">
        <v>5686</v>
      </c>
      <c r="G24" s="364">
        <v>1438</v>
      </c>
      <c r="H24" s="367">
        <v>136</v>
      </c>
      <c r="I24" s="364">
        <v>100</v>
      </c>
      <c r="J24" s="448">
        <v>36</v>
      </c>
      <c r="L24" s="365">
        <v>43344</v>
      </c>
      <c r="M24" s="225">
        <f t="shared" si="5"/>
        <v>2018</v>
      </c>
      <c r="N24" s="366" t="s">
        <v>239</v>
      </c>
      <c r="O24" s="367">
        <f t="shared" si="6"/>
        <v>5258</v>
      </c>
      <c r="P24" s="364">
        <f t="shared" si="19"/>
        <v>2476</v>
      </c>
      <c r="Q24" s="364">
        <f t="shared" si="20"/>
        <v>2782</v>
      </c>
      <c r="R24" s="367">
        <f t="shared" si="21"/>
        <v>144</v>
      </c>
      <c r="S24" s="364">
        <f t="shared" si="10"/>
        <v>67</v>
      </c>
      <c r="T24" s="448">
        <f t="shared" si="0"/>
        <v>77</v>
      </c>
      <c r="U24" s="367">
        <f t="shared" si="11"/>
        <v>23132.000000000004</v>
      </c>
      <c r="V24" s="364">
        <f t="shared" si="12"/>
        <v>10582</v>
      </c>
      <c r="W24" s="364">
        <f t="shared" si="13"/>
        <v>12550.000000000004</v>
      </c>
      <c r="X24" s="367">
        <f t="shared" si="14"/>
        <v>657</v>
      </c>
      <c r="Y24" s="364">
        <f t="shared" si="15"/>
        <v>300</v>
      </c>
      <c r="Z24" s="448">
        <f t="shared" si="16"/>
        <v>357.00000000000006</v>
      </c>
      <c r="AC24" s="216" t="s">
        <v>251</v>
      </c>
      <c r="AD24" s="216" t="str">
        <f t="shared" si="17"/>
        <v>Q3</v>
      </c>
      <c r="AE24" s="216">
        <f t="shared" si="18"/>
        <v>2021</v>
      </c>
      <c r="AF24" s="296">
        <v>174623</v>
      </c>
      <c r="AG24" s="296">
        <v>39861</v>
      </c>
      <c r="AH24" s="296">
        <v>27990</v>
      </c>
      <c r="AI24" s="296">
        <v>99057</v>
      </c>
      <c r="AJ24" s="296">
        <v>7715</v>
      </c>
      <c r="AK24" s="296">
        <v>3671</v>
      </c>
      <c r="AL24" s="296">
        <v>2019</v>
      </c>
      <c r="AM24" s="216">
        <v>0</v>
      </c>
      <c r="AN24" s="296">
        <v>1652</v>
      </c>
      <c r="AO24" s="216">
        <v>0</v>
      </c>
      <c r="AP24" s="296">
        <v>10252</v>
      </c>
      <c r="AQ24" s="296">
        <v>2571</v>
      </c>
      <c r="AR24" s="216">
        <v>653</v>
      </c>
      <c r="AS24" s="296">
        <v>5495</v>
      </c>
      <c r="AT24" s="296">
        <v>1533</v>
      </c>
      <c r="AU24" s="296">
        <v>1491</v>
      </c>
      <c r="AV24" s="216">
        <v>382</v>
      </c>
      <c r="AW24" s="216">
        <v>0</v>
      </c>
      <c r="AX24" s="216">
        <v>979</v>
      </c>
      <c r="AY24" s="216">
        <v>130</v>
      </c>
    </row>
    <row r="25" spans="2:51" x14ac:dyDescent="0.2">
      <c r="B25" s="243" t="s">
        <v>254</v>
      </c>
      <c r="C25" s="425" t="str">
        <f t="shared" si="3"/>
        <v>Q2</v>
      </c>
      <c r="D25" s="425">
        <f t="shared" si="4"/>
        <v>2022</v>
      </c>
      <c r="E25" s="367">
        <v>9534</v>
      </c>
      <c r="F25" s="364">
        <v>7875</v>
      </c>
      <c r="G25" s="364">
        <v>1659</v>
      </c>
      <c r="H25" s="367">
        <v>167</v>
      </c>
      <c r="I25" s="364">
        <v>135</v>
      </c>
      <c r="J25" s="448">
        <v>32</v>
      </c>
      <c r="L25" s="365">
        <v>43374</v>
      </c>
      <c r="M25" s="225">
        <f t="shared" si="5"/>
        <v>2018</v>
      </c>
      <c r="N25" s="366" t="s">
        <v>240</v>
      </c>
      <c r="O25" s="367">
        <f t="shared" si="6"/>
        <v>1806</v>
      </c>
      <c r="P25" s="364">
        <f t="shared" si="19"/>
        <v>1195</v>
      </c>
      <c r="Q25" s="364">
        <f t="shared" si="20"/>
        <v>611</v>
      </c>
      <c r="R25" s="367">
        <f t="shared" si="21"/>
        <v>44</v>
      </c>
      <c r="S25" s="364">
        <f t="shared" si="10"/>
        <v>31</v>
      </c>
      <c r="T25" s="448">
        <f t="shared" si="0"/>
        <v>13</v>
      </c>
      <c r="U25" s="367">
        <f t="shared" si="11"/>
        <v>23734.000000000004</v>
      </c>
      <c r="V25" s="364">
        <f t="shared" si="12"/>
        <v>10980.333333333334</v>
      </c>
      <c r="W25" s="364">
        <f t="shared" si="13"/>
        <v>12753.66666666667</v>
      </c>
      <c r="X25" s="367">
        <f t="shared" si="14"/>
        <v>671.66666666666663</v>
      </c>
      <c r="Y25" s="364">
        <f t="shared" si="15"/>
        <v>310.33333333333331</v>
      </c>
      <c r="Z25" s="448">
        <f t="shared" si="16"/>
        <v>361.33333333333337</v>
      </c>
      <c r="AC25" s="216" t="s">
        <v>252</v>
      </c>
      <c r="AD25" s="216" t="str">
        <f t="shared" si="17"/>
        <v>Q4</v>
      </c>
      <c r="AE25" s="216">
        <f t="shared" si="18"/>
        <v>2021</v>
      </c>
      <c r="AF25" s="296">
        <v>130630</v>
      </c>
      <c r="AG25" s="296">
        <v>25550</v>
      </c>
      <c r="AH25" s="296">
        <v>27906</v>
      </c>
      <c r="AI25" s="296">
        <v>72997</v>
      </c>
      <c r="AJ25" s="296">
        <v>4177</v>
      </c>
      <c r="AK25" s="296">
        <v>4787</v>
      </c>
      <c r="AL25" s="296">
        <v>2342</v>
      </c>
      <c r="AM25" s="216">
        <v>0</v>
      </c>
      <c r="AN25" s="296">
        <v>2445</v>
      </c>
      <c r="AO25" s="216">
        <v>0</v>
      </c>
      <c r="AP25" s="296">
        <v>6159</v>
      </c>
      <c r="AQ25" s="296">
        <v>1129</v>
      </c>
      <c r="AR25" s="216">
        <v>661</v>
      </c>
      <c r="AS25" s="296">
        <v>3295</v>
      </c>
      <c r="AT25" s="296">
        <v>1074</v>
      </c>
      <c r="AU25" s="296">
        <v>1342</v>
      </c>
      <c r="AV25" s="216">
        <v>199</v>
      </c>
      <c r="AW25" s="216">
        <v>0</v>
      </c>
      <c r="AX25" s="296">
        <v>1114</v>
      </c>
      <c r="AY25" s="216">
        <v>29</v>
      </c>
    </row>
    <row r="26" spans="2:51" x14ac:dyDescent="0.2">
      <c r="B26" s="243" t="s">
        <v>255</v>
      </c>
      <c r="C26" s="425" t="str">
        <f t="shared" si="3"/>
        <v>Q3</v>
      </c>
      <c r="D26" s="425">
        <f t="shared" si="4"/>
        <v>2022</v>
      </c>
      <c r="E26" s="367">
        <v>11013</v>
      </c>
      <c r="F26" s="364">
        <v>9716</v>
      </c>
      <c r="G26" s="364">
        <v>1297</v>
      </c>
      <c r="H26" s="367">
        <v>194</v>
      </c>
      <c r="I26" s="364">
        <v>169</v>
      </c>
      <c r="J26" s="448">
        <v>25</v>
      </c>
      <c r="L26" s="365">
        <v>43405</v>
      </c>
      <c r="M26" s="225">
        <f t="shared" si="5"/>
        <v>2018</v>
      </c>
      <c r="N26" s="366" t="s">
        <v>240</v>
      </c>
      <c r="O26" s="367">
        <f t="shared" si="6"/>
        <v>1806</v>
      </c>
      <c r="P26" s="364">
        <f t="shared" si="19"/>
        <v>1195</v>
      </c>
      <c r="Q26" s="364">
        <f t="shared" si="20"/>
        <v>611</v>
      </c>
      <c r="R26" s="367">
        <f t="shared" si="21"/>
        <v>44</v>
      </c>
      <c r="S26" s="364">
        <f t="shared" si="10"/>
        <v>31</v>
      </c>
      <c r="T26" s="448">
        <f t="shared" si="0"/>
        <v>13</v>
      </c>
      <c r="U26" s="367">
        <f t="shared" si="11"/>
        <v>24336.000000000004</v>
      </c>
      <c r="V26" s="364">
        <f t="shared" si="12"/>
        <v>11378.666666666668</v>
      </c>
      <c r="W26" s="364">
        <f t="shared" si="13"/>
        <v>12957.333333333336</v>
      </c>
      <c r="X26" s="367">
        <f t="shared" si="14"/>
        <v>686.33333333333326</v>
      </c>
      <c r="Y26" s="364">
        <f t="shared" si="15"/>
        <v>320.66666666666663</v>
      </c>
      <c r="Z26" s="448">
        <f t="shared" si="16"/>
        <v>365.66666666666669</v>
      </c>
      <c r="AC26" s="216" t="s">
        <v>253</v>
      </c>
      <c r="AD26" s="216" t="str">
        <f t="shared" si="17"/>
        <v>Q1</v>
      </c>
      <c r="AE26" s="216">
        <f t="shared" si="18"/>
        <v>2022</v>
      </c>
      <c r="AF26" s="296">
        <v>135137</v>
      </c>
      <c r="AG26" s="296">
        <v>24105</v>
      </c>
      <c r="AH26" s="296">
        <v>26220</v>
      </c>
      <c r="AI26" s="296">
        <v>79278</v>
      </c>
      <c r="AJ26" s="296">
        <v>5534</v>
      </c>
      <c r="AK26" s="296">
        <v>5686</v>
      </c>
      <c r="AL26" s="296">
        <v>2869</v>
      </c>
      <c r="AM26" s="216">
        <v>0</v>
      </c>
      <c r="AN26" s="296">
        <v>2813</v>
      </c>
      <c r="AO26" s="216">
        <v>4</v>
      </c>
      <c r="AP26" s="296">
        <v>7044</v>
      </c>
      <c r="AQ26" s="296">
        <v>1843</v>
      </c>
      <c r="AR26" s="216">
        <v>561</v>
      </c>
      <c r="AS26" s="296">
        <v>3754</v>
      </c>
      <c r="AT26" s="216">
        <v>886</v>
      </c>
      <c r="AU26" s="296">
        <v>1438</v>
      </c>
      <c r="AV26" s="216">
        <v>152</v>
      </c>
      <c r="AW26" s="216">
        <v>0</v>
      </c>
      <c r="AX26" s="296">
        <v>1045</v>
      </c>
      <c r="AY26" s="216">
        <v>241</v>
      </c>
    </row>
    <row r="27" spans="2:51" x14ac:dyDescent="0.2">
      <c r="B27" s="243" t="s">
        <v>256</v>
      </c>
      <c r="C27" s="425" t="str">
        <f t="shared" si="3"/>
        <v>Q4</v>
      </c>
      <c r="D27" s="425">
        <f t="shared" si="4"/>
        <v>2022</v>
      </c>
      <c r="E27" s="367">
        <v>10991</v>
      </c>
      <c r="F27" s="364">
        <v>9506</v>
      </c>
      <c r="G27" s="364">
        <v>1485</v>
      </c>
      <c r="H27" s="367">
        <v>206</v>
      </c>
      <c r="I27" s="364">
        <v>176</v>
      </c>
      <c r="J27" s="448">
        <v>30</v>
      </c>
      <c r="L27" s="365">
        <v>43435</v>
      </c>
      <c r="M27" s="225">
        <f t="shared" si="5"/>
        <v>2018</v>
      </c>
      <c r="N27" s="366" t="s">
        <v>240</v>
      </c>
      <c r="O27" s="367">
        <f t="shared" si="6"/>
        <v>1806</v>
      </c>
      <c r="P27" s="364">
        <f t="shared" si="19"/>
        <v>1195</v>
      </c>
      <c r="Q27" s="364">
        <f t="shared" si="20"/>
        <v>611</v>
      </c>
      <c r="R27" s="367">
        <f t="shared" si="21"/>
        <v>44</v>
      </c>
      <c r="S27" s="364">
        <f t="shared" si="10"/>
        <v>31</v>
      </c>
      <c r="T27" s="448">
        <f t="shared" si="0"/>
        <v>13</v>
      </c>
      <c r="U27" s="367">
        <f t="shared" si="11"/>
        <v>24938.000000000004</v>
      </c>
      <c r="V27" s="364">
        <f t="shared" si="12"/>
        <v>11777.000000000002</v>
      </c>
      <c r="W27" s="364">
        <f t="shared" si="13"/>
        <v>13161.000000000002</v>
      </c>
      <c r="X27" s="367">
        <f t="shared" si="14"/>
        <v>700.99999999999989</v>
      </c>
      <c r="Y27" s="364">
        <f t="shared" si="15"/>
        <v>330.99999999999994</v>
      </c>
      <c r="Z27" s="448">
        <f t="shared" si="16"/>
        <v>370</v>
      </c>
      <c r="AC27" s="216" t="s">
        <v>254</v>
      </c>
      <c r="AD27" s="216" t="str">
        <f t="shared" si="17"/>
        <v>Q2</v>
      </c>
      <c r="AE27" s="216">
        <f t="shared" si="18"/>
        <v>2022</v>
      </c>
      <c r="AF27" s="296">
        <v>169244</v>
      </c>
      <c r="AG27" s="296">
        <v>32486</v>
      </c>
      <c r="AH27" s="296">
        <v>34804</v>
      </c>
      <c r="AI27" s="296">
        <v>96359</v>
      </c>
      <c r="AJ27" s="296">
        <v>5595</v>
      </c>
      <c r="AK27" s="296">
        <v>7875</v>
      </c>
      <c r="AL27" s="296">
        <v>2904</v>
      </c>
      <c r="AM27" s="216">
        <v>59</v>
      </c>
      <c r="AN27" s="296">
        <v>4868</v>
      </c>
      <c r="AO27" s="216">
        <v>44</v>
      </c>
      <c r="AP27" s="296">
        <v>11645</v>
      </c>
      <c r="AQ27" s="296">
        <v>2282</v>
      </c>
      <c r="AR27" s="296">
        <v>1508</v>
      </c>
      <c r="AS27" s="296">
        <v>7091</v>
      </c>
      <c r="AT27" s="216">
        <v>764</v>
      </c>
      <c r="AU27" s="296">
        <v>1659</v>
      </c>
      <c r="AV27" s="216">
        <v>271</v>
      </c>
      <c r="AW27" s="216">
        <v>0</v>
      </c>
      <c r="AX27" s="296">
        <v>1271</v>
      </c>
      <c r="AY27" s="216">
        <v>117</v>
      </c>
    </row>
    <row r="28" spans="2:51" x14ac:dyDescent="0.2">
      <c r="B28" s="243" t="s">
        <v>257</v>
      </c>
      <c r="C28" s="425" t="str">
        <f t="shared" si="3"/>
        <v>Q1</v>
      </c>
      <c r="D28" s="425">
        <f t="shared" si="4"/>
        <v>2023</v>
      </c>
      <c r="E28" s="367">
        <v>8520</v>
      </c>
      <c r="F28" s="364">
        <v>6760</v>
      </c>
      <c r="G28" s="364">
        <v>1760</v>
      </c>
      <c r="H28" s="367">
        <v>151</v>
      </c>
      <c r="I28" s="364">
        <v>120</v>
      </c>
      <c r="J28" s="448">
        <v>31</v>
      </c>
      <c r="L28" s="365">
        <v>43466</v>
      </c>
      <c r="M28" s="225">
        <f t="shared" si="5"/>
        <v>2019</v>
      </c>
      <c r="N28" s="366" t="s">
        <v>241</v>
      </c>
      <c r="O28" s="367">
        <f t="shared" si="6"/>
        <v>1342</v>
      </c>
      <c r="P28" s="364">
        <f t="shared" si="19"/>
        <v>849</v>
      </c>
      <c r="Q28" s="364">
        <f t="shared" si="20"/>
        <v>493</v>
      </c>
      <c r="R28" s="367">
        <f t="shared" si="21"/>
        <v>30</v>
      </c>
      <c r="S28" s="364">
        <f t="shared" si="10"/>
        <v>16</v>
      </c>
      <c r="T28" s="448">
        <f t="shared" si="0"/>
        <v>14</v>
      </c>
      <c r="U28" s="367">
        <f t="shared" si="11"/>
        <v>25385.333333333336</v>
      </c>
      <c r="V28" s="364">
        <f t="shared" si="12"/>
        <v>12060.000000000002</v>
      </c>
      <c r="W28" s="364">
        <f t="shared" si="13"/>
        <v>13325.333333333336</v>
      </c>
      <c r="X28" s="367">
        <f t="shared" si="14"/>
        <v>710.99999999999989</v>
      </c>
      <c r="Y28" s="364">
        <f t="shared" si="15"/>
        <v>336.33333333333326</v>
      </c>
      <c r="Z28" s="448">
        <f t="shared" si="16"/>
        <v>374.66666666666669</v>
      </c>
      <c r="AC28" s="216" t="s">
        <v>255</v>
      </c>
      <c r="AD28" s="216" t="str">
        <f t="shared" si="17"/>
        <v>Q3</v>
      </c>
      <c r="AE28" s="216">
        <f t="shared" si="18"/>
        <v>2022</v>
      </c>
      <c r="AF28" s="296">
        <v>153779</v>
      </c>
      <c r="AG28" s="296">
        <v>30648</v>
      </c>
      <c r="AH28" s="296">
        <v>32032</v>
      </c>
      <c r="AI28" s="296">
        <v>86604</v>
      </c>
      <c r="AJ28" s="296">
        <v>4495</v>
      </c>
      <c r="AK28" s="296">
        <v>9716</v>
      </c>
      <c r="AL28" s="296">
        <v>3995</v>
      </c>
      <c r="AM28" s="216">
        <v>469</v>
      </c>
      <c r="AN28" s="296">
        <v>5206</v>
      </c>
      <c r="AO28" s="216">
        <v>46</v>
      </c>
      <c r="AP28" s="296">
        <v>9376</v>
      </c>
      <c r="AQ28" s="296">
        <v>1527</v>
      </c>
      <c r="AR28" s="296">
        <v>1414</v>
      </c>
      <c r="AS28" s="296">
        <v>5937</v>
      </c>
      <c r="AT28" s="216">
        <v>498</v>
      </c>
      <c r="AU28" s="296">
        <v>1297</v>
      </c>
      <c r="AV28" s="216">
        <v>201</v>
      </c>
      <c r="AW28" s="216">
        <v>0</v>
      </c>
      <c r="AX28" s="296">
        <v>1001</v>
      </c>
      <c r="AY28" s="216">
        <v>95</v>
      </c>
    </row>
    <row r="29" spans="2:51" x14ac:dyDescent="0.2">
      <c r="B29" s="243" t="s">
        <v>258</v>
      </c>
      <c r="C29" s="425" t="str">
        <f t="shared" si="3"/>
        <v>Q2</v>
      </c>
      <c r="D29" s="425">
        <f t="shared" si="4"/>
        <v>2023</v>
      </c>
      <c r="E29" s="367">
        <v>12797</v>
      </c>
      <c r="F29" s="364">
        <v>9486</v>
      </c>
      <c r="G29" s="364">
        <v>3311</v>
      </c>
      <c r="H29" s="367">
        <v>223</v>
      </c>
      <c r="I29" s="364">
        <v>169</v>
      </c>
      <c r="J29" s="448">
        <v>54</v>
      </c>
      <c r="L29" s="365">
        <v>43497</v>
      </c>
      <c r="M29" s="225">
        <f t="shared" si="5"/>
        <v>2019</v>
      </c>
      <c r="N29" s="366" t="s">
        <v>241</v>
      </c>
      <c r="O29" s="367">
        <f t="shared" si="6"/>
        <v>1342</v>
      </c>
      <c r="P29" s="364">
        <f t="shared" si="19"/>
        <v>849</v>
      </c>
      <c r="Q29" s="364">
        <f t="shared" si="20"/>
        <v>493</v>
      </c>
      <c r="R29" s="367">
        <f t="shared" si="21"/>
        <v>30</v>
      </c>
      <c r="S29" s="364">
        <f t="shared" si="10"/>
        <v>16</v>
      </c>
      <c r="T29" s="448">
        <f t="shared" si="0"/>
        <v>14</v>
      </c>
      <c r="U29" s="367">
        <f t="shared" si="11"/>
        <v>25832.666666666668</v>
      </c>
      <c r="V29" s="364">
        <f t="shared" si="12"/>
        <v>12343.000000000002</v>
      </c>
      <c r="W29" s="364">
        <f t="shared" si="13"/>
        <v>13489.66666666667</v>
      </c>
      <c r="X29" s="367">
        <f t="shared" si="14"/>
        <v>720.99999999999989</v>
      </c>
      <c r="Y29" s="364">
        <f t="shared" si="15"/>
        <v>341.66666666666657</v>
      </c>
      <c r="Z29" s="448">
        <f t="shared" si="16"/>
        <v>379.33333333333337</v>
      </c>
      <c r="AC29" s="216" t="s">
        <v>256</v>
      </c>
      <c r="AD29" s="216" t="str">
        <f t="shared" si="17"/>
        <v>Q4</v>
      </c>
      <c r="AE29" s="216">
        <f t="shared" si="18"/>
        <v>2022</v>
      </c>
      <c r="AF29" s="296">
        <v>136338</v>
      </c>
      <c r="AG29" s="296">
        <v>22716</v>
      </c>
      <c r="AH29" s="296">
        <v>29708</v>
      </c>
      <c r="AI29" s="296">
        <v>79353</v>
      </c>
      <c r="AJ29" s="296">
        <v>4561</v>
      </c>
      <c r="AK29" s="296">
        <v>9506</v>
      </c>
      <c r="AL29" s="216">
        <v>2594</v>
      </c>
      <c r="AM29" s="216">
        <v>344</v>
      </c>
      <c r="AN29" s="296">
        <v>6486</v>
      </c>
      <c r="AO29" s="216">
        <v>82</v>
      </c>
      <c r="AP29" s="296">
        <v>7392</v>
      </c>
      <c r="AQ29" s="296">
        <v>1000</v>
      </c>
      <c r="AR29" s="216">
        <v>1274</v>
      </c>
      <c r="AS29" s="296">
        <v>4686</v>
      </c>
      <c r="AT29" s="216">
        <v>432</v>
      </c>
      <c r="AU29" s="216">
        <v>1485</v>
      </c>
      <c r="AV29" s="216">
        <v>171</v>
      </c>
      <c r="AW29" s="216">
        <v>0</v>
      </c>
      <c r="AX29" s="216">
        <v>1248</v>
      </c>
      <c r="AY29" s="216">
        <v>66</v>
      </c>
    </row>
    <row r="30" spans="2:51" x14ac:dyDescent="0.2">
      <c r="B30" s="243" t="s">
        <v>259</v>
      </c>
      <c r="C30" s="425" t="str">
        <f t="shared" si="3"/>
        <v>Q3</v>
      </c>
      <c r="D30" s="425">
        <f t="shared" si="4"/>
        <v>2023</v>
      </c>
      <c r="E30" s="367">
        <v>14710</v>
      </c>
      <c r="F30" s="364">
        <v>11458</v>
      </c>
      <c r="G30" s="364">
        <v>3252</v>
      </c>
      <c r="H30" s="367">
        <v>247</v>
      </c>
      <c r="I30" s="364">
        <v>182</v>
      </c>
      <c r="J30" s="448">
        <v>65</v>
      </c>
      <c r="L30" s="365">
        <v>43525</v>
      </c>
      <c r="M30" s="225">
        <f t="shared" si="5"/>
        <v>2019</v>
      </c>
      <c r="N30" s="366" t="s">
        <v>241</v>
      </c>
      <c r="O30" s="367">
        <f t="shared" si="6"/>
        <v>1342</v>
      </c>
      <c r="P30" s="364">
        <f t="shared" si="19"/>
        <v>849</v>
      </c>
      <c r="Q30" s="364">
        <f t="shared" si="20"/>
        <v>493</v>
      </c>
      <c r="R30" s="367">
        <f t="shared" si="21"/>
        <v>30</v>
      </c>
      <c r="S30" s="364">
        <f t="shared" si="10"/>
        <v>16</v>
      </c>
      <c r="T30" s="448">
        <f t="shared" si="0"/>
        <v>14</v>
      </c>
      <c r="U30" s="367">
        <f t="shared" si="11"/>
        <v>26280</v>
      </c>
      <c r="V30" s="364">
        <f t="shared" si="12"/>
        <v>12626.000000000002</v>
      </c>
      <c r="W30" s="364">
        <f t="shared" si="13"/>
        <v>13654.000000000004</v>
      </c>
      <c r="X30" s="367">
        <f t="shared" si="14"/>
        <v>730.99999999999989</v>
      </c>
      <c r="Y30" s="364">
        <f t="shared" si="15"/>
        <v>346.99999999999989</v>
      </c>
      <c r="Z30" s="448">
        <f t="shared" si="16"/>
        <v>384.00000000000006</v>
      </c>
      <c r="AC30" s="216" t="s">
        <v>257</v>
      </c>
      <c r="AD30" s="216" t="str">
        <f t="shared" si="17"/>
        <v>Q1</v>
      </c>
      <c r="AE30" s="216">
        <f t="shared" si="18"/>
        <v>2023</v>
      </c>
      <c r="AF30" s="296">
        <v>143618</v>
      </c>
      <c r="AG30" s="296">
        <v>22732</v>
      </c>
      <c r="AH30" s="296">
        <v>31184</v>
      </c>
      <c r="AI30" s="296">
        <v>83564</v>
      </c>
      <c r="AJ30" s="296">
        <v>6138</v>
      </c>
      <c r="AK30" s="296">
        <v>6760</v>
      </c>
      <c r="AL30" s="296">
        <v>2365</v>
      </c>
      <c r="AM30" s="216">
        <v>354</v>
      </c>
      <c r="AN30" s="296">
        <v>3938</v>
      </c>
      <c r="AO30" s="216">
        <v>103</v>
      </c>
      <c r="AP30" s="296">
        <v>11134</v>
      </c>
      <c r="AQ30" s="296">
        <v>1791</v>
      </c>
      <c r="AR30" s="216">
        <v>1185</v>
      </c>
      <c r="AS30" s="296">
        <v>7888</v>
      </c>
      <c r="AT30" s="296">
        <v>270</v>
      </c>
      <c r="AU30" s="296">
        <v>1760</v>
      </c>
      <c r="AV30" s="216">
        <v>85</v>
      </c>
      <c r="AW30" s="216">
        <v>0</v>
      </c>
      <c r="AX30" s="296">
        <v>1480</v>
      </c>
      <c r="AY30" s="216">
        <v>195</v>
      </c>
    </row>
    <row r="31" spans="2:51" x14ac:dyDescent="0.2">
      <c r="B31" s="243" t="s">
        <v>260</v>
      </c>
      <c r="C31" s="425" t="str">
        <f t="shared" si="3"/>
        <v>Q4</v>
      </c>
      <c r="D31" s="425">
        <f t="shared" si="4"/>
        <v>2023</v>
      </c>
      <c r="E31" s="367">
        <v>14105</v>
      </c>
      <c r="F31" s="364">
        <v>10931</v>
      </c>
      <c r="G31" s="364">
        <v>3174</v>
      </c>
      <c r="H31" s="367">
        <v>229</v>
      </c>
      <c r="I31" s="364">
        <v>182</v>
      </c>
      <c r="J31" s="448">
        <v>47</v>
      </c>
      <c r="L31" s="365">
        <v>43556</v>
      </c>
      <c r="M31" s="225">
        <f t="shared" si="5"/>
        <v>2019</v>
      </c>
      <c r="N31" s="366" t="s">
        <v>242</v>
      </c>
      <c r="O31" s="367">
        <f t="shared" si="6"/>
        <v>2878</v>
      </c>
      <c r="P31" s="364">
        <f t="shared" si="19"/>
        <v>1994</v>
      </c>
      <c r="Q31" s="364">
        <f t="shared" si="20"/>
        <v>884</v>
      </c>
      <c r="R31" s="367">
        <f t="shared" si="21"/>
        <v>81</v>
      </c>
      <c r="S31" s="364">
        <f t="shared" si="10"/>
        <v>55</v>
      </c>
      <c r="T31" s="448">
        <f t="shared" si="0"/>
        <v>26</v>
      </c>
      <c r="U31" s="367">
        <f t="shared" si="11"/>
        <v>27239.333333333332</v>
      </c>
      <c r="V31" s="364">
        <f t="shared" si="12"/>
        <v>13290.666666666668</v>
      </c>
      <c r="W31" s="364">
        <f t="shared" si="13"/>
        <v>13948.66666666667</v>
      </c>
      <c r="X31" s="367">
        <f t="shared" si="14"/>
        <v>757.99999999999989</v>
      </c>
      <c r="Y31" s="364">
        <f t="shared" si="15"/>
        <v>365.3333333333332</v>
      </c>
      <c r="Z31" s="448">
        <f t="shared" si="16"/>
        <v>392.66666666666674</v>
      </c>
      <c r="AC31" s="216" t="s">
        <v>258</v>
      </c>
      <c r="AD31" s="216" t="str">
        <f t="shared" si="17"/>
        <v>Q2</v>
      </c>
      <c r="AE31" s="216">
        <f t="shared" si="18"/>
        <v>2023</v>
      </c>
      <c r="AF31" s="296">
        <v>183653</v>
      </c>
      <c r="AG31" s="296">
        <v>31866</v>
      </c>
      <c r="AH31" s="296">
        <v>32563</v>
      </c>
      <c r="AI31" s="296">
        <v>111715</v>
      </c>
      <c r="AJ31" s="296">
        <v>7509</v>
      </c>
      <c r="AK31" s="296">
        <v>9486</v>
      </c>
      <c r="AL31" s="216">
        <v>2192</v>
      </c>
      <c r="AM31" s="216">
        <v>382</v>
      </c>
      <c r="AN31" s="296">
        <v>6743</v>
      </c>
      <c r="AO31" s="216">
        <v>169</v>
      </c>
      <c r="AP31" s="296">
        <v>17538</v>
      </c>
      <c r="AQ31" s="296">
        <v>2956</v>
      </c>
      <c r="AR31" s="216">
        <v>1189</v>
      </c>
      <c r="AS31" s="296">
        <v>12902</v>
      </c>
      <c r="AT31" s="216">
        <v>491</v>
      </c>
      <c r="AU31" s="216">
        <v>3311</v>
      </c>
      <c r="AV31" s="216">
        <v>210</v>
      </c>
      <c r="AW31" s="216">
        <v>0</v>
      </c>
      <c r="AX31" s="216">
        <v>2843</v>
      </c>
      <c r="AY31" s="216">
        <v>258</v>
      </c>
    </row>
    <row r="32" spans="2:51" x14ac:dyDescent="0.2">
      <c r="B32" s="243" t="s">
        <v>498</v>
      </c>
      <c r="C32" s="425" t="str">
        <f t="shared" si="3"/>
        <v>Q1</v>
      </c>
      <c r="D32" s="425">
        <f t="shared" si="4"/>
        <v>2024</v>
      </c>
      <c r="E32" s="367">
        <v>11026</v>
      </c>
      <c r="F32" s="364">
        <v>8144</v>
      </c>
      <c r="G32" s="364">
        <v>2882</v>
      </c>
      <c r="H32" s="367">
        <v>248</v>
      </c>
      <c r="I32" s="364">
        <v>187</v>
      </c>
      <c r="J32" s="448">
        <v>61</v>
      </c>
      <c r="L32" s="365">
        <v>43586</v>
      </c>
      <c r="M32" s="225">
        <f t="shared" si="5"/>
        <v>2019</v>
      </c>
      <c r="N32" s="366" t="s">
        <v>242</v>
      </c>
      <c r="O32" s="367">
        <f t="shared" si="6"/>
        <v>2878</v>
      </c>
      <c r="P32" s="364">
        <f t="shared" si="19"/>
        <v>1994</v>
      </c>
      <c r="Q32" s="364">
        <f t="shared" si="20"/>
        <v>884</v>
      </c>
      <c r="R32" s="367">
        <f t="shared" si="21"/>
        <v>81</v>
      </c>
      <c r="S32" s="364">
        <f t="shared" si="10"/>
        <v>55</v>
      </c>
      <c r="T32" s="448">
        <f t="shared" si="0"/>
        <v>26</v>
      </c>
      <c r="U32" s="367">
        <f t="shared" si="11"/>
        <v>28198.666666666664</v>
      </c>
      <c r="V32" s="364">
        <f t="shared" si="12"/>
        <v>13955.333333333334</v>
      </c>
      <c r="W32" s="364">
        <f t="shared" si="13"/>
        <v>14243.333333333336</v>
      </c>
      <c r="X32" s="367">
        <f t="shared" si="14"/>
        <v>784.99999999999989</v>
      </c>
      <c r="Y32" s="364">
        <f t="shared" si="15"/>
        <v>383.66666666666652</v>
      </c>
      <c r="Z32" s="448">
        <f t="shared" si="16"/>
        <v>401.33333333333343</v>
      </c>
      <c r="AC32" s="216" t="s">
        <v>259</v>
      </c>
      <c r="AD32" s="216" t="str">
        <f t="shared" si="17"/>
        <v>Q3</v>
      </c>
      <c r="AE32" s="216">
        <f t="shared" si="18"/>
        <v>2023</v>
      </c>
      <c r="AF32" s="296">
        <v>178597</v>
      </c>
      <c r="AG32" s="296">
        <v>29904</v>
      </c>
      <c r="AH32" s="296">
        <v>32977</v>
      </c>
      <c r="AI32" s="296">
        <v>108349</v>
      </c>
      <c r="AJ32" s="296">
        <v>7367</v>
      </c>
      <c r="AK32" s="296">
        <v>11458</v>
      </c>
      <c r="AL32" s="296">
        <v>3129</v>
      </c>
      <c r="AM32" s="216">
        <v>523</v>
      </c>
      <c r="AN32" s="296">
        <v>7730</v>
      </c>
      <c r="AO32" s="216">
        <v>76</v>
      </c>
      <c r="AP32" s="296">
        <v>17596</v>
      </c>
      <c r="AQ32" s="296">
        <v>3040</v>
      </c>
      <c r="AR32" s="216">
        <v>1172</v>
      </c>
      <c r="AS32" s="296">
        <v>12858</v>
      </c>
      <c r="AT32" s="296">
        <v>526</v>
      </c>
      <c r="AU32" s="296">
        <v>3252</v>
      </c>
      <c r="AV32" s="216">
        <v>322</v>
      </c>
      <c r="AW32" s="216">
        <v>0</v>
      </c>
      <c r="AX32" s="296">
        <v>2825</v>
      </c>
      <c r="AY32" s="216">
        <v>105</v>
      </c>
    </row>
    <row r="33" spans="2:51" x14ac:dyDescent="0.2">
      <c r="B33" s="243" t="s">
        <v>499</v>
      </c>
      <c r="C33" s="425" t="str">
        <f t="shared" si="3"/>
        <v>Q2</v>
      </c>
      <c r="D33" s="425">
        <f t="shared" si="4"/>
        <v>2024</v>
      </c>
      <c r="E33" s="367">
        <v>14377</v>
      </c>
      <c r="F33" s="364">
        <v>10469</v>
      </c>
      <c r="G33" s="364">
        <v>3908</v>
      </c>
      <c r="H33" s="367">
        <v>238</v>
      </c>
      <c r="I33" s="364">
        <v>175</v>
      </c>
      <c r="J33" s="448">
        <v>63</v>
      </c>
      <c r="L33" s="365">
        <v>43617</v>
      </c>
      <c r="M33" s="225">
        <f t="shared" si="5"/>
        <v>2019</v>
      </c>
      <c r="N33" s="366" t="s">
        <v>242</v>
      </c>
      <c r="O33" s="367">
        <f t="shared" si="6"/>
        <v>2878</v>
      </c>
      <c r="P33" s="364">
        <f t="shared" si="19"/>
        <v>1994</v>
      </c>
      <c r="Q33" s="364">
        <f t="shared" si="20"/>
        <v>884</v>
      </c>
      <c r="R33" s="367">
        <f t="shared" si="21"/>
        <v>81</v>
      </c>
      <c r="S33" s="364">
        <f t="shared" si="10"/>
        <v>55</v>
      </c>
      <c r="T33" s="448">
        <f t="shared" si="0"/>
        <v>26</v>
      </c>
      <c r="U33" s="367">
        <f t="shared" si="11"/>
        <v>29157.999999999996</v>
      </c>
      <c r="V33" s="364">
        <f t="shared" si="12"/>
        <v>14620</v>
      </c>
      <c r="W33" s="364">
        <f t="shared" si="13"/>
        <v>14538.000000000002</v>
      </c>
      <c r="X33" s="367">
        <f t="shared" si="14"/>
        <v>811.99999999999989</v>
      </c>
      <c r="Y33" s="364">
        <f t="shared" si="15"/>
        <v>401.99999999999983</v>
      </c>
      <c r="Z33" s="448">
        <f t="shared" si="16"/>
        <v>410.00000000000011</v>
      </c>
      <c r="AC33" s="216" t="s">
        <v>260</v>
      </c>
      <c r="AD33" s="216" t="str">
        <f t="shared" si="17"/>
        <v>Q4</v>
      </c>
      <c r="AE33" s="216">
        <f t="shared" si="18"/>
        <v>2023</v>
      </c>
      <c r="AF33" s="296">
        <v>171136</v>
      </c>
      <c r="AG33" s="296">
        <v>26037</v>
      </c>
      <c r="AH33" s="296">
        <v>30930</v>
      </c>
      <c r="AI33" s="296">
        <v>108458</v>
      </c>
      <c r="AJ33" s="296">
        <v>5711</v>
      </c>
      <c r="AK33" s="296">
        <v>10931</v>
      </c>
      <c r="AL33" s="296">
        <v>2488</v>
      </c>
      <c r="AM33" s="216">
        <v>550</v>
      </c>
      <c r="AN33" s="296">
        <v>7734</v>
      </c>
      <c r="AO33" s="216">
        <v>159</v>
      </c>
      <c r="AP33" s="296">
        <v>16261</v>
      </c>
      <c r="AQ33" s="296">
        <v>2698</v>
      </c>
      <c r="AR33" s="216">
        <v>905</v>
      </c>
      <c r="AS33" s="296">
        <v>11899</v>
      </c>
      <c r="AT33" s="296">
        <v>759</v>
      </c>
      <c r="AU33" s="296">
        <v>3174</v>
      </c>
      <c r="AV33" s="216">
        <v>210</v>
      </c>
      <c r="AW33" s="216">
        <v>0</v>
      </c>
      <c r="AX33" s="216">
        <v>2902</v>
      </c>
      <c r="AY33" s="216">
        <v>62</v>
      </c>
    </row>
    <row r="34" spans="2:51" x14ac:dyDescent="0.2">
      <c r="B34" s="243" t="s">
        <v>514</v>
      </c>
      <c r="C34" s="425" t="str">
        <f t="shared" si="3"/>
        <v>Q3</v>
      </c>
      <c r="D34" s="425">
        <f t="shared" si="4"/>
        <v>2024</v>
      </c>
      <c r="E34" s="367">
        <v>15946</v>
      </c>
      <c r="F34" s="364">
        <v>11771</v>
      </c>
      <c r="G34" s="364">
        <v>4175</v>
      </c>
      <c r="H34" s="367">
        <v>280</v>
      </c>
      <c r="I34" s="364">
        <v>208</v>
      </c>
      <c r="J34" s="448">
        <v>72</v>
      </c>
      <c r="L34" s="365">
        <v>43647</v>
      </c>
      <c r="M34" s="225">
        <f t="shared" si="5"/>
        <v>2019</v>
      </c>
      <c r="N34" s="366" t="s">
        <v>243</v>
      </c>
      <c r="O34" s="367">
        <f t="shared" si="6"/>
        <v>3148</v>
      </c>
      <c r="P34" s="364">
        <f t="shared" si="19"/>
        <v>2180</v>
      </c>
      <c r="Q34" s="364">
        <f t="shared" si="20"/>
        <v>968</v>
      </c>
      <c r="R34" s="367">
        <f t="shared" si="21"/>
        <v>73</v>
      </c>
      <c r="S34" s="364">
        <f t="shared" si="10"/>
        <v>51</v>
      </c>
      <c r="T34" s="448">
        <f t="shared" si="0"/>
        <v>22</v>
      </c>
      <c r="U34" s="367">
        <f t="shared" si="11"/>
        <v>30207.333333333328</v>
      </c>
      <c r="V34" s="364">
        <f t="shared" si="12"/>
        <v>15346.666666666666</v>
      </c>
      <c r="W34" s="364">
        <f t="shared" si="13"/>
        <v>14860.666666666668</v>
      </c>
      <c r="X34" s="367">
        <f t="shared" si="14"/>
        <v>836.33333333333326</v>
      </c>
      <c r="Y34" s="364">
        <f t="shared" si="15"/>
        <v>418.99999999999983</v>
      </c>
      <c r="Z34" s="448">
        <f t="shared" si="16"/>
        <v>417.33333333333343</v>
      </c>
      <c r="AC34" s="216" t="s">
        <v>498</v>
      </c>
      <c r="AD34" s="216" t="str">
        <f t="shared" si="17"/>
        <v>Q1</v>
      </c>
      <c r="AE34" s="216">
        <f t="shared" si="18"/>
        <v>2024</v>
      </c>
      <c r="AF34" s="296">
        <v>163029</v>
      </c>
      <c r="AG34" s="296">
        <v>25187</v>
      </c>
      <c r="AH34" s="296">
        <v>27618</v>
      </c>
      <c r="AI34" s="296">
        <v>103973</v>
      </c>
      <c r="AJ34" s="296">
        <v>6251</v>
      </c>
      <c r="AK34" s="296">
        <v>8144</v>
      </c>
      <c r="AL34" s="296">
        <v>1596</v>
      </c>
      <c r="AM34" s="216">
        <v>469</v>
      </c>
      <c r="AN34" s="296">
        <v>6030</v>
      </c>
      <c r="AO34" s="216">
        <v>49</v>
      </c>
      <c r="AP34" s="296">
        <v>16600</v>
      </c>
      <c r="AQ34" s="296">
        <v>2260</v>
      </c>
      <c r="AR34" s="216">
        <v>1315</v>
      </c>
      <c r="AS34" s="296">
        <v>11903</v>
      </c>
      <c r="AT34" s="296">
        <v>1122</v>
      </c>
      <c r="AU34" s="296">
        <v>2882</v>
      </c>
      <c r="AV34" s="216">
        <v>388</v>
      </c>
      <c r="AW34" s="216">
        <v>0</v>
      </c>
      <c r="AX34" s="296">
        <v>2423</v>
      </c>
      <c r="AY34" s="216">
        <v>71</v>
      </c>
    </row>
    <row r="35" spans="2:51" x14ac:dyDescent="0.2">
      <c r="B35" s="277" t="s">
        <v>515</v>
      </c>
      <c r="C35" s="487" t="str">
        <f t="shared" si="3"/>
        <v>Q4</v>
      </c>
      <c r="D35" s="484">
        <f t="shared" si="4"/>
        <v>2024</v>
      </c>
      <c r="E35" s="372">
        <v>15251</v>
      </c>
      <c r="F35" s="368">
        <v>11282</v>
      </c>
      <c r="G35" s="368">
        <v>3969</v>
      </c>
      <c r="H35" s="372">
        <v>287</v>
      </c>
      <c r="I35" s="368">
        <v>194</v>
      </c>
      <c r="J35" s="449">
        <v>93</v>
      </c>
      <c r="L35" s="365">
        <v>43678</v>
      </c>
      <c r="M35" s="225">
        <f t="shared" si="5"/>
        <v>2019</v>
      </c>
      <c r="N35" s="366" t="s">
        <v>243</v>
      </c>
      <c r="O35" s="367">
        <f t="shared" si="6"/>
        <v>3148</v>
      </c>
      <c r="P35" s="364">
        <f t="shared" si="19"/>
        <v>2180</v>
      </c>
      <c r="Q35" s="364">
        <f t="shared" si="20"/>
        <v>968</v>
      </c>
      <c r="R35" s="367">
        <f t="shared" si="21"/>
        <v>73</v>
      </c>
      <c r="S35" s="364">
        <f t="shared" si="10"/>
        <v>51</v>
      </c>
      <c r="T35" s="448">
        <f t="shared" si="0"/>
        <v>22</v>
      </c>
      <c r="U35" s="367">
        <f t="shared" si="11"/>
        <v>31256.666666666661</v>
      </c>
      <c r="V35" s="364">
        <f t="shared" si="12"/>
        <v>16073.333333333332</v>
      </c>
      <c r="W35" s="364">
        <f t="shared" si="13"/>
        <v>15183.333333333334</v>
      </c>
      <c r="X35" s="367">
        <f t="shared" si="14"/>
        <v>860.66666666666663</v>
      </c>
      <c r="Y35" s="364">
        <f t="shared" si="15"/>
        <v>435.99999999999983</v>
      </c>
      <c r="Z35" s="448">
        <f t="shared" si="16"/>
        <v>424.66666666666674</v>
      </c>
      <c r="AC35" s="216" t="s">
        <v>499</v>
      </c>
      <c r="AD35" s="216" t="str">
        <f t="shared" si="17"/>
        <v>Q2</v>
      </c>
      <c r="AE35" s="216">
        <f t="shared" si="18"/>
        <v>2024</v>
      </c>
      <c r="AF35" s="296">
        <v>190548</v>
      </c>
      <c r="AG35" s="296">
        <v>31074</v>
      </c>
      <c r="AH35" s="296">
        <v>34599</v>
      </c>
      <c r="AI35" s="296">
        <v>117240</v>
      </c>
      <c r="AJ35" s="296">
        <v>7635</v>
      </c>
      <c r="AK35" s="296">
        <v>10469</v>
      </c>
      <c r="AL35" s="296">
        <v>2480</v>
      </c>
      <c r="AM35" s="216">
        <v>730</v>
      </c>
      <c r="AN35" s="296">
        <v>7210</v>
      </c>
      <c r="AO35" s="216">
        <v>49</v>
      </c>
      <c r="AP35" s="296">
        <v>18741</v>
      </c>
      <c r="AQ35" s="296">
        <v>2327</v>
      </c>
      <c r="AR35" s="216">
        <v>2573</v>
      </c>
      <c r="AS35" s="296">
        <v>12533</v>
      </c>
      <c r="AT35" s="216">
        <v>1308</v>
      </c>
      <c r="AU35" s="296">
        <v>3908</v>
      </c>
      <c r="AV35" s="216">
        <v>196</v>
      </c>
      <c r="AW35" s="216">
        <v>0</v>
      </c>
      <c r="AX35" s="296">
        <v>3578</v>
      </c>
      <c r="AY35" s="216">
        <v>134</v>
      </c>
    </row>
    <row r="36" spans="2:51" x14ac:dyDescent="0.2">
      <c r="L36" s="365">
        <v>43709</v>
      </c>
      <c r="M36" s="225">
        <f t="shared" si="5"/>
        <v>2019</v>
      </c>
      <c r="N36" s="366" t="s">
        <v>243</v>
      </c>
      <c r="O36" s="367">
        <f t="shared" si="6"/>
        <v>3148</v>
      </c>
      <c r="P36" s="364">
        <f t="shared" si="19"/>
        <v>2180</v>
      </c>
      <c r="Q36" s="364">
        <f t="shared" si="20"/>
        <v>968</v>
      </c>
      <c r="R36" s="367">
        <f t="shared" si="21"/>
        <v>73</v>
      </c>
      <c r="S36" s="364">
        <f t="shared" si="10"/>
        <v>51</v>
      </c>
      <c r="T36" s="448">
        <f t="shared" si="0"/>
        <v>22</v>
      </c>
      <c r="U36" s="367">
        <f t="shared" si="11"/>
        <v>32305.999999999993</v>
      </c>
      <c r="V36" s="364">
        <f t="shared" si="12"/>
        <v>16800</v>
      </c>
      <c r="W36" s="364">
        <f t="shared" si="13"/>
        <v>15506</v>
      </c>
      <c r="X36" s="367">
        <f t="shared" si="14"/>
        <v>885</v>
      </c>
      <c r="Y36" s="364">
        <f t="shared" si="15"/>
        <v>452.99999999999983</v>
      </c>
      <c r="Z36" s="448">
        <f t="shared" si="16"/>
        <v>432.00000000000006</v>
      </c>
      <c r="AC36" s="216" t="s">
        <v>514</v>
      </c>
      <c r="AD36" s="216" t="str">
        <f t="shared" si="17"/>
        <v>Q3</v>
      </c>
      <c r="AE36" s="216">
        <f t="shared" si="18"/>
        <v>2024</v>
      </c>
      <c r="AF36" s="296">
        <v>182365</v>
      </c>
      <c r="AG36" s="296">
        <v>27486</v>
      </c>
      <c r="AH36" s="296">
        <v>33446</v>
      </c>
      <c r="AI36" s="296">
        <v>112781</v>
      </c>
      <c r="AJ36" s="296">
        <v>8652</v>
      </c>
      <c r="AK36" s="296">
        <v>11771</v>
      </c>
      <c r="AL36" s="296">
        <v>2542</v>
      </c>
      <c r="AM36" s="296">
        <v>967</v>
      </c>
      <c r="AN36" s="296">
        <v>8192</v>
      </c>
      <c r="AO36" s="296">
        <v>70</v>
      </c>
      <c r="AP36" s="296">
        <v>22120</v>
      </c>
      <c r="AQ36" s="296">
        <v>4625</v>
      </c>
      <c r="AR36" s="296">
        <v>2695</v>
      </c>
      <c r="AS36" s="296">
        <v>13242</v>
      </c>
      <c r="AT36" s="296">
        <v>1558</v>
      </c>
      <c r="AU36" s="296">
        <v>4175</v>
      </c>
      <c r="AV36" s="296">
        <v>435</v>
      </c>
      <c r="AW36" s="296">
        <v>0</v>
      </c>
      <c r="AX36" s="296">
        <v>3645</v>
      </c>
      <c r="AY36" s="296">
        <v>95</v>
      </c>
    </row>
    <row r="37" spans="2:51" x14ac:dyDescent="0.2">
      <c r="L37" s="365">
        <v>43739</v>
      </c>
      <c r="M37" s="225">
        <f t="shared" si="5"/>
        <v>2019</v>
      </c>
      <c r="N37" s="366" t="s">
        <v>244</v>
      </c>
      <c r="O37" s="367">
        <f t="shared" si="6"/>
        <v>2394</v>
      </c>
      <c r="P37" s="364">
        <f t="shared" si="19"/>
        <v>1538</v>
      </c>
      <c r="Q37" s="364">
        <f t="shared" si="20"/>
        <v>856</v>
      </c>
      <c r="R37" s="367">
        <f t="shared" si="21"/>
        <v>70</v>
      </c>
      <c r="S37" s="364">
        <f t="shared" si="10"/>
        <v>49</v>
      </c>
      <c r="T37" s="448">
        <f t="shared" si="0"/>
        <v>21</v>
      </c>
      <c r="U37" s="367">
        <f t="shared" ref="U37:U68" si="22">O37/3+U36</f>
        <v>33103.999999999993</v>
      </c>
      <c r="V37" s="364">
        <f t="shared" si="12"/>
        <v>17312.666666666668</v>
      </c>
      <c r="W37" s="364">
        <f t="shared" si="13"/>
        <v>15791.333333333334</v>
      </c>
      <c r="X37" s="367">
        <f t="shared" si="14"/>
        <v>908.33333333333337</v>
      </c>
      <c r="Y37" s="364">
        <f t="shared" si="15"/>
        <v>469.33333333333314</v>
      </c>
      <c r="Z37" s="448">
        <f t="shared" si="16"/>
        <v>439.00000000000006</v>
      </c>
      <c r="AC37" s="216" t="s">
        <v>515</v>
      </c>
      <c r="AD37" s="216" t="str">
        <f t="shared" si="17"/>
        <v>Q4</v>
      </c>
      <c r="AE37" s="216">
        <f t="shared" si="18"/>
        <v>2024</v>
      </c>
      <c r="AF37" s="296">
        <v>163347</v>
      </c>
      <c r="AG37" s="296">
        <v>23821</v>
      </c>
      <c r="AH37" s="296">
        <v>29261</v>
      </c>
      <c r="AI37" s="296">
        <v>103011</v>
      </c>
      <c r="AJ37" s="296">
        <v>7254</v>
      </c>
      <c r="AK37" s="296">
        <v>11282</v>
      </c>
      <c r="AL37" s="296">
        <v>1816</v>
      </c>
      <c r="AM37" s="296">
        <v>1914</v>
      </c>
      <c r="AN37" s="296">
        <v>7442</v>
      </c>
      <c r="AO37" s="296">
        <v>110</v>
      </c>
      <c r="AP37" s="296">
        <v>22112</v>
      </c>
      <c r="AQ37" s="296">
        <v>4978</v>
      </c>
      <c r="AR37" s="296">
        <v>1564</v>
      </c>
      <c r="AS37" s="296">
        <v>14264</v>
      </c>
      <c r="AT37" s="296">
        <v>1306</v>
      </c>
      <c r="AU37" s="296">
        <v>3969</v>
      </c>
      <c r="AV37" s="296">
        <v>341</v>
      </c>
      <c r="AW37" s="296">
        <v>0</v>
      </c>
      <c r="AX37" s="296">
        <v>3574</v>
      </c>
      <c r="AY37" s="296">
        <v>54</v>
      </c>
    </row>
    <row r="38" spans="2:51" x14ac:dyDescent="0.2">
      <c r="H38" s="456"/>
      <c r="L38" s="365">
        <v>43770</v>
      </c>
      <c r="M38" s="225">
        <f t="shared" si="5"/>
        <v>2019</v>
      </c>
      <c r="N38" s="366" t="s">
        <v>244</v>
      </c>
      <c r="O38" s="367">
        <f t="shared" si="6"/>
        <v>2394</v>
      </c>
      <c r="P38" s="364">
        <f t="shared" si="19"/>
        <v>1538</v>
      </c>
      <c r="Q38" s="364">
        <f t="shared" si="20"/>
        <v>856</v>
      </c>
      <c r="R38" s="367">
        <f t="shared" si="21"/>
        <v>70</v>
      </c>
      <c r="S38" s="364">
        <f t="shared" si="10"/>
        <v>49</v>
      </c>
      <c r="T38" s="448">
        <f t="shared" si="0"/>
        <v>21</v>
      </c>
      <c r="U38" s="367">
        <f t="shared" si="22"/>
        <v>33901.999999999993</v>
      </c>
      <c r="V38" s="364">
        <f t="shared" si="12"/>
        <v>17825.333333333336</v>
      </c>
      <c r="W38" s="364">
        <f t="shared" si="13"/>
        <v>16076.666666666668</v>
      </c>
      <c r="X38" s="367">
        <f t="shared" si="14"/>
        <v>931.66666666666674</v>
      </c>
      <c r="Y38" s="364">
        <f t="shared" si="15"/>
        <v>485.66666666666646</v>
      </c>
      <c r="Z38" s="448">
        <f t="shared" si="16"/>
        <v>446.00000000000006</v>
      </c>
    </row>
    <row r="39" spans="2:51" x14ac:dyDescent="0.2">
      <c r="H39" s="456"/>
      <c r="L39" s="365">
        <v>43800</v>
      </c>
      <c r="M39" s="225">
        <f t="shared" si="5"/>
        <v>2019</v>
      </c>
      <c r="N39" s="366" t="s">
        <v>244</v>
      </c>
      <c r="O39" s="367">
        <f t="shared" si="6"/>
        <v>2394</v>
      </c>
      <c r="P39" s="364">
        <f t="shared" si="19"/>
        <v>1538</v>
      </c>
      <c r="Q39" s="364">
        <f t="shared" si="20"/>
        <v>856</v>
      </c>
      <c r="R39" s="367">
        <f t="shared" si="21"/>
        <v>70</v>
      </c>
      <c r="S39" s="364">
        <f t="shared" si="10"/>
        <v>49</v>
      </c>
      <c r="T39" s="448">
        <f t="shared" si="0"/>
        <v>21</v>
      </c>
      <c r="U39" s="367">
        <f t="shared" si="22"/>
        <v>34699.999999999993</v>
      </c>
      <c r="V39" s="364">
        <f t="shared" si="12"/>
        <v>18338.000000000004</v>
      </c>
      <c r="W39" s="364">
        <f t="shared" si="13"/>
        <v>16362.000000000002</v>
      </c>
      <c r="X39" s="367">
        <f t="shared" si="14"/>
        <v>955.00000000000011</v>
      </c>
      <c r="Y39" s="364">
        <f t="shared" si="15"/>
        <v>501.99999999999977</v>
      </c>
      <c r="Z39" s="448">
        <f t="shared" si="16"/>
        <v>453.00000000000006</v>
      </c>
      <c r="AF39" s="485"/>
      <c r="AG39" s="485"/>
      <c r="AH39" s="485"/>
      <c r="AI39" s="485"/>
      <c r="AJ39" s="485"/>
      <c r="AK39" s="485"/>
      <c r="AL39" s="485"/>
      <c r="AM39" s="485"/>
      <c r="AN39" s="485"/>
      <c r="AO39" s="485"/>
      <c r="AP39" s="485"/>
      <c r="AQ39" s="485"/>
      <c r="AR39" s="485"/>
      <c r="AS39" s="485"/>
      <c r="AT39" s="485"/>
      <c r="AU39" s="485"/>
      <c r="AV39" s="485"/>
      <c r="AW39" s="485"/>
      <c r="AX39" s="485"/>
      <c r="AY39" s="485"/>
    </row>
    <row r="40" spans="2:51" x14ac:dyDescent="0.2">
      <c r="L40" s="365">
        <v>43831</v>
      </c>
      <c r="M40" s="225">
        <f t="shared" si="5"/>
        <v>2020</v>
      </c>
      <c r="N40" s="366" t="s">
        <v>245</v>
      </c>
      <c r="O40" s="367">
        <f t="shared" si="6"/>
        <v>2102</v>
      </c>
      <c r="P40" s="364">
        <f t="shared" si="19"/>
        <v>1554</v>
      </c>
      <c r="Q40" s="364">
        <f t="shared" si="20"/>
        <v>548</v>
      </c>
      <c r="R40" s="367">
        <f t="shared" si="21"/>
        <v>40</v>
      </c>
      <c r="S40" s="364">
        <f t="shared" si="10"/>
        <v>29</v>
      </c>
      <c r="T40" s="448">
        <f t="shared" si="0"/>
        <v>11</v>
      </c>
      <c r="U40" s="367">
        <f t="shared" si="22"/>
        <v>35400.666666666657</v>
      </c>
      <c r="V40" s="364">
        <f t="shared" si="12"/>
        <v>18856.000000000004</v>
      </c>
      <c r="W40" s="364">
        <f t="shared" si="13"/>
        <v>16544.666666666668</v>
      </c>
      <c r="X40" s="367">
        <f t="shared" si="14"/>
        <v>968.33333333333348</v>
      </c>
      <c r="Y40" s="364">
        <f t="shared" si="15"/>
        <v>511.66666666666646</v>
      </c>
      <c r="Z40" s="448">
        <f t="shared" si="16"/>
        <v>456.66666666666674</v>
      </c>
      <c r="AF40" s="485"/>
      <c r="AG40" s="485"/>
      <c r="AH40" s="485"/>
      <c r="AI40" s="485"/>
      <c r="AJ40" s="485"/>
      <c r="AK40" s="485"/>
      <c r="AL40" s="485"/>
      <c r="AM40" s="485"/>
      <c r="AN40" s="485"/>
      <c r="AO40" s="485"/>
      <c r="AP40" s="485"/>
      <c r="AQ40" s="485"/>
      <c r="AR40" s="485"/>
      <c r="AS40" s="485"/>
      <c r="AT40" s="485"/>
      <c r="AU40" s="485"/>
      <c r="AV40" s="485"/>
      <c r="AW40" s="485"/>
      <c r="AX40" s="485"/>
      <c r="AY40" s="485"/>
    </row>
    <row r="41" spans="2:51" x14ac:dyDescent="0.2">
      <c r="E41" s="485"/>
      <c r="F41" s="485"/>
      <c r="G41" s="485"/>
      <c r="H41" s="485"/>
      <c r="I41" s="485"/>
      <c r="J41" s="485"/>
      <c r="L41" s="365">
        <v>43862</v>
      </c>
      <c r="M41" s="225">
        <f t="shared" si="5"/>
        <v>2020</v>
      </c>
      <c r="N41" s="366" t="s">
        <v>245</v>
      </c>
      <c r="O41" s="367">
        <f t="shared" si="6"/>
        <v>2102</v>
      </c>
      <c r="P41" s="364">
        <f t="shared" si="19"/>
        <v>1554</v>
      </c>
      <c r="Q41" s="364">
        <f t="shared" si="20"/>
        <v>548</v>
      </c>
      <c r="R41" s="367">
        <f t="shared" si="21"/>
        <v>40</v>
      </c>
      <c r="S41" s="364">
        <f t="shared" si="10"/>
        <v>29</v>
      </c>
      <c r="T41" s="448">
        <f t="shared" si="0"/>
        <v>11</v>
      </c>
      <c r="U41" s="367">
        <f t="shared" si="22"/>
        <v>36101.333333333321</v>
      </c>
      <c r="V41" s="364">
        <f t="shared" si="12"/>
        <v>19374.000000000004</v>
      </c>
      <c r="W41" s="364">
        <f t="shared" si="13"/>
        <v>16727.333333333336</v>
      </c>
      <c r="X41" s="367">
        <f t="shared" si="14"/>
        <v>981.66666666666686</v>
      </c>
      <c r="Y41" s="364">
        <f t="shared" si="15"/>
        <v>521.33333333333314</v>
      </c>
      <c r="Z41" s="448">
        <f t="shared" si="16"/>
        <v>460.33333333333343</v>
      </c>
      <c r="AF41" s="485"/>
      <c r="AG41" s="485"/>
      <c r="AH41" s="485"/>
      <c r="AI41" s="485"/>
      <c r="AJ41" s="485"/>
      <c r="AK41" s="485"/>
      <c r="AL41" s="485"/>
      <c r="AM41" s="485"/>
      <c r="AN41" s="485"/>
      <c r="AO41" s="485"/>
      <c r="AP41" s="485"/>
      <c r="AQ41" s="485"/>
      <c r="AR41" s="485"/>
      <c r="AS41" s="485"/>
      <c r="AT41" s="485"/>
      <c r="AU41" s="485"/>
      <c r="AV41" s="485"/>
      <c r="AW41" s="485"/>
      <c r="AX41" s="485"/>
      <c r="AY41" s="485"/>
    </row>
    <row r="42" spans="2:51" x14ac:dyDescent="0.2">
      <c r="E42" s="485"/>
      <c r="F42" s="485"/>
      <c r="G42" s="485"/>
      <c r="H42" s="485"/>
      <c r="I42" s="485"/>
      <c r="J42" s="485"/>
      <c r="L42" s="365">
        <v>43891</v>
      </c>
      <c r="M42" s="225">
        <f t="shared" si="5"/>
        <v>2020</v>
      </c>
      <c r="N42" s="366" t="s">
        <v>245</v>
      </c>
      <c r="O42" s="367">
        <f t="shared" si="6"/>
        <v>2102</v>
      </c>
      <c r="P42" s="364">
        <f t="shared" si="19"/>
        <v>1554</v>
      </c>
      <c r="Q42" s="364">
        <f t="shared" si="20"/>
        <v>548</v>
      </c>
      <c r="R42" s="367">
        <f t="shared" si="21"/>
        <v>40</v>
      </c>
      <c r="S42" s="364">
        <f t="shared" si="10"/>
        <v>29</v>
      </c>
      <c r="T42" s="448">
        <f t="shared" si="0"/>
        <v>11</v>
      </c>
      <c r="U42" s="367">
        <f t="shared" si="22"/>
        <v>36801.999999999985</v>
      </c>
      <c r="V42" s="364">
        <f t="shared" si="12"/>
        <v>19892.000000000004</v>
      </c>
      <c r="W42" s="364">
        <f t="shared" si="13"/>
        <v>16910.000000000004</v>
      </c>
      <c r="X42" s="367">
        <f t="shared" si="14"/>
        <v>995.00000000000023</v>
      </c>
      <c r="Y42" s="364">
        <f t="shared" si="15"/>
        <v>530.99999999999977</v>
      </c>
      <c r="Z42" s="448">
        <f t="shared" si="16"/>
        <v>464.00000000000011</v>
      </c>
      <c r="AF42" s="485"/>
      <c r="AG42" s="485"/>
      <c r="AH42" s="485"/>
      <c r="AI42" s="485"/>
      <c r="AJ42" s="485"/>
      <c r="AK42" s="485"/>
      <c r="AL42" s="485"/>
      <c r="AM42" s="485"/>
      <c r="AN42" s="485"/>
      <c r="AO42" s="485"/>
      <c r="AP42" s="485"/>
      <c r="AQ42" s="485"/>
      <c r="AR42" s="485"/>
      <c r="AS42" s="485"/>
      <c r="AT42" s="485"/>
      <c r="AU42" s="485"/>
      <c r="AV42" s="485"/>
      <c r="AW42" s="485"/>
      <c r="AX42" s="485"/>
      <c r="AY42" s="485"/>
    </row>
    <row r="43" spans="2:51" x14ac:dyDescent="0.2">
      <c r="E43" s="485"/>
      <c r="F43" s="485"/>
      <c r="G43" s="485"/>
      <c r="H43" s="485"/>
      <c r="I43" s="485"/>
      <c r="J43" s="485"/>
      <c r="L43" s="365">
        <v>43922</v>
      </c>
      <c r="M43" s="225">
        <f t="shared" si="5"/>
        <v>2020</v>
      </c>
      <c r="N43" s="366" t="s">
        <v>246</v>
      </c>
      <c r="O43" s="367">
        <f t="shared" si="6"/>
        <v>1640</v>
      </c>
      <c r="P43" s="364">
        <f t="shared" si="19"/>
        <v>1217</v>
      </c>
      <c r="Q43" s="364">
        <f t="shared" si="20"/>
        <v>423</v>
      </c>
      <c r="R43" s="367">
        <f t="shared" si="21"/>
        <v>43</v>
      </c>
      <c r="S43" s="364">
        <f t="shared" si="10"/>
        <v>35</v>
      </c>
      <c r="T43" s="448">
        <f t="shared" si="0"/>
        <v>8</v>
      </c>
      <c r="U43" s="367">
        <f t="shared" si="22"/>
        <v>37348.66666666665</v>
      </c>
      <c r="V43" s="364">
        <f t="shared" si="12"/>
        <v>20297.666666666672</v>
      </c>
      <c r="W43" s="364">
        <f t="shared" si="13"/>
        <v>17051.000000000004</v>
      </c>
      <c r="X43" s="367">
        <f t="shared" si="14"/>
        <v>1009.3333333333336</v>
      </c>
      <c r="Y43" s="364">
        <f t="shared" si="15"/>
        <v>542.6666666666664</v>
      </c>
      <c r="Z43" s="448">
        <f t="shared" si="16"/>
        <v>466.6666666666668</v>
      </c>
    </row>
    <row r="44" spans="2:51" x14ac:dyDescent="0.2">
      <c r="E44" s="485"/>
      <c r="F44" s="485"/>
      <c r="G44" s="485"/>
      <c r="H44" s="485"/>
      <c r="I44" s="485"/>
      <c r="J44" s="485"/>
      <c r="L44" s="365">
        <v>43952</v>
      </c>
      <c r="M44" s="225">
        <f t="shared" si="5"/>
        <v>2020</v>
      </c>
      <c r="N44" s="366" t="s">
        <v>246</v>
      </c>
      <c r="O44" s="367">
        <f t="shared" si="6"/>
        <v>1640</v>
      </c>
      <c r="P44" s="364">
        <f t="shared" si="19"/>
        <v>1217</v>
      </c>
      <c r="Q44" s="364">
        <f t="shared" si="20"/>
        <v>423</v>
      </c>
      <c r="R44" s="367">
        <f t="shared" si="21"/>
        <v>43</v>
      </c>
      <c r="S44" s="364">
        <f t="shared" si="10"/>
        <v>35</v>
      </c>
      <c r="T44" s="448">
        <f t="shared" si="0"/>
        <v>8</v>
      </c>
      <c r="U44" s="367">
        <f t="shared" si="22"/>
        <v>37895.333333333314</v>
      </c>
      <c r="V44" s="364">
        <f t="shared" si="12"/>
        <v>20703.333333333339</v>
      </c>
      <c r="W44" s="364">
        <f t="shared" si="13"/>
        <v>17192.000000000004</v>
      </c>
      <c r="X44" s="367">
        <f t="shared" si="14"/>
        <v>1023.666666666667</v>
      </c>
      <c r="Y44" s="364">
        <f t="shared" si="15"/>
        <v>554.33333333333303</v>
      </c>
      <c r="Z44" s="448">
        <f t="shared" si="16"/>
        <v>469.33333333333348</v>
      </c>
    </row>
    <row r="45" spans="2:51" x14ac:dyDescent="0.2">
      <c r="L45" s="365">
        <v>43983</v>
      </c>
      <c r="M45" s="225">
        <f t="shared" si="5"/>
        <v>2020</v>
      </c>
      <c r="N45" s="366" t="s">
        <v>246</v>
      </c>
      <c r="O45" s="367">
        <f t="shared" si="6"/>
        <v>1640</v>
      </c>
      <c r="P45" s="364">
        <f t="shared" si="19"/>
        <v>1217</v>
      </c>
      <c r="Q45" s="364">
        <f t="shared" si="20"/>
        <v>423</v>
      </c>
      <c r="R45" s="367">
        <f t="shared" si="21"/>
        <v>43</v>
      </c>
      <c r="S45" s="364">
        <f t="shared" si="10"/>
        <v>35</v>
      </c>
      <c r="T45" s="448">
        <f t="shared" si="0"/>
        <v>8</v>
      </c>
      <c r="U45" s="367">
        <f t="shared" si="22"/>
        <v>38441.999999999978</v>
      </c>
      <c r="V45" s="364">
        <f t="shared" si="12"/>
        <v>21109.000000000007</v>
      </c>
      <c r="W45" s="364">
        <f t="shared" si="13"/>
        <v>17333.000000000004</v>
      </c>
      <c r="X45" s="367">
        <f t="shared" si="14"/>
        <v>1038.0000000000002</v>
      </c>
      <c r="Y45" s="364">
        <f t="shared" si="15"/>
        <v>565.99999999999966</v>
      </c>
      <c r="Z45" s="448">
        <f t="shared" si="16"/>
        <v>472.00000000000017</v>
      </c>
    </row>
    <row r="46" spans="2:51" x14ac:dyDescent="0.2">
      <c r="L46" s="365">
        <v>44013</v>
      </c>
      <c r="M46" s="225">
        <f t="shared" si="5"/>
        <v>2020</v>
      </c>
      <c r="N46" s="366" t="s">
        <v>247</v>
      </c>
      <c r="O46" s="367">
        <f t="shared" si="6"/>
        <v>3296</v>
      </c>
      <c r="P46" s="364">
        <f t="shared" si="19"/>
        <v>2554</v>
      </c>
      <c r="Q46" s="364">
        <f t="shared" si="20"/>
        <v>742</v>
      </c>
      <c r="R46" s="367">
        <f t="shared" si="21"/>
        <v>90</v>
      </c>
      <c r="S46" s="364">
        <f t="shared" si="10"/>
        <v>75</v>
      </c>
      <c r="T46" s="448">
        <f t="shared" si="0"/>
        <v>15</v>
      </c>
      <c r="U46" s="367">
        <f t="shared" si="22"/>
        <v>39540.666666666642</v>
      </c>
      <c r="V46" s="364">
        <f t="shared" si="12"/>
        <v>21960.333333333339</v>
      </c>
      <c r="W46" s="364">
        <f t="shared" si="13"/>
        <v>17580.333333333336</v>
      </c>
      <c r="X46" s="367">
        <f t="shared" si="14"/>
        <v>1068.0000000000002</v>
      </c>
      <c r="Y46" s="364">
        <f t="shared" si="15"/>
        <v>590.99999999999966</v>
      </c>
      <c r="Z46" s="448">
        <f t="shared" si="16"/>
        <v>477.00000000000017</v>
      </c>
    </row>
    <row r="47" spans="2:51" x14ac:dyDescent="0.2">
      <c r="L47" s="365">
        <v>44044</v>
      </c>
      <c r="M47" s="225">
        <f t="shared" si="5"/>
        <v>2020</v>
      </c>
      <c r="N47" s="366" t="s">
        <v>247</v>
      </c>
      <c r="O47" s="367">
        <f t="shared" si="6"/>
        <v>3296</v>
      </c>
      <c r="P47" s="364">
        <f t="shared" si="19"/>
        <v>2554</v>
      </c>
      <c r="Q47" s="364">
        <f t="shared" si="20"/>
        <v>742</v>
      </c>
      <c r="R47" s="367">
        <f t="shared" si="21"/>
        <v>90</v>
      </c>
      <c r="S47" s="364">
        <f t="shared" si="10"/>
        <v>75</v>
      </c>
      <c r="T47" s="448">
        <f t="shared" si="0"/>
        <v>15</v>
      </c>
      <c r="U47" s="367">
        <f t="shared" si="22"/>
        <v>40639.333333333307</v>
      </c>
      <c r="V47" s="364">
        <f t="shared" si="12"/>
        <v>22811.666666666672</v>
      </c>
      <c r="W47" s="364">
        <f t="shared" si="13"/>
        <v>17827.666666666668</v>
      </c>
      <c r="X47" s="367">
        <f t="shared" si="14"/>
        <v>1098.0000000000002</v>
      </c>
      <c r="Y47" s="364">
        <f t="shared" si="15"/>
        <v>615.99999999999966</v>
      </c>
      <c r="Z47" s="448">
        <f t="shared" si="16"/>
        <v>482.00000000000017</v>
      </c>
    </row>
    <row r="48" spans="2:51" x14ac:dyDescent="0.2">
      <c r="L48" s="365">
        <v>44075</v>
      </c>
      <c r="M48" s="225">
        <f t="shared" si="5"/>
        <v>2020</v>
      </c>
      <c r="N48" s="366" t="s">
        <v>247</v>
      </c>
      <c r="O48" s="367">
        <f t="shared" si="6"/>
        <v>3296</v>
      </c>
      <c r="P48" s="364">
        <f t="shared" si="19"/>
        <v>2554</v>
      </c>
      <c r="Q48" s="364">
        <f t="shared" si="20"/>
        <v>742</v>
      </c>
      <c r="R48" s="367">
        <f t="shared" si="21"/>
        <v>90</v>
      </c>
      <c r="S48" s="364">
        <f t="shared" si="10"/>
        <v>75</v>
      </c>
      <c r="T48" s="448">
        <f t="shared" si="0"/>
        <v>15</v>
      </c>
      <c r="U48" s="367">
        <f t="shared" si="22"/>
        <v>41737.999999999971</v>
      </c>
      <c r="V48" s="364">
        <f t="shared" si="12"/>
        <v>23663.000000000004</v>
      </c>
      <c r="W48" s="364">
        <f t="shared" si="13"/>
        <v>18075</v>
      </c>
      <c r="X48" s="367">
        <f t="shared" si="14"/>
        <v>1128.0000000000002</v>
      </c>
      <c r="Y48" s="364">
        <f t="shared" si="15"/>
        <v>640.99999999999966</v>
      </c>
      <c r="Z48" s="448">
        <f t="shared" si="16"/>
        <v>487.00000000000017</v>
      </c>
    </row>
    <row r="49" spans="12:26" x14ac:dyDescent="0.2">
      <c r="L49" s="365">
        <v>44105</v>
      </c>
      <c r="M49" s="225">
        <f t="shared" si="5"/>
        <v>2020</v>
      </c>
      <c r="N49" s="366" t="s">
        <v>248</v>
      </c>
      <c r="O49" s="367">
        <f t="shared" si="6"/>
        <v>3477</v>
      </c>
      <c r="P49" s="364">
        <f t="shared" si="19"/>
        <v>2833</v>
      </c>
      <c r="Q49" s="364">
        <f t="shared" si="20"/>
        <v>644</v>
      </c>
      <c r="R49" s="367">
        <f t="shared" si="21"/>
        <v>78</v>
      </c>
      <c r="S49" s="364">
        <f t="shared" si="10"/>
        <v>63</v>
      </c>
      <c r="T49" s="448">
        <f t="shared" si="0"/>
        <v>15</v>
      </c>
      <c r="U49" s="367">
        <f t="shared" si="22"/>
        <v>42896.999999999971</v>
      </c>
      <c r="V49" s="364">
        <f t="shared" si="12"/>
        <v>24607.333333333336</v>
      </c>
      <c r="W49" s="364">
        <f t="shared" si="13"/>
        <v>18289.666666666668</v>
      </c>
      <c r="X49" s="367">
        <f t="shared" si="14"/>
        <v>1154.0000000000002</v>
      </c>
      <c r="Y49" s="364">
        <f t="shared" si="15"/>
        <v>661.99999999999966</v>
      </c>
      <c r="Z49" s="448">
        <f t="shared" si="16"/>
        <v>492.00000000000017</v>
      </c>
    </row>
    <row r="50" spans="12:26" x14ac:dyDescent="0.2">
      <c r="L50" s="365">
        <v>44136</v>
      </c>
      <c r="M50" s="225">
        <f t="shared" si="5"/>
        <v>2020</v>
      </c>
      <c r="N50" s="366" t="s">
        <v>248</v>
      </c>
      <c r="O50" s="367">
        <f t="shared" si="6"/>
        <v>3477</v>
      </c>
      <c r="P50" s="364">
        <f t="shared" si="19"/>
        <v>2833</v>
      </c>
      <c r="Q50" s="364">
        <f t="shared" si="20"/>
        <v>644</v>
      </c>
      <c r="R50" s="367">
        <f t="shared" si="21"/>
        <v>78</v>
      </c>
      <c r="S50" s="364">
        <f t="shared" si="10"/>
        <v>63</v>
      </c>
      <c r="T50" s="448">
        <f t="shared" si="0"/>
        <v>15</v>
      </c>
      <c r="U50" s="367">
        <f t="shared" si="22"/>
        <v>44055.999999999971</v>
      </c>
      <c r="V50" s="364">
        <f t="shared" si="12"/>
        <v>25551.666666666668</v>
      </c>
      <c r="W50" s="364">
        <f t="shared" si="13"/>
        <v>18504.333333333336</v>
      </c>
      <c r="X50" s="367">
        <f t="shared" si="14"/>
        <v>1180.0000000000002</v>
      </c>
      <c r="Y50" s="364">
        <f t="shared" si="15"/>
        <v>682.99999999999966</v>
      </c>
      <c r="Z50" s="448">
        <f t="shared" si="16"/>
        <v>497.00000000000017</v>
      </c>
    </row>
    <row r="51" spans="12:26" x14ac:dyDescent="0.2">
      <c r="L51" s="365">
        <v>44166</v>
      </c>
      <c r="M51" s="225">
        <f t="shared" si="5"/>
        <v>2020</v>
      </c>
      <c r="N51" s="366" t="s">
        <v>248</v>
      </c>
      <c r="O51" s="367">
        <f t="shared" si="6"/>
        <v>3477</v>
      </c>
      <c r="P51" s="364">
        <f t="shared" si="19"/>
        <v>2833</v>
      </c>
      <c r="Q51" s="364">
        <f t="shared" si="20"/>
        <v>644</v>
      </c>
      <c r="R51" s="367">
        <f t="shared" si="21"/>
        <v>78</v>
      </c>
      <c r="S51" s="364">
        <f t="shared" si="10"/>
        <v>63</v>
      </c>
      <c r="T51" s="448">
        <f t="shared" si="0"/>
        <v>15</v>
      </c>
      <c r="U51" s="367">
        <f t="shared" si="22"/>
        <v>45214.999999999971</v>
      </c>
      <c r="V51" s="364">
        <f t="shared" si="12"/>
        <v>26496</v>
      </c>
      <c r="W51" s="364">
        <f t="shared" si="13"/>
        <v>18719.000000000004</v>
      </c>
      <c r="X51" s="367">
        <f t="shared" si="14"/>
        <v>1206.0000000000002</v>
      </c>
      <c r="Y51" s="364">
        <f t="shared" si="15"/>
        <v>703.99999999999966</v>
      </c>
      <c r="Z51" s="448">
        <f t="shared" si="16"/>
        <v>502.00000000000017</v>
      </c>
    </row>
    <row r="52" spans="12:26" x14ac:dyDescent="0.2">
      <c r="L52" s="365">
        <v>44197</v>
      </c>
      <c r="M52" s="225">
        <f t="shared" si="5"/>
        <v>2021</v>
      </c>
      <c r="N52" s="366" t="s">
        <v>249</v>
      </c>
      <c r="O52" s="367">
        <f t="shared" si="6"/>
        <v>3329</v>
      </c>
      <c r="P52" s="364">
        <f t="shared" si="19"/>
        <v>2568</v>
      </c>
      <c r="Q52" s="364">
        <f t="shared" ref="Q52:Q83" si="23">SUMIFS(G:G,$B:$B,$N52)</f>
        <v>761</v>
      </c>
      <c r="R52" s="367">
        <f t="shared" ref="R52:R83" si="24">SUMIFS(H:H,$B:$B,$N52)</f>
        <v>66</v>
      </c>
      <c r="S52" s="364">
        <f t="shared" si="10"/>
        <v>57</v>
      </c>
      <c r="T52" s="448">
        <f t="shared" si="0"/>
        <v>9</v>
      </c>
      <c r="U52" s="367">
        <f t="shared" si="22"/>
        <v>46324.666666666635</v>
      </c>
      <c r="V52" s="364">
        <f t="shared" si="12"/>
        <v>27352</v>
      </c>
      <c r="W52" s="364">
        <f t="shared" si="13"/>
        <v>18972.666666666672</v>
      </c>
      <c r="X52" s="367">
        <f t="shared" si="14"/>
        <v>1228.0000000000002</v>
      </c>
      <c r="Y52" s="364">
        <f t="shared" si="15"/>
        <v>722.99999999999966</v>
      </c>
      <c r="Z52" s="448">
        <f t="shared" si="16"/>
        <v>505.00000000000017</v>
      </c>
    </row>
    <row r="53" spans="12:26" x14ac:dyDescent="0.2">
      <c r="L53" s="365">
        <v>44228</v>
      </c>
      <c r="M53" s="225">
        <f t="shared" si="5"/>
        <v>2021</v>
      </c>
      <c r="N53" s="366" t="s">
        <v>249</v>
      </c>
      <c r="O53" s="367">
        <f t="shared" si="6"/>
        <v>3329</v>
      </c>
      <c r="P53" s="364">
        <f t="shared" si="19"/>
        <v>2568</v>
      </c>
      <c r="Q53" s="364">
        <f t="shared" si="23"/>
        <v>761</v>
      </c>
      <c r="R53" s="367">
        <f t="shared" si="24"/>
        <v>66</v>
      </c>
      <c r="S53" s="364">
        <f t="shared" si="10"/>
        <v>57</v>
      </c>
      <c r="T53" s="448">
        <f t="shared" si="0"/>
        <v>9</v>
      </c>
      <c r="U53" s="367">
        <f t="shared" si="22"/>
        <v>47434.333333333299</v>
      </c>
      <c r="V53" s="364">
        <f t="shared" si="12"/>
        <v>28208</v>
      </c>
      <c r="W53" s="364">
        <f t="shared" si="13"/>
        <v>19226.333333333339</v>
      </c>
      <c r="X53" s="367">
        <f t="shared" si="14"/>
        <v>1250.0000000000002</v>
      </c>
      <c r="Y53" s="364">
        <f t="shared" si="15"/>
        <v>741.99999999999966</v>
      </c>
      <c r="Z53" s="448">
        <f t="shared" si="16"/>
        <v>508.00000000000017</v>
      </c>
    </row>
    <row r="54" spans="12:26" x14ac:dyDescent="0.2">
      <c r="L54" s="365">
        <v>44256</v>
      </c>
      <c r="M54" s="225">
        <f t="shared" si="5"/>
        <v>2021</v>
      </c>
      <c r="N54" s="366" t="s">
        <v>249</v>
      </c>
      <c r="O54" s="367">
        <f t="shared" si="6"/>
        <v>3329</v>
      </c>
      <c r="P54" s="364">
        <f t="shared" si="19"/>
        <v>2568</v>
      </c>
      <c r="Q54" s="364">
        <f t="shared" si="23"/>
        <v>761</v>
      </c>
      <c r="R54" s="367">
        <f t="shared" si="24"/>
        <v>66</v>
      </c>
      <c r="S54" s="364">
        <f t="shared" si="10"/>
        <v>57</v>
      </c>
      <c r="T54" s="448">
        <f t="shared" si="0"/>
        <v>9</v>
      </c>
      <c r="U54" s="367">
        <f t="shared" si="22"/>
        <v>48543.999999999964</v>
      </c>
      <c r="V54" s="364">
        <f t="shared" si="12"/>
        <v>29064</v>
      </c>
      <c r="W54" s="364">
        <f t="shared" si="13"/>
        <v>19480.000000000007</v>
      </c>
      <c r="X54" s="367">
        <f t="shared" si="14"/>
        <v>1272.0000000000002</v>
      </c>
      <c r="Y54" s="364">
        <f t="shared" si="15"/>
        <v>760.99999999999966</v>
      </c>
      <c r="Z54" s="448">
        <f t="shared" si="16"/>
        <v>511.00000000000017</v>
      </c>
    </row>
    <row r="55" spans="12:26" x14ac:dyDescent="0.2">
      <c r="L55" s="365">
        <v>44287</v>
      </c>
      <c r="M55" s="225">
        <f t="shared" si="5"/>
        <v>2021</v>
      </c>
      <c r="N55" s="366" t="s">
        <v>250</v>
      </c>
      <c r="O55" s="367">
        <f t="shared" si="6"/>
        <v>5096</v>
      </c>
      <c r="P55" s="364">
        <f t="shared" si="19"/>
        <v>3710</v>
      </c>
      <c r="Q55" s="364">
        <f t="shared" si="23"/>
        <v>1386</v>
      </c>
      <c r="R55" s="367">
        <f t="shared" si="24"/>
        <v>121</v>
      </c>
      <c r="S55" s="364">
        <f t="shared" si="10"/>
        <v>90</v>
      </c>
      <c r="T55" s="448">
        <f t="shared" si="0"/>
        <v>31</v>
      </c>
      <c r="U55" s="367">
        <f t="shared" si="22"/>
        <v>50242.666666666628</v>
      </c>
      <c r="V55" s="364">
        <f t="shared" si="12"/>
        <v>30300.666666666668</v>
      </c>
      <c r="W55" s="364">
        <f t="shared" si="13"/>
        <v>19942.000000000007</v>
      </c>
      <c r="X55" s="367">
        <f t="shared" si="14"/>
        <v>1312.3333333333335</v>
      </c>
      <c r="Y55" s="364">
        <f t="shared" si="15"/>
        <v>790.99999999999966</v>
      </c>
      <c r="Z55" s="448">
        <f t="shared" si="16"/>
        <v>521.33333333333348</v>
      </c>
    </row>
    <row r="56" spans="12:26" x14ac:dyDescent="0.2">
      <c r="L56" s="365">
        <v>44317</v>
      </c>
      <c r="M56" s="225">
        <f t="shared" si="5"/>
        <v>2021</v>
      </c>
      <c r="N56" s="366" t="s">
        <v>250</v>
      </c>
      <c r="O56" s="367">
        <f t="shared" si="6"/>
        <v>5096</v>
      </c>
      <c r="P56" s="364">
        <f t="shared" si="19"/>
        <v>3710</v>
      </c>
      <c r="Q56" s="364">
        <f t="shared" si="23"/>
        <v>1386</v>
      </c>
      <c r="R56" s="367">
        <f t="shared" si="24"/>
        <v>121</v>
      </c>
      <c r="S56" s="364">
        <f t="shared" si="10"/>
        <v>90</v>
      </c>
      <c r="T56" s="448">
        <f t="shared" si="0"/>
        <v>31</v>
      </c>
      <c r="U56" s="367">
        <f t="shared" si="22"/>
        <v>51941.333333333292</v>
      </c>
      <c r="V56" s="364">
        <f t="shared" si="12"/>
        <v>31537.333333333336</v>
      </c>
      <c r="W56" s="364">
        <f t="shared" si="13"/>
        <v>20404.000000000007</v>
      </c>
      <c r="X56" s="367">
        <f t="shared" si="14"/>
        <v>1352.6666666666667</v>
      </c>
      <c r="Y56" s="364">
        <f t="shared" si="15"/>
        <v>820.99999999999966</v>
      </c>
      <c r="Z56" s="448">
        <f t="shared" si="16"/>
        <v>531.66666666666686</v>
      </c>
    </row>
    <row r="57" spans="12:26" x14ac:dyDescent="0.2">
      <c r="L57" s="365">
        <v>44348</v>
      </c>
      <c r="M57" s="225">
        <f t="shared" si="5"/>
        <v>2021</v>
      </c>
      <c r="N57" s="366" t="s">
        <v>250</v>
      </c>
      <c r="O57" s="367">
        <f t="shared" si="6"/>
        <v>5096</v>
      </c>
      <c r="P57" s="364">
        <f t="shared" si="19"/>
        <v>3710</v>
      </c>
      <c r="Q57" s="364">
        <f t="shared" si="23"/>
        <v>1386</v>
      </c>
      <c r="R57" s="367">
        <f t="shared" si="24"/>
        <v>121</v>
      </c>
      <c r="S57" s="364">
        <f t="shared" si="10"/>
        <v>90</v>
      </c>
      <c r="T57" s="448">
        <f t="shared" si="0"/>
        <v>31</v>
      </c>
      <c r="U57" s="367">
        <f t="shared" si="22"/>
        <v>53639.999999999956</v>
      </c>
      <c r="V57" s="364">
        <f t="shared" si="12"/>
        <v>32774</v>
      </c>
      <c r="W57" s="364">
        <f t="shared" si="13"/>
        <v>20866.000000000007</v>
      </c>
      <c r="X57" s="367">
        <f t="shared" si="14"/>
        <v>1393</v>
      </c>
      <c r="Y57" s="364">
        <f t="shared" si="15"/>
        <v>850.99999999999966</v>
      </c>
      <c r="Z57" s="448">
        <f t="shared" si="16"/>
        <v>542.00000000000023</v>
      </c>
    </row>
    <row r="58" spans="12:26" x14ac:dyDescent="0.2">
      <c r="L58" s="365">
        <v>44378</v>
      </c>
      <c r="M58" s="225">
        <f t="shared" si="5"/>
        <v>2021</v>
      </c>
      <c r="N58" s="366" t="s">
        <v>251</v>
      </c>
      <c r="O58" s="367">
        <f t="shared" si="6"/>
        <v>5162</v>
      </c>
      <c r="P58" s="364">
        <f t="shared" si="19"/>
        <v>3671</v>
      </c>
      <c r="Q58" s="364">
        <f t="shared" si="23"/>
        <v>1491</v>
      </c>
      <c r="R58" s="367">
        <f t="shared" si="24"/>
        <v>111</v>
      </c>
      <c r="S58" s="364">
        <f t="shared" si="10"/>
        <v>78</v>
      </c>
      <c r="T58" s="448">
        <f t="shared" si="0"/>
        <v>33</v>
      </c>
      <c r="U58" s="367">
        <f t="shared" si="22"/>
        <v>55360.666666666621</v>
      </c>
      <c r="V58" s="364">
        <f t="shared" si="12"/>
        <v>33997.666666666664</v>
      </c>
      <c r="W58" s="364">
        <f t="shared" si="13"/>
        <v>21363.000000000007</v>
      </c>
      <c r="X58" s="367">
        <f t="shared" si="14"/>
        <v>1430</v>
      </c>
      <c r="Y58" s="364">
        <f t="shared" si="15"/>
        <v>876.99999999999966</v>
      </c>
      <c r="Z58" s="448">
        <f t="shared" si="16"/>
        <v>553.00000000000023</v>
      </c>
    </row>
    <row r="59" spans="12:26" x14ac:dyDescent="0.2">
      <c r="L59" s="365">
        <v>44409</v>
      </c>
      <c r="M59" s="225">
        <f t="shared" si="5"/>
        <v>2021</v>
      </c>
      <c r="N59" s="366" t="s">
        <v>251</v>
      </c>
      <c r="O59" s="367">
        <f t="shared" si="6"/>
        <v>5162</v>
      </c>
      <c r="P59" s="364">
        <f t="shared" si="19"/>
        <v>3671</v>
      </c>
      <c r="Q59" s="364">
        <f t="shared" si="23"/>
        <v>1491</v>
      </c>
      <c r="R59" s="367">
        <f t="shared" si="24"/>
        <v>111</v>
      </c>
      <c r="S59" s="364">
        <f t="shared" si="10"/>
        <v>78</v>
      </c>
      <c r="T59" s="448">
        <f t="shared" si="0"/>
        <v>33</v>
      </c>
      <c r="U59" s="367">
        <f t="shared" si="22"/>
        <v>57081.333333333285</v>
      </c>
      <c r="V59" s="364">
        <f t="shared" si="12"/>
        <v>35221.333333333328</v>
      </c>
      <c r="W59" s="364">
        <f t="shared" si="13"/>
        <v>21860.000000000007</v>
      </c>
      <c r="X59" s="367">
        <f t="shared" si="14"/>
        <v>1467</v>
      </c>
      <c r="Y59" s="364">
        <f t="shared" si="15"/>
        <v>902.99999999999966</v>
      </c>
      <c r="Z59" s="448">
        <f t="shared" si="16"/>
        <v>564.00000000000023</v>
      </c>
    </row>
    <row r="60" spans="12:26" x14ac:dyDescent="0.2">
      <c r="L60" s="365">
        <v>44440</v>
      </c>
      <c r="M60" s="225">
        <f t="shared" si="5"/>
        <v>2021</v>
      </c>
      <c r="N60" s="366" t="s">
        <v>251</v>
      </c>
      <c r="O60" s="367">
        <f t="shared" si="6"/>
        <v>5162</v>
      </c>
      <c r="P60" s="364">
        <f t="shared" si="19"/>
        <v>3671</v>
      </c>
      <c r="Q60" s="364">
        <f t="shared" si="23"/>
        <v>1491</v>
      </c>
      <c r="R60" s="367">
        <f t="shared" si="24"/>
        <v>111</v>
      </c>
      <c r="S60" s="364">
        <f t="shared" si="10"/>
        <v>78</v>
      </c>
      <c r="T60" s="448">
        <f t="shared" si="0"/>
        <v>33</v>
      </c>
      <c r="U60" s="367">
        <f t="shared" si="22"/>
        <v>58801.999999999949</v>
      </c>
      <c r="V60" s="364">
        <f t="shared" si="12"/>
        <v>36444.999999999993</v>
      </c>
      <c r="W60" s="364">
        <f t="shared" si="13"/>
        <v>22357.000000000007</v>
      </c>
      <c r="X60" s="367">
        <f t="shared" si="14"/>
        <v>1504</v>
      </c>
      <c r="Y60" s="364">
        <f t="shared" si="15"/>
        <v>928.99999999999966</v>
      </c>
      <c r="Z60" s="448">
        <f t="shared" si="16"/>
        <v>575.00000000000023</v>
      </c>
    </row>
    <row r="61" spans="12:26" x14ac:dyDescent="0.2">
      <c r="L61" s="365">
        <v>44470</v>
      </c>
      <c r="M61" s="225">
        <f t="shared" si="5"/>
        <v>2021</v>
      </c>
      <c r="N61" s="366" t="s">
        <v>252</v>
      </c>
      <c r="O61" s="367">
        <f t="shared" si="6"/>
        <v>6129</v>
      </c>
      <c r="P61" s="364">
        <f t="shared" si="19"/>
        <v>4787</v>
      </c>
      <c r="Q61" s="364">
        <f t="shared" si="23"/>
        <v>1342</v>
      </c>
      <c r="R61" s="367">
        <f t="shared" si="24"/>
        <v>101</v>
      </c>
      <c r="S61" s="364">
        <f t="shared" si="10"/>
        <v>77</v>
      </c>
      <c r="T61" s="448">
        <f t="shared" si="0"/>
        <v>24</v>
      </c>
      <c r="U61" s="367">
        <f t="shared" si="22"/>
        <v>60844.999999999949</v>
      </c>
      <c r="V61" s="364">
        <f t="shared" si="12"/>
        <v>38040.666666666657</v>
      </c>
      <c r="W61" s="364">
        <f t="shared" si="13"/>
        <v>22804.333333333339</v>
      </c>
      <c r="X61" s="367">
        <f t="shared" si="14"/>
        <v>1537.6666666666667</v>
      </c>
      <c r="Y61" s="364">
        <f t="shared" si="15"/>
        <v>954.66666666666629</v>
      </c>
      <c r="Z61" s="448">
        <f t="shared" si="16"/>
        <v>583.00000000000023</v>
      </c>
    </row>
    <row r="62" spans="12:26" x14ac:dyDescent="0.2">
      <c r="L62" s="365">
        <v>44501</v>
      </c>
      <c r="M62" s="225">
        <f t="shared" si="5"/>
        <v>2021</v>
      </c>
      <c r="N62" s="366" t="s">
        <v>252</v>
      </c>
      <c r="O62" s="367">
        <f t="shared" si="6"/>
        <v>6129</v>
      </c>
      <c r="P62" s="364">
        <f t="shared" si="19"/>
        <v>4787</v>
      </c>
      <c r="Q62" s="364">
        <f t="shared" si="23"/>
        <v>1342</v>
      </c>
      <c r="R62" s="367">
        <f t="shared" si="24"/>
        <v>101</v>
      </c>
      <c r="S62" s="364">
        <f t="shared" si="10"/>
        <v>77</v>
      </c>
      <c r="T62" s="448">
        <f t="shared" si="0"/>
        <v>24</v>
      </c>
      <c r="U62" s="367">
        <f t="shared" si="22"/>
        <v>62887.999999999949</v>
      </c>
      <c r="V62" s="364">
        <f t="shared" si="12"/>
        <v>39636.333333333321</v>
      </c>
      <c r="W62" s="364">
        <f t="shared" si="13"/>
        <v>23251.666666666672</v>
      </c>
      <c r="X62" s="367">
        <f t="shared" si="14"/>
        <v>1571.3333333333335</v>
      </c>
      <c r="Y62" s="364">
        <f t="shared" si="15"/>
        <v>980.33333333333292</v>
      </c>
      <c r="Z62" s="448">
        <f t="shared" si="16"/>
        <v>591.00000000000023</v>
      </c>
    </row>
    <row r="63" spans="12:26" x14ac:dyDescent="0.2">
      <c r="L63" s="365">
        <v>44531</v>
      </c>
      <c r="M63" s="225">
        <f t="shared" si="5"/>
        <v>2021</v>
      </c>
      <c r="N63" s="366" t="s">
        <v>252</v>
      </c>
      <c r="O63" s="367">
        <f t="shared" si="6"/>
        <v>6129</v>
      </c>
      <c r="P63" s="364">
        <f t="shared" si="19"/>
        <v>4787</v>
      </c>
      <c r="Q63" s="364">
        <f t="shared" si="23"/>
        <v>1342</v>
      </c>
      <c r="R63" s="367">
        <f t="shared" si="24"/>
        <v>101</v>
      </c>
      <c r="S63" s="364">
        <f t="shared" si="10"/>
        <v>77</v>
      </c>
      <c r="T63" s="448">
        <f t="shared" si="0"/>
        <v>24</v>
      </c>
      <c r="U63" s="367">
        <f t="shared" si="22"/>
        <v>64930.999999999949</v>
      </c>
      <c r="V63" s="364">
        <f t="shared" si="12"/>
        <v>41231.999999999985</v>
      </c>
      <c r="W63" s="364">
        <f t="shared" si="13"/>
        <v>23699.000000000004</v>
      </c>
      <c r="X63" s="367">
        <f t="shared" si="14"/>
        <v>1605.0000000000002</v>
      </c>
      <c r="Y63" s="364">
        <f t="shared" si="15"/>
        <v>1005.9999999999995</v>
      </c>
      <c r="Z63" s="448">
        <f t="shared" si="16"/>
        <v>599.00000000000023</v>
      </c>
    </row>
    <row r="64" spans="12:26" x14ac:dyDescent="0.2">
      <c r="L64" s="365">
        <v>44562</v>
      </c>
      <c r="M64" s="225">
        <f t="shared" si="5"/>
        <v>2022</v>
      </c>
      <c r="N64" s="366" t="s">
        <v>253</v>
      </c>
      <c r="O64" s="367">
        <f t="shared" si="6"/>
        <v>7124</v>
      </c>
      <c r="P64" s="364">
        <f t="shared" si="19"/>
        <v>5686</v>
      </c>
      <c r="Q64" s="364">
        <f t="shared" si="23"/>
        <v>1438</v>
      </c>
      <c r="R64" s="367">
        <f t="shared" si="24"/>
        <v>136</v>
      </c>
      <c r="S64" s="364">
        <f t="shared" si="10"/>
        <v>100</v>
      </c>
      <c r="T64" s="448">
        <f t="shared" si="0"/>
        <v>36</v>
      </c>
      <c r="U64" s="367">
        <f t="shared" si="22"/>
        <v>67305.666666666613</v>
      </c>
      <c r="V64" s="364">
        <f t="shared" si="12"/>
        <v>43127.333333333321</v>
      </c>
      <c r="W64" s="364">
        <f t="shared" si="13"/>
        <v>24178.333333333336</v>
      </c>
      <c r="X64" s="367">
        <f t="shared" si="14"/>
        <v>1650.3333333333335</v>
      </c>
      <c r="Y64" s="364">
        <f t="shared" si="15"/>
        <v>1039.3333333333328</v>
      </c>
      <c r="Z64" s="448">
        <f t="shared" si="16"/>
        <v>611.00000000000023</v>
      </c>
    </row>
    <row r="65" spans="12:26" x14ac:dyDescent="0.2">
      <c r="L65" s="365">
        <v>44593</v>
      </c>
      <c r="M65" s="225">
        <f t="shared" si="5"/>
        <v>2022</v>
      </c>
      <c r="N65" s="366" t="s">
        <v>253</v>
      </c>
      <c r="O65" s="367">
        <f t="shared" si="6"/>
        <v>7124</v>
      </c>
      <c r="P65" s="364">
        <f t="shared" si="19"/>
        <v>5686</v>
      </c>
      <c r="Q65" s="364">
        <f t="shared" si="23"/>
        <v>1438</v>
      </c>
      <c r="R65" s="367">
        <f t="shared" si="24"/>
        <v>136</v>
      </c>
      <c r="S65" s="364">
        <f t="shared" si="10"/>
        <v>100</v>
      </c>
      <c r="T65" s="448">
        <f t="shared" si="0"/>
        <v>36</v>
      </c>
      <c r="U65" s="367">
        <f t="shared" si="22"/>
        <v>69680.333333333285</v>
      </c>
      <c r="V65" s="364">
        <f t="shared" si="12"/>
        <v>45022.666666666657</v>
      </c>
      <c r="W65" s="364">
        <f t="shared" si="13"/>
        <v>24657.666666666668</v>
      </c>
      <c r="X65" s="367">
        <f t="shared" si="14"/>
        <v>1695.6666666666667</v>
      </c>
      <c r="Y65" s="364">
        <f t="shared" si="15"/>
        <v>1072.6666666666661</v>
      </c>
      <c r="Z65" s="448">
        <f t="shared" si="16"/>
        <v>623.00000000000023</v>
      </c>
    </row>
    <row r="66" spans="12:26" x14ac:dyDescent="0.2">
      <c r="L66" s="365">
        <v>44621</v>
      </c>
      <c r="M66" s="225">
        <f t="shared" si="5"/>
        <v>2022</v>
      </c>
      <c r="N66" s="366" t="s">
        <v>253</v>
      </c>
      <c r="O66" s="367">
        <f t="shared" si="6"/>
        <v>7124</v>
      </c>
      <c r="P66" s="364">
        <f t="shared" si="19"/>
        <v>5686</v>
      </c>
      <c r="Q66" s="364">
        <f t="shared" si="23"/>
        <v>1438</v>
      </c>
      <c r="R66" s="367">
        <f t="shared" si="24"/>
        <v>136</v>
      </c>
      <c r="S66" s="364">
        <f t="shared" si="10"/>
        <v>100</v>
      </c>
      <c r="T66" s="448">
        <f t="shared" si="0"/>
        <v>36</v>
      </c>
      <c r="U66" s="367">
        <f t="shared" si="22"/>
        <v>72054.999999999956</v>
      </c>
      <c r="V66" s="364">
        <f t="shared" si="12"/>
        <v>46917.999999999993</v>
      </c>
      <c r="W66" s="364">
        <f t="shared" si="13"/>
        <v>25137</v>
      </c>
      <c r="X66" s="367">
        <f t="shared" si="14"/>
        <v>1741</v>
      </c>
      <c r="Y66" s="364">
        <f t="shared" si="15"/>
        <v>1105.9999999999993</v>
      </c>
      <c r="Z66" s="448">
        <f t="shared" si="16"/>
        <v>635.00000000000023</v>
      </c>
    </row>
    <row r="67" spans="12:26" x14ac:dyDescent="0.2">
      <c r="L67" s="365">
        <v>44652</v>
      </c>
      <c r="M67" s="225">
        <f t="shared" si="5"/>
        <v>2022</v>
      </c>
      <c r="N67" s="366" t="s">
        <v>254</v>
      </c>
      <c r="O67" s="367">
        <f t="shared" si="6"/>
        <v>9534</v>
      </c>
      <c r="P67" s="364">
        <f t="shared" si="19"/>
        <v>7875</v>
      </c>
      <c r="Q67" s="364">
        <f t="shared" si="23"/>
        <v>1659</v>
      </c>
      <c r="R67" s="367">
        <f t="shared" si="24"/>
        <v>167</v>
      </c>
      <c r="S67" s="364">
        <f t="shared" si="10"/>
        <v>135</v>
      </c>
      <c r="T67" s="448">
        <f t="shared" si="0"/>
        <v>32</v>
      </c>
      <c r="U67" s="367">
        <f t="shared" si="22"/>
        <v>75232.999999999956</v>
      </c>
      <c r="V67" s="364">
        <f t="shared" si="12"/>
        <v>49542.999999999993</v>
      </c>
      <c r="W67" s="364">
        <f t="shared" si="13"/>
        <v>25690</v>
      </c>
      <c r="X67" s="367">
        <f t="shared" si="14"/>
        <v>1796.6666666666667</v>
      </c>
      <c r="Y67" s="364">
        <f t="shared" si="15"/>
        <v>1150.9999999999993</v>
      </c>
      <c r="Z67" s="448">
        <f t="shared" si="16"/>
        <v>645.66666666666686</v>
      </c>
    </row>
    <row r="68" spans="12:26" x14ac:dyDescent="0.2">
      <c r="L68" s="365">
        <v>44682</v>
      </c>
      <c r="M68" s="225">
        <f t="shared" si="5"/>
        <v>2022</v>
      </c>
      <c r="N68" s="366" t="s">
        <v>254</v>
      </c>
      <c r="O68" s="367">
        <f t="shared" si="6"/>
        <v>9534</v>
      </c>
      <c r="P68" s="364">
        <f t="shared" si="19"/>
        <v>7875</v>
      </c>
      <c r="Q68" s="364">
        <f t="shared" si="23"/>
        <v>1659</v>
      </c>
      <c r="R68" s="367">
        <f t="shared" si="24"/>
        <v>167</v>
      </c>
      <c r="S68" s="364">
        <f t="shared" si="10"/>
        <v>135</v>
      </c>
      <c r="T68" s="448">
        <f t="shared" ref="T68:T93" si="25">SUMIFS(J:J,$B:$B,$N68)</f>
        <v>32</v>
      </c>
      <c r="U68" s="367">
        <f t="shared" si="22"/>
        <v>78410.999999999956</v>
      </c>
      <c r="V68" s="364">
        <f t="shared" si="12"/>
        <v>52167.999999999993</v>
      </c>
      <c r="W68" s="364">
        <f t="shared" si="13"/>
        <v>26243</v>
      </c>
      <c r="X68" s="367">
        <f t="shared" si="14"/>
        <v>1852.3333333333335</v>
      </c>
      <c r="Y68" s="364">
        <f t="shared" si="15"/>
        <v>1195.9999999999993</v>
      </c>
      <c r="Z68" s="448">
        <f t="shared" si="16"/>
        <v>656.33333333333348</v>
      </c>
    </row>
    <row r="69" spans="12:26" x14ac:dyDescent="0.2">
      <c r="L69" s="365">
        <v>44713</v>
      </c>
      <c r="M69" s="225">
        <f t="shared" ref="M69:M87" si="26">YEAR(L69)</f>
        <v>2022</v>
      </c>
      <c r="N69" s="366" t="s">
        <v>254</v>
      </c>
      <c r="O69" s="367">
        <f t="shared" ref="O69:O93" si="27">SUMIFS(E:E,$B:$B,$N69)</f>
        <v>9534</v>
      </c>
      <c r="P69" s="364">
        <f t="shared" si="19"/>
        <v>7875</v>
      </c>
      <c r="Q69" s="364">
        <f t="shared" si="23"/>
        <v>1659</v>
      </c>
      <c r="R69" s="367">
        <f t="shared" si="24"/>
        <v>167</v>
      </c>
      <c r="S69" s="364">
        <f t="shared" ref="S69:S93" si="28">SUMIFS(I:I,$B:$B,$N69)</f>
        <v>135</v>
      </c>
      <c r="T69" s="448">
        <f t="shared" si="25"/>
        <v>32</v>
      </c>
      <c r="U69" s="367">
        <f t="shared" ref="U69:U87" si="29">O69/3+U68</f>
        <v>81588.999999999956</v>
      </c>
      <c r="V69" s="364">
        <f t="shared" ref="V69:V93" si="30">P69/3+V68</f>
        <v>54792.999999999993</v>
      </c>
      <c r="W69" s="364">
        <f t="shared" ref="W69:W93" si="31">Q69/3+W68</f>
        <v>26796</v>
      </c>
      <c r="X69" s="367">
        <f t="shared" ref="X69:X93" si="32">R69/3+X68</f>
        <v>1908.0000000000002</v>
      </c>
      <c r="Y69" s="364">
        <f t="shared" ref="Y69:Y93" si="33">S69/3+Y68</f>
        <v>1240.9999999999993</v>
      </c>
      <c r="Z69" s="448">
        <f t="shared" ref="Z69:Z93" si="34">T69/3+Z68</f>
        <v>667.00000000000011</v>
      </c>
    </row>
    <row r="70" spans="12:26" x14ac:dyDescent="0.2">
      <c r="L70" s="365">
        <v>44743</v>
      </c>
      <c r="M70" s="225">
        <f t="shared" si="26"/>
        <v>2022</v>
      </c>
      <c r="N70" s="366" t="s">
        <v>255</v>
      </c>
      <c r="O70" s="367">
        <f t="shared" si="27"/>
        <v>11013</v>
      </c>
      <c r="P70" s="364">
        <f t="shared" si="19"/>
        <v>9716</v>
      </c>
      <c r="Q70" s="364">
        <f t="shared" si="23"/>
        <v>1297</v>
      </c>
      <c r="R70" s="367">
        <f t="shared" si="24"/>
        <v>194</v>
      </c>
      <c r="S70" s="364">
        <f t="shared" si="28"/>
        <v>169</v>
      </c>
      <c r="T70" s="448">
        <f t="shared" si="25"/>
        <v>25</v>
      </c>
      <c r="U70" s="367">
        <f t="shared" si="29"/>
        <v>85259.999999999956</v>
      </c>
      <c r="V70" s="364">
        <f t="shared" si="30"/>
        <v>58031.666666666657</v>
      </c>
      <c r="W70" s="364">
        <f t="shared" si="31"/>
        <v>27228.333333333332</v>
      </c>
      <c r="X70" s="367">
        <f t="shared" si="32"/>
        <v>1972.666666666667</v>
      </c>
      <c r="Y70" s="364">
        <f t="shared" si="33"/>
        <v>1297.3333333333326</v>
      </c>
      <c r="Z70" s="448">
        <f t="shared" si="34"/>
        <v>675.33333333333348</v>
      </c>
    </row>
    <row r="71" spans="12:26" x14ac:dyDescent="0.2">
      <c r="L71" s="365">
        <v>44774</v>
      </c>
      <c r="M71" s="225">
        <f t="shared" si="26"/>
        <v>2022</v>
      </c>
      <c r="N71" s="366" t="s">
        <v>255</v>
      </c>
      <c r="O71" s="367">
        <f t="shared" si="27"/>
        <v>11013</v>
      </c>
      <c r="P71" s="364">
        <f t="shared" si="19"/>
        <v>9716</v>
      </c>
      <c r="Q71" s="364">
        <f t="shared" si="23"/>
        <v>1297</v>
      </c>
      <c r="R71" s="367">
        <f t="shared" si="24"/>
        <v>194</v>
      </c>
      <c r="S71" s="364">
        <f t="shared" si="28"/>
        <v>169</v>
      </c>
      <c r="T71" s="448">
        <f t="shared" si="25"/>
        <v>25</v>
      </c>
      <c r="U71" s="367">
        <f t="shared" si="29"/>
        <v>88930.999999999956</v>
      </c>
      <c r="V71" s="364">
        <f t="shared" si="30"/>
        <v>61270.333333333321</v>
      </c>
      <c r="W71" s="364">
        <f t="shared" si="31"/>
        <v>27660.666666666664</v>
      </c>
      <c r="X71" s="367">
        <f t="shared" si="32"/>
        <v>2037.3333333333337</v>
      </c>
      <c r="Y71" s="364">
        <f t="shared" si="33"/>
        <v>1353.6666666666658</v>
      </c>
      <c r="Z71" s="448">
        <f t="shared" si="34"/>
        <v>683.66666666666686</v>
      </c>
    </row>
    <row r="72" spans="12:26" x14ac:dyDescent="0.2">
      <c r="L72" s="365">
        <v>44805</v>
      </c>
      <c r="M72" s="225">
        <f t="shared" si="26"/>
        <v>2022</v>
      </c>
      <c r="N72" s="366" t="s">
        <v>255</v>
      </c>
      <c r="O72" s="367">
        <f t="shared" si="27"/>
        <v>11013</v>
      </c>
      <c r="P72" s="364">
        <f t="shared" si="19"/>
        <v>9716</v>
      </c>
      <c r="Q72" s="364">
        <f t="shared" si="23"/>
        <v>1297</v>
      </c>
      <c r="R72" s="367">
        <f t="shared" si="24"/>
        <v>194</v>
      </c>
      <c r="S72" s="364">
        <f t="shared" si="28"/>
        <v>169</v>
      </c>
      <c r="T72" s="448">
        <f t="shared" si="25"/>
        <v>25</v>
      </c>
      <c r="U72" s="367">
        <f t="shared" si="29"/>
        <v>92601.999999999956</v>
      </c>
      <c r="V72" s="364">
        <f t="shared" si="30"/>
        <v>64508.999999999985</v>
      </c>
      <c r="W72" s="364">
        <f t="shared" si="31"/>
        <v>28092.999999999996</v>
      </c>
      <c r="X72" s="367">
        <f t="shared" si="32"/>
        <v>2102.0000000000005</v>
      </c>
      <c r="Y72" s="364">
        <f t="shared" si="33"/>
        <v>1409.9999999999991</v>
      </c>
      <c r="Z72" s="448">
        <f t="shared" si="34"/>
        <v>692.00000000000023</v>
      </c>
    </row>
    <row r="73" spans="12:26" x14ac:dyDescent="0.2">
      <c r="L73" s="365">
        <v>44835</v>
      </c>
      <c r="M73" s="225">
        <f t="shared" si="26"/>
        <v>2022</v>
      </c>
      <c r="N73" s="366" t="s">
        <v>256</v>
      </c>
      <c r="O73" s="367">
        <f t="shared" si="27"/>
        <v>10991</v>
      </c>
      <c r="P73" s="364">
        <f t="shared" si="19"/>
        <v>9506</v>
      </c>
      <c r="Q73" s="364">
        <f t="shared" si="23"/>
        <v>1485</v>
      </c>
      <c r="R73" s="367">
        <f t="shared" si="24"/>
        <v>206</v>
      </c>
      <c r="S73" s="364">
        <f t="shared" si="28"/>
        <v>176</v>
      </c>
      <c r="T73" s="448">
        <f t="shared" si="25"/>
        <v>30</v>
      </c>
      <c r="U73" s="367">
        <f t="shared" si="29"/>
        <v>96265.666666666628</v>
      </c>
      <c r="V73" s="364">
        <f t="shared" si="30"/>
        <v>67677.666666666657</v>
      </c>
      <c r="W73" s="364">
        <f t="shared" si="31"/>
        <v>28587.999999999996</v>
      </c>
      <c r="X73" s="367">
        <f t="shared" si="32"/>
        <v>2170.666666666667</v>
      </c>
      <c r="Y73" s="364">
        <f t="shared" si="33"/>
        <v>1468.6666666666658</v>
      </c>
      <c r="Z73" s="448">
        <f t="shared" si="34"/>
        <v>702.00000000000023</v>
      </c>
    </row>
    <row r="74" spans="12:26" x14ac:dyDescent="0.2">
      <c r="L74" s="365">
        <v>44866</v>
      </c>
      <c r="M74" s="225">
        <f t="shared" si="26"/>
        <v>2022</v>
      </c>
      <c r="N74" s="366" t="s">
        <v>256</v>
      </c>
      <c r="O74" s="367">
        <f t="shared" si="27"/>
        <v>10991</v>
      </c>
      <c r="P74" s="364">
        <f t="shared" si="19"/>
        <v>9506</v>
      </c>
      <c r="Q74" s="364">
        <f t="shared" si="23"/>
        <v>1485</v>
      </c>
      <c r="R74" s="367">
        <f t="shared" si="24"/>
        <v>206</v>
      </c>
      <c r="S74" s="364">
        <f t="shared" si="28"/>
        <v>176</v>
      </c>
      <c r="T74" s="448">
        <f t="shared" si="25"/>
        <v>30</v>
      </c>
      <c r="U74" s="367">
        <f t="shared" si="29"/>
        <v>99929.333333333299</v>
      </c>
      <c r="V74" s="364">
        <f t="shared" si="30"/>
        <v>70846.333333333328</v>
      </c>
      <c r="W74" s="364">
        <f t="shared" si="31"/>
        <v>29082.999999999996</v>
      </c>
      <c r="X74" s="367">
        <f t="shared" si="32"/>
        <v>2239.3333333333335</v>
      </c>
      <c r="Y74" s="364">
        <f t="shared" si="33"/>
        <v>1527.3333333333326</v>
      </c>
      <c r="Z74" s="448">
        <f t="shared" si="34"/>
        <v>712.00000000000023</v>
      </c>
    </row>
    <row r="75" spans="12:26" x14ac:dyDescent="0.2">
      <c r="L75" s="365">
        <v>44896</v>
      </c>
      <c r="M75" s="225">
        <f t="shared" si="26"/>
        <v>2022</v>
      </c>
      <c r="N75" s="366" t="s">
        <v>256</v>
      </c>
      <c r="O75" s="367">
        <f t="shared" si="27"/>
        <v>10991</v>
      </c>
      <c r="P75" s="364">
        <f t="shared" si="19"/>
        <v>9506</v>
      </c>
      <c r="Q75" s="364">
        <f t="shared" si="23"/>
        <v>1485</v>
      </c>
      <c r="R75" s="367">
        <f t="shared" si="24"/>
        <v>206</v>
      </c>
      <c r="S75" s="364">
        <f t="shared" si="28"/>
        <v>176</v>
      </c>
      <c r="T75" s="448">
        <f t="shared" si="25"/>
        <v>30</v>
      </c>
      <c r="U75" s="367">
        <f t="shared" si="29"/>
        <v>103592.99999999997</v>
      </c>
      <c r="V75" s="364">
        <f t="shared" si="30"/>
        <v>74015</v>
      </c>
      <c r="W75" s="364">
        <f t="shared" si="31"/>
        <v>29577.999999999996</v>
      </c>
      <c r="X75" s="367">
        <f t="shared" si="32"/>
        <v>2308</v>
      </c>
      <c r="Y75" s="364">
        <f t="shared" si="33"/>
        <v>1585.9999999999993</v>
      </c>
      <c r="Z75" s="448">
        <f t="shared" si="34"/>
        <v>722.00000000000023</v>
      </c>
    </row>
    <row r="76" spans="12:26" x14ac:dyDescent="0.2">
      <c r="L76" s="365">
        <v>44927</v>
      </c>
      <c r="M76" s="225">
        <f t="shared" si="26"/>
        <v>2023</v>
      </c>
      <c r="N76" s="366" t="s">
        <v>257</v>
      </c>
      <c r="O76" s="367">
        <f t="shared" si="27"/>
        <v>8520</v>
      </c>
      <c r="P76" s="364">
        <f t="shared" si="19"/>
        <v>6760</v>
      </c>
      <c r="Q76" s="364">
        <f t="shared" si="23"/>
        <v>1760</v>
      </c>
      <c r="R76" s="367">
        <f t="shared" si="24"/>
        <v>151</v>
      </c>
      <c r="S76" s="364">
        <f t="shared" si="28"/>
        <v>120</v>
      </c>
      <c r="T76" s="448">
        <f t="shared" si="25"/>
        <v>31</v>
      </c>
      <c r="U76" s="367">
        <f t="shared" si="29"/>
        <v>106432.99999999997</v>
      </c>
      <c r="V76" s="364">
        <f t="shared" si="30"/>
        <v>76268.333333333328</v>
      </c>
      <c r="W76" s="364">
        <f t="shared" si="31"/>
        <v>30164.666666666664</v>
      </c>
      <c r="X76" s="367">
        <f t="shared" si="32"/>
        <v>2358.3333333333335</v>
      </c>
      <c r="Y76" s="364">
        <f t="shared" si="33"/>
        <v>1625.9999999999993</v>
      </c>
      <c r="Z76" s="448">
        <f t="shared" si="34"/>
        <v>732.3333333333336</v>
      </c>
    </row>
    <row r="77" spans="12:26" x14ac:dyDescent="0.2">
      <c r="L77" s="365">
        <v>44958</v>
      </c>
      <c r="M77" s="225">
        <f t="shared" si="26"/>
        <v>2023</v>
      </c>
      <c r="N77" s="366" t="s">
        <v>257</v>
      </c>
      <c r="O77" s="367">
        <f t="shared" si="27"/>
        <v>8520</v>
      </c>
      <c r="P77" s="364">
        <f t="shared" si="19"/>
        <v>6760</v>
      </c>
      <c r="Q77" s="364">
        <f t="shared" si="23"/>
        <v>1760</v>
      </c>
      <c r="R77" s="367">
        <f t="shared" si="24"/>
        <v>151</v>
      </c>
      <c r="S77" s="364">
        <f t="shared" si="28"/>
        <v>120</v>
      </c>
      <c r="T77" s="448">
        <f t="shared" si="25"/>
        <v>31</v>
      </c>
      <c r="U77" s="367">
        <f t="shared" si="29"/>
        <v>109272.99999999997</v>
      </c>
      <c r="V77" s="364">
        <f t="shared" si="30"/>
        <v>78521.666666666657</v>
      </c>
      <c r="W77" s="364">
        <f t="shared" si="31"/>
        <v>30751.333333333332</v>
      </c>
      <c r="X77" s="367">
        <f t="shared" si="32"/>
        <v>2408.666666666667</v>
      </c>
      <c r="Y77" s="364">
        <f t="shared" si="33"/>
        <v>1665.9999999999993</v>
      </c>
      <c r="Z77" s="448">
        <f t="shared" si="34"/>
        <v>742.66666666666697</v>
      </c>
    </row>
    <row r="78" spans="12:26" x14ac:dyDescent="0.2">
      <c r="L78" s="365">
        <v>44986</v>
      </c>
      <c r="M78" s="225">
        <f t="shared" si="26"/>
        <v>2023</v>
      </c>
      <c r="N78" s="366" t="s">
        <v>257</v>
      </c>
      <c r="O78" s="367">
        <f t="shared" si="27"/>
        <v>8520</v>
      </c>
      <c r="P78" s="364">
        <f t="shared" si="19"/>
        <v>6760</v>
      </c>
      <c r="Q78" s="364">
        <f t="shared" si="23"/>
        <v>1760</v>
      </c>
      <c r="R78" s="367">
        <f t="shared" si="24"/>
        <v>151</v>
      </c>
      <c r="S78" s="364">
        <f t="shared" si="28"/>
        <v>120</v>
      </c>
      <c r="T78" s="448">
        <f t="shared" si="25"/>
        <v>31</v>
      </c>
      <c r="U78" s="367">
        <f t="shared" si="29"/>
        <v>112112.99999999997</v>
      </c>
      <c r="V78" s="364">
        <f t="shared" si="30"/>
        <v>80774.999999999985</v>
      </c>
      <c r="W78" s="364">
        <f t="shared" si="31"/>
        <v>31338</v>
      </c>
      <c r="X78" s="367">
        <f t="shared" si="32"/>
        <v>2459.0000000000005</v>
      </c>
      <c r="Y78" s="364">
        <f t="shared" si="33"/>
        <v>1705.9999999999993</v>
      </c>
      <c r="Z78" s="448">
        <f t="shared" si="34"/>
        <v>753.00000000000034</v>
      </c>
    </row>
    <row r="79" spans="12:26" x14ac:dyDescent="0.2">
      <c r="L79" s="365">
        <v>45017</v>
      </c>
      <c r="M79" s="225">
        <f t="shared" si="26"/>
        <v>2023</v>
      </c>
      <c r="N79" s="366" t="s">
        <v>258</v>
      </c>
      <c r="O79" s="367">
        <f t="shared" si="27"/>
        <v>12797</v>
      </c>
      <c r="P79" s="364">
        <f t="shared" si="19"/>
        <v>9486</v>
      </c>
      <c r="Q79" s="364">
        <f t="shared" si="23"/>
        <v>3311</v>
      </c>
      <c r="R79" s="367">
        <f t="shared" si="24"/>
        <v>223</v>
      </c>
      <c r="S79" s="364">
        <f t="shared" si="28"/>
        <v>169</v>
      </c>
      <c r="T79" s="448">
        <f t="shared" si="25"/>
        <v>54</v>
      </c>
      <c r="U79" s="367">
        <f t="shared" si="29"/>
        <v>116378.66666666664</v>
      </c>
      <c r="V79" s="364">
        <f t="shared" si="30"/>
        <v>83936.999999999985</v>
      </c>
      <c r="W79" s="364">
        <f t="shared" si="31"/>
        <v>32441.666666666668</v>
      </c>
      <c r="X79" s="367">
        <f t="shared" si="32"/>
        <v>2533.3333333333339</v>
      </c>
      <c r="Y79" s="364">
        <f t="shared" si="33"/>
        <v>1762.3333333333326</v>
      </c>
      <c r="Z79" s="448">
        <f t="shared" si="34"/>
        <v>771.00000000000034</v>
      </c>
    </row>
    <row r="80" spans="12:26" x14ac:dyDescent="0.2">
      <c r="L80" s="365">
        <v>45047</v>
      </c>
      <c r="M80" s="225">
        <f t="shared" si="26"/>
        <v>2023</v>
      </c>
      <c r="N80" s="366" t="s">
        <v>258</v>
      </c>
      <c r="O80" s="367">
        <f t="shared" si="27"/>
        <v>12797</v>
      </c>
      <c r="P80" s="364">
        <f t="shared" si="19"/>
        <v>9486</v>
      </c>
      <c r="Q80" s="364">
        <f t="shared" si="23"/>
        <v>3311</v>
      </c>
      <c r="R80" s="367">
        <f t="shared" si="24"/>
        <v>223</v>
      </c>
      <c r="S80" s="364">
        <f t="shared" si="28"/>
        <v>169</v>
      </c>
      <c r="T80" s="448">
        <f t="shared" si="25"/>
        <v>54</v>
      </c>
      <c r="U80" s="367">
        <f t="shared" si="29"/>
        <v>120644.33333333331</v>
      </c>
      <c r="V80" s="364">
        <f t="shared" si="30"/>
        <v>87098.999999999985</v>
      </c>
      <c r="W80" s="364">
        <f t="shared" si="31"/>
        <v>33545.333333333336</v>
      </c>
      <c r="X80" s="367">
        <f t="shared" si="32"/>
        <v>2607.6666666666674</v>
      </c>
      <c r="Y80" s="364">
        <f t="shared" si="33"/>
        <v>1818.6666666666658</v>
      </c>
      <c r="Z80" s="448">
        <f t="shared" si="34"/>
        <v>789.00000000000034</v>
      </c>
    </row>
    <row r="81" spans="12:26" x14ac:dyDescent="0.2">
      <c r="L81" s="365">
        <v>45078</v>
      </c>
      <c r="M81" s="225">
        <f t="shared" si="26"/>
        <v>2023</v>
      </c>
      <c r="N81" s="366" t="s">
        <v>258</v>
      </c>
      <c r="O81" s="367">
        <f t="shared" si="27"/>
        <v>12797</v>
      </c>
      <c r="P81" s="364">
        <f t="shared" si="19"/>
        <v>9486</v>
      </c>
      <c r="Q81" s="364">
        <f t="shared" si="23"/>
        <v>3311</v>
      </c>
      <c r="R81" s="367">
        <f t="shared" si="24"/>
        <v>223</v>
      </c>
      <c r="S81" s="364">
        <f t="shared" si="28"/>
        <v>169</v>
      </c>
      <c r="T81" s="448">
        <f t="shared" si="25"/>
        <v>54</v>
      </c>
      <c r="U81" s="367">
        <f t="shared" si="29"/>
        <v>124909.99999999999</v>
      </c>
      <c r="V81" s="364">
        <f t="shared" si="30"/>
        <v>90260.999999999985</v>
      </c>
      <c r="W81" s="364">
        <f t="shared" si="31"/>
        <v>34649</v>
      </c>
      <c r="X81" s="367">
        <f t="shared" si="32"/>
        <v>2682.0000000000009</v>
      </c>
      <c r="Y81" s="364">
        <f t="shared" si="33"/>
        <v>1874.9999999999991</v>
      </c>
      <c r="Z81" s="448">
        <f t="shared" si="34"/>
        <v>807.00000000000034</v>
      </c>
    </row>
    <row r="82" spans="12:26" x14ac:dyDescent="0.2">
      <c r="L82" s="365">
        <v>45108</v>
      </c>
      <c r="M82" s="225">
        <f t="shared" si="26"/>
        <v>2023</v>
      </c>
      <c r="N82" s="366" t="s">
        <v>259</v>
      </c>
      <c r="O82" s="367">
        <f t="shared" si="27"/>
        <v>14710</v>
      </c>
      <c r="P82" s="364">
        <f t="shared" si="19"/>
        <v>11458</v>
      </c>
      <c r="Q82" s="364">
        <f t="shared" si="23"/>
        <v>3252</v>
      </c>
      <c r="R82" s="367">
        <f t="shared" si="24"/>
        <v>247</v>
      </c>
      <c r="S82" s="364">
        <f t="shared" si="28"/>
        <v>182</v>
      </c>
      <c r="T82" s="448">
        <f t="shared" si="25"/>
        <v>65</v>
      </c>
      <c r="U82" s="367">
        <f t="shared" si="29"/>
        <v>129813.33333333331</v>
      </c>
      <c r="V82" s="364">
        <f t="shared" si="30"/>
        <v>94080.333333333314</v>
      </c>
      <c r="W82" s="364">
        <f t="shared" si="31"/>
        <v>35733</v>
      </c>
      <c r="X82" s="367">
        <f t="shared" si="32"/>
        <v>2764.3333333333344</v>
      </c>
      <c r="Y82" s="364">
        <f t="shared" si="33"/>
        <v>1935.6666666666658</v>
      </c>
      <c r="Z82" s="448">
        <f t="shared" si="34"/>
        <v>828.66666666666697</v>
      </c>
    </row>
    <row r="83" spans="12:26" x14ac:dyDescent="0.2">
      <c r="L83" s="365">
        <v>45139</v>
      </c>
      <c r="M83" s="225">
        <f t="shared" si="26"/>
        <v>2023</v>
      </c>
      <c r="N83" s="366" t="s">
        <v>259</v>
      </c>
      <c r="O83" s="367">
        <f t="shared" si="27"/>
        <v>14710</v>
      </c>
      <c r="P83" s="364">
        <f t="shared" si="19"/>
        <v>11458</v>
      </c>
      <c r="Q83" s="364">
        <f t="shared" si="23"/>
        <v>3252</v>
      </c>
      <c r="R83" s="367">
        <f t="shared" si="24"/>
        <v>247</v>
      </c>
      <c r="S83" s="364">
        <f t="shared" si="28"/>
        <v>182</v>
      </c>
      <c r="T83" s="448">
        <f t="shared" si="25"/>
        <v>65</v>
      </c>
      <c r="U83" s="367">
        <f t="shared" si="29"/>
        <v>134716.66666666666</v>
      </c>
      <c r="V83" s="364">
        <f t="shared" si="30"/>
        <v>97899.666666666642</v>
      </c>
      <c r="W83" s="364">
        <f t="shared" si="31"/>
        <v>36817</v>
      </c>
      <c r="X83" s="367">
        <f t="shared" si="32"/>
        <v>2846.6666666666679</v>
      </c>
      <c r="Y83" s="364">
        <f t="shared" si="33"/>
        <v>1996.3333333333326</v>
      </c>
      <c r="Z83" s="448">
        <f t="shared" si="34"/>
        <v>850.3333333333336</v>
      </c>
    </row>
    <row r="84" spans="12:26" x14ac:dyDescent="0.2">
      <c r="L84" s="365">
        <v>45170</v>
      </c>
      <c r="M84" s="225">
        <f t="shared" si="26"/>
        <v>2023</v>
      </c>
      <c r="N84" s="366" t="s">
        <v>259</v>
      </c>
      <c r="O84" s="367">
        <f t="shared" si="27"/>
        <v>14710</v>
      </c>
      <c r="P84" s="364">
        <f t="shared" ref="P84:P93" si="35">SUMIFS(F:F,$B:$B,$N84)</f>
        <v>11458</v>
      </c>
      <c r="Q84" s="364">
        <f t="shared" ref="Q84:Q93" si="36">SUMIFS(G:G,$B:$B,$N84)</f>
        <v>3252</v>
      </c>
      <c r="R84" s="367">
        <f t="shared" ref="R84:R93" si="37">SUMIFS(H:H,$B:$B,$N84)</f>
        <v>247</v>
      </c>
      <c r="S84" s="364">
        <f t="shared" si="28"/>
        <v>182</v>
      </c>
      <c r="T84" s="448">
        <f t="shared" si="25"/>
        <v>65</v>
      </c>
      <c r="U84" s="367">
        <f t="shared" si="29"/>
        <v>139620</v>
      </c>
      <c r="V84" s="364">
        <f t="shared" si="30"/>
        <v>101718.99999999997</v>
      </c>
      <c r="W84" s="364">
        <f t="shared" si="31"/>
        <v>37901</v>
      </c>
      <c r="X84" s="367">
        <f t="shared" si="32"/>
        <v>2929.0000000000014</v>
      </c>
      <c r="Y84" s="364">
        <f t="shared" si="33"/>
        <v>2056.9999999999991</v>
      </c>
      <c r="Z84" s="448">
        <f t="shared" si="34"/>
        <v>872.00000000000023</v>
      </c>
    </row>
    <row r="85" spans="12:26" x14ac:dyDescent="0.2">
      <c r="L85" s="365">
        <v>45200</v>
      </c>
      <c r="M85" s="225">
        <f t="shared" si="26"/>
        <v>2023</v>
      </c>
      <c r="N85" s="366" t="s">
        <v>260</v>
      </c>
      <c r="O85" s="367">
        <f t="shared" si="27"/>
        <v>14105</v>
      </c>
      <c r="P85" s="364">
        <f t="shared" si="35"/>
        <v>10931</v>
      </c>
      <c r="Q85" s="364">
        <f t="shared" si="36"/>
        <v>3174</v>
      </c>
      <c r="R85" s="367">
        <f t="shared" si="37"/>
        <v>229</v>
      </c>
      <c r="S85" s="364">
        <f t="shared" si="28"/>
        <v>182</v>
      </c>
      <c r="T85" s="448">
        <f t="shared" si="25"/>
        <v>47</v>
      </c>
      <c r="U85" s="367">
        <f t="shared" si="29"/>
        <v>144321.66666666666</v>
      </c>
      <c r="V85" s="364">
        <f t="shared" si="30"/>
        <v>105362.66666666664</v>
      </c>
      <c r="W85" s="364">
        <f t="shared" si="31"/>
        <v>38959</v>
      </c>
      <c r="X85" s="367">
        <f t="shared" si="32"/>
        <v>3005.3333333333348</v>
      </c>
      <c r="Y85" s="364">
        <f t="shared" si="33"/>
        <v>2117.6666666666656</v>
      </c>
      <c r="Z85" s="448">
        <f t="shared" si="34"/>
        <v>887.66666666666686</v>
      </c>
    </row>
    <row r="86" spans="12:26" x14ac:dyDescent="0.2">
      <c r="L86" s="365">
        <v>45231</v>
      </c>
      <c r="M86" s="225">
        <f t="shared" si="26"/>
        <v>2023</v>
      </c>
      <c r="N86" s="366" t="s">
        <v>260</v>
      </c>
      <c r="O86" s="367">
        <f t="shared" si="27"/>
        <v>14105</v>
      </c>
      <c r="P86" s="364">
        <f t="shared" si="35"/>
        <v>10931</v>
      </c>
      <c r="Q86" s="364">
        <f t="shared" si="36"/>
        <v>3174</v>
      </c>
      <c r="R86" s="367">
        <f t="shared" si="37"/>
        <v>229</v>
      </c>
      <c r="S86" s="364">
        <f t="shared" si="28"/>
        <v>182</v>
      </c>
      <c r="T86" s="448">
        <f t="shared" si="25"/>
        <v>47</v>
      </c>
      <c r="U86" s="367">
        <f t="shared" si="29"/>
        <v>149023.33333333331</v>
      </c>
      <c r="V86" s="364">
        <f t="shared" si="30"/>
        <v>109006.33333333331</v>
      </c>
      <c r="W86" s="364">
        <f t="shared" si="31"/>
        <v>40017</v>
      </c>
      <c r="X86" s="367">
        <f t="shared" si="32"/>
        <v>3081.6666666666683</v>
      </c>
      <c r="Y86" s="364">
        <f t="shared" si="33"/>
        <v>2178.3333333333321</v>
      </c>
      <c r="Z86" s="448">
        <f t="shared" si="34"/>
        <v>903.33333333333348</v>
      </c>
    </row>
    <row r="87" spans="12:26" x14ac:dyDescent="0.2">
      <c r="L87" s="365">
        <v>45261</v>
      </c>
      <c r="M87" s="225">
        <f t="shared" si="26"/>
        <v>2023</v>
      </c>
      <c r="N87" s="366" t="s">
        <v>260</v>
      </c>
      <c r="O87" s="367">
        <f t="shared" si="27"/>
        <v>14105</v>
      </c>
      <c r="P87" s="364">
        <f t="shared" si="35"/>
        <v>10931</v>
      </c>
      <c r="Q87" s="364">
        <f t="shared" si="36"/>
        <v>3174</v>
      </c>
      <c r="R87" s="367">
        <f t="shared" si="37"/>
        <v>229</v>
      </c>
      <c r="S87" s="364">
        <f t="shared" si="28"/>
        <v>182</v>
      </c>
      <c r="T87" s="448">
        <f t="shared" si="25"/>
        <v>47</v>
      </c>
      <c r="U87" s="367">
        <f t="shared" si="29"/>
        <v>153724.99999999997</v>
      </c>
      <c r="V87" s="364">
        <f t="shared" si="30"/>
        <v>112649.99999999999</v>
      </c>
      <c r="W87" s="364">
        <f t="shared" si="31"/>
        <v>41075</v>
      </c>
      <c r="X87" s="367">
        <f t="shared" si="32"/>
        <v>3158.0000000000018</v>
      </c>
      <c r="Y87" s="364">
        <f t="shared" si="33"/>
        <v>2238.9999999999986</v>
      </c>
      <c r="Z87" s="448">
        <f t="shared" si="34"/>
        <v>919.00000000000011</v>
      </c>
    </row>
    <row r="88" spans="12:26" x14ac:dyDescent="0.2">
      <c r="L88" s="365">
        <v>45292</v>
      </c>
      <c r="M88" s="225">
        <f t="shared" ref="M88:M93" si="38">YEAR(L88)</f>
        <v>2024</v>
      </c>
      <c r="N88" s="366" t="s">
        <v>498</v>
      </c>
      <c r="O88" s="367">
        <f t="shared" si="27"/>
        <v>11026</v>
      </c>
      <c r="P88" s="364">
        <f t="shared" si="35"/>
        <v>8144</v>
      </c>
      <c r="Q88" s="364">
        <f t="shared" si="36"/>
        <v>2882</v>
      </c>
      <c r="R88" s="367">
        <f t="shared" si="37"/>
        <v>248</v>
      </c>
      <c r="S88" s="364">
        <f t="shared" si="28"/>
        <v>187</v>
      </c>
      <c r="T88" s="448">
        <f t="shared" si="25"/>
        <v>61</v>
      </c>
      <c r="U88" s="367">
        <f t="shared" ref="U88:U93" si="39">O88/3+U87</f>
        <v>157400.33333333331</v>
      </c>
      <c r="V88" s="364">
        <f t="shared" si="30"/>
        <v>115364.66666666666</v>
      </c>
      <c r="W88" s="364">
        <f t="shared" si="31"/>
        <v>42035.666666666664</v>
      </c>
      <c r="X88" s="367">
        <f t="shared" si="32"/>
        <v>3240.6666666666683</v>
      </c>
      <c r="Y88" s="364">
        <f t="shared" si="33"/>
        <v>2301.3333333333321</v>
      </c>
      <c r="Z88" s="448">
        <f t="shared" si="34"/>
        <v>939.33333333333348</v>
      </c>
    </row>
    <row r="89" spans="12:26" x14ac:dyDescent="0.2">
      <c r="L89" s="365">
        <v>45323</v>
      </c>
      <c r="M89" s="225">
        <f t="shared" si="38"/>
        <v>2024</v>
      </c>
      <c r="N89" s="366" t="s">
        <v>498</v>
      </c>
      <c r="O89" s="367">
        <f t="shared" si="27"/>
        <v>11026</v>
      </c>
      <c r="P89" s="364">
        <f t="shared" si="35"/>
        <v>8144</v>
      </c>
      <c r="Q89" s="364">
        <f t="shared" si="36"/>
        <v>2882</v>
      </c>
      <c r="R89" s="367">
        <f t="shared" si="37"/>
        <v>248</v>
      </c>
      <c r="S89" s="364">
        <f t="shared" si="28"/>
        <v>187</v>
      </c>
      <c r="T89" s="448">
        <f t="shared" si="25"/>
        <v>61</v>
      </c>
      <c r="U89" s="367">
        <f t="shared" si="39"/>
        <v>161075.66666666666</v>
      </c>
      <c r="V89" s="364">
        <f t="shared" si="30"/>
        <v>118079.33333333333</v>
      </c>
      <c r="W89" s="364">
        <f t="shared" si="31"/>
        <v>42996.333333333328</v>
      </c>
      <c r="X89" s="367">
        <f t="shared" si="32"/>
        <v>3323.3333333333348</v>
      </c>
      <c r="Y89" s="364">
        <f t="shared" si="33"/>
        <v>2363.6666666666656</v>
      </c>
      <c r="Z89" s="448">
        <f t="shared" si="34"/>
        <v>959.66666666666686</v>
      </c>
    </row>
    <row r="90" spans="12:26" x14ac:dyDescent="0.2">
      <c r="L90" s="365">
        <v>45352</v>
      </c>
      <c r="M90" s="225">
        <f t="shared" si="38"/>
        <v>2024</v>
      </c>
      <c r="N90" s="366" t="s">
        <v>498</v>
      </c>
      <c r="O90" s="367">
        <f t="shared" si="27"/>
        <v>11026</v>
      </c>
      <c r="P90" s="364">
        <f t="shared" si="35"/>
        <v>8144</v>
      </c>
      <c r="Q90" s="364">
        <f t="shared" si="36"/>
        <v>2882</v>
      </c>
      <c r="R90" s="367">
        <f t="shared" si="37"/>
        <v>248</v>
      </c>
      <c r="S90" s="364">
        <f t="shared" si="28"/>
        <v>187</v>
      </c>
      <c r="T90" s="448">
        <f t="shared" si="25"/>
        <v>61</v>
      </c>
      <c r="U90" s="367">
        <f t="shared" si="39"/>
        <v>164751</v>
      </c>
      <c r="V90" s="364">
        <f t="shared" si="30"/>
        <v>120794</v>
      </c>
      <c r="W90" s="364">
        <f t="shared" si="31"/>
        <v>43956.999999999993</v>
      </c>
      <c r="X90" s="367">
        <f t="shared" si="32"/>
        <v>3406.0000000000014</v>
      </c>
      <c r="Y90" s="364">
        <f t="shared" si="33"/>
        <v>2425.9999999999991</v>
      </c>
      <c r="Z90" s="448">
        <f t="shared" si="34"/>
        <v>980.00000000000023</v>
      </c>
    </row>
    <row r="91" spans="12:26" x14ac:dyDescent="0.2">
      <c r="L91" s="365">
        <v>45383</v>
      </c>
      <c r="M91" s="225">
        <f t="shared" si="38"/>
        <v>2024</v>
      </c>
      <c r="N91" s="366" t="s">
        <v>499</v>
      </c>
      <c r="O91" s="367">
        <f t="shared" si="27"/>
        <v>14377</v>
      </c>
      <c r="P91" s="364">
        <f t="shared" si="35"/>
        <v>10469</v>
      </c>
      <c r="Q91" s="364">
        <f t="shared" si="36"/>
        <v>3908</v>
      </c>
      <c r="R91" s="367">
        <f t="shared" si="37"/>
        <v>238</v>
      </c>
      <c r="S91" s="364">
        <f t="shared" si="28"/>
        <v>175</v>
      </c>
      <c r="T91" s="448">
        <f t="shared" si="25"/>
        <v>63</v>
      </c>
      <c r="U91" s="367">
        <f t="shared" si="39"/>
        <v>169543.33333333334</v>
      </c>
      <c r="V91" s="364">
        <f t="shared" si="30"/>
        <v>124283.66666666667</v>
      </c>
      <c r="W91" s="364">
        <f t="shared" si="31"/>
        <v>45259.666666666657</v>
      </c>
      <c r="X91" s="367">
        <f t="shared" si="32"/>
        <v>3485.3333333333348</v>
      </c>
      <c r="Y91" s="364">
        <f t="shared" si="33"/>
        <v>2484.3333333333326</v>
      </c>
      <c r="Z91" s="448">
        <f t="shared" si="34"/>
        <v>1001.0000000000002</v>
      </c>
    </row>
    <row r="92" spans="12:26" x14ac:dyDescent="0.2">
      <c r="L92" s="365">
        <v>45413</v>
      </c>
      <c r="M92" s="225">
        <f t="shared" si="38"/>
        <v>2024</v>
      </c>
      <c r="N92" s="366" t="s">
        <v>499</v>
      </c>
      <c r="O92" s="367">
        <f t="shared" si="27"/>
        <v>14377</v>
      </c>
      <c r="P92" s="364">
        <f t="shared" si="35"/>
        <v>10469</v>
      </c>
      <c r="Q92" s="364">
        <f t="shared" si="36"/>
        <v>3908</v>
      </c>
      <c r="R92" s="367">
        <f t="shared" si="37"/>
        <v>238</v>
      </c>
      <c r="S92" s="364">
        <f t="shared" si="28"/>
        <v>175</v>
      </c>
      <c r="T92" s="448">
        <f t="shared" si="25"/>
        <v>63</v>
      </c>
      <c r="U92" s="367">
        <f t="shared" si="39"/>
        <v>174335.66666666669</v>
      </c>
      <c r="V92" s="364">
        <f t="shared" si="30"/>
        <v>127773.33333333334</v>
      </c>
      <c r="W92" s="364">
        <f t="shared" si="31"/>
        <v>46562.333333333321</v>
      </c>
      <c r="X92" s="367">
        <f t="shared" si="32"/>
        <v>3564.6666666666683</v>
      </c>
      <c r="Y92" s="364">
        <f t="shared" si="33"/>
        <v>2542.6666666666661</v>
      </c>
      <c r="Z92" s="448">
        <f t="shared" si="34"/>
        <v>1022.0000000000002</v>
      </c>
    </row>
    <row r="93" spans="12:26" x14ac:dyDescent="0.2">
      <c r="L93" s="365">
        <v>45444</v>
      </c>
      <c r="M93" s="225">
        <f t="shared" si="38"/>
        <v>2024</v>
      </c>
      <c r="N93" s="366" t="s">
        <v>499</v>
      </c>
      <c r="O93" s="367">
        <f t="shared" si="27"/>
        <v>14377</v>
      </c>
      <c r="P93" s="364">
        <f t="shared" si="35"/>
        <v>10469</v>
      </c>
      <c r="Q93" s="364">
        <f t="shared" si="36"/>
        <v>3908</v>
      </c>
      <c r="R93" s="367">
        <f t="shared" si="37"/>
        <v>238</v>
      </c>
      <c r="S93" s="364">
        <f t="shared" si="28"/>
        <v>175</v>
      </c>
      <c r="T93" s="448">
        <f t="shared" si="25"/>
        <v>63</v>
      </c>
      <c r="U93" s="367">
        <f t="shared" si="39"/>
        <v>179128.00000000003</v>
      </c>
      <c r="V93" s="364">
        <f t="shared" si="30"/>
        <v>131263</v>
      </c>
      <c r="W93" s="364">
        <f t="shared" si="31"/>
        <v>47864.999999999985</v>
      </c>
      <c r="X93" s="367">
        <f t="shared" si="32"/>
        <v>3644.0000000000018</v>
      </c>
      <c r="Y93" s="364">
        <f t="shared" si="33"/>
        <v>2600.9999999999995</v>
      </c>
      <c r="Z93" s="448">
        <f t="shared" si="34"/>
        <v>1043.0000000000002</v>
      </c>
    </row>
    <row r="94" spans="12:26" x14ac:dyDescent="0.2">
      <c r="L94" s="365">
        <v>45474</v>
      </c>
      <c r="M94" s="225">
        <f t="shared" ref="M94:M96" si="40">YEAR(L94)</f>
        <v>2024</v>
      </c>
      <c r="N94" s="366" t="s">
        <v>514</v>
      </c>
      <c r="O94" s="367">
        <f t="shared" ref="O94:O96" si="41">SUMIFS(E:E,$B:$B,$N94)</f>
        <v>15946</v>
      </c>
      <c r="P94" s="364">
        <f t="shared" ref="P94:P96" si="42">SUMIFS(F:F,$B:$B,$N94)</f>
        <v>11771</v>
      </c>
      <c r="Q94" s="364">
        <f t="shared" ref="Q94:Q96" si="43">SUMIFS(G:G,$B:$B,$N94)</f>
        <v>4175</v>
      </c>
      <c r="R94" s="367">
        <f t="shared" ref="R94:R96" si="44">SUMIFS(H:H,$B:$B,$N94)</f>
        <v>280</v>
      </c>
      <c r="S94" s="364">
        <f t="shared" ref="S94:S96" si="45">SUMIFS(I:I,$B:$B,$N94)</f>
        <v>208</v>
      </c>
      <c r="T94" s="448">
        <f t="shared" ref="T94:T96" si="46">SUMIFS(J:J,$B:$B,$N94)</f>
        <v>72</v>
      </c>
      <c r="U94" s="367">
        <f t="shared" ref="U94:U96" si="47">O94/3+U93</f>
        <v>184443.33333333337</v>
      </c>
      <c r="V94" s="364">
        <f t="shared" ref="V94:V96" si="48">P94/3+V93</f>
        <v>135186.66666666666</v>
      </c>
      <c r="W94" s="364">
        <f t="shared" ref="W94:W96" si="49">Q94/3+W93</f>
        <v>49256.66666666665</v>
      </c>
      <c r="X94" s="367">
        <f t="shared" ref="X94:X96" si="50">R94/3+X93</f>
        <v>3737.3333333333353</v>
      </c>
      <c r="Y94" s="364">
        <f t="shared" ref="Y94:Y96" si="51">S94/3+Y93</f>
        <v>2670.333333333333</v>
      </c>
      <c r="Z94" s="448">
        <f t="shared" ref="Z94:Z96" si="52">T94/3+Z93</f>
        <v>1067.0000000000002</v>
      </c>
    </row>
    <row r="95" spans="12:26" x14ac:dyDescent="0.2">
      <c r="L95" s="365">
        <v>45505</v>
      </c>
      <c r="M95" s="225">
        <f t="shared" si="40"/>
        <v>2024</v>
      </c>
      <c r="N95" s="366" t="s">
        <v>514</v>
      </c>
      <c r="O95" s="367">
        <f t="shared" si="41"/>
        <v>15946</v>
      </c>
      <c r="P95" s="364">
        <f t="shared" si="42"/>
        <v>11771</v>
      </c>
      <c r="Q95" s="364">
        <f t="shared" si="43"/>
        <v>4175</v>
      </c>
      <c r="R95" s="367">
        <f t="shared" si="44"/>
        <v>280</v>
      </c>
      <c r="S95" s="364">
        <f t="shared" si="45"/>
        <v>208</v>
      </c>
      <c r="T95" s="448">
        <f t="shared" si="46"/>
        <v>72</v>
      </c>
      <c r="U95" s="367">
        <f t="shared" si="47"/>
        <v>189758.66666666672</v>
      </c>
      <c r="V95" s="364">
        <f t="shared" si="48"/>
        <v>139110.33333333331</v>
      </c>
      <c r="W95" s="364">
        <f t="shared" si="49"/>
        <v>50648.333333333314</v>
      </c>
      <c r="X95" s="367">
        <f t="shared" si="50"/>
        <v>3830.6666666666688</v>
      </c>
      <c r="Y95" s="364">
        <f t="shared" si="51"/>
        <v>2739.6666666666665</v>
      </c>
      <c r="Z95" s="448">
        <f t="shared" si="52"/>
        <v>1091.0000000000002</v>
      </c>
    </row>
    <row r="96" spans="12:26" x14ac:dyDescent="0.2">
      <c r="L96" s="365">
        <v>45536</v>
      </c>
      <c r="M96" s="225">
        <f t="shared" si="40"/>
        <v>2024</v>
      </c>
      <c r="N96" s="366" t="s">
        <v>514</v>
      </c>
      <c r="O96" s="367">
        <f t="shared" si="41"/>
        <v>15946</v>
      </c>
      <c r="P96" s="364">
        <f t="shared" si="42"/>
        <v>11771</v>
      </c>
      <c r="Q96" s="364">
        <f t="shared" si="43"/>
        <v>4175</v>
      </c>
      <c r="R96" s="367">
        <f t="shared" si="44"/>
        <v>280</v>
      </c>
      <c r="S96" s="364">
        <f t="shared" si="45"/>
        <v>208</v>
      </c>
      <c r="T96" s="448">
        <f t="shared" si="46"/>
        <v>72</v>
      </c>
      <c r="U96" s="367">
        <f t="shared" si="47"/>
        <v>195074.00000000006</v>
      </c>
      <c r="V96" s="364">
        <f t="shared" si="48"/>
        <v>143033.99999999997</v>
      </c>
      <c r="W96" s="364">
        <f t="shared" si="49"/>
        <v>52039.999999999978</v>
      </c>
      <c r="X96" s="367">
        <f t="shared" si="50"/>
        <v>3924.0000000000023</v>
      </c>
      <c r="Y96" s="364">
        <f t="shared" si="51"/>
        <v>2809</v>
      </c>
      <c r="Z96" s="448">
        <f t="shared" si="52"/>
        <v>1115.0000000000002</v>
      </c>
    </row>
    <row r="97" spans="12:26" x14ac:dyDescent="0.2">
      <c r="L97" s="365">
        <v>45566</v>
      </c>
      <c r="M97" s="225">
        <f t="shared" ref="M97:M99" si="53">YEAR(L97)</f>
        <v>2024</v>
      </c>
      <c r="N97" s="366" t="s">
        <v>515</v>
      </c>
      <c r="O97" s="367">
        <f t="shared" ref="O97:O99" si="54">SUMIFS(E:E,$B:$B,$N97)</f>
        <v>15251</v>
      </c>
      <c r="P97" s="364">
        <f t="shared" ref="P97:P99" si="55">SUMIFS(F:F,$B:$B,$N97)</f>
        <v>11282</v>
      </c>
      <c r="Q97" s="364">
        <f t="shared" ref="Q97:Q99" si="56">SUMIFS(G:G,$B:$B,$N97)</f>
        <v>3969</v>
      </c>
      <c r="R97" s="367">
        <f t="shared" ref="R97:R99" si="57">SUMIFS(H:H,$B:$B,$N97)</f>
        <v>287</v>
      </c>
      <c r="S97" s="364">
        <f t="shared" ref="S97:S99" si="58">SUMIFS(I:I,$B:$B,$N97)</f>
        <v>194</v>
      </c>
      <c r="T97" s="448">
        <f t="shared" ref="T97:T99" si="59">SUMIFS(J:J,$B:$B,$N97)</f>
        <v>93</v>
      </c>
      <c r="U97" s="367">
        <f t="shared" ref="U97:U99" si="60">O97/3+U96</f>
        <v>200157.66666666672</v>
      </c>
      <c r="V97" s="364">
        <f t="shared" ref="V97:V99" si="61">P97/3+V96</f>
        <v>146794.66666666663</v>
      </c>
      <c r="W97" s="364">
        <f t="shared" ref="W97:W99" si="62">Q97/3+W96</f>
        <v>53362.999999999978</v>
      </c>
      <c r="X97" s="367">
        <f t="shared" ref="X97:X99" si="63">R97/3+X96</f>
        <v>4019.6666666666688</v>
      </c>
      <c r="Y97" s="364">
        <f t="shared" ref="Y97:Y99" si="64">S97/3+Y96</f>
        <v>2873.6666666666665</v>
      </c>
      <c r="Z97" s="448">
        <f t="shared" ref="Z97:Z99" si="65">T97/3+Z96</f>
        <v>1146.0000000000002</v>
      </c>
    </row>
    <row r="98" spans="12:26" x14ac:dyDescent="0.2">
      <c r="L98" s="365">
        <v>45597</v>
      </c>
      <c r="M98" s="225">
        <f t="shared" si="53"/>
        <v>2024</v>
      </c>
      <c r="N98" s="366" t="s">
        <v>515</v>
      </c>
      <c r="O98" s="367">
        <f t="shared" si="54"/>
        <v>15251</v>
      </c>
      <c r="P98" s="364">
        <f t="shared" si="55"/>
        <v>11282</v>
      </c>
      <c r="Q98" s="364">
        <f t="shared" si="56"/>
        <v>3969</v>
      </c>
      <c r="R98" s="367">
        <f>SUMIFS(H:H,$B:$B,$N98)</f>
        <v>287</v>
      </c>
      <c r="S98" s="364">
        <f t="shared" si="58"/>
        <v>194</v>
      </c>
      <c r="T98" s="448">
        <f t="shared" si="59"/>
        <v>93</v>
      </c>
      <c r="U98" s="367">
        <f t="shared" si="60"/>
        <v>205241.33333333337</v>
      </c>
      <c r="V98" s="364">
        <f t="shared" si="61"/>
        <v>150555.33333333328</v>
      </c>
      <c r="W98" s="364">
        <f t="shared" si="62"/>
        <v>54685.999999999978</v>
      </c>
      <c r="X98" s="367">
        <f t="shared" si="63"/>
        <v>4115.3333333333358</v>
      </c>
      <c r="Y98" s="364">
        <f t="shared" si="64"/>
        <v>2938.333333333333</v>
      </c>
      <c r="Z98" s="448">
        <f t="shared" si="65"/>
        <v>1177.0000000000002</v>
      </c>
    </row>
    <row r="99" spans="12:26" x14ac:dyDescent="0.2">
      <c r="L99" s="369">
        <v>45627</v>
      </c>
      <c r="M99" s="370">
        <f t="shared" si="53"/>
        <v>2024</v>
      </c>
      <c r="N99" s="371" t="s">
        <v>515</v>
      </c>
      <c r="O99" s="372">
        <f t="shared" si="54"/>
        <v>15251</v>
      </c>
      <c r="P99" s="368">
        <f t="shared" si="55"/>
        <v>11282</v>
      </c>
      <c r="Q99" s="368">
        <f t="shared" si="56"/>
        <v>3969</v>
      </c>
      <c r="R99" s="372">
        <f t="shared" si="57"/>
        <v>287</v>
      </c>
      <c r="S99" s="368">
        <f t="shared" si="58"/>
        <v>194</v>
      </c>
      <c r="T99" s="449">
        <f t="shared" si="59"/>
        <v>93</v>
      </c>
      <c r="U99" s="372">
        <f t="shared" si="60"/>
        <v>210325.00000000003</v>
      </c>
      <c r="V99" s="368">
        <f t="shared" si="61"/>
        <v>154315.99999999994</v>
      </c>
      <c r="W99" s="368">
        <f t="shared" si="62"/>
        <v>56008.999999999978</v>
      </c>
      <c r="X99" s="372">
        <f t="shared" si="63"/>
        <v>4211.0000000000027</v>
      </c>
      <c r="Y99" s="368">
        <f t="shared" si="64"/>
        <v>3002.9999999999995</v>
      </c>
      <c r="Z99" s="449">
        <f t="shared" si="65"/>
        <v>1208.0000000000002</v>
      </c>
    </row>
  </sheetData>
  <mergeCells count="12">
    <mergeCell ref="E2:G2"/>
    <mergeCell ref="H2:J2"/>
    <mergeCell ref="AU2:AY2"/>
    <mergeCell ref="AF2:AJ2"/>
    <mergeCell ref="AK2:AO2"/>
    <mergeCell ref="AP2:AT2"/>
    <mergeCell ref="U1:Z1"/>
    <mergeCell ref="O1:T1"/>
    <mergeCell ref="O2:Q2"/>
    <mergeCell ref="R2:T2"/>
    <mergeCell ref="U2:W2"/>
    <mergeCell ref="X2:Z2"/>
  </mergeCells>
  <phoneticPr fontId="4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FC5F2-950D-478E-8B00-F4B57990C48E}">
  <sheetPr codeName="Sheet16">
    <tabColor theme="3" tint="0.499984740745262"/>
  </sheetPr>
  <dimension ref="B1:AA165"/>
  <sheetViews>
    <sheetView topLeftCell="B93" zoomScaleNormal="100" workbookViewId="0">
      <selection activeCell="M112" sqref="M112"/>
    </sheetView>
  </sheetViews>
  <sheetFormatPr defaultColWidth="8.83203125" defaultRowHeight="15" x14ac:dyDescent="0.25"/>
  <cols>
    <col min="1" max="1" width="2.83203125" style="125" customWidth="1"/>
    <col min="2" max="2" width="37.6640625" style="125" customWidth="1"/>
    <col min="3" max="3" width="13.6640625" style="125" customWidth="1"/>
    <col min="4" max="4" width="17.1640625" style="125" customWidth="1"/>
    <col min="5" max="5" width="33.83203125" style="125" customWidth="1"/>
    <col min="6" max="7" width="18.6640625" style="125" bestFit="1" customWidth="1"/>
    <col min="8" max="8" width="18.83203125" style="125" bestFit="1" customWidth="1"/>
    <col min="9" max="9" width="18.1640625" style="125" customWidth="1"/>
    <col min="10" max="10" width="23.6640625" style="125" customWidth="1"/>
    <col min="11" max="11" width="13.83203125" style="125" bestFit="1" customWidth="1"/>
    <col min="12" max="12" width="16.1640625" style="125" bestFit="1" customWidth="1"/>
    <col min="13" max="17" width="13.1640625" style="125" customWidth="1"/>
    <col min="18" max="21" width="12.6640625" style="125" bestFit="1" customWidth="1"/>
    <col min="22" max="23" width="13.1640625" style="125" bestFit="1" customWidth="1"/>
    <col min="24" max="24" width="14.33203125" style="125" customWidth="1"/>
    <col min="25" max="25" width="11.1640625" style="125" customWidth="1"/>
    <col min="26" max="26" width="13.1640625" style="125" customWidth="1"/>
    <col min="27" max="27" width="10" style="125" customWidth="1"/>
    <col min="28" max="16384" width="8.83203125" style="125"/>
  </cols>
  <sheetData>
    <row r="1" spans="2:27" x14ac:dyDescent="0.25">
      <c r="C1" s="125" t="s">
        <v>261</v>
      </c>
      <c r="D1" s="125" t="s">
        <v>262</v>
      </c>
    </row>
    <row r="2" spans="2:27" x14ac:dyDescent="0.25">
      <c r="C2" s="125" t="s">
        <v>263</v>
      </c>
      <c r="D2" s="125" t="s">
        <v>264</v>
      </c>
    </row>
    <row r="3" spans="2:27" x14ac:dyDescent="0.25">
      <c r="B3" s="125" t="s">
        <v>265</v>
      </c>
      <c r="C3" s="136">
        <f>39*365</f>
        <v>14235</v>
      </c>
      <c r="D3" s="125">
        <v>20</v>
      </c>
      <c r="E3" s="137">
        <f>C3*D3/100</f>
        <v>2847</v>
      </c>
      <c r="F3" s="97" t="s">
        <v>266</v>
      </c>
      <c r="Q3" s="138"/>
      <c r="R3" s="138"/>
      <c r="S3" s="138"/>
    </row>
    <row r="4" spans="2:27" x14ac:dyDescent="0.25">
      <c r="B4" s="125" t="s">
        <v>267</v>
      </c>
      <c r="C4" s="136">
        <f>C3</f>
        <v>14235</v>
      </c>
      <c r="D4" s="125">
        <v>20</v>
      </c>
      <c r="E4" s="137">
        <f>C4*D4/100</f>
        <v>2847</v>
      </c>
      <c r="K4" s="141"/>
      <c r="O4" s="154"/>
      <c r="P4" s="138"/>
      <c r="Q4" s="138"/>
      <c r="R4" s="138"/>
      <c r="S4" s="138"/>
      <c r="T4" s="139"/>
      <c r="U4" s="139"/>
      <c r="V4" s="139"/>
      <c r="W4" s="139"/>
      <c r="X4" s="138"/>
    </row>
    <row r="5" spans="2:27" x14ac:dyDescent="0.25">
      <c r="B5" s="125" t="s">
        <v>268</v>
      </c>
      <c r="C5" s="136">
        <v>20000</v>
      </c>
      <c r="D5" s="125">
        <v>25</v>
      </c>
      <c r="E5" s="137">
        <f>C5*D5/100</f>
        <v>5000</v>
      </c>
      <c r="F5" s="136"/>
      <c r="G5" s="136"/>
      <c r="H5" s="136"/>
      <c r="I5" s="136"/>
      <c r="L5" s="154"/>
      <c r="M5" s="154"/>
      <c r="N5" s="154"/>
      <c r="O5" s="154"/>
    </row>
    <row r="6" spans="2:27" x14ac:dyDescent="0.25">
      <c r="B6" s="125" t="s">
        <v>269</v>
      </c>
      <c r="C6" s="136">
        <v>20000</v>
      </c>
      <c r="D6" s="125">
        <v>30</v>
      </c>
      <c r="E6" s="137">
        <f>C6*D6/100</f>
        <v>6000</v>
      </c>
    </row>
    <row r="7" spans="2:27" x14ac:dyDescent="0.25">
      <c r="B7" s="535" t="s">
        <v>502</v>
      </c>
      <c r="C7" s="123"/>
      <c r="D7" s="124"/>
      <c r="E7" s="437"/>
      <c r="F7" s="140">
        <v>2017</v>
      </c>
      <c r="G7" s="140">
        <v>2018</v>
      </c>
      <c r="H7" s="140">
        <v>2019</v>
      </c>
      <c r="I7" s="140">
        <v>2020</v>
      </c>
      <c r="J7" s="140">
        <v>2021</v>
      </c>
      <c r="K7" s="140">
        <v>2022</v>
      </c>
      <c r="L7" s="140">
        <v>2023</v>
      </c>
      <c r="M7" s="140">
        <v>2024</v>
      </c>
      <c r="N7" s="140">
        <v>2025</v>
      </c>
      <c r="O7" s="140">
        <v>2026</v>
      </c>
      <c r="P7" s="140">
        <v>2027</v>
      </c>
      <c r="Q7" s="140">
        <v>2028</v>
      </c>
      <c r="R7" s="140">
        <v>2029</v>
      </c>
      <c r="S7" s="140">
        <v>2030</v>
      </c>
      <c r="T7" s="140">
        <v>2031</v>
      </c>
      <c r="U7" s="140">
        <v>2032</v>
      </c>
      <c r="V7" s="140">
        <v>2033</v>
      </c>
      <c r="W7" s="140">
        <v>2034</v>
      </c>
      <c r="X7" s="140">
        <v>2035</v>
      </c>
      <c r="Y7" s="140">
        <v>2036</v>
      </c>
      <c r="Z7" s="140">
        <v>2037</v>
      </c>
      <c r="AA7" s="140">
        <v>2038</v>
      </c>
    </row>
    <row r="8" spans="2:27" x14ac:dyDescent="0.25">
      <c r="B8" s="536"/>
      <c r="C8" s="127"/>
      <c r="AA8" s="128"/>
    </row>
    <row r="9" spans="2:27" x14ac:dyDescent="0.25">
      <c r="B9" s="536"/>
      <c r="C9" s="542" t="s">
        <v>270</v>
      </c>
      <c r="D9" s="429" t="s">
        <v>377</v>
      </c>
      <c r="E9" s="125" t="s">
        <v>271</v>
      </c>
      <c r="F9" s="129">
        <f>SUMIFS('EV Data'!$S:$S,'EV Data'!$M:$M,'EV Forecast'!F7)/3</f>
        <v>96</v>
      </c>
      <c r="G9" s="129">
        <f>SUMIFS('EV Data'!$S:$S,'EV Data'!$M:$M,'EV Forecast'!G7)/3</f>
        <v>235</v>
      </c>
      <c r="H9" s="129">
        <f>SUMIFS('EV Data'!$S:$S,'EV Data'!$M:$M,'EV Forecast'!H7)/3</f>
        <v>171</v>
      </c>
      <c r="I9" s="129">
        <f>SUMIFS('EV Data'!$S:$S,'EV Data'!$M:$M,'EV Forecast'!I7)/3</f>
        <v>202</v>
      </c>
      <c r="J9" s="129">
        <f>SUMIFS('EV Data'!$S:$S,'EV Data'!$M:$M,'EV Forecast'!J7)/3</f>
        <v>302</v>
      </c>
      <c r="K9" s="129">
        <f>SUMIFS('EV Data'!$S:$S,'EV Data'!$M:$M,'EV Forecast'!K7)/3</f>
        <v>580</v>
      </c>
      <c r="L9" s="129">
        <f>SUMIFS('EV Data'!$S:$S,'EV Data'!$M:$M,'EV Forecast'!L7)/3</f>
        <v>653</v>
      </c>
      <c r="M9" s="129">
        <f>SUMIFS('EV Data'!$S:$S,'EV Data'!$M:$M,'EV Forecast'!M7)/3</f>
        <v>764</v>
      </c>
      <c r="N9" s="438">
        <f t="shared" ref="N9:W9" si="0">N12+N17+N22</f>
        <v>977.03719133807328</v>
      </c>
      <c r="O9" s="438">
        <f t="shared" si="0"/>
        <v>1249.4786299185744</v>
      </c>
      <c r="P9" s="438">
        <f t="shared" si="0"/>
        <v>1597.8888628437012</v>
      </c>
      <c r="Q9" s="438">
        <f t="shared" si="0"/>
        <v>2043.4513699256513</v>
      </c>
      <c r="R9" s="438">
        <f t="shared" si="0"/>
        <v>2396.9684569227893</v>
      </c>
      <c r="S9" s="438">
        <f t="shared" si="0"/>
        <v>3614.2115689601019</v>
      </c>
      <c r="T9" s="438">
        <f t="shared" si="0"/>
        <v>4662.332923958531</v>
      </c>
      <c r="U9" s="438">
        <f t="shared" si="0"/>
        <v>6635.6924406107473</v>
      </c>
      <c r="V9" s="438">
        <f t="shared" si="0"/>
        <v>7670.860461346022</v>
      </c>
      <c r="W9" s="438">
        <f t="shared" si="0"/>
        <v>8744.7809259344649</v>
      </c>
      <c r="X9" s="438">
        <f t="shared" ref="X9:Y9" si="1">X12+X17+X22</f>
        <v>9858.5898649219089</v>
      </c>
      <c r="Y9" s="438">
        <f t="shared" si="1"/>
        <v>11013.453249098475</v>
      </c>
      <c r="Z9" s="438">
        <f t="shared" ref="Z9:AA9" si="2">Z12+Z17+Z22</f>
        <v>12210.567732696134</v>
      </c>
      <c r="AA9" s="439">
        <f t="shared" si="2"/>
        <v>12454.779087350058</v>
      </c>
    </row>
    <row r="10" spans="2:27" x14ac:dyDescent="0.25">
      <c r="B10" s="536"/>
      <c r="C10" s="542"/>
      <c r="D10" s="429" t="s">
        <v>377</v>
      </c>
      <c r="E10" s="125" t="s">
        <v>216</v>
      </c>
      <c r="F10" s="129">
        <f>F9</f>
        <v>96</v>
      </c>
      <c r="G10" s="129">
        <f>F10+G9</f>
        <v>331</v>
      </c>
      <c r="H10" s="129">
        <f t="shared" ref="H10:T10" si="3">G10+H9</f>
        <v>502</v>
      </c>
      <c r="I10" s="129">
        <f t="shared" si="3"/>
        <v>704</v>
      </c>
      <c r="J10" s="129">
        <f t="shared" si="3"/>
        <v>1006</v>
      </c>
      <c r="K10" s="129">
        <f t="shared" si="3"/>
        <v>1586</v>
      </c>
      <c r="L10" s="129">
        <f t="shared" si="3"/>
        <v>2239</v>
      </c>
      <c r="M10" s="129">
        <f t="shared" si="3"/>
        <v>3003</v>
      </c>
      <c r="N10" s="438">
        <f t="shared" si="3"/>
        <v>3980.0371913380732</v>
      </c>
      <c r="O10" s="438">
        <f t="shared" si="3"/>
        <v>5229.5158212566475</v>
      </c>
      <c r="P10" s="438">
        <f t="shared" si="3"/>
        <v>6827.4046841003492</v>
      </c>
      <c r="Q10" s="438">
        <f t="shared" si="3"/>
        <v>8870.8560540260005</v>
      </c>
      <c r="R10" s="438">
        <f t="shared" si="3"/>
        <v>11267.824510948791</v>
      </c>
      <c r="S10" s="438">
        <f t="shared" si="3"/>
        <v>14882.036079908892</v>
      </c>
      <c r="T10" s="438">
        <f t="shared" si="3"/>
        <v>19544.369003867425</v>
      </c>
      <c r="U10" s="438">
        <f>T10+U9-F9</f>
        <v>26084.061444478171</v>
      </c>
      <c r="V10" s="438">
        <f t="shared" ref="V10:W10" si="4">U10+V9-G9</f>
        <v>33519.921905824194</v>
      </c>
      <c r="W10" s="438">
        <f t="shared" si="4"/>
        <v>42093.702831758659</v>
      </c>
      <c r="X10" s="438">
        <f t="shared" ref="X10" si="5">W10+X9-I9</f>
        <v>51750.292696680568</v>
      </c>
      <c r="Y10" s="438">
        <f t="shared" ref="Y10" si="6">X10+Y9-J9</f>
        <v>62461.745945779039</v>
      </c>
      <c r="Z10" s="438">
        <f t="shared" ref="Z10" si="7">Y10+Z9-K9</f>
        <v>74092.31367847517</v>
      </c>
      <c r="AA10" s="439">
        <f t="shared" ref="AA10" si="8">Z10+AA9-L9</f>
        <v>85894.092765825233</v>
      </c>
    </row>
    <row r="11" spans="2:27" x14ac:dyDescent="0.25">
      <c r="B11" s="536"/>
      <c r="C11" s="127"/>
      <c r="D11" s="429"/>
      <c r="G11" s="142"/>
      <c r="AA11" s="128"/>
    </row>
    <row r="12" spans="2:27" x14ac:dyDescent="0.25">
      <c r="B12" s="536"/>
      <c r="C12" s="532" t="s">
        <v>272</v>
      </c>
      <c r="D12" s="143" t="s">
        <v>377</v>
      </c>
      <c r="E12" s="124" t="s">
        <v>271</v>
      </c>
      <c r="F12" s="144">
        <f t="shared" ref="F12:K12" si="9">F9*(F38+F39)</f>
        <v>96</v>
      </c>
      <c r="G12" s="144">
        <f t="shared" si="9"/>
        <v>235</v>
      </c>
      <c r="H12" s="144">
        <f t="shared" si="9"/>
        <v>171</v>
      </c>
      <c r="I12" s="144">
        <f t="shared" si="9"/>
        <v>202</v>
      </c>
      <c r="J12" s="144">
        <f t="shared" si="9"/>
        <v>302</v>
      </c>
      <c r="K12" s="144">
        <f t="shared" si="9"/>
        <v>561.45868285391816</v>
      </c>
      <c r="L12" s="144">
        <f>L9*(L38+L39)</f>
        <v>613.85549372330786</v>
      </c>
      <c r="M12" s="144">
        <f>M9*(M38+M39)</f>
        <v>684.09043344693509</v>
      </c>
      <c r="N12" s="145">
        <f t="shared" ref="N12:W12" si="10">N29*N83*(N38+N39)*N28</f>
        <v>896.65667446411464</v>
      </c>
      <c r="O12" s="145">
        <f t="shared" si="10"/>
        <v>1146.6844487080573</v>
      </c>
      <c r="P12" s="145">
        <f t="shared" si="10"/>
        <v>1466.4310904669728</v>
      </c>
      <c r="Q12" s="145">
        <f t="shared" si="10"/>
        <v>1875.3373218857055</v>
      </c>
      <c r="R12" s="145">
        <f t="shared" si="10"/>
        <v>2199.7706785719329</v>
      </c>
      <c r="S12" s="145">
        <f t="shared" si="10"/>
        <v>3316.8716144728105</v>
      </c>
      <c r="T12" s="145">
        <f t="shared" si="10"/>
        <v>4278.764382669925</v>
      </c>
      <c r="U12" s="145">
        <f t="shared" si="10"/>
        <v>6089.7762841720796</v>
      </c>
      <c r="V12" s="145">
        <f t="shared" si="10"/>
        <v>7039.7813845029232</v>
      </c>
      <c r="W12" s="145">
        <f t="shared" si="10"/>
        <v>8025.3507783333316</v>
      </c>
      <c r="X12" s="145">
        <f t="shared" ref="X12:Y12" si="11">X29*X83*(X38+X39)*X28</f>
        <v>9047.5270353631568</v>
      </c>
      <c r="Y12" s="145">
        <f t="shared" si="11"/>
        <v>10107.380202362841</v>
      </c>
      <c r="Z12" s="145">
        <f t="shared" ref="Z12:AA12" si="12">Z29*Z83*(Z38+Z39)*Z28</f>
        <v>11206.008485228367</v>
      </c>
      <c r="AA12" s="146">
        <f t="shared" si="12"/>
        <v>11430.128654932934</v>
      </c>
    </row>
    <row r="13" spans="2:27" x14ac:dyDescent="0.25">
      <c r="B13" s="536"/>
      <c r="C13" s="533"/>
      <c r="D13" s="429" t="s">
        <v>377</v>
      </c>
      <c r="E13" s="125" t="s">
        <v>216</v>
      </c>
      <c r="F13" s="129">
        <f>F12</f>
        <v>96</v>
      </c>
      <c r="G13" s="129">
        <f>F13+G12</f>
        <v>331</v>
      </c>
      <c r="H13" s="129">
        <f t="shared" ref="H13:K13" si="13">G13+H12</f>
        <v>502</v>
      </c>
      <c r="I13" s="129">
        <f t="shared" si="13"/>
        <v>704</v>
      </c>
      <c r="J13" s="129">
        <f t="shared" si="13"/>
        <v>1006</v>
      </c>
      <c r="K13" s="129">
        <f t="shared" si="13"/>
        <v>1567.4586828539182</v>
      </c>
      <c r="L13" s="129">
        <f>K13+L12</f>
        <v>2181.3141765772261</v>
      </c>
      <c r="M13" s="147">
        <f>L13+M12</f>
        <v>2865.4046100241612</v>
      </c>
      <c r="N13" s="147">
        <f>M13+N12</f>
        <v>3762.0612844882758</v>
      </c>
      <c r="O13" s="147">
        <f t="shared" ref="O13:W13" si="14">N13+O12</f>
        <v>4908.7457331963333</v>
      </c>
      <c r="P13" s="147">
        <f t="shared" si="14"/>
        <v>6375.1768236633061</v>
      </c>
      <c r="Q13" s="147">
        <f t="shared" si="14"/>
        <v>8250.514145549012</v>
      </c>
      <c r="R13" s="147">
        <f t="shared" si="14"/>
        <v>10450.284824120945</v>
      </c>
      <c r="S13" s="147">
        <f t="shared" si="14"/>
        <v>13767.156438593756</v>
      </c>
      <c r="T13" s="147">
        <f t="shared" si="14"/>
        <v>18045.92082126368</v>
      </c>
      <c r="U13" s="147">
        <f t="shared" si="14"/>
        <v>24135.69710543576</v>
      </c>
      <c r="V13" s="147">
        <f t="shared" si="14"/>
        <v>31175.478489938683</v>
      </c>
      <c r="W13" s="147">
        <f t="shared" si="14"/>
        <v>39200.829268272013</v>
      </c>
      <c r="X13" s="147">
        <f t="shared" ref="X13" si="15">W13+X12</f>
        <v>48248.35630363517</v>
      </c>
      <c r="Y13" s="147">
        <f t="shared" ref="Y13" si="16">X13+Y12</f>
        <v>58355.736505998007</v>
      </c>
      <c r="Z13" s="147">
        <f t="shared" ref="Z13" si="17">Y13+Z12</f>
        <v>69561.744991226369</v>
      </c>
      <c r="AA13" s="148">
        <f t="shared" ref="AA13" si="18">Z13+AA12</f>
        <v>80991.873646159307</v>
      </c>
    </row>
    <row r="14" spans="2:27" x14ac:dyDescent="0.25">
      <c r="B14" s="536"/>
      <c r="C14" s="533"/>
      <c r="D14" s="429" t="s">
        <v>377</v>
      </c>
      <c r="E14" s="125" t="s">
        <v>273</v>
      </c>
      <c r="F14" s="129">
        <f>E3</f>
        <v>2847</v>
      </c>
      <c r="G14" s="129">
        <f>F14</f>
        <v>2847</v>
      </c>
      <c r="H14" s="129">
        <f t="shared" ref="H14:W14" si="19">G14</f>
        <v>2847</v>
      </c>
      <c r="I14" s="129">
        <f t="shared" si="19"/>
        <v>2847</v>
      </c>
      <c r="J14" s="129">
        <f t="shared" si="19"/>
        <v>2847</v>
      </c>
      <c r="K14" s="129">
        <f t="shared" si="19"/>
        <v>2847</v>
      </c>
      <c r="L14" s="129">
        <f t="shared" si="19"/>
        <v>2847</v>
      </c>
      <c r="M14" s="129">
        <f t="shared" si="19"/>
        <v>2847</v>
      </c>
      <c r="N14" s="129">
        <f t="shared" si="19"/>
        <v>2847</v>
      </c>
      <c r="O14" s="129">
        <f t="shared" si="19"/>
        <v>2847</v>
      </c>
      <c r="P14" s="129">
        <f t="shared" si="19"/>
        <v>2847</v>
      </c>
      <c r="Q14" s="129">
        <f t="shared" si="19"/>
        <v>2847</v>
      </c>
      <c r="R14" s="129">
        <f t="shared" si="19"/>
        <v>2847</v>
      </c>
      <c r="S14" s="129">
        <f t="shared" si="19"/>
        <v>2847</v>
      </c>
      <c r="T14" s="129">
        <f t="shared" si="19"/>
        <v>2847</v>
      </c>
      <c r="U14" s="129">
        <f t="shared" si="19"/>
        <v>2847</v>
      </c>
      <c r="V14" s="129">
        <f t="shared" si="19"/>
        <v>2847</v>
      </c>
      <c r="W14" s="129">
        <f t="shared" si="19"/>
        <v>2847</v>
      </c>
      <c r="X14" s="129">
        <f t="shared" ref="X14" si="20">W14</f>
        <v>2847</v>
      </c>
      <c r="Y14" s="129">
        <f t="shared" ref="Y14" si="21">X14</f>
        <v>2847</v>
      </c>
      <c r="Z14" s="129">
        <f t="shared" ref="Z14" si="22">Y14</f>
        <v>2847</v>
      </c>
      <c r="AA14" s="130">
        <f t="shared" ref="AA14" si="23">Z14</f>
        <v>2847</v>
      </c>
    </row>
    <row r="15" spans="2:27" x14ac:dyDescent="0.25">
      <c r="B15" s="536"/>
      <c r="C15" s="533"/>
      <c r="D15" s="429" t="s">
        <v>377</v>
      </c>
      <c r="E15" s="125" t="s">
        <v>274</v>
      </c>
      <c r="F15" s="129">
        <f>F12*F14</f>
        <v>273312</v>
      </c>
      <c r="G15" s="129">
        <f t="shared" ref="G15:W15" si="24">G12*G14</f>
        <v>669045</v>
      </c>
      <c r="H15" s="129">
        <f t="shared" si="24"/>
        <v>486837</v>
      </c>
      <c r="I15" s="129">
        <f t="shared" si="24"/>
        <v>575094</v>
      </c>
      <c r="J15" s="129">
        <f t="shared" si="24"/>
        <v>859794</v>
      </c>
      <c r="K15" s="129">
        <f t="shared" si="24"/>
        <v>1598472.8700851051</v>
      </c>
      <c r="L15" s="129">
        <f t="shared" si="24"/>
        <v>1747646.5906302575</v>
      </c>
      <c r="M15" s="129">
        <f t="shared" si="24"/>
        <v>1947605.4640234243</v>
      </c>
      <c r="N15" s="129">
        <f t="shared" si="24"/>
        <v>2552781.5521993344</v>
      </c>
      <c r="O15" s="129">
        <f t="shared" si="24"/>
        <v>3264610.6254718392</v>
      </c>
      <c r="P15" s="129">
        <f t="shared" si="24"/>
        <v>4174929.3145594718</v>
      </c>
      <c r="Q15" s="129">
        <f t="shared" si="24"/>
        <v>5339085.3554086033</v>
      </c>
      <c r="R15" s="129">
        <f t="shared" si="24"/>
        <v>6262747.1218942925</v>
      </c>
      <c r="S15" s="129">
        <f t="shared" si="24"/>
        <v>9443133.4864040911</v>
      </c>
      <c r="T15" s="129">
        <f t="shared" si="24"/>
        <v>12181642.197461277</v>
      </c>
      <c r="U15" s="129">
        <f t="shared" si="24"/>
        <v>17337593.081037913</v>
      </c>
      <c r="V15" s="129">
        <f t="shared" si="24"/>
        <v>20042257.601679821</v>
      </c>
      <c r="W15" s="129">
        <f t="shared" si="24"/>
        <v>22848173.665914994</v>
      </c>
      <c r="X15" s="129">
        <f t="shared" ref="X15:Y15" si="25">X12*X14</f>
        <v>25758309.469678909</v>
      </c>
      <c r="Y15" s="129">
        <f t="shared" si="25"/>
        <v>28775711.436127011</v>
      </c>
      <c r="Z15" s="129">
        <f t="shared" ref="Z15:AA15" si="26">Z12*Z14</f>
        <v>31903506.157445163</v>
      </c>
      <c r="AA15" s="130">
        <f t="shared" si="26"/>
        <v>32541576.280594066</v>
      </c>
    </row>
    <row r="16" spans="2:27" x14ac:dyDescent="0.25">
      <c r="B16" s="536"/>
      <c r="C16" s="534"/>
      <c r="D16" s="149" t="s">
        <v>377</v>
      </c>
      <c r="E16" s="133" t="s">
        <v>275</v>
      </c>
      <c r="F16" s="135">
        <f>F13*F14-F12*F14/2</f>
        <v>136656</v>
      </c>
      <c r="G16" s="135">
        <f>G13*G14-G12*G14/2</f>
        <v>607834.5</v>
      </c>
      <c r="H16" s="135">
        <f>H13*H14-H12*H14/2</f>
        <v>1185775.5</v>
      </c>
      <c r="I16" s="135">
        <f>I13*I14-I12*I14/2</f>
        <v>1716741</v>
      </c>
      <c r="J16" s="135">
        <f>J13*J14-J12*J14/2</f>
        <v>2434185</v>
      </c>
      <c r="K16" s="135">
        <f t="shared" ref="K16:W16" si="27">K13*K14-K12*K14/2</f>
        <v>3663318.4350425526</v>
      </c>
      <c r="L16" s="135">
        <f t="shared" si="27"/>
        <v>5336378.1654002341</v>
      </c>
      <c r="M16" s="135">
        <f t="shared" si="27"/>
        <v>7184004.192727075</v>
      </c>
      <c r="N16" s="135">
        <f t="shared" si="27"/>
        <v>9434197.7008384541</v>
      </c>
      <c r="O16" s="135">
        <f t="shared" si="27"/>
        <v>12342893.789674042</v>
      </c>
      <c r="P16" s="135">
        <f t="shared" si="27"/>
        <v>16062663.759689698</v>
      </c>
      <c r="Q16" s="135">
        <f t="shared" si="27"/>
        <v>20819671.094673738</v>
      </c>
      <c r="R16" s="135">
        <f t="shared" si="27"/>
        <v>26620587.333325185</v>
      </c>
      <c r="S16" s="135">
        <f t="shared" si="27"/>
        <v>34473527.63747438</v>
      </c>
      <c r="T16" s="135">
        <f t="shared" si="27"/>
        <v>45285915.479407057</v>
      </c>
      <c r="U16" s="135">
        <f t="shared" si="27"/>
        <v>60045533.11865665</v>
      </c>
      <c r="V16" s="135">
        <f t="shared" si="27"/>
        <v>78735458.46001552</v>
      </c>
      <c r="W16" s="135">
        <f t="shared" si="27"/>
        <v>100180674.09381293</v>
      </c>
      <c r="X16" s="135">
        <f t="shared" ref="X16:Y16" si="28">X13*X14-X12*X14/2</f>
        <v>124483915.66160987</v>
      </c>
      <c r="Y16" s="135">
        <f t="shared" si="28"/>
        <v>151750926.11451283</v>
      </c>
      <c r="Z16" s="135">
        <f t="shared" ref="Z16:AA16" si="29">Z13*Z14-Z12*Z14/2</f>
        <v>182090534.91129887</v>
      </c>
      <c r="AA16" s="440">
        <f t="shared" si="29"/>
        <v>214313076.13031852</v>
      </c>
    </row>
    <row r="17" spans="2:27" x14ac:dyDescent="0.25">
      <c r="B17" s="536"/>
      <c r="C17" s="533" t="s">
        <v>276</v>
      </c>
      <c r="D17" s="143" t="s">
        <v>377</v>
      </c>
      <c r="E17" s="125" t="s">
        <v>271</v>
      </c>
      <c r="F17" s="150">
        <f t="shared" ref="F17:M17" si="30">F9*F40</f>
        <v>0</v>
      </c>
      <c r="G17" s="150">
        <f t="shared" si="30"/>
        <v>0</v>
      </c>
      <c r="H17" s="150">
        <f t="shared" si="30"/>
        <v>0</v>
      </c>
      <c r="I17" s="150">
        <f t="shared" si="30"/>
        <v>0</v>
      </c>
      <c r="J17" s="150">
        <f t="shared" si="30"/>
        <v>0</v>
      </c>
      <c r="K17" s="150">
        <f t="shared" si="30"/>
        <v>3.1138089863648846</v>
      </c>
      <c r="L17" s="150">
        <f t="shared" si="30"/>
        <v>8.5691989129028094</v>
      </c>
      <c r="M17" s="150">
        <f t="shared" si="30"/>
        <v>5.0974895598329573</v>
      </c>
      <c r="N17" s="145">
        <f>N29*N83*N40*N28</f>
        <v>9.6701879135732369</v>
      </c>
      <c r="O17" s="145">
        <f t="shared" ref="O17:W17" si="31">O29*O83*O40*O28</f>
        <v>12.366666542917512</v>
      </c>
      <c r="P17" s="145">
        <f t="shared" si="31"/>
        <v>15.81504338390922</v>
      </c>
      <c r="Q17" s="145">
        <f t="shared" si="31"/>
        <v>20.224981110869688</v>
      </c>
      <c r="R17" s="145">
        <f t="shared" si="31"/>
        <v>23.723902843050144</v>
      </c>
      <c r="S17" s="145">
        <f t="shared" si="31"/>
        <v>35.771519591173004</v>
      </c>
      <c r="T17" s="145">
        <f t="shared" si="31"/>
        <v>46.145260272613172</v>
      </c>
      <c r="U17" s="145">
        <f t="shared" si="31"/>
        <v>65.676509969393635</v>
      </c>
      <c r="V17" s="145">
        <f t="shared" si="31"/>
        <v>75.922045524619037</v>
      </c>
      <c r="W17" s="145">
        <f t="shared" si="31"/>
        <v>86.551131898065691</v>
      </c>
      <c r="X17" s="145">
        <f t="shared" ref="X17:Y17" si="32">X29*X83*X40*X28</f>
        <v>97.575012908240382</v>
      </c>
      <c r="Y17" s="145">
        <f t="shared" si="32"/>
        <v>109.00522870606284</v>
      </c>
      <c r="Z17" s="145">
        <f t="shared" ref="Z17:AA17" si="33">Z29*Z83*Z40*Z28</f>
        <v>120.85362313063489</v>
      </c>
      <c r="AA17" s="146">
        <f t="shared" si="33"/>
        <v>123.27069559324758</v>
      </c>
    </row>
    <row r="18" spans="2:27" x14ac:dyDescent="0.25">
      <c r="B18" s="536"/>
      <c r="C18" s="533"/>
      <c r="D18" s="429" t="s">
        <v>377</v>
      </c>
      <c r="E18" s="125" t="s">
        <v>216</v>
      </c>
      <c r="F18" s="150">
        <f>F17</f>
        <v>0</v>
      </c>
      <c r="G18" s="150">
        <f>F18+G17</f>
        <v>0</v>
      </c>
      <c r="H18" s="150">
        <f t="shared" ref="H18:K18" si="34">G18+H17</f>
        <v>0</v>
      </c>
      <c r="I18" s="150">
        <f t="shared" si="34"/>
        <v>0</v>
      </c>
      <c r="J18" s="150">
        <f t="shared" si="34"/>
        <v>0</v>
      </c>
      <c r="K18" s="150">
        <f t="shared" si="34"/>
        <v>3.1138089863648846</v>
      </c>
      <c r="L18" s="150">
        <f>K18+L17</f>
        <v>11.683007899267693</v>
      </c>
      <c r="M18" s="150">
        <f>L18+M17</f>
        <v>16.780497459100651</v>
      </c>
      <c r="N18" s="150">
        <f t="shared" ref="N18:W18" si="35">M18+N17</f>
        <v>26.450685372673888</v>
      </c>
      <c r="O18" s="150">
        <f t="shared" si="35"/>
        <v>38.817351915591402</v>
      </c>
      <c r="P18" s="150">
        <f t="shared" si="35"/>
        <v>54.632395299500622</v>
      </c>
      <c r="Q18" s="150">
        <f t="shared" si="35"/>
        <v>74.857376410370307</v>
      </c>
      <c r="R18" s="150">
        <f t="shared" si="35"/>
        <v>98.581279253420448</v>
      </c>
      <c r="S18" s="150">
        <f t="shared" si="35"/>
        <v>134.35279884459345</v>
      </c>
      <c r="T18" s="150">
        <f t="shared" si="35"/>
        <v>180.49805911720662</v>
      </c>
      <c r="U18" s="150">
        <f t="shared" si="35"/>
        <v>246.17456908660026</v>
      </c>
      <c r="V18" s="150">
        <f t="shared" si="35"/>
        <v>322.09661461121931</v>
      </c>
      <c r="W18" s="150">
        <f t="shared" si="35"/>
        <v>408.64774650928501</v>
      </c>
      <c r="X18" s="150">
        <f t="shared" ref="X18" si="36">W18+X17</f>
        <v>506.22275941752537</v>
      </c>
      <c r="Y18" s="150">
        <f t="shared" ref="Y18" si="37">X18+Y17</f>
        <v>615.22798812358815</v>
      </c>
      <c r="Z18" s="150">
        <f t="shared" ref="Z18" si="38">Y18+Z17</f>
        <v>736.08161125422305</v>
      </c>
      <c r="AA18" s="151">
        <f t="shared" ref="AA18" si="39">Z18+AA17</f>
        <v>859.35230684747057</v>
      </c>
    </row>
    <row r="19" spans="2:27" x14ac:dyDescent="0.25">
      <c r="B19" s="536"/>
      <c r="C19" s="533"/>
      <c r="D19" s="429" t="s">
        <v>377</v>
      </c>
      <c r="E19" s="125" t="s">
        <v>273</v>
      </c>
      <c r="F19" s="129"/>
      <c r="G19" s="129"/>
      <c r="H19" s="129"/>
      <c r="I19" s="129"/>
      <c r="J19" s="129"/>
      <c r="K19" s="129">
        <f>E5</f>
        <v>5000</v>
      </c>
      <c r="L19" s="129">
        <f t="shared" ref="L19:W19" si="40">K19</f>
        <v>5000</v>
      </c>
      <c r="M19" s="129">
        <f t="shared" si="40"/>
        <v>5000</v>
      </c>
      <c r="N19" s="129">
        <f t="shared" si="40"/>
        <v>5000</v>
      </c>
      <c r="O19" s="129">
        <f t="shared" si="40"/>
        <v>5000</v>
      </c>
      <c r="P19" s="129">
        <f t="shared" si="40"/>
        <v>5000</v>
      </c>
      <c r="Q19" s="129">
        <f t="shared" si="40"/>
        <v>5000</v>
      </c>
      <c r="R19" s="129">
        <f t="shared" si="40"/>
        <v>5000</v>
      </c>
      <c r="S19" s="129">
        <f t="shared" si="40"/>
        <v>5000</v>
      </c>
      <c r="T19" s="129">
        <f t="shared" si="40"/>
        <v>5000</v>
      </c>
      <c r="U19" s="129">
        <f t="shared" si="40"/>
        <v>5000</v>
      </c>
      <c r="V19" s="129">
        <f t="shared" si="40"/>
        <v>5000</v>
      </c>
      <c r="W19" s="129">
        <f t="shared" si="40"/>
        <v>5000</v>
      </c>
      <c r="X19" s="129">
        <f t="shared" ref="X19" si="41">W19</f>
        <v>5000</v>
      </c>
      <c r="Y19" s="129">
        <f t="shared" ref="Y19" si="42">X19</f>
        <v>5000</v>
      </c>
      <c r="Z19" s="129">
        <f t="shared" ref="Z19" si="43">Y19</f>
        <v>5000</v>
      </c>
      <c r="AA19" s="130">
        <f t="shared" ref="AA19" si="44">Z19</f>
        <v>5000</v>
      </c>
    </row>
    <row r="20" spans="2:27" x14ac:dyDescent="0.25">
      <c r="B20" s="536"/>
      <c r="C20" s="533"/>
      <c r="D20" s="429" t="s">
        <v>377</v>
      </c>
      <c r="E20" s="125" t="s">
        <v>274</v>
      </c>
      <c r="F20" s="129">
        <f>F17*F19</f>
        <v>0</v>
      </c>
      <c r="G20" s="129">
        <f t="shared" ref="G20:W20" si="45">G17*G19</f>
        <v>0</v>
      </c>
      <c r="H20" s="129">
        <f t="shared" si="45"/>
        <v>0</v>
      </c>
      <c r="I20" s="129">
        <f t="shared" si="45"/>
        <v>0</v>
      </c>
      <c r="J20" s="129">
        <f t="shared" si="45"/>
        <v>0</v>
      </c>
      <c r="K20" s="129">
        <f t="shared" si="45"/>
        <v>15569.044931824423</v>
      </c>
      <c r="L20" s="129">
        <f t="shared" si="45"/>
        <v>42845.994564514047</v>
      </c>
      <c r="M20" s="129">
        <f t="shared" si="45"/>
        <v>25487.447799164787</v>
      </c>
      <c r="N20" s="129">
        <f t="shared" si="45"/>
        <v>48350.939567866182</v>
      </c>
      <c r="O20" s="129">
        <f t="shared" si="45"/>
        <v>61833.332714587559</v>
      </c>
      <c r="P20" s="129">
        <f t="shared" si="45"/>
        <v>79075.216919546103</v>
      </c>
      <c r="Q20" s="129">
        <f t="shared" si="45"/>
        <v>101124.90555434844</v>
      </c>
      <c r="R20" s="129">
        <f t="shared" si="45"/>
        <v>118619.51421525072</v>
      </c>
      <c r="S20" s="129">
        <f t="shared" si="45"/>
        <v>178857.59795586503</v>
      </c>
      <c r="T20" s="129">
        <f t="shared" si="45"/>
        <v>230726.30136306587</v>
      </c>
      <c r="U20" s="129">
        <f t="shared" si="45"/>
        <v>328382.54984696815</v>
      </c>
      <c r="V20" s="129">
        <f t="shared" si="45"/>
        <v>379610.22762309521</v>
      </c>
      <c r="W20" s="129">
        <f t="shared" si="45"/>
        <v>432755.65949032846</v>
      </c>
      <c r="X20" s="129">
        <f t="shared" ref="X20:Y20" si="46">X17*X19</f>
        <v>487875.06454120192</v>
      </c>
      <c r="Y20" s="129">
        <f t="shared" si="46"/>
        <v>545026.14353031421</v>
      </c>
      <c r="Z20" s="129">
        <f t="shared" ref="Z20:AA20" si="47">Z17*Z19</f>
        <v>604268.11565317446</v>
      </c>
      <c r="AA20" s="130">
        <f t="shared" si="47"/>
        <v>616353.47796623793</v>
      </c>
    </row>
    <row r="21" spans="2:27" x14ac:dyDescent="0.25">
      <c r="B21" s="536"/>
      <c r="C21" s="533"/>
      <c r="D21" s="149" t="s">
        <v>377</v>
      </c>
      <c r="E21" s="125" t="s">
        <v>275</v>
      </c>
      <c r="F21" s="135">
        <f>F18*F19-F17*F19/2</f>
        <v>0</v>
      </c>
      <c r="G21" s="135">
        <f>G18*G19-G17*G19/2</f>
        <v>0</v>
      </c>
      <c r="H21" s="135">
        <f>H18*H19-H17*H19/2</f>
        <v>0</v>
      </c>
      <c r="I21" s="135">
        <f>I18*I19-I17*I19/2</f>
        <v>0</v>
      </c>
      <c r="J21" s="135">
        <f>J18*J19-J17*J19/2</f>
        <v>0</v>
      </c>
      <c r="K21" s="135">
        <f t="shared" ref="K21:W21" si="48">K18*K19-K17*K19/2</f>
        <v>7784.5224659122114</v>
      </c>
      <c r="L21" s="135">
        <f t="shared" si="48"/>
        <v>36992.042214081448</v>
      </c>
      <c r="M21" s="135">
        <f t="shared" si="48"/>
        <v>71158.763395920862</v>
      </c>
      <c r="N21" s="135">
        <f t="shared" si="48"/>
        <v>108077.95707943635</v>
      </c>
      <c r="O21" s="135">
        <f t="shared" si="48"/>
        <v>163170.09322066323</v>
      </c>
      <c r="P21" s="135">
        <f t="shared" si="48"/>
        <v>233624.36803773005</v>
      </c>
      <c r="Q21" s="135">
        <f t="shared" si="48"/>
        <v>323724.4292746773</v>
      </c>
      <c r="R21" s="135">
        <f t="shared" si="48"/>
        <v>433596.63915947685</v>
      </c>
      <c r="S21" s="135">
        <f t="shared" si="48"/>
        <v>582335.19524503476</v>
      </c>
      <c r="T21" s="135">
        <f t="shared" si="48"/>
        <v>787127.14490450022</v>
      </c>
      <c r="U21" s="135">
        <f t="shared" si="48"/>
        <v>1066681.5705095171</v>
      </c>
      <c r="V21" s="135">
        <f t="shared" si="48"/>
        <v>1420677.9592445488</v>
      </c>
      <c r="W21" s="135">
        <f t="shared" si="48"/>
        <v>1826860.9028012608</v>
      </c>
      <c r="X21" s="135">
        <f t="shared" ref="X21:Y21" si="49">X18*X19-X17*X19/2</f>
        <v>2287176.264817026</v>
      </c>
      <c r="Y21" s="135">
        <f t="shared" si="49"/>
        <v>2803626.8688527839</v>
      </c>
      <c r="Z21" s="135">
        <f t="shared" ref="Z21:AA21" si="50">Z18*Z19-Z17*Z19/2</f>
        <v>3378273.9984445283</v>
      </c>
      <c r="AA21" s="440">
        <f t="shared" si="50"/>
        <v>3988584.7952542342</v>
      </c>
    </row>
    <row r="22" spans="2:27" x14ac:dyDescent="0.25">
      <c r="B22" s="536"/>
      <c r="C22" s="532" t="s">
        <v>277</v>
      </c>
      <c r="D22" s="143" t="s">
        <v>377</v>
      </c>
      <c r="E22" s="124" t="s">
        <v>271</v>
      </c>
      <c r="F22" s="152">
        <f t="shared" ref="F22:M22" si="51">F9*F41</f>
        <v>0</v>
      </c>
      <c r="G22" s="152">
        <f t="shared" si="51"/>
        <v>0</v>
      </c>
      <c r="H22" s="152">
        <f t="shared" si="51"/>
        <v>0</v>
      </c>
      <c r="I22" s="152">
        <f t="shared" si="51"/>
        <v>0</v>
      </c>
      <c r="J22" s="152">
        <f t="shared" si="51"/>
        <v>0</v>
      </c>
      <c r="K22" s="153">
        <f t="shared" si="51"/>
        <v>15.427508159716927</v>
      </c>
      <c r="L22" s="153">
        <f t="shared" si="51"/>
        <v>30.57530736378931</v>
      </c>
      <c r="M22" s="153">
        <f t="shared" si="51"/>
        <v>74.812076993231898</v>
      </c>
      <c r="N22" s="145">
        <f t="shared" ref="N22:W22" si="52">N29*N83*N41*N28</f>
        <v>70.71032896038534</v>
      </c>
      <c r="O22" s="145">
        <f t="shared" si="52"/>
        <v>90.427514667599638</v>
      </c>
      <c r="P22" s="145">
        <f t="shared" si="52"/>
        <v>115.64272899281933</v>
      </c>
      <c r="Q22" s="145">
        <f t="shared" si="52"/>
        <v>147.88906692907614</v>
      </c>
      <c r="R22" s="145">
        <f t="shared" si="52"/>
        <v>173.47387550780633</v>
      </c>
      <c r="S22" s="145">
        <f t="shared" si="52"/>
        <v>261.56843489611839</v>
      </c>
      <c r="T22" s="145">
        <f t="shared" si="52"/>
        <v>337.4232810159927</v>
      </c>
      <c r="U22" s="145">
        <f t="shared" si="52"/>
        <v>480.2396464692734</v>
      </c>
      <c r="V22" s="145">
        <f t="shared" si="52"/>
        <v>555.15703131847999</v>
      </c>
      <c r="W22" s="145">
        <f t="shared" si="52"/>
        <v>632.87901570306724</v>
      </c>
      <c r="X22" s="145">
        <f t="shared" ref="X22:Y22" si="53">X29*X83*X41*X28</f>
        <v>713.48781665051047</v>
      </c>
      <c r="Y22" s="145">
        <f t="shared" si="53"/>
        <v>797.06781802957016</v>
      </c>
      <c r="Z22" s="145">
        <f t="shared" ref="Z22:AA22" si="54">Z29*Z83*Z41*Z28</f>
        <v>883.70562433713235</v>
      </c>
      <c r="AA22" s="146">
        <f t="shared" si="54"/>
        <v>901.37973682387496</v>
      </c>
    </row>
    <row r="23" spans="2:27" x14ac:dyDescent="0.25">
      <c r="B23" s="536"/>
      <c r="C23" s="533"/>
      <c r="D23" s="429" t="s">
        <v>377</v>
      </c>
      <c r="E23" s="125" t="s">
        <v>216</v>
      </c>
      <c r="F23" s="150">
        <f>F22</f>
        <v>0</v>
      </c>
      <c r="G23" s="150">
        <f>F23+G22</f>
        <v>0</v>
      </c>
      <c r="H23" s="150">
        <f t="shared" ref="H23:K23" si="55">G23+H22</f>
        <v>0</v>
      </c>
      <c r="I23" s="150">
        <f t="shared" si="55"/>
        <v>0</v>
      </c>
      <c r="J23" s="150">
        <f t="shared" si="55"/>
        <v>0</v>
      </c>
      <c r="K23" s="150">
        <f t="shared" si="55"/>
        <v>15.427508159716927</v>
      </c>
      <c r="L23" s="150">
        <f>K23+L22</f>
        <v>46.002815523506236</v>
      </c>
      <c r="M23" s="150">
        <f t="shared" ref="M23:W23" si="56">L23+M22</f>
        <v>120.81489251673813</v>
      </c>
      <c r="N23" s="150">
        <f t="shared" si="56"/>
        <v>191.52522147712347</v>
      </c>
      <c r="O23" s="150">
        <f t="shared" si="56"/>
        <v>281.95273614472308</v>
      </c>
      <c r="P23" s="150">
        <f>O23+P22</f>
        <v>397.59546513754242</v>
      </c>
      <c r="Q23" s="150">
        <f t="shared" si="56"/>
        <v>545.48453206661861</v>
      </c>
      <c r="R23" s="150">
        <f t="shared" si="56"/>
        <v>718.95840757442488</v>
      </c>
      <c r="S23" s="150">
        <f t="shared" si="56"/>
        <v>980.52684247054322</v>
      </c>
      <c r="T23" s="150">
        <f t="shared" si="56"/>
        <v>1317.9501234865359</v>
      </c>
      <c r="U23" s="150">
        <f t="shared" si="56"/>
        <v>1798.1897699558092</v>
      </c>
      <c r="V23" s="150">
        <f t="shared" si="56"/>
        <v>2353.3468012742892</v>
      </c>
      <c r="W23" s="150">
        <f t="shared" si="56"/>
        <v>2986.2258169773563</v>
      </c>
      <c r="X23" s="150">
        <f t="shared" ref="X23" si="57">W23+X22</f>
        <v>3699.7136336278668</v>
      </c>
      <c r="Y23" s="150">
        <f t="shared" ref="Y23" si="58">X23+Y22</f>
        <v>4496.7814516574372</v>
      </c>
      <c r="Z23" s="150">
        <f t="shared" ref="Z23" si="59">Y23+Z22</f>
        <v>5380.4870759945698</v>
      </c>
      <c r="AA23" s="151">
        <f t="shared" ref="AA23" si="60">Z23+AA22</f>
        <v>6281.8668128184445</v>
      </c>
    </row>
    <row r="24" spans="2:27" x14ac:dyDescent="0.25">
      <c r="B24" s="536"/>
      <c r="C24" s="533"/>
      <c r="D24" s="429" t="s">
        <v>377</v>
      </c>
      <c r="E24" s="125" t="s">
        <v>273</v>
      </c>
      <c r="F24" s="129"/>
      <c r="G24" s="129"/>
      <c r="H24" s="129"/>
      <c r="I24" s="129"/>
      <c r="J24" s="129"/>
      <c r="K24" s="129">
        <f>E6</f>
        <v>6000</v>
      </c>
      <c r="L24" s="129">
        <f t="shared" ref="L24:W24" si="61">K24</f>
        <v>6000</v>
      </c>
      <c r="M24" s="129">
        <f t="shared" si="61"/>
        <v>6000</v>
      </c>
      <c r="N24" s="129">
        <f t="shared" si="61"/>
        <v>6000</v>
      </c>
      <c r="O24" s="129">
        <f t="shared" si="61"/>
        <v>6000</v>
      </c>
      <c r="P24" s="129">
        <f t="shared" si="61"/>
        <v>6000</v>
      </c>
      <c r="Q24" s="129">
        <f t="shared" si="61"/>
        <v>6000</v>
      </c>
      <c r="R24" s="129">
        <f t="shared" si="61"/>
        <v>6000</v>
      </c>
      <c r="S24" s="129">
        <f t="shared" si="61"/>
        <v>6000</v>
      </c>
      <c r="T24" s="129">
        <f t="shared" si="61"/>
        <v>6000</v>
      </c>
      <c r="U24" s="129">
        <f t="shared" si="61"/>
        <v>6000</v>
      </c>
      <c r="V24" s="129">
        <f t="shared" si="61"/>
        <v>6000</v>
      </c>
      <c r="W24" s="129">
        <f t="shared" si="61"/>
        <v>6000</v>
      </c>
      <c r="X24" s="129">
        <f t="shared" ref="X24" si="62">W24</f>
        <v>6000</v>
      </c>
      <c r="Y24" s="129">
        <f t="shared" ref="Y24" si="63">X24</f>
        <v>6000</v>
      </c>
      <c r="Z24" s="129">
        <f t="shared" ref="Z24" si="64">Y24</f>
        <v>6000</v>
      </c>
      <c r="AA24" s="130">
        <f t="shared" ref="AA24" si="65">Z24</f>
        <v>6000</v>
      </c>
    </row>
    <row r="25" spans="2:27" x14ac:dyDescent="0.25">
      <c r="B25" s="536"/>
      <c r="C25" s="533"/>
      <c r="D25" s="429" t="s">
        <v>377</v>
      </c>
      <c r="E25" s="125" t="s">
        <v>274</v>
      </c>
      <c r="F25" s="129">
        <f>F22*F24</f>
        <v>0</v>
      </c>
      <c r="G25" s="129">
        <f t="shared" ref="G25:W25" si="66">G22*G24</f>
        <v>0</v>
      </c>
      <c r="H25" s="129">
        <f t="shared" si="66"/>
        <v>0</v>
      </c>
      <c r="I25" s="129">
        <f t="shared" si="66"/>
        <v>0</v>
      </c>
      <c r="J25" s="129">
        <f t="shared" si="66"/>
        <v>0</v>
      </c>
      <c r="K25" s="129">
        <f t="shared" si="66"/>
        <v>92565.048958301559</v>
      </c>
      <c r="L25" s="129">
        <f t="shared" si="66"/>
        <v>183451.84418273586</v>
      </c>
      <c r="M25" s="129">
        <f t="shared" si="66"/>
        <v>448872.46195939137</v>
      </c>
      <c r="N25" s="129">
        <f t="shared" si="66"/>
        <v>424261.97376231203</v>
      </c>
      <c r="O25" s="129">
        <f t="shared" si="66"/>
        <v>542565.08800559782</v>
      </c>
      <c r="P25" s="129">
        <f t="shared" si="66"/>
        <v>693856.37395691592</v>
      </c>
      <c r="Q25" s="129">
        <f t="shared" si="66"/>
        <v>887334.40157445683</v>
      </c>
      <c r="R25" s="129">
        <f t="shared" si="66"/>
        <v>1040843.253046838</v>
      </c>
      <c r="S25" s="129">
        <f t="shared" si="66"/>
        <v>1569410.6093767104</v>
      </c>
      <c r="T25" s="129">
        <f t="shared" si="66"/>
        <v>2024539.6860959562</v>
      </c>
      <c r="U25" s="129">
        <f t="shared" si="66"/>
        <v>2881437.8788156402</v>
      </c>
      <c r="V25" s="129">
        <f t="shared" si="66"/>
        <v>3330942.18791088</v>
      </c>
      <c r="W25" s="129">
        <f t="shared" si="66"/>
        <v>3797274.0942184036</v>
      </c>
      <c r="X25" s="129">
        <f t="shared" ref="X25:Y25" si="67">X22*X24</f>
        <v>4280926.8999030627</v>
      </c>
      <c r="Y25" s="129">
        <f t="shared" si="67"/>
        <v>4782406.9081774214</v>
      </c>
      <c r="Z25" s="129">
        <f t="shared" ref="Z25:AA25" si="68">Z22*Z24</f>
        <v>5302233.7460227944</v>
      </c>
      <c r="AA25" s="130">
        <f t="shared" si="68"/>
        <v>5408278.4209432499</v>
      </c>
    </row>
    <row r="26" spans="2:27" x14ac:dyDescent="0.25">
      <c r="B26" s="536"/>
      <c r="C26" s="534"/>
      <c r="D26" s="149" t="s">
        <v>377</v>
      </c>
      <c r="E26" s="133" t="s">
        <v>275</v>
      </c>
      <c r="F26" s="135">
        <f>F23*F24-F22*F24/2</f>
        <v>0</v>
      </c>
      <c r="G26" s="135">
        <f>G23*G24-G22*G24/2</f>
        <v>0</v>
      </c>
      <c r="H26" s="135">
        <f>H23*H24-H22*H24/2</f>
        <v>0</v>
      </c>
      <c r="I26" s="135">
        <f>I23*I24-I22*I24/2</f>
        <v>0</v>
      </c>
      <c r="J26" s="135">
        <f>J23*J24-J22*J24/2</f>
        <v>0</v>
      </c>
      <c r="K26" s="135">
        <f t="shared" ref="K26:W26" si="69">K23*K24-K22*K24/2</f>
        <v>46282.524479150779</v>
      </c>
      <c r="L26" s="135">
        <f t="shared" si="69"/>
        <v>184290.97104966949</v>
      </c>
      <c r="M26" s="135">
        <f t="shared" si="69"/>
        <v>500453.12412073312</v>
      </c>
      <c r="N26" s="135">
        <f t="shared" si="69"/>
        <v>937020.3419815849</v>
      </c>
      <c r="O26" s="135">
        <f t="shared" si="69"/>
        <v>1420433.8728655395</v>
      </c>
      <c r="P26" s="135">
        <f t="shared" si="69"/>
        <v>2038644.6038467963</v>
      </c>
      <c r="Q26" s="135">
        <f t="shared" si="69"/>
        <v>2829239.9916124833</v>
      </c>
      <c r="R26" s="135">
        <f t="shared" si="69"/>
        <v>3793328.8189231302</v>
      </c>
      <c r="S26" s="135">
        <f t="shared" si="69"/>
        <v>5098455.7501349039</v>
      </c>
      <c r="T26" s="135">
        <f t="shared" si="69"/>
        <v>6895430.8978712372</v>
      </c>
      <c r="U26" s="135">
        <f t="shared" si="69"/>
        <v>9348419.6803270355</v>
      </c>
      <c r="V26" s="135">
        <f t="shared" si="69"/>
        <v>12454609.713690294</v>
      </c>
      <c r="W26" s="135">
        <f t="shared" si="69"/>
        <v>16018717.854754936</v>
      </c>
      <c r="X26" s="135">
        <f t="shared" ref="X26:Y26" si="70">X23*X24-X22*X24/2</f>
        <v>20057818.351815671</v>
      </c>
      <c r="Y26" s="135">
        <f t="shared" si="70"/>
        <v>24589485.255855914</v>
      </c>
      <c r="Z26" s="135">
        <f t="shared" ref="Z26:AA26" si="71">Z23*Z24-Z22*Z24/2</f>
        <v>29631805.582956024</v>
      </c>
      <c r="AA26" s="440">
        <f t="shared" si="71"/>
        <v>34987061.666439041</v>
      </c>
    </row>
    <row r="27" spans="2:27" x14ac:dyDescent="0.25">
      <c r="B27" s="536"/>
      <c r="C27" s="426"/>
      <c r="D27" s="429"/>
      <c r="F27" s="129"/>
      <c r="G27" s="129"/>
      <c r="H27" s="129"/>
      <c r="I27" s="129"/>
      <c r="J27" s="129"/>
      <c r="K27" s="129"/>
      <c r="L27" s="129"/>
      <c r="M27" s="129"/>
      <c r="N27" s="129"/>
      <c r="O27" s="129"/>
      <c r="P27" s="129"/>
      <c r="Q27" s="129"/>
      <c r="R27" s="129"/>
      <c r="S27" s="129"/>
      <c r="T27" s="129"/>
      <c r="U27" s="129"/>
      <c r="V27" s="129"/>
      <c r="W27" s="129"/>
      <c r="X27" s="129"/>
      <c r="Y27" s="129"/>
      <c r="Z27" s="129"/>
      <c r="AA27" s="130"/>
    </row>
    <row r="28" spans="2:27" x14ac:dyDescent="0.25">
      <c r="B28" s="536"/>
      <c r="C28" s="127"/>
      <c r="D28" s="441" t="s">
        <v>481</v>
      </c>
      <c r="F28" s="442">
        <f t="shared" ref="F28:K28" si="72">F31/F32</f>
        <v>2.6943586865001402E-2</v>
      </c>
      <c r="G28" s="442">
        <f t="shared" si="72"/>
        <v>2.8609690771852932E-2</v>
      </c>
      <c r="H28" s="442">
        <f t="shared" si="72"/>
        <v>2.6063100137174212E-2</v>
      </c>
      <c r="I28" s="442">
        <f t="shared" si="72"/>
        <v>2.476097082618289E-2</v>
      </c>
      <c r="J28" s="442">
        <f t="shared" si="72"/>
        <v>2.0494028230184581E-2</v>
      </c>
      <c r="K28" s="442">
        <f t="shared" si="72"/>
        <v>1.7692096513436843E-2</v>
      </c>
      <c r="L28" s="442">
        <f>L31/L32</f>
        <v>1.6901773003753073E-2</v>
      </c>
      <c r="M28" s="442">
        <f>M31/M32</f>
        <v>1.8336293380694091E-2</v>
      </c>
      <c r="N28" s="432">
        <f>M28</f>
        <v>1.8336293380694091E-2</v>
      </c>
      <c r="O28" s="442">
        <f>N28</f>
        <v>1.8336293380694091E-2</v>
      </c>
      <c r="P28" s="442">
        <f>O28</f>
        <v>1.8336293380694091E-2</v>
      </c>
      <c r="Q28" s="442">
        <f t="shared" ref="Q28:W28" si="73">P28</f>
        <v>1.8336293380694091E-2</v>
      </c>
      <c r="R28" s="442">
        <f t="shared" si="73"/>
        <v>1.8336293380694091E-2</v>
      </c>
      <c r="S28" s="442">
        <f t="shared" si="73"/>
        <v>1.8336293380694091E-2</v>
      </c>
      <c r="T28" s="442">
        <f t="shared" si="73"/>
        <v>1.8336293380694091E-2</v>
      </c>
      <c r="U28" s="442">
        <f t="shared" si="73"/>
        <v>1.8336293380694091E-2</v>
      </c>
      <c r="V28" s="442">
        <f t="shared" si="73"/>
        <v>1.8336293380694091E-2</v>
      </c>
      <c r="W28" s="442">
        <f t="shared" si="73"/>
        <v>1.8336293380694091E-2</v>
      </c>
      <c r="X28" s="442">
        <f t="shared" ref="X28" si="74">W28</f>
        <v>1.8336293380694091E-2</v>
      </c>
      <c r="Y28" s="442">
        <f t="shared" ref="Y28" si="75">X28</f>
        <v>1.8336293380694091E-2</v>
      </c>
      <c r="Z28" s="442">
        <f t="shared" ref="Z28" si="76">Y28</f>
        <v>1.8336293380694091E-2</v>
      </c>
      <c r="AA28" s="443">
        <f t="shared" ref="AA28" si="77">Z28</f>
        <v>1.8336293380694091E-2</v>
      </c>
    </row>
    <row r="29" spans="2:27" x14ac:dyDescent="0.25">
      <c r="B29" s="536"/>
      <c r="C29" s="127"/>
      <c r="D29" s="155" t="s">
        <v>480</v>
      </c>
      <c r="F29" s="157">
        <f t="shared" ref="F29:M29" si="78">F32/F83</f>
        <v>4.4457920322622507E-3</v>
      </c>
      <c r="G29" s="157">
        <f t="shared" si="78"/>
        <v>1.0285937543045911E-2</v>
      </c>
      <c r="H29" s="157">
        <f t="shared" si="78"/>
        <v>8.2416443594165913E-3</v>
      </c>
      <c r="I29" s="157">
        <f t="shared" si="78"/>
        <v>1.3582495596261235E-2</v>
      </c>
      <c r="J29" s="157">
        <f t="shared" si="78"/>
        <v>2.3496433918671341E-2</v>
      </c>
      <c r="K29" s="157">
        <f t="shared" si="78"/>
        <v>5.514400384862523E-2</v>
      </c>
      <c r="L29" s="157">
        <f t="shared" si="78"/>
        <v>5.7067609644847E-2</v>
      </c>
      <c r="M29" s="157">
        <f t="shared" si="78"/>
        <v>5.9583376829894362E-2</v>
      </c>
      <c r="N29" s="444">
        <f>N82*($M$29/($M$29+$M$66))</f>
        <v>7.4703797285081128E-2</v>
      </c>
      <c r="O29" s="444">
        <f>O82*($M$29/($M$29+$M$66))</f>
        <v>9.3661313368371385E-2</v>
      </c>
      <c r="P29" s="444">
        <f t="shared" ref="P29:W29" si="79">P82*($M$29/($M$29+$M$66))</f>
        <v>0.11742966141883368</v>
      </c>
      <c r="Q29" s="444">
        <f t="shared" si="79"/>
        <v>0.14722968197879857</v>
      </c>
      <c r="R29" s="444">
        <f t="shared" si="79"/>
        <v>0.16931413427561837</v>
      </c>
      <c r="S29" s="444">
        <f t="shared" si="79"/>
        <v>0.25029045936395761</v>
      </c>
      <c r="T29" s="444">
        <f t="shared" si="79"/>
        <v>0.31654381625441691</v>
      </c>
      <c r="U29" s="444">
        <f>U82*($M$29/($M$29+$M$66))</f>
        <v>0.44168904593639574</v>
      </c>
      <c r="V29" s="444">
        <f t="shared" si="79"/>
        <v>0.5005809187279151</v>
      </c>
      <c r="W29" s="444">
        <f t="shared" si="79"/>
        <v>0.55947279151943452</v>
      </c>
      <c r="X29" s="444">
        <f t="shared" ref="X29" si="80">X82*($M$29/($M$29+$M$66))</f>
        <v>0.61836466431095394</v>
      </c>
      <c r="Y29" s="444">
        <f>Y82*($M$29/($M$29+$M$66))</f>
        <v>0.67725653710247335</v>
      </c>
      <c r="Z29" s="444">
        <f t="shared" ref="Z29" si="81">Z82*($M$29/($M$29+$M$66))</f>
        <v>0.73614840989399288</v>
      </c>
      <c r="AA29" s="445">
        <f>AA82*($M$29/($M$29+$M$66))</f>
        <v>0.73614840989399288</v>
      </c>
    </row>
    <row r="30" spans="2:27" x14ac:dyDescent="0.25">
      <c r="B30" s="536"/>
      <c r="C30" s="127"/>
      <c r="F30" s="157"/>
      <c r="G30" s="157"/>
      <c r="H30" s="157"/>
      <c r="I30" s="157"/>
      <c r="J30" s="157"/>
      <c r="K30" s="157"/>
      <c r="L30" s="157"/>
      <c r="M30" s="158"/>
      <c r="N30" s="158"/>
      <c r="O30" s="158"/>
      <c r="AA30" s="128"/>
    </row>
    <row r="31" spans="2:27" x14ac:dyDescent="0.25">
      <c r="B31" s="536"/>
      <c r="C31" s="127"/>
      <c r="D31" s="429" t="s">
        <v>377</v>
      </c>
      <c r="E31" s="125" t="s">
        <v>278</v>
      </c>
      <c r="F31" s="154">
        <f t="shared" ref="F31:N31" si="82">F9</f>
        <v>96</v>
      </c>
      <c r="G31" s="154">
        <f t="shared" si="82"/>
        <v>235</v>
      </c>
      <c r="H31" s="154">
        <f t="shared" si="82"/>
        <v>171</v>
      </c>
      <c r="I31" s="154">
        <f t="shared" si="82"/>
        <v>202</v>
      </c>
      <c r="J31" s="154">
        <f t="shared" si="82"/>
        <v>302</v>
      </c>
      <c r="K31" s="154">
        <f t="shared" si="82"/>
        <v>580</v>
      </c>
      <c r="L31" s="154">
        <f t="shared" si="82"/>
        <v>653</v>
      </c>
      <c r="M31" s="154">
        <f t="shared" si="82"/>
        <v>764</v>
      </c>
      <c r="N31" s="154">
        <f t="shared" si="82"/>
        <v>977.03719133807328</v>
      </c>
      <c r="O31" s="154">
        <f t="shared" ref="O31:W31" si="83">O9</f>
        <v>1249.4786299185744</v>
      </c>
      <c r="P31" s="154">
        <f t="shared" si="83"/>
        <v>1597.8888628437012</v>
      </c>
      <c r="Q31" s="154">
        <f t="shared" si="83"/>
        <v>2043.4513699256513</v>
      </c>
      <c r="R31" s="154">
        <f t="shared" si="83"/>
        <v>2396.9684569227893</v>
      </c>
      <c r="S31" s="154">
        <f t="shared" si="83"/>
        <v>3614.2115689601019</v>
      </c>
      <c r="T31" s="154">
        <f t="shared" si="83"/>
        <v>4662.332923958531</v>
      </c>
      <c r="U31" s="154">
        <f t="shared" si="83"/>
        <v>6635.6924406107473</v>
      </c>
      <c r="V31" s="154">
        <f t="shared" si="83"/>
        <v>7670.860461346022</v>
      </c>
      <c r="W31" s="154">
        <f t="shared" si="83"/>
        <v>8744.7809259344649</v>
      </c>
      <c r="X31" s="154">
        <f t="shared" ref="X31:Y31" si="84">X9</f>
        <v>9858.5898649219089</v>
      </c>
      <c r="Y31" s="154">
        <f t="shared" si="84"/>
        <v>11013.453249098475</v>
      </c>
      <c r="Z31" s="154">
        <f t="shared" ref="Z31:AA31" si="85">Z9</f>
        <v>12210.567732696134</v>
      </c>
      <c r="AA31" s="166">
        <f t="shared" si="85"/>
        <v>12454.779087350058</v>
      </c>
    </row>
    <row r="32" spans="2:27" x14ac:dyDescent="0.25">
      <c r="B32" s="536"/>
      <c r="C32" s="127"/>
      <c r="D32" s="155" t="s">
        <v>219</v>
      </c>
      <c r="E32" s="125" t="s">
        <v>278</v>
      </c>
      <c r="F32" s="129">
        <f>SUMIFS('EV Data'!$AK$6:$AK$33,'EV Data'!$AE$6:$AE$33,'EV Forecast'!F7)</f>
        <v>3563</v>
      </c>
      <c r="G32" s="129">
        <f>SUMIFS('EV Data'!$AK$6:$AK$33,'EV Data'!$AE$6:$AE$33,'EV Forecast'!G7)</f>
        <v>8214</v>
      </c>
      <c r="H32" s="129">
        <f>SUMIFS('EV Data'!$AK$6:$AK$33,'EV Data'!$AE$6:$AE$33,'EV Forecast'!H7)</f>
        <v>6561</v>
      </c>
      <c r="I32" s="129">
        <f>SUMIFS('EV Data'!$AK$6:$AK$33,'EV Data'!$AE$6:$AE$33,'EV Forecast'!I7)</f>
        <v>8158</v>
      </c>
      <c r="J32" s="129">
        <f>SUMIFS('EV Data'!$AK$6:$AK$33,'EV Data'!$AE$6:$AE$33,'EV Forecast'!J7)</f>
        <v>14736</v>
      </c>
      <c r="K32" s="129">
        <f>SUMIFS('EV Data'!$AK$6:$AK$33,'EV Data'!$AE$6:$AE$33,'EV Forecast'!K7)</f>
        <v>32783</v>
      </c>
      <c r="L32" s="129">
        <f>SUMIFS('EV Data'!$AK$6:$AK$37,'EV Data'!$AE$6:$AE$37,'EV Forecast'!L7)</f>
        <v>38635</v>
      </c>
      <c r="M32" s="129">
        <f>SUMIFS('EV Data'!$AK$6:$AK$37,'EV Data'!$AE$6:$AE$37,'EV Forecast'!M7)</f>
        <v>41666</v>
      </c>
      <c r="N32" s="154">
        <f>N29*N83</f>
        <v>53284.334573680841</v>
      </c>
      <c r="O32" s="154">
        <f t="shared" ref="O32:W32" si="86">O29*O83</f>
        <v>68142.377741082892</v>
      </c>
      <c r="P32" s="154">
        <f t="shared" si="86"/>
        <v>87143.504396918404</v>
      </c>
      <c r="Q32" s="154">
        <f t="shared" si="86"/>
        <v>111442.99054885104</v>
      </c>
      <c r="R32" s="154">
        <f t="shared" si="86"/>
        <v>130722.62791380228</v>
      </c>
      <c r="S32" s="154">
        <f t="shared" si="86"/>
        <v>197106.98852394189</v>
      </c>
      <c r="T32" s="154">
        <f t="shared" si="86"/>
        <v>254268.015195885</v>
      </c>
      <c r="U32" s="154">
        <f t="shared" si="86"/>
        <v>361888.43092995731</v>
      </c>
      <c r="V32" s="154">
        <f t="shared" si="86"/>
        <v>418343.02615503059</v>
      </c>
      <c r="W32" s="154">
        <f t="shared" si="86"/>
        <v>476911.04981673486</v>
      </c>
      <c r="X32" s="154">
        <f t="shared" ref="X32:Y32" si="87">X29*X83</f>
        <v>537654.45721444534</v>
      </c>
      <c r="Y32" s="154">
        <f t="shared" si="87"/>
        <v>600636.83648813749</v>
      </c>
      <c r="Z32" s="154">
        <f t="shared" ref="Z32:AA32" si="88">Z29*Z83</f>
        <v>665923.44914989162</v>
      </c>
      <c r="AA32" s="166">
        <f t="shared" si="88"/>
        <v>679241.91813288943</v>
      </c>
    </row>
    <row r="33" spans="2:27" x14ac:dyDescent="0.25">
      <c r="B33" s="536"/>
      <c r="C33" s="127"/>
      <c r="D33" s="155" t="s">
        <v>219</v>
      </c>
      <c r="E33" s="125" t="s">
        <v>279</v>
      </c>
      <c r="F33" s="129">
        <f>SUMIFS('EV Data'!$AL$6:$AL$33,'EV Data'!$AE$6:$AE$33,'EV Forecast'!F7)</f>
        <v>2532</v>
      </c>
      <c r="G33" s="129">
        <f>SUMIFS('EV Data'!$AL$6:$AL$33,'EV Data'!$AE$6:$AE$33,'EV Forecast'!G7)</f>
        <v>7311</v>
      </c>
      <c r="H33" s="129">
        <f>SUMIFS('EV Data'!$AL$6:$AL$33,'EV Data'!$AE$6:$AE$33,'EV Forecast'!H7)</f>
        <v>5260</v>
      </c>
      <c r="I33" s="129">
        <f>SUMIFS('EV Data'!$AL$6:$AL$33,'EV Data'!$AE$6:$AE$33,'EV Forecast'!I7)</f>
        <v>4693</v>
      </c>
      <c r="J33" s="129">
        <f>SUMIFS('EV Data'!$AL$6:$AL$33,'EV Data'!$AE$6:$AE$33,'EV Forecast'!J7)</f>
        <v>6998</v>
      </c>
      <c r="K33" s="129">
        <f>SUMIFS('EV Data'!$AL$6:$AL$33,'EV Data'!$AE$6:$AE$33,'EV Forecast'!K7)</f>
        <v>12362</v>
      </c>
      <c r="L33" s="129">
        <f>SUMIFS('EV Data'!$AL$6:$AL$37,'EV Data'!$AE$6:$AE$37,'EV Forecast'!L7)</f>
        <v>10174</v>
      </c>
      <c r="M33" s="129">
        <f>SUMIFS('EV Data'!$AL$6:$AL$37,'EV Data'!$AE$6:$AE$37,'EV Forecast'!M7)</f>
        <v>8434</v>
      </c>
      <c r="N33" s="457"/>
      <c r="O33" s="129"/>
      <c r="P33" s="129"/>
      <c r="Q33" s="129"/>
      <c r="R33" s="129"/>
      <c r="S33" s="129"/>
      <c r="T33" s="129"/>
      <c r="U33" s="129"/>
      <c r="V33" s="129"/>
      <c r="W33" s="129"/>
      <c r="X33" s="129"/>
      <c r="Y33" s="129"/>
      <c r="Z33" s="129"/>
      <c r="AA33" s="130"/>
    </row>
    <row r="34" spans="2:27" x14ac:dyDescent="0.25">
      <c r="B34" s="536"/>
      <c r="C34" s="127"/>
      <c r="D34" s="155" t="s">
        <v>219</v>
      </c>
      <c r="E34" s="125" t="s">
        <v>280</v>
      </c>
      <c r="F34" s="129">
        <f>SUMIFS('EV Data'!$AN$6:$AN$33,'EV Data'!$AE$6:$AE$33,'EV Forecast'!F7)</f>
        <v>1031</v>
      </c>
      <c r="G34" s="129">
        <f>SUMIFS('EV Data'!$AN$6:$AN$33,'EV Data'!$AE$6:$AE$33,'EV Forecast'!G7)</f>
        <v>903</v>
      </c>
      <c r="H34" s="129">
        <f>SUMIFS('EV Data'!$AN$6:$AN$33,'EV Data'!$AE$6:$AE$33,'EV Forecast'!H7)</f>
        <v>1301</v>
      </c>
      <c r="I34" s="129">
        <f>SUMIFS('EV Data'!$AN$6:$AN$33,'EV Data'!$AE$6:$AE$33,'EV Forecast'!I7)</f>
        <v>3465</v>
      </c>
      <c r="J34" s="129">
        <f>SUMIFS('EV Data'!$AN$6:$AN$33,'EV Data'!$AE$6:$AE$33,'EV Forecast'!J7)</f>
        <v>7738</v>
      </c>
      <c r="K34" s="129">
        <f>SUMIFS('EV Data'!$AN$6:$AN$33,'EV Data'!$AE$6:$AE$33,'EV Forecast'!K7)</f>
        <v>19373</v>
      </c>
      <c r="L34" s="129">
        <f>SUMIFS('EV Data'!$AN$6:$AN$37,'EV Data'!$AE$6:$AE$37,'EV Forecast'!L7)</f>
        <v>26145</v>
      </c>
      <c r="M34" s="129">
        <f>SUMIFS('EV Data'!$AN$6:$AN$37,'EV Data'!$AE$6:$AE$37,'EV Forecast'!M7)</f>
        <v>28874</v>
      </c>
      <c r="N34" s="457"/>
      <c r="O34" s="129"/>
      <c r="P34" s="129"/>
      <c r="Q34" s="129"/>
      <c r="R34" s="129"/>
      <c r="S34" s="129"/>
      <c r="T34" s="129"/>
      <c r="U34" s="129"/>
      <c r="V34" s="129"/>
      <c r="W34" s="129"/>
      <c r="X34" s="129"/>
      <c r="Y34" s="129"/>
      <c r="Z34" s="129"/>
      <c r="AA34" s="130"/>
    </row>
    <row r="35" spans="2:27" x14ac:dyDescent="0.25">
      <c r="B35" s="536"/>
      <c r="C35" s="127"/>
      <c r="D35" s="155" t="s">
        <v>219</v>
      </c>
      <c r="E35" s="125" t="s">
        <v>281</v>
      </c>
      <c r="F35" s="129">
        <f>SUMIFS('EV Data'!$AO$6:$AO$33,'EV Data'!$AE$6:$AE$33,'EV Forecast'!F7)</f>
        <v>0</v>
      </c>
      <c r="G35" s="129">
        <f>SUMIFS('EV Data'!$AO$6:$AO$33,'EV Data'!$AE$6:$AE$33,'EV Forecast'!G7)</f>
        <v>0</v>
      </c>
      <c r="H35" s="129">
        <f>SUMIFS('EV Data'!$AO$6:$AO$33,'EV Data'!$AE$6:$AE$33,'EV Forecast'!H7)</f>
        <v>0</v>
      </c>
      <c r="I35" s="129">
        <f>SUMIFS('EV Data'!$AO$6:$AO$33,'EV Data'!$AE$6:$AE$33,'EV Forecast'!I7)</f>
        <v>0</v>
      </c>
      <c r="J35" s="129">
        <f>SUMIFS('EV Data'!$AO$6:$AO$33,'EV Data'!$AE$6:$AE$33,'EV Forecast'!J7)</f>
        <v>0</v>
      </c>
      <c r="K35" s="129">
        <f>SUMIFS('EV Data'!$AO$6:$AO$33,'EV Data'!$AE$6:$AE$33,'EV Forecast'!K7)</f>
        <v>176</v>
      </c>
      <c r="L35" s="129">
        <f>SUMIFS('EV Data'!$AO$6:$AO$37,'EV Data'!$AE$6:$AE$37,'EV Forecast'!L7)</f>
        <v>507</v>
      </c>
      <c r="M35" s="129">
        <f>SUMIFS('EV Data'!$AO$6:$AO$37,'EV Data'!$AE$6:$AE$37,'EV Forecast'!M7)</f>
        <v>278</v>
      </c>
      <c r="N35" s="457"/>
      <c r="O35" s="129"/>
      <c r="P35" s="129"/>
      <c r="Q35" s="129"/>
      <c r="R35" s="129"/>
      <c r="S35" s="129"/>
      <c r="T35" s="129"/>
      <c r="U35" s="129"/>
      <c r="V35" s="129"/>
      <c r="W35" s="129"/>
      <c r="X35" s="129"/>
      <c r="Y35" s="129"/>
      <c r="Z35" s="129"/>
      <c r="AA35" s="130"/>
    </row>
    <row r="36" spans="2:27" x14ac:dyDescent="0.25">
      <c r="B36" s="536"/>
      <c r="C36" s="127"/>
      <c r="D36" s="155" t="s">
        <v>219</v>
      </c>
      <c r="E36" s="125" t="s">
        <v>282</v>
      </c>
      <c r="F36" s="129">
        <f>SUMIFS('EV Data'!$AM$6:$AM$33,'EV Data'!$AE$6:$AE$33,'EV Forecast'!F7)</f>
        <v>0</v>
      </c>
      <c r="G36" s="129">
        <f>SUMIFS('EV Data'!$AM$6:$AM$33,'EV Data'!$AE$6:$AE$33,'EV Forecast'!G7)</f>
        <v>0</v>
      </c>
      <c r="H36" s="129">
        <f>SUMIFS('EV Data'!$AM$6:$AM$33,'EV Data'!$AE$6:$AE$33,'EV Forecast'!H7)</f>
        <v>0</v>
      </c>
      <c r="I36" s="129">
        <f>SUMIFS('EV Data'!$AM$6:$AM$33,'EV Data'!$AE$6:$AE$33,'EV Forecast'!I7)</f>
        <v>0</v>
      </c>
      <c r="J36" s="129">
        <f>SUMIFS('EV Data'!$AM$6:$AM$33,'EV Data'!$AE$6:$AE$33,'EV Forecast'!J7)</f>
        <v>0</v>
      </c>
      <c r="K36" s="129">
        <f>SUMIFS('EV Data'!$AM$6:$AM$33,'EV Data'!$AE$6:$AE$33,'EV Forecast'!K7)</f>
        <v>872</v>
      </c>
      <c r="L36" s="129">
        <f>SUMIFS('EV Data'!$AM$6:$AM$37,'EV Data'!$AE$6:$AE$37,'EV Forecast'!L7)</f>
        <v>1809</v>
      </c>
      <c r="M36" s="129">
        <f>SUMIFS('EV Data'!$AM$6:$AM$37,'EV Data'!$AE$6:$AE$37,'EV Forecast'!M7)</f>
        <v>4080</v>
      </c>
      <c r="N36" s="457"/>
      <c r="O36" s="129"/>
      <c r="P36" s="129"/>
      <c r="Q36" s="129"/>
      <c r="R36" s="129"/>
      <c r="S36" s="129"/>
      <c r="T36" s="129"/>
      <c r="U36" s="129"/>
      <c r="V36" s="129"/>
      <c r="W36" s="129"/>
      <c r="X36" s="129"/>
      <c r="Y36" s="129"/>
      <c r="Z36" s="129"/>
      <c r="AA36" s="130"/>
    </row>
    <row r="37" spans="2:27" x14ac:dyDescent="0.25">
      <c r="B37" s="536"/>
      <c r="C37" s="127"/>
      <c r="D37" s="155"/>
      <c r="F37" s="129"/>
      <c r="G37" s="129"/>
      <c r="H37" s="129"/>
      <c r="I37" s="129"/>
      <c r="J37" s="129"/>
      <c r="K37" s="129"/>
      <c r="L37" s="129"/>
      <c r="M37" s="129"/>
      <c r="N37" s="129"/>
      <c r="O37" s="129"/>
      <c r="P37" s="129"/>
      <c r="Q37" s="129"/>
      <c r="R37" s="129"/>
      <c r="S37" s="129"/>
      <c r="T37" s="129"/>
      <c r="U37" s="129"/>
      <c r="V37" s="129"/>
      <c r="W37" s="129"/>
      <c r="X37" s="129"/>
      <c r="Y37" s="129"/>
      <c r="Z37" s="129"/>
      <c r="AA37" s="130"/>
    </row>
    <row r="38" spans="2:27" x14ac:dyDescent="0.25">
      <c r="B38" s="536"/>
      <c r="C38" s="127"/>
      <c r="D38" s="155" t="s">
        <v>219</v>
      </c>
      <c r="E38" s="125" t="s">
        <v>288</v>
      </c>
      <c r="F38" s="157">
        <f t="shared" ref="F38:M41" si="89">F33/F$32</f>
        <v>0.71063710356441201</v>
      </c>
      <c r="G38" s="157">
        <f t="shared" si="89"/>
        <v>0.89006574141709272</v>
      </c>
      <c r="H38" s="157">
        <f t="shared" si="89"/>
        <v>0.80170705685108978</v>
      </c>
      <c r="I38" s="157">
        <f t="shared" si="89"/>
        <v>0.57526354498651633</v>
      </c>
      <c r="J38" s="157">
        <f t="shared" si="89"/>
        <v>0.47489142236699239</v>
      </c>
      <c r="K38" s="157">
        <f t="shared" si="89"/>
        <v>0.37708568465363146</v>
      </c>
      <c r="L38" s="157">
        <f t="shared" si="89"/>
        <v>0.2633363530477546</v>
      </c>
      <c r="M38" s="157">
        <f>M33/M$32</f>
        <v>0.20241923870781933</v>
      </c>
      <c r="N38" s="158">
        <f>AVERAGE(L38:M38)</f>
        <v>0.23287779587778695</v>
      </c>
      <c r="O38" s="158">
        <f t="shared" ref="O38:W41" si="90">N38</f>
        <v>0.23287779587778695</v>
      </c>
      <c r="P38" s="158">
        <f t="shared" si="90"/>
        <v>0.23287779587778695</v>
      </c>
      <c r="Q38" s="158">
        <f t="shared" si="90"/>
        <v>0.23287779587778695</v>
      </c>
      <c r="R38" s="158">
        <f t="shared" si="90"/>
        <v>0.23287779587778695</v>
      </c>
      <c r="S38" s="158">
        <f t="shared" si="90"/>
        <v>0.23287779587778695</v>
      </c>
      <c r="T38" s="158">
        <f t="shared" si="90"/>
        <v>0.23287779587778695</v>
      </c>
      <c r="U38" s="158">
        <f t="shared" si="90"/>
        <v>0.23287779587778695</v>
      </c>
      <c r="V38" s="158">
        <f t="shared" si="90"/>
        <v>0.23287779587778695</v>
      </c>
      <c r="W38" s="158">
        <f t="shared" si="90"/>
        <v>0.23287779587778695</v>
      </c>
      <c r="X38" s="158">
        <f t="shared" ref="X38:X41" si="91">W38</f>
        <v>0.23287779587778695</v>
      </c>
      <c r="Y38" s="158">
        <f t="shared" ref="Y38:Y41" si="92">X38</f>
        <v>0.23287779587778695</v>
      </c>
      <c r="Z38" s="158">
        <f t="shared" ref="Z38:Z41" si="93">Y38</f>
        <v>0.23287779587778695</v>
      </c>
      <c r="AA38" s="446">
        <f t="shared" ref="AA38:AA41" si="94">Z38</f>
        <v>0.23287779587778695</v>
      </c>
    </row>
    <row r="39" spans="2:27" x14ac:dyDescent="0.25">
      <c r="B39" s="536"/>
      <c r="C39" s="127"/>
      <c r="D39" s="155" t="s">
        <v>219</v>
      </c>
      <c r="E39" s="125" t="s">
        <v>289</v>
      </c>
      <c r="F39" s="157">
        <f t="shared" si="89"/>
        <v>0.28936289643558799</v>
      </c>
      <c r="G39" s="157">
        <f t="shared" si="89"/>
        <v>0.10993425858290723</v>
      </c>
      <c r="H39" s="157">
        <f t="shared" si="89"/>
        <v>0.19829294314891022</v>
      </c>
      <c r="I39" s="157">
        <f t="shared" si="89"/>
        <v>0.42473645501348367</v>
      </c>
      <c r="J39" s="157">
        <f t="shared" si="89"/>
        <v>0.52510857763300756</v>
      </c>
      <c r="K39" s="157">
        <f t="shared" si="89"/>
        <v>0.59094652716346885</v>
      </c>
      <c r="L39" s="157">
        <f t="shared" si="89"/>
        <v>0.67671800181182862</v>
      </c>
      <c r="M39" s="157">
        <f t="shared" si="89"/>
        <v>0.69298708779340468</v>
      </c>
      <c r="N39" s="158">
        <f t="shared" ref="N39:N41" si="95">AVERAGE(L39:M39)</f>
        <v>0.68485254480261659</v>
      </c>
      <c r="O39" s="158">
        <f t="shared" si="90"/>
        <v>0.68485254480261659</v>
      </c>
      <c r="P39" s="158">
        <f t="shared" si="90"/>
        <v>0.68485254480261659</v>
      </c>
      <c r="Q39" s="158">
        <f t="shared" si="90"/>
        <v>0.68485254480261659</v>
      </c>
      <c r="R39" s="158">
        <f t="shared" si="90"/>
        <v>0.68485254480261659</v>
      </c>
      <c r="S39" s="158">
        <f t="shared" si="90"/>
        <v>0.68485254480261659</v>
      </c>
      <c r="T39" s="158">
        <f t="shared" si="90"/>
        <v>0.68485254480261659</v>
      </c>
      <c r="U39" s="158">
        <f t="shared" si="90"/>
        <v>0.68485254480261659</v>
      </c>
      <c r="V39" s="158">
        <f t="shared" si="90"/>
        <v>0.68485254480261659</v>
      </c>
      <c r="W39" s="158">
        <f t="shared" si="90"/>
        <v>0.68485254480261659</v>
      </c>
      <c r="X39" s="158">
        <f t="shared" si="91"/>
        <v>0.68485254480261659</v>
      </c>
      <c r="Y39" s="158">
        <f t="shared" si="92"/>
        <v>0.68485254480261659</v>
      </c>
      <c r="Z39" s="158">
        <f t="shared" si="93"/>
        <v>0.68485254480261659</v>
      </c>
      <c r="AA39" s="446">
        <f t="shared" si="94"/>
        <v>0.68485254480261659</v>
      </c>
    </row>
    <row r="40" spans="2:27" x14ac:dyDescent="0.25">
      <c r="B40" s="536"/>
      <c r="C40" s="127"/>
      <c r="D40" s="155" t="s">
        <v>219</v>
      </c>
      <c r="E40" s="125" t="s">
        <v>290</v>
      </c>
      <c r="F40" s="157">
        <f t="shared" si="89"/>
        <v>0</v>
      </c>
      <c r="G40" s="157">
        <f t="shared" si="89"/>
        <v>0</v>
      </c>
      <c r="H40" s="157">
        <f t="shared" si="89"/>
        <v>0</v>
      </c>
      <c r="I40" s="157">
        <f t="shared" si="89"/>
        <v>0</v>
      </c>
      <c r="J40" s="157">
        <f>J35/J$32</f>
        <v>0</v>
      </c>
      <c r="K40" s="157">
        <f t="shared" si="89"/>
        <v>5.3686361833877316E-3</v>
      </c>
      <c r="L40" s="157">
        <f t="shared" si="89"/>
        <v>1.3122816099391744E-2</v>
      </c>
      <c r="M40" s="157">
        <f t="shared" si="89"/>
        <v>6.6721067537080592E-3</v>
      </c>
      <c r="N40" s="158">
        <f t="shared" si="95"/>
        <v>9.8974614265499011E-3</v>
      </c>
      <c r="O40" s="158">
        <f t="shared" si="90"/>
        <v>9.8974614265499011E-3</v>
      </c>
      <c r="P40" s="158">
        <f t="shared" si="90"/>
        <v>9.8974614265499011E-3</v>
      </c>
      <c r="Q40" s="158">
        <f t="shared" si="90"/>
        <v>9.8974614265499011E-3</v>
      </c>
      <c r="R40" s="158">
        <f t="shared" si="90"/>
        <v>9.8974614265499011E-3</v>
      </c>
      <c r="S40" s="158">
        <f t="shared" si="90"/>
        <v>9.8974614265499011E-3</v>
      </c>
      <c r="T40" s="158">
        <f t="shared" si="90"/>
        <v>9.8974614265499011E-3</v>
      </c>
      <c r="U40" s="158">
        <f t="shared" si="90"/>
        <v>9.8974614265499011E-3</v>
      </c>
      <c r="V40" s="158">
        <f t="shared" si="90"/>
        <v>9.8974614265499011E-3</v>
      </c>
      <c r="W40" s="158">
        <f t="shared" si="90"/>
        <v>9.8974614265499011E-3</v>
      </c>
      <c r="X40" s="158">
        <f t="shared" si="91"/>
        <v>9.8974614265499011E-3</v>
      </c>
      <c r="Y40" s="158">
        <f t="shared" si="92"/>
        <v>9.8974614265499011E-3</v>
      </c>
      <c r="Z40" s="158">
        <f t="shared" si="93"/>
        <v>9.8974614265499011E-3</v>
      </c>
      <c r="AA40" s="446">
        <f t="shared" si="94"/>
        <v>9.8974614265499011E-3</v>
      </c>
    </row>
    <row r="41" spans="2:27" x14ac:dyDescent="0.25">
      <c r="B41" s="536"/>
      <c r="C41" s="127"/>
      <c r="D41" s="155" t="s">
        <v>219</v>
      </c>
      <c r="E41" s="125" t="s">
        <v>291</v>
      </c>
      <c r="F41" s="157">
        <f t="shared" si="89"/>
        <v>0</v>
      </c>
      <c r="G41" s="157">
        <f t="shared" si="89"/>
        <v>0</v>
      </c>
      <c r="H41" s="157">
        <f t="shared" si="89"/>
        <v>0</v>
      </c>
      <c r="I41" s="157">
        <f t="shared" si="89"/>
        <v>0</v>
      </c>
      <c r="J41" s="157">
        <f t="shared" si="89"/>
        <v>0</v>
      </c>
      <c r="K41" s="157">
        <f t="shared" si="89"/>
        <v>2.6599151999511943E-2</v>
      </c>
      <c r="L41" s="157">
        <f t="shared" si="89"/>
        <v>4.6822829041024978E-2</v>
      </c>
      <c r="M41" s="157">
        <f>M36/M$32</f>
        <v>9.7921566745067926E-2</v>
      </c>
      <c r="N41" s="158">
        <f t="shared" si="95"/>
        <v>7.2372197893046455E-2</v>
      </c>
      <c r="O41" s="158">
        <f t="shared" si="90"/>
        <v>7.2372197893046455E-2</v>
      </c>
      <c r="P41" s="158">
        <f t="shared" si="90"/>
        <v>7.2372197893046455E-2</v>
      </c>
      <c r="Q41" s="158">
        <f t="shared" si="90"/>
        <v>7.2372197893046455E-2</v>
      </c>
      <c r="R41" s="158">
        <f t="shared" si="90"/>
        <v>7.2372197893046455E-2</v>
      </c>
      <c r="S41" s="158">
        <f t="shared" si="90"/>
        <v>7.2372197893046455E-2</v>
      </c>
      <c r="T41" s="158">
        <f t="shared" si="90"/>
        <v>7.2372197893046455E-2</v>
      </c>
      <c r="U41" s="158">
        <f t="shared" si="90"/>
        <v>7.2372197893046455E-2</v>
      </c>
      <c r="V41" s="158">
        <f t="shared" si="90"/>
        <v>7.2372197893046455E-2</v>
      </c>
      <c r="W41" s="158">
        <f t="shared" si="90"/>
        <v>7.2372197893046455E-2</v>
      </c>
      <c r="X41" s="158">
        <f t="shared" si="91"/>
        <v>7.2372197893046455E-2</v>
      </c>
      <c r="Y41" s="158">
        <f t="shared" si="92"/>
        <v>7.2372197893046455E-2</v>
      </c>
      <c r="Z41" s="158">
        <f t="shared" si="93"/>
        <v>7.2372197893046455E-2</v>
      </c>
      <c r="AA41" s="446">
        <f t="shared" si="94"/>
        <v>7.2372197893046455E-2</v>
      </c>
    </row>
    <row r="42" spans="2:27" x14ac:dyDescent="0.25">
      <c r="B42" s="536"/>
      <c r="C42" s="127"/>
      <c r="F42" s="157"/>
      <c r="G42" s="157"/>
      <c r="H42" s="157"/>
      <c r="I42" s="157"/>
      <c r="J42" s="157"/>
      <c r="K42" s="157"/>
      <c r="L42" s="157"/>
      <c r="AA42" s="128"/>
    </row>
    <row r="43" spans="2:27" x14ac:dyDescent="0.25">
      <c r="B43" s="537"/>
      <c r="C43" s="132"/>
      <c r="D43" s="133"/>
      <c r="E43" s="133"/>
      <c r="F43" s="169"/>
      <c r="G43" s="169"/>
      <c r="H43" s="169"/>
      <c r="I43" s="169"/>
      <c r="J43" s="169"/>
      <c r="K43" s="169"/>
      <c r="L43" s="169"/>
      <c r="M43" s="133"/>
      <c r="N43" s="133"/>
      <c r="O43" s="133"/>
      <c r="P43" s="133"/>
      <c r="Q43" s="133"/>
      <c r="R43" s="133"/>
      <c r="S43" s="133"/>
      <c r="T43" s="133"/>
      <c r="U43" s="133"/>
      <c r="V43" s="133"/>
      <c r="W43" s="133"/>
      <c r="X43" s="133"/>
      <c r="Y43" s="133"/>
      <c r="Z43" s="133"/>
      <c r="AA43" s="134"/>
    </row>
    <row r="44" spans="2:27" x14ac:dyDescent="0.25">
      <c r="B44" s="535" t="s">
        <v>503</v>
      </c>
      <c r="C44" s="123"/>
      <c r="D44" s="124"/>
      <c r="E44" s="437"/>
      <c r="F44" s="140">
        <v>2017</v>
      </c>
      <c r="G44" s="140">
        <v>2018</v>
      </c>
      <c r="H44" s="140">
        <v>2019</v>
      </c>
      <c r="I44" s="140">
        <v>2020</v>
      </c>
      <c r="J44" s="140">
        <v>2021</v>
      </c>
      <c r="K44" s="140">
        <v>2022</v>
      </c>
      <c r="L44" s="140">
        <v>2023</v>
      </c>
      <c r="M44" s="140">
        <v>2024</v>
      </c>
      <c r="N44" s="140">
        <v>2025</v>
      </c>
      <c r="O44" s="140">
        <v>2026</v>
      </c>
      <c r="P44" s="140">
        <v>2027</v>
      </c>
      <c r="Q44" s="140">
        <v>2028</v>
      </c>
      <c r="R44" s="140">
        <v>2029</v>
      </c>
      <c r="S44" s="140">
        <v>2030</v>
      </c>
      <c r="T44" s="140">
        <v>2031</v>
      </c>
      <c r="U44" s="140">
        <v>2032</v>
      </c>
      <c r="V44" s="140">
        <v>2033</v>
      </c>
      <c r="W44" s="140">
        <v>2034</v>
      </c>
      <c r="X44" s="140">
        <v>2035</v>
      </c>
      <c r="Y44" s="140">
        <v>2036</v>
      </c>
      <c r="Z44" s="140">
        <v>2037</v>
      </c>
      <c r="AA44" s="140">
        <v>2038</v>
      </c>
    </row>
    <row r="45" spans="2:27" x14ac:dyDescent="0.25">
      <c r="B45" s="536"/>
      <c r="C45" s="127"/>
      <c r="AA45" s="128"/>
    </row>
    <row r="46" spans="2:27" x14ac:dyDescent="0.25">
      <c r="B46" s="536"/>
      <c r="C46" s="542" t="s">
        <v>270</v>
      </c>
      <c r="D46" s="429" t="s">
        <v>377</v>
      </c>
      <c r="E46" s="125" t="s">
        <v>271</v>
      </c>
      <c r="F46" s="129">
        <f>SUMIFS('EV Data'!$T:$T,'EV Data'!$M:$M,'EV Forecast'!F44)/3</f>
        <v>150</v>
      </c>
      <c r="G46" s="129">
        <f>SUMIFS('EV Data'!$T:$T,'EV Data'!$M:$M,'EV Forecast'!G44)/3</f>
        <v>220</v>
      </c>
      <c r="H46" s="129">
        <f>SUMIFS('EV Data'!$T:$T,'EV Data'!$M:$M,'EV Forecast'!H44)/3</f>
        <v>83</v>
      </c>
      <c r="I46" s="129">
        <f>SUMIFS('EV Data'!$T:$T,'EV Data'!$M:$M,'EV Forecast'!I44)/3</f>
        <v>49</v>
      </c>
      <c r="J46" s="129">
        <f>SUMIFS('EV Data'!$T:$T,'EV Data'!$M:$M,'EV Forecast'!J44)/3</f>
        <v>97</v>
      </c>
      <c r="K46" s="129">
        <f>SUMIFS('EV Data'!$T:$T,'EV Data'!$M:$M,'EV Forecast'!K44)/3</f>
        <v>123</v>
      </c>
      <c r="L46" s="129">
        <f>SUMIFS('EV Data'!$T:$T,'EV Data'!$M:$M,'EV Forecast'!L44)/3</f>
        <v>197</v>
      </c>
      <c r="M46" s="129">
        <f>SUMIFS('EV Data'!$T:$T,'EV Data'!$M:$M,'EV Forecast'!M44)/3</f>
        <v>289</v>
      </c>
      <c r="N46" s="438">
        <f t="shared" ref="N46:W46" si="96">N49+N54+N59</f>
        <v>365.46847840784403</v>
      </c>
      <c r="O46" s="438">
        <f t="shared" si="96"/>
        <v>467.37735034842831</v>
      </c>
      <c r="P46" s="438">
        <f t="shared" si="96"/>
        <v>597.7029498422238</v>
      </c>
      <c r="Q46" s="438">
        <f t="shared" si="96"/>
        <v>764.36912482765388</v>
      </c>
      <c r="R46" s="438">
        <f t="shared" si="96"/>
        <v>896.60498342283825</v>
      </c>
      <c r="S46" s="438">
        <f t="shared" si="96"/>
        <v>1351.924383700175</v>
      </c>
      <c r="T46" s="438">
        <f t="shared" si="96"/>
        <v>1743.9824549732259</v>
      </c>
      <c r="U46" s="438">
        <f t="shared" si="96"/>
        <v>2482.1331684735214</v>
      </c>
      <c r="V46" s="438">
        <f t="shared" si="96"/>
        <v>2869.3459427553908</v>
      </c>
      <c r="W46" s="438">
        <f t="shared" si="96"/>
        <v>3271.0543747411457</v>
      </c>
      <c r="X46" s="438">
        <f t="shared" ref="X46:Y46" si="97">X49+X54+X59</f>
        <v>3687.6834056292278</v>
      </c>
      <c r="Y46" s="438">
        <f t="shared" si="97"/>
        <v>4119.6691760029371</v>
      </c>
      <c r="Z46" s="438">
        <f t="shared" ref="Z46:AA46" si="98">Z49+Z54+Z59</f>
        <v>4567.4593038293451</v>
      </c>
      <c r="AA46" s="439">
        <f t="shared" si="98"/>
        <v>4658.8084899059313</v>
      </c>
    </row>
    <row r="47" spans="2:27" x14ac:dyDescent="0.25">
      <c r="B47" s="536"/>
      <c r="C47" s="542"/>
      <c r="D47" s="429" t="s">
        <v>377</v>
      </c>
      <c r="E47" s="125" t="s">
        <v>216</v>
      </c>
      <c r="F47" s="129">
        <f>F46</f>
        <v>150</v>
      </c>
      <c r="G47" s="129">
        <f>F47+G46</f>
        <v>370</v>
      </c>
      <c r="H47" s="129">
        <f t="shared" ref="H47" si="99">G47+H46</f>
        <v>453</v>
      </c>
      <c r="I47" s="129">
        <f t="shared" ref="I47" si="100">H47+I46</f>
        <v>502</v>
      </c>
      <c r="J47" s="129">
        <f t="shared" ref="J47" si="101">I47+J46</f>
        <v>599</v>
      </c>
      <c r="K47" s="129">
        <f t="shared" ref="K47" si="102">J47+K46</f>
        <v>722</v>
      </c>
      <c r="L47" s="129">
        <f t="shared" ref="L47:M47" si="103">K47+L46</f>
        <v>919</v>
      </c>
      <c r="M47" s="129">
        <f t="shared" si="103"/>
        <v>1208</v>
      </c>
      <c r="N47" s="438">
        <f t="shared" ref="N47" si="104">M47+N46</f>
        <v>1573.468478407844</v>
      </c>
      <c r="O47" s="438">
        <f t="shared" ref="O47" si="105">N47+O46</f>
        <v>2040.8458287562723</v>
      </c>
      <c r="P47" s="438">
        <f t="shared" ref="P47" si="106">O47+P46</f>
        <v>2638.548778598496</v>
      </c>
      <c r="Q47" s="438">
        <f t="shared" ref="Q47" si="107">P47+Q46</f>
        <v>3402.9179034261497</v>
      </c>
      <c r="R47" s="438">
        <f t="shared" ref="R47" si="108">Q47+R46</f>
        <v>4299.5228868489876</v>
      </c>
      <c r="S47" s="438">
        <f t="shared" ref="S47" si="109">R47+S46</f>
        <v>5651.4472705491626</v>
      </c>
      <c r="T47" s="438">
        <f t="shared" ref="T47" si="110">S47+T46</f>
        <v>7395.4297255223883</v>
      </c>
      <c r="U47" s="438">
        <f>T47+U46-F46</f>
        <v>9727.5628939959097</v>
      </c>
      <c r="V47" s="438">
        <f t="shared" ref="V47" si="111">U47+V46-G46</f>
        <v>12376.9088367513</v>
      </c>
      <c r="W47" s="438">
        <f t="shared" ref="W47" si="112">V47+W46-H46</f>
        <v>15564.963211492446</v>
      </c>
      <c r="X47" s="438">
        <f t="shared" ref="X47" si="113">W47+X46-I46</f>
        <v>19203.646617121674</v>
      </c>
      <c r="Y47" s="438">
        <f t="shared" ref="Y47" si="114">X47+Y46-J46</f>
        <v>23226.31579312461</v>
      </c>
      <c r="Z47" s="438">
        <f t="shared" ref="Z47" si="115">Y47+Z46-K46</f>
        <v>27670.775096953956</v>
      </c>
      <c r="AA47" s="439">
        <f t="shared" ref="AA47" si="116">Z47+AA46-L46</f>
        <v>32132.583586859888</v>
      </c>
    </row>
    <row r="48" spans="2:27" x14ac:dyDescent="0.25">
      <c r="B48" s="536"/>
      <c r="C48" s="127"/>
      <c r="D48" s="429"/>
      <c r="G48" s="142"/>
      <c r="AA48" s="128"/>
    </row>
    <row r="49" spans="2:27" x14ac:dyDescent="0.25">
      <c r="B49" s="536"/>
      <c r="C49" s="532" t="s">
        <v>272</v>
      </c>
      <c r="D49" s="143" t="s">
        <v>377</v>
      </c>
      <c r="E49" s="124" t="s">
        <v>271</v>
      </c>
      <c r="F49" s="144">
        <f t="shared" ref="F49:M49" si="117">F46*(F75+F76)</f>
        <v>133.04093567251462</v>
      </c>
      <c r="G49" s="144">
        <f t="shared" si="117"/>
        <v>197.46956928838952</v>
      </c>
      <c r="H49" s="144">
        <f t="shared" si="117"/>
        <v>80.614495470165565</v>
      </c>
      <c r="I49" s="144">
        <f t="shared" si="117"/>
        <v>46.193466270683075</v>
      </c>
      <c r="J49" s="144">
        <f t="shared" si="117"/>
        <v>91.507228915662651</v>
      </c>
      <c r="K49" s="144">
        <f t="shared" si="117"/>
        <v>112.14152066678007</v>
      </c>
      <c r="L49" s="144">
        <f t="shared" si="117"/>
        <v>186.37635905018703</v>
      </c>
      <c r="M49" s="144">
        <f t="shared" si="117"/>
        <v>282.14945761349941</v>
      </c>
      <c r="N49" s="145">
        <f t="shared" ref="N49:W49" si="118">N66*N83*(N75+N76)*N65</f>
        <v>351.28256170184113</v>
      </c>
      <c r="O49" s="145">
        <f t="shared" si="118"/>
        <v>449.23576891519673</v>
      </c>
      <c r="P49" s="145">
        <f t="shared" si="118"/>
        <v>574.50268836322448</v>
      </c>
      <c r="Q49" s="145">
        <f t="shared" si="118"/>
        <v>734.69959823897534</v>
      </c>
      <c r="R49" s="145">
        <f t="shared" si="118"/>
        <v>861.8026287343182</v>
      </c>
      <c r="S49" s="145">
        <f t="shared" si="118"/>
        <v>1299.4484854133109</v>
      </c>
      <c r="T49" s="145">
        <f t="shared" si="118"/>
        <v>1676.2885461831713</v>
      </c>
      <c r="U49" s="145">
        <f t="shared" si="118"/>
        <v>2385.7874192188392</v>
      </c>
      <c r="V49" s="145">
        <f t="shared" si="118"/>
        <v>2757.9702566169781</v>
      </c>
      <c r="W49" s="145">
        <f t="shared" si="118"/>
        <v>3144.0860925433549</v>
      </c>
      <c r="X49" s="145">
        <f t="shared" ref="X49:Y49" si="119">X66*X83*(X75+X76)*X65</f>
        <v>3544.5433738041397</v>
      </c>
      <c r="Y49" s="145">
        <f t="shared" si="119"/>
        <v>3959.7613118783388</v>
      </c>
      <c r="Z49" s="145">
        <f t="shared" ref="Z49:AA49" si="120">Z66*Z83*(Z75+Z76)*Z65</f>
        <v>4390.1701501259859</v>
      </c>
      <c r="AA49" s="146">
        <f t="shared" si="120"/>
        <v>4477.973553128505</v>
      </c>
    </row>
    <row r="50" spans="2:27" x14ac:dyDescent="0.25">
      <c r="B50" s="536"/>
      <c r="C50" s="533"/>
      <c r="D50" s="429" t="s">
        <v>377</v>
      </c>
      <c r="E50" s="125" t="s">
        <v>216</v>
      </c>
      <c r="F50" s="129">
        <f>F49</f>
        <v>133.04093567251462</v>
      </c>
      <c r="G50" s="129">
        <f>F50+G49</f>
        <v>330.51050496090414</v>
      </c>
      <c r="H50" s="129">
        <f t="shared" ref="H50" si="121">G50+H49</f>
        <v>411.12500043106968</v>
      </c>
      <c r="I50" s="129">
        <f t="shared" ref="I50" si="122">H50+I49</f>
        <v>457.31846670175275</v>
      </c>
      <c r="J50" s="129">
        <f t="shared" ref="J50" si="123">I50+J49</f>
        <v>548.82569561741536</v>
      </c>
      <c r="K50" s="129">
        <f t="shared" ref="K50" si="124">J50+K49</f>
        <v>660.96721628419539</v>
      </c>
      <c r="L50" s="129">
        <f>K50+L49</f>
        <v>847.34357533438242</v>
      </c>
      <c r="M50" s="147">
        <f>L50+M49</f>
        <v>1129.4930329478818</v>
      </c>
      <c r="N50" s="147">
        <f>M50+N49</f>
        <v>1480.775594649723</v>
      </c>
      <c r="O50" s="147">
        <f t="shared" ref="O50" si="125">N50+O49</f>
        <v>1930.0113635649197</v>
      </c>
      <c r="P50" s="147">
        <f t="shared" ref="P50" si="126">O50+P49</f>
        <v>2504.514051928144</v>
      </c>
      <c r="Q50" s="147">
        <f t="shared" ref="Q50" si="127">P50+Q49</f>
        <v>3239.2136501671193</v>
      </c>
      <c r="R50" s="147">
        <f t="shared" ref="R50" si="128">Q50+R49</f>
        <v>4101.0162789014375</v>
      </c>
      <c r="S50" s="147">
        <f t="shared" ref="S50" si="129">R50+S49</f>
        <v>5400.4647643147482</v>
      </c>
      <c r="T50" s="147">
        <f t="shared" ref="T50" si="130">S50+T49</f>
        <v>7076.7533104979193</v>
      </c>
      <c r="U50" s="147">
        <f t="shared" ref="U50" si="131">T50+U49</f>
        <v>9462.5407297167585</v>
      </c>
      <c r="V50" s="147">
        <f t="shared" ref="V50" si="132">U50+V49</f>
        <v>12220.510986333737</v>
      </c>
      <c r="W50" s="147">
        <f t="shared" ref="W50" si="133">V50+W49</f>
        <v>15364.597078877092</v>
      </c>
      <c r="X50" s="147">
        <f t="shared" ref="X50" si="134">W50+X49</f>
        <v>18909.140452681233</v>
      </c>
      <c r="Y50" s="147">
        <f t="shared" ref="Y50" si="135">X50+Y49</f>
        <v>22868.90176455957</v>
      </c>
      <c r="Z50" s="147">
        <f t="shared" ref="Z50" si="136">Y50+Z49</f>
        <v>27259.071914685555</v>
      </c>
      <c r="AA50" s="148">
        <f t="shared" ref="AA50" si="137">Z50+AA49</f>
        <v>31737.04546781406</v>
      </c>
    </row>
    <row r="51" spans="2:27" x14ac:dyDescent="0.25">
      <c r="B51" s="536"/>
      <c r="C51" s="533"/>
      <c r="D51" s="429" t="s">
        <v>377</v>
      </c>
      <c r="E51" s="125" t="s">
        <v>273</v>
      </c>
      <c r="F51" s="129">
        <f>E3*0.6</f>
        <v>1708.2</v>
      </c>
      <c r="G51" s="129">
        <f>F51</f>
        <v>1708.2</v>
      </c>
      <c r="H51" s="129">
        <f t="shared" ref="H51" si="138">G51</f>
        <v>1708.2</v>
      </c>
      <c r="I51" s="129">
        <f t="shared" ref="I51" si="139">H51</f>
        <v>1708.2</v>
      </c>
      <c r="J51" s="129">
        <f t="shared" ref="J51" si="140">I51</f>
        <v>1708.2</v>
      </c>
      <c r="K51" s="129">
        <f t="shared" ref="K51" si="141">J51</f>
        <v>1708.2</v>
      </c>
      <c r="L51" s="129">
        <f t="shared" ref="L51" si="142">K51</f>
        <v>1708.2</v>
      </c>
      <c r="M51" s="129">
        <f t="shared" ref="M51" si="143">L51</f>
        <v>1708.2</v>
      </c>
      <c r="N51" s="129">
        <f t="shared" ref="N51" si="144">M51</f>
        <v>1708.2</v>
      </c>
      <c r="O51" s="129">
        <f t="shared" ref="O51" si="145">N51</f>
        <v>1708.2</v>
      </c>
      <c r="P51" s="129">
        <f t="shared" ref="P51" si="146">O51</f>
        <v>1708.2</v>
      </c>
      <c r="Q51" s="129">
        <f t="shared" ref="Q51" si="147">P51</f>
        <v>1708.2</v>
      </c>
      <c r="R51" s="129">
        <f t="shared" ref="R51" si="148">Q51</f>
        <v>1708.2</v>
      </c>
      <c r="S51" s="129">
        <f t="shared" ref="S51" si="149">R51</f>
        <v>1708.2</v>
      </c>
      <c r="T51" s="129">
        <f t="shared" ref="T51" si="150">S51</f>
        <v>1708.2</v>
      </c>
      <c r="U51" s="129">
        <f t="shared" ref="U51" si="151">T51</f>
        <v>1708.2</v>
      </c>
      <c r="V51" s="129">
        <f t="shared" ref="V51" si="152">U51</f>
        <v>1708.2</v>
      </c>
      <c r="W51" s="129">
        <f t="shared" ref="W51" si="153">V51</f>
        <v>1708.2</v>
      </c>
      <c r="X51" s="129">
        <f t="shared" ref="X51" si="154">W51</f>
        <v>1708.2</v>
      </c>
      <c r="Y51" s="129">
        <f t="shared" ref="Y51" si="155">X51</f>
        <v>1708.2</v>
      </c>
      <c r="Z51" s="129">
        <f t="shared" ref="Z51" si="156">Y51</f>
        <v>1708.2</v>
      </c>
      <c r="AA51" s="130">
        <f t="shared" ref="AA51" si="157">Z51</f>
        <v>1708.2</v>
      </c>
    </row>
    <row r="52" spans="2:27" x14ac:dyDescent="0.25">
      <c r="B52" s="536"/>
      <c r="C52" s="533"/>
      <c r="D52" s="429" t="s">
        <v>377</v>
      </c>
      <c r="E52" s="125" t="s">
        <v>274</v>
      </c>
      <c r="F52" s="129">
        <f>F49*F51</f>
        <v>227260.5263157895</v>
      </c>
      <c r="G52" s="129">
        <f t="shared" ref="G52:W52" si="158">G49*G51</f>
        <v>337317.51825842698</v>
      </c>
      <c r="H52" s="129">
        <f t="shared" si="158"/>
        <v>137705.68116213681</v>
      </c>
      <c r="I52" s="129">
        <f t="shared" si="158"/>
        <v>78907.679083580835</v>
      </c>
      <c r="J52" s="129">
        <f t="shared" si="158"/>
        <v>156312.64843373495</v>
      </c>
      <c r="K52" s="129">
        <f t="shared" si="158"/>
        <v>191560.14560299373</v>
      </c>
      <c r="L52" s="129">
        <f t="shared" si="158"/>
        <v>318368.09652952949</v>
      </c>
      <c r="M52" s="129">
        <f t="shared" si="158"/>
        <v>481967.70349537971</v>
      </c>
      <c r="N52" s="129">
        <f t="shared" si="158"/>
        <v>600060.871899085</v>
      </c>
      <c r="O52" s="129">
        <f t="shared" si="158"/>
        <v>767384.54046093905</v>
      </c>
      <c r="P52" s="129">
        <f t="shared" si="158"/>
        <v>981365.49226206006</v>
      </c>
      <c r="Q52" s="129">
        <f t="shared" si="158"/>
        <v>1255013.8537118176</v>
      </c>
      <c r="R52" s="129">
        <f t="shared" si="158"/>
        <v>1472131.2504039623</v>
      </c>
      <c r="S52" s="129">
        <f t="shared" si="158"/>
        <v>2219717.9027830176</v>
      </c>
      <c r="T52" s="129">
        <f t="shared" si="158"/>
        <v>2863436.0945900935</v>
      </c>
      <c r="U52" s="129">
        <f t="shared" si="158"/>
        <v>4075402.0695096212</v>
      </c>
      <c r="V52" s="129">
        <f t="shared" si="158"/>
        <v>4711164.7923531225</v>
      </c>
      <c r="W52" s="129">
        <f t="shared" si="158"/>
        <v>5370727.8632825585</v>
      </c>
      <c r="X52" s="129">
        <f t="shared" ref="X52:Y52" si="159">X49*X51</f>
        <v>6054788.9911322314</v>
      </c>
      <c r="Y52" s="129">
        <f t="shared" si="159"/>
        <v>6764064.2729505785</v>
      </c>
      <c r="Z52" s="129">
        <f t="shared" ref="Z52:AA52" si="160">Z49*Z51</f>
        <v>7499288.6504452089</v>
      </c>
      <c r="AA52" s="130">
        <f t="shared" si="160"/>
        <v>7649274.4234541124</v>
      </c>
    </row>
    <row r="53" spans="2:27" x14ac:dyDescent="0.25">
      <c r="B53" s="536"/>
      <c r="C53" s="534"/>
      <c r="D53" s="149" t="s">
        <v>377</v>
      </c>
      <c r="E53" s="133" t="s">
        <v>275</v>
      </c>
      <c r="F53" s="135">
        <f>F50*F51-F49*F51/2</f>
        <v>113630.26315789475</v>
      </c>
      <c r="G53" s="135">
        <f>G50*G51-G49*G51/2</f>
        <v>395919.28544500296</v>
      </c>
      <c r="H53" s="135">
        <f>H50*H51-H49*H51/2</f>
        <v>633430.88515528478</v>
      </c>
      <c r="I53" s="135">
        <f>I50*I51-I49*I51/2</f>
        <v>741737.56527814362</v>
      </c>
      <c r="J53" s="135">
        <f>J50*J51-J49*J51/2</f>
        <v>859347.72903680149</v>
      </c>
      <c r="K53" s="135">
        <f t="shared" ref="K53:W53" si="161">K50*K51-K49*K51/2</f>
        <v>1033284.1260551657</v>
      </c>
      <c r="L53" s="135">
        <f t="shared" si="161"/>
        <v>1288248.2471214274</v>
      </c>
      <c r="M53" s="135">
        <f t="shared" si="161"/>
        <v>1688416.1471338819</v>
      </c>
      <c r="N53" s="135">
        <f t="shared" si="161"/>
        <v>2229430.4348311145</v>
      </c>
      <c r="O53" s="135">
        <f t="shared" si="161"/>
        <v>2913153.1410111263</v>
      </c>
      <c r="P53" s="135">
        <f t="shared" si="161"/>
        <v>3787528.1573726255</v>
      </c>
      <c r="Q53" s="135">
        <f t="shared" si="161"/>
        <v>4905717.8303595651</v>
      </c>
      <c r="R53" s="135">
        <f t="shared" si="161"/>
        <v>6269290.3824174544</v>
      </c>
      <c r="S53" s="135">
        <f t="shared" si="161"/>
        <v>8115214.9590109438</v>
      </c>
      <c r="T53" s="135">
        <f t="shared" si="161"/>
        <v>10656791.9576975</v>
      </c>
      <c r="U53" s="135">
        <f t="shared" si="161"/>
        <v>14126211.039747357</v>
      </c>
      <c r="V53" s="135">
        <f t="shared" si="161"/>
        <v>18519494.470678728</v>
      </c>
      <c r="W53" s="135">
        <f t="shared" si="161"/>
        <v>23560440.798496567</v>
      </c>
      <c r="X53" s="135">
        <f t="shared" ref="X53:Y53" si="162">X50*X51-X49*X51/2</f>
        <v>29273199.22570397</v>
      </c>
      <c r="Y53" s="135">
        <f t="shared" si="162"/>
        <v>35682625.857745372</v>
      </c>
      <c r="Z53" s="135">
        <f t="shared" ref="Z53:AA53" si="163">Z50*Z51-Z49*Z51/2</f>
        <v>42814302.319443263</v>
      </c>
      <c r="AA53" s="440">
        <f t="shared" si="163"/>
        <v>50388583.856392927</v>
      </c>
    </row>
    <row r="54" spans="2:27" x14ac:dyDescent="0.25">
      <c r="B54" s="536"/>
      <c r="C54" s="533" t="s">
        <v>276</v>
      </c>
      <c r="D54" s="143" t="s">
        <v>377</v>
      </c>
      <c r="E54" s="125" t="s">
        <v>271</v>
      </c>
      <c r="F54" s="150">
        <f t="shared" ref="F54:M54" si="164">F46*F77</f>
        <v>16.959064327485379</v>
      </c>
      <c r="G54" s="150">
        <f t="shared" si="164"/>
        <v>22.530430711610485</v>
      </c>
      <c r="H54" s="150">
        <f t="shared" si="164"/>
        <v>2.3855045298344266</v>
      </c>
      <c r="I54" s="150">
        <f t="shared" si="164"/>
        <v>2.8065337293169286</v>
      </c>
      <c r="J54" s="150">
        <f t="shared" si="164"/>
        <v>5.492771084337349</v>
      </c>
      <c r="K54" s="150">
        <f t="shared" si="164"/>
        <v>10.858479333219934</v>
      </c>
      <c r="L54" s="150">
        <f t="shared" si="164"/>
        <v>10.623640949812994</v>
      </c>
      <c r="M54" s="150">
        <f t="shared" si="164"/>
        <v>6.850542386500603</v>
      </c>
      <c r="N54" s="145">
        <f t="shared" ref="N54:W54" si="165">N66*N83*N77*N65</f>
        <v>14.185916706002905</v>
      </c>
      <c r="O54" s="145">
        <f t="shared" si="165"/>
        <v>18.141581433231586</v>
      </c>
      <c r="P54" s="145">
        <f t="shared" si="165"/>
        <v>23.200261478999376</v>
      </c>
      <c r="Q54" s="145">
        <f t="shared" si="165"/>
        <v>29.66952658867859</v>
      </c>
      <c r="R54" s="145">
        <f t="shared" si="165"/>
        <v>34.802354688519998</v>
      </c>
      <c r="S54" s="145">
        <f t="shared" si="165"/>
        <v>52.475898286864052</v>
      </c>
      <c r="T54" s="145">
        <f t="shared" si="165"/>
        <v>67.693908790054635</v>
      </c>
      <c r="U54" s="145">
        <f t="shared" si="165"/>
        <v>96.345749254682403</v>
      </c>
      <c r="V54" s="145">
        <f t="shared" si="165"/>
        <v>111.37568613841286</v>
      </c>
      <c r="W54" s="145">
        <f t="shared" si="165"/>
        <v>126.96828219779067</v>
      </c>
      <c r="X54" s="145">
        <f t="shared" ref="X54:Y54" si="166">X66*X83*X77*X65</f>
        <v>143.14003182508822</v>
      </c>
      <c r="Y54" s="145">
        <f t="shared" si="166"/>
        <v>159.90786412459852</v>
      </c>
      <c r="Z54" s="145">
        <f t="shared" ref="Z54:AA54" si="167">Z66*Z83*Z77*Z65</f>
        <v>177.28915370335926</v>
      </c>
      <c r="AA54" s="146">
        <f t="shared" si="167"/>
        <v>180.83493677742644</v>
      </c>
    </row>
    <row r="55" spans="2:27" x14ac:dyDescent="0.25">
      <c r="B55" s="536"/>
      <c r="C55" s="533"/>
      <c r="D55" s="429" t="s">
        <v>377</v>
      </c>
      <c r="E55" s="125" t="s">
        <v>216</v>
      </c>
      <c r="F55" s="150">
        <f>F54</f>
        <v>16.959064327485379</v>
      </c>
      <c r="G55" s="150">
        <f>F55+G54</f>
        <v>39.489495039095864</v>
      </c>
      <c r="H55" s="150">
        <f t="shared" ref="H55" si="168">G55+H54</f>
        <v>41.874999568930292</v>
      </c>
      <c r="I55" s="150">
        <f t="shared" ref="I55" si="169">H55+I54</f>
        <v>44.681533298247217</v>
      </c>
      <c r="J55" s="150">
        <f t="shared" ref="J55" si="170">I55+J54</f>
        <v>50.174304382584566</v>
      </c>
      <c r="K55" s="150">
        <f t="shared" ref="K55" si="171">J55+K54</f>
        <v>61.032783715804499</v>
      </c>
      <c r="L55" s="150">
        <f>K55+L54</f>
        <v>71.656424665617493</v>
      </c>
      <c r="M55" s="150">
        <f>L55+M54</f>
        <v>78.5069670521181</v>
      </c>
      <c r="N55" s="150">
        <f t="shared" ref="N55" si="172">M55+N54</f>
        <v>92.692883758120999</v>
      </c>
      <c r="O55" s="150">
        <f t="shared" ref="O55" si="173">N55+O54</f>
        <v>110.83446519135259</v>
      </c>
      <c r="P55" s="150">
        <f t="shared" ref="P55" si="174">O55+P54</f>
        <v>134.03472667035197</v>
      </c>
      <c r="Q55" s="150">
        <f t="shared" ref="Q55" si="175">P55+Q54</f>
        <v>163.70425325903057</v>
      </c>
      <c r="R55" s="150">
        <f t="shared" ref="R55" si="176">Q55+R54</f>
        <v>198.50660794755055</v>
      </c>
      <c r="S55" s="150">
        <f t="shared" ref="S55" si="177">R55+S54</f>
        <v>250.98250623441459</v>
      </c>
      <c r="T55" s="150">
        <f t="shared" ref="T55" si="178">S55+T54</f>
        <v>318.67641502446924</v>
      </c>
      <c r="U55" s="150">
        <f t="shared" ref="U55" si="179">T55+U54</f>
        <v>415.02216427915164</v>
      </c>
      <c r="V55" s="150">
        <f t="shared" ref="V55" si="180">U55+V54</f>
        <v>526.39785041756454</v>
      </c>
      <c r="W55" s="150">
        <f t="shared" ref="W55" si="181">V55+W54</f>
        <v>653.36613261535524</v>
      </c>
      <c r="X55" s="150">
        <f t="shared" ref="X55" si="182">W55+X54</f>
        <v>796.5061644404434</v>
      </c>
      <c r="Y55" s="150">
        <f t="shared" ref="Y55" si="183">X55+Y54</f>
        <v>956.41402856504192</v>
      </c>
      <c r="Z55" s="150">
        <f t="shared" ref="Z55" si="184">Y55+Z54</f>
        <v>1133.7031822684012</v>
      </c>
      <c r="AA55" s="151">
        <f t="shared" ref="AA55" si="185">Z55+AA54</f>
        <v>1314.5381190458277</v>
      </c>
    </row>
    <row r="56" spans="2:27" x14ac:dyDescent="0.25">
      <c r="B56" s="536"/>
      <c r="C56" s="533"/>
      <c r="D56" s="429" t="s">
        <v>377</v>
      </c>
      <c r="E56" s="125" t="s">
        <v>273</v>
      </c>
      <c r="F56" s="129">
        <f>E5*0.6</f>
        <v>3000</v>
      </c>
      <c r="G56" s="129">
        <f t="shared" ref="G56" si="186">F56</f>
        <v>3000</v>
      </c>
      <c r="H56" s="129">
        <f t="shared" ref="H56" si="187">G56</f>
        <v>3000</v>
      </c>
      <c r="I56" s="129">
        <f t="shared" ref="I56" si="188">H56</f>
        <v>3000</v>
      </c>
      <c r="J56" s="129">
        <f t="shared" ref="J56" si="189">I56</f>
        <v>3000</v>
      </c>
      <c r="K56" s="129">
        <f t="shared" ref="K56" si="190">J56</f>
        <v>3000</v>
      </c>
      <c r="L56" s="129">
        <f t="shared" ref="L56" si="191">K56</f>
        <v>3000</v>
      </c>
      <c r="M56" s="129">
        <f t="shared" ref="M56" si="192">L56</f>
        <v>3000</v>
      </c>
      <c r="N56" s="129">
        <f t="shared" ref="N56" si="193">M56</f>
        <v>3000</v>
      </c>
      <c r="O56" s="129">
        <f t="shared" ref="O56" si="194">N56</f>
        <v>3000</v>
      </c>
      <c r="P56" s="129">
        <f t="shared" ref="P56" si="195">O56</f>
        <v>3000</v>
      </c>
      <c r="Q56" s="129">
        <f t="shared" ref="Q56" si="196">P56</f>
        <v>3000</v>
      </c>
      <c r="R56" s="129">
        <f t="shared" ref="R56" si="197">Q56</f>
        <v>3000</v>
      </c>
      <c r="S56" s="129">
        <f t="shared" ref="S56" si="198">R56</f>
        <v>3000</v>
      </c>
      <c r="T56" s="129">
        <f t="shared" ref="T56" si="199">S56</f>
        <v>3000</v>
      </c>
      <c r="U56" s="129">
        <f t="shared" ref="U56" si="200">T56</f>
        <v>3000</v>
      </c>
      <c r="V56" s="129">
        <f t="shared" ref="V56" si="201">U56</f>
        <v>3000</v>
      </c>
      <c r="W56" s="129">
        <f t="shared" ref="W56" si="202">V56</f>
        <v>3000</v>
      </c>
      <c r="X56" s="129">
        <f t="shared" ref="X56" si="203">W56</f>
        <v>3000</v>
      </c>
      <c r="Y56" s="129">
        <f t="shared" ref="Y56" si="204">X56</f>
        <v>3000</v>
      </c>
      <c r="Z56" s="129">
        <f t="shared" ref="Z56" si="205">Y56</f>
        <v>3000</v>
      </c>
      <c r="AA56" s="130">
        <f t="shared" ref="AA56" si="206">Z56</f>
        <v>3000</v>
      </c>
    </row>
    <row r="57" spans="2:27" x14ac:dyDescent="0.25">
      <c r="B57" s="536"/>
      <c r="C57" s="533"/>
      <c r="D57" s="429" t="s">
        <v>377</v>
      </c>
      <c r="E57" s="125" t="s">
        <v>274</v>
      </c>
      <c r="F57" s="129">
        <f>F54*F56</f>
        <v>50877.192982456138</v>
      </c>
      <c r="G57" s="129">
        <f t="shared" ref="G57:W57" si="207">G54*G56</f>
        <v>67591.292134831456</v>
      </c>
      <c r="H57" s="129">
        <f t="shared" si="207"/>
        <v>7156.5135895032799</v>
      </c>
      <c r="I57" s="129">
        <f t="shared" si="207"/>
        <v>8419.601187950786</v>
      </c>
      <c r="J57" s="129">
        <f t="shared" si="207"/>
        <v>16478.313253012046</v>
      </c>
      <c r="K57" s="129">
        <f t="shared" si="207"/>
        <v>32575.437999659804</v>
      </c>
      <c r="L57" s="129">
        <f t="shared" si="207"/>
        <v>31870.922849438983</v>
      </c>
      <c r="M57" s="129">
        <f t="shared" si="207"/>
        <v>20551.627159501808</v>
      </c>
      <c r="N57" s="129">
        <f t="shared" si="207"/>
        <v>42557.750118008713</v>
      </c>
      <c r="O57" s="129">
        <f t="shared" si="207"/>
        <v>54424.744299694758</v>
      </c>
      <c r="P57" s="129">
        <f t="shared" si="207"/>
        <v>69600.784436998132</v>
      </c>
      <c r="Q57" s="129">
        <f t="shared" si="207"/>
        <v>89008.579766035764</v>
      </c>
      <c r="R57" s="129">
        <f t="shared" si="207"/>
        <v>104407.06406556</v>
      </c>
      <c r="S57" s="129">
        <f t="shared" si="207"/>
        <v>157427.69486059216</v>
      </c>
      <c r="T57" s="129">
        <f t="shared" si="207"/>
        <v>203081.7263701639</v>
      </c>
      <c r="U57" s="129">
        <f t="shared" si="207"/>
        <v>289037.24776404724</v>
      </c>
      <c r="V57" s="129">
        <f t="shared" si="207"/>
        <v>334127.05841523857</v>
      </c>
      <c r="W57" s="129">
        <f t="shared" si="207"/>
        <v>380904.846593372</v>
      </c>
      <c r="X57" s="129">
        <f t="shared" ref="X57:Y57" si="208">X54*X56</f>
        <v>429420.09547526465</v>
      </c>
      <c r="Y57" s="129">
        <f t="shared" si="208"/>
        <v>479723.59237379557</v>
      </c>
      <c r="Z57" s="129">
        <f t="shared" ref="Z57:AA57" si="209">Z54*Z56</f>
        <v>531867.4611100778</v>
      </c>
      <c r="AA57" s="130">
        <f t="shared" si="209"/>
        <v>542504.8103322793</v>
      </c>
    </row>
    <row r="58" spans="2:27" x14ac:dyDescent="0.25">
      <c r="B58" s="536"/>
      <c r="C58" s="533"/>
      <c r="D58" s="149" t="s">
        <v>377</v>
      </c>
      <c r="E58" s="125" t="s">
        <v>275</v>
      </c>
      <c r="F58" s="135">
        <f>F55*F56-F54*F56/2</f>
        <v>25438.596491228069</v>
      </c>
      <c r="G58" s="135">
        <f>G55*G56-G54*G56/2</f>
        <v>84672.839049871865</v>
      </c>
      <c r="H58" s="135">
        <f>H55*H56-H54*H56/2</f>
        <v>122046.74191203924</v>
      </c>
      <c r="I58" s="135">
        <f>I55*I56-I54*I56/2</f>
        <v>129834.79930076624</v>
      </c>
      <c r="J58" s="135">
        <f>J55*J56-J54*J56/2</f>
        <v>142283.75652124768</v>
      </c>
      <c r="K58" s="135">
        <f t="shared" ref="K58:W58" si="210">K55*K56-K54*K56/2</f>
        <v>166810.63214758359</v>
      </c>
      <c r="L58" s="135">
        <f t="shared" si="210"/>
        <v>199033.812572133</v>
      </c>
      <c r="M58" s="135">
        <f t="shared" si="210"/>
        <v>225245.08757660337</v>
      </c>
      <c r="N58" s="135">
        <f t="shared" si="210"/>
        <v>256799.77621535864</v>
      </c>
      <c r="O58" s="135">
        <f t="shared" si="210"/>
        <v>305291.02342421038</v>
      </c>
      <c r="P58" s="135">
        <f t="shared" si="210"/>
        <v>367303.7877925568</v>
      </c>
      <c r="Q58" s="135">
        <f t="shared" si="210"/>
        <v>446608.46989407379</v>
      </c>
      <c r="R58" s="135">
        <f t="shared" si="210"/>
        <v>543316.29180987168</v>
      </c>
      <c r="S58" s="135">
        <f t="shared" si="210"/>
        <v>674233.67127294769</v>
      </c>
      <c r="T58" s="135">
        <f t="shared" si="210"/>
        <v>854488.38188832568</v>
      </c>
      <c r="U58" s="135">
        <f t="shared" si="210"/>
        <v>1100547.8689554313</v>
      </c>
      <c r="V58" s="135">
        <f t="shared" si="210"/>
        <v>1412130.0220450743</v>
      </c>
      <c r="W58" s="135">
        <f t="shared" si="210"/>
        <v>1769645.9745493797</v>
      </c>
      <c r="X58" s="135">
        <f t="shared" ref="X58:Y58" si="211">X55*X56-X54*X56/2</f>
        <v>2174808.4455836979</v>
      </c>
      <c r="Y58" s="135">
        <f t="shared" si="211"/>
        <v>2629380.2895082277</v>
      </c>
      <c r="Z58" s="135">
        <f t="shared" ref="Z58:AA58" si="212">Z55*Z56-Z54*Z56/2</f>
        <v>3135175.8162501645</v>
      </c>
      <c r="AA58" s="440">
        <f t="shared" si="212"/>
        <v>3672361.9519713433</v>
      </c>
    </row>
    <row r="59" spans="2:27" x14ac:dyDescent="0.25">
      <c r="B59" s="536"/>
      <c r="C59" s="532" t="s">
        <v>277</v>
      </c>
      <c r="D59" s="143" t="s">
        <v>377</v>
      </c>
      <c r="E59" s="124" t="s">
        <v>271</v>
      </c>
      <c r="F59" s="152">
        <f t="shared" ref="F59:M59" si="213">F46*F78</f>
        <v>0</v>
      </c>
      <c r="G59" s="152">
        <f t="shared" si="213"/>
        <v>0</v>
      </c>
      <c r="H59" s="152">
        <f t="shared" si="213"/>
        <v>0</v>
      </c>
      <c r="I59" s="152">
        <f t="shared" si="213"/>
        <v>0</v>
      </c>
      <c r="J59" s="152">
        <f t="shared" si="213"/>
        <v>0</v>
      </c>
      <c r="K59" s="153">
        <f t="shared" si="213"/>
        <v>0</v>
      </c>
      <c r="L59" s="153">
        <f t="shared" si="213"/>
        <v>0</v>
      </c>
      <c r="M59" s="153">
        <f t="shared" si="213"/>
        <v>0</v>
      </c>
      <c r="N59" s="145">
        <f t="shared" ref="N59:W59" si="214">N66*N83*N78*N65</f>
        <v>0</v>
      </c>
      <c r="O59" s="145">
        <f t="shared" si="214"/>
        <v>0</v>
      </c>
      <c r="P59" s="145">
        <f t="shared" si="214"/>
        <v>0</v>
      </c>
      <c r="Q59" s="145">
        <f t="shared" si="214"/>
        <v>0</v>
      </c>
      <c r="R59" s="145">
        <f t="shared" si="214"/>
        <v>0</v>
      </c>
      <c r="S59" s="145">
        <f t="shared" si="214"/>
        <v>0</v>
      </c>
      <c r="T59" s="145">
        <f t="shared" si="214"/>
        <v>0</v>
      </c>
      <c r="U59" s="145">
        <f t="shared" si="214"/>
        <v>0</v>
      </c>
      <c r="V59" s="145">
        <f t="shared" si="214"/>
        <v>0</v>
      </c>
      <c r="W59" s="145">
        <f t="shared" si="214"/>
        <v>0</v>
      </c>
      <c r="X59" s="145">
        <f t="shared" ref="X59:Y59" si="215">X66*X83*X78*X65</f>
        <v>0</v>
      </c>
      <c r="Y59" s="145">
        <f t="shared" si="215"/>
        <v>0</v>
      </c>
      <c r="Z59" s="145">
        <f t="shared" ref="Z59:AA59" si="216">Z66*Z83*Z78*Z65</f>
        <v>0</v>
      </c>
      <c r="AA59" s="146">
        <f t="shared" si="216"/>
        <v>0</v>
      </c>
    </row>
    <row r="60" spans="2:27" x14ac:dyDescent="0.25">
      <c r="B60" s="536"/>
      <c r="C60" s="533"/>
      <c r="D60" s="429" t="s">
        <v>377</v>
      </c>
      <c r="E60" s="125" t="s">
        <v>216</v>
      </c>
      <c r="F60" s="150">
        <f>F59</f>
        <v>0</v>
      </c>
      <c r="G60" s="150">
        <f>F60+G59</f>
        <v>0</v>
      </c>
      <c r="H60" s="150">
        <f t="shared" ref="H60" si="217">G60+H59</f>
        <v>0</v>
      </c>
      <c r="I60" s="150">
        <f t="shared" ref="I60" si="218">H60+I59</f>
        <v>0</v>
      </c>
      <c r="J60" s="150">
        <f t="shared" ref="J60" si="219">I60+J59</f>
        <v>0</v>
      </c>
      <c r="K60" s="150">
        <f t="shared" ref="K60" si="220">J60+K59</f>
        <v>0</v>
      </c>
      <c r="L60" s="150">
        <f>K60+L59</f>
        <v>0</v>
      </c>
      <c r="M60" s="150">
        <f t="shared" ref="M60" si="221">L60+M59</f>
        <v>0</v>
      </c>
      <c r="N60" s="150">
        <f t="shared" ref="N60" si="222">M60+N59</f>
        <v>0</v>
      </c>
      <c r="O60" s="150">
        <f t="shared" ref="O60" si="223">N60+O59</f>
        <v>0</v>
      </c>
      <c r="P60" s="150">
        <f>O60+P59</f>
        <v>0</v>
      </c>
      <c r="Q60" s="150">
        <f t="shared" ref="Q60" si="224">P60+Q59</f>
        <v>0</v>
      </c>
      <c r="R60" s="150">
        <f t="shared" ref="R60" si="225">Q60+R59</f>
        <v>0</v>
      </c>
      <c r="S60" s="150">
        <f t="shared" ref="S60" si="226">R60+S59</f>
        <v>0</v>
      </c>
      <c r="T60" s="150">
        <f t="shared" ref="T60" si="227">S60+T59</f>
        <v>0</v>
      </c>
      <c r="U60" s="150">
        <f t="shared" ref="U60" si="228">T60+U59</f>
        <v>0</v>
      </c>
      <c r="V60" s="150">
        <f t="shared" ref="V60" si="229">U60+V59</f>
        <v>0</v>
      </c>
      <c r="W60" s="150">
        <f t="shared" ref="W60" si="230">V60+W59</f>
        <v>0</v>
      </c>
      <c r="X60" s="150">
        <f t="shared" ref="X60" si="231">W60+X59</f>
        <v>0</v>
      </c>
      <c r="Y60" s="150">
        <f t="shared" ref="Y60" si="232">X60+Y59</f>
        <v>0</v>
      </c>
      <c r="Z60" s="150">
        <f t="shared" ref="Z60" si="233">Y60+Z59</f>
        <v>0</v>
      </c>
      <c r="AA60" s="151">
        <f t="shared" ref="AA60" si="234">Z60+AA59</f>
        <v>0</v>
      </c>
    </row>
    <row r="61" spans="2:27" x14ac:dyDescent="0.25">
      <c r="B61" s="536"/>
      <c r="C61" s="533"/>
      <c r="D61" s="429" t="s">
        <v>377</v>
      </c>
      <c r="E61" s="125" t="s">
        <v>273</v>
      </c>
      <c r="F61" s="129"/>
      <c r="G61" s="129"/>
      <c r="H61" s="129"/>
      <c r="I61" s="129"/>
      <c r="J61" s="129"/>
      <c r="K61" s="129">
        <f>E6*0.6</f>
        <v>3600</v>
      </c>
      <c r="L61" s="129">
        <f t="shared" ref="L61" si="235">K61</f>
        <v>3600</v>
      </c>
      <c r="M61" s="129">
        <f t="shared" ref="M61" si="236">L61</f>
        <v>3600</v>
      </c>
      <c r="N61" s="129">
        <f t="shared" ref="N61" si="237">M61</f>
        <v>3600</v>
      </c>
      <c r="O61" s="129">
        <f t="shared" ref="O61" si="238">N61</f>
        <v>3600</v>
      </c>
      <c r="P61" s="129">
        <f t="shared" ref="P61" si="239">O61</f>
        <v>3600</v>
      </c>
      <c r="Q61" s="129">
        <f t="shared" ref="Q61" si="240">P61</f>
        <v>3600</v>
      </c>
      <c r="R61" s="129">
        <f t="shared" ref="R61" si="241">Q61</f>
        <v>3600</v>
      </c>
      <c r="S61" s="129">
        <f t="shared" ref="S61" si="242">R61</f>
        <v>3600</v>
      </c>
      <c r="T61" s="129">
        <f t="shared" ref="T61" si="243">S61</f>
        <v>3600</v>
      </c>
      <c r="U61" s="129">
        <f t="shared" ref="U61" si="244">T61</f>
        <v>3600</v>
      </c>
      <c r="V61" s="129">
        <f t="shared" ref="V61" si="245">U61</f>
        <v>3600</v>
      </c>
      <c r="W61" s="129">
        <f t="shared" ref="W61" si="246">V61</f>
        <v>3600</v>
      </c>
      <c r="X61" s="129">
        <f t="shared" ref="X61" si="247">W61</f>
        <v>3600</v>
      </c>
      <c r="Y61" s="129">
        <f t="shared" ref="Y61" si="248">X61</f>
        <v>3600</v>
      </c>
      <c r="Z61" s="129">
        <f t="shared" ref="Z61" si="249">Y61</f>
        <v>3600</v>
      </c>
      <c r="AA61" s="130">
        <f t="shared" ref="AA61" si="250">Z61</f>
        <v>3600</v>
      </c>
    </row>
    <row r="62" spans="2:27" x14ac:dyDescent="0.25">
      <c r="B62" s="536"/>
      <c r="C62" s="533"/>
      <c r="D62" s="429" t="s">
        <v>377</v>
      </c>
      <c r="E62" s="125" t="s">
        <v>274</v>
      </c>
      <c r="F62" s="129">
        <f>F59*F61</f>
        <v>0</v>
      </c>
      <c r="G62" s="129">
        <f t="shared" ref="G62:W62" si="251">G59*G61</f>
        <v>0</v>
      </c>
      <c r="H62" s="129">
        <f t="shared" si="251"/>
        <v>0</v>
      </c>
      <c r="I62" s="129">
        <f t="shared" si="251"/>
        <v>0</v>
      </c>
      <c r="J62" s="129">
        <f t="shared" si="251"/>
        <v>0</v>
      </c>
      <c r="K62" s="129">
        <f t="shared" si="251"/>
        <v>0</v>
      </c>
      <c r="L62" s="129">
        <f t="shared" si="251"/>
        <v>0</v>
      </c>
      <c r="M62" s="129">
        <f t="shared" si="251"/>
        <v>0</v>
      </c>
      <c r="N62" s="129">
        <f t="shared" si="251"/>
        <v>0</v>
      </c>
      <c r="O62" s="129">
        <f t="shared" si="251"/>
        <v>0</v>
      </c>
      <c r="P62" s="129">
        <f t="shared" si="251"/>
        <v>0</v>
      </c>
      <c r="Q62" s="129">
        <f t="shared" si="251"/>
        <v>0</v>
      </c>
      <c r="R62" s="129">
        <f t="shared" si="251"/>
        <v>0</v>
      </c>
      <c r="S62" s="129">
        <f t="shared" si="251"/>
        <v>0</v>
      </c>
      <c r="T62" s="129">
        <f t="shared" si="251"/>
        <v>0</v>
      </c>
      <c r="U62" s="129">
        <f t="shared" si="251"/>
        <v>0</v>
      </c>
      <c r="V62" s="129">
        <f t="shared" si="251"/>
        <v>0</v>
      </c>
      <c r="W62" s="129">
        <f t="shared" si="251"/>
        <v>0</v>
      </c>
      <c r="X62" s="129">
        <f t="shared" ref="X62:Y62" si="252">X59*X61</f>
        <v>0</v>
      </c>
      <c r="Y62" s="129">
        <f t="shared" si="252"/>
        <v>0</v>
      </c>
      <c r="Z62" s="129">
        <f t="shared" ref="Z62:AA62" si="253">Z59*Z61</f>
        <v>0</v>
      </c>
      <c r="AA62" s="130">
        <f t="shared" si="253"/>
        <v>0</v>
      </c>
    </row>
    <row r="63" spans="2:27" x14ac:dyDescent="0.25">
      <c r="B63" s="536"/>
      <c r="C63" s="534"/>
      <c r="D63" s="149" t="s">
        <v>377</v>
      </c>
      <c r="E63" s="133" t="s">
        <v>275</v>
      </c>
      <c r="F63" s="135">
        <f>F60*F61-F59*F61/2</f>
        <v>0</v>
      </c>
      <c r="G63" s="135">
        <f>G60*G61-G59*G61/2</f>
        <v>0</v>
      </c>
      <c r="H63" s="135">
        <f>H60*H61-H59*H61/2</f>
        <v>0</v>
      </c>
      <c r="I63" s="135">
        <f>I60*I61-I59*I61/2</f>
        <v>0</v>
      </c>
      <c r="J63" s="135">
        <f>J60*J61-J59*J61/2</f>
        <v>0</v>
      </c>
      <c r="K63" s="135">
        <f t="shared" ref="K63:W63" si="254">K60*K61-K59*K61/2</f>
        <v>0</v>
      </c>
      <c r="L63" s="135">
        <f t="shared" si="254"/>
        <v>0</v>
      </c>
      <c r="M63" s="135">
        <f t="shared" si="254"/>
        <v>0</v>
      </c>
      <c r="N63" s="135">
        <f t="shared" si="254"/>
        <v>0</v>
      </c>
      <c r="O63" s="135">
        <f t="shared" si="254"/>
        <v>0</v>
      </c>
      <c r="P63" s="135">
        <f t="shared" si="254"/>
        <v>0</v>
      </c>
      <c r="Q63" s="135">
        <f t="shared" si="254"/>
        <v>0</v>
      </c>
      <c r="R63" s="135">
        <f t="shared" si="254"/>
        <v>0</v>
      </c>
      <c r="S63" s="135">
        <f t="shared" si="254"/>
        <v>0</v>
      </c>
      <c r="T63" s="135">
        <f t="shared" si="254"/>
        <v>0</v>
      </c>
      <c r="U63" s="135">
        <f t="shared" si="254"/>
        <v>0</v>
      </c>
      <c r="V63" s="135">
        <f t="shared" si="254"/>
        <v>0</v>
      </c>
      <c r="W63" s="135">
        <f t="shared" si="254"/>
        <v>0</v>
      </c>
      <c r="X63" s="135">
        <f t="shared" ref="X63:Y63" si="255">X60*X61-X59*X61/2</f>
        <v>0</v>
      </c>
      <c r="Y63" s="135">
        <f t="shared" si="255"/>
        <v>0</v>
      </c>
      <c r="Z63" s="135">
        <f t="shared" ref="Z63:AA63" si="256">Z60*Z61-Z59*Z61/2</f>
        <v>0</v>
      </c>
      <c r="AA63" s="440">
        <f t="shared" si="256"/>
        <v>0</v>
      </c>
    </row>
    <row r="64" spans="2:27" x14ac:dyDescent="0.25">
      <c r="B64" s="536"/>
      <c r="C64" s="426"/>
      <c r="D64" s="429"/>
      <c r="F64" s="129"/>
      <c r="G64" s="129"/>
      <c r="H64" s="129"/>
      <c r="I64" s="129"/>
      <c r="J64" s="129"/>
      <c r="K64" s="129"/>
      <c r="L64" s="129"/>
      <c r="M64" s="129"/>
      <c r="N64" s="129"/>
      <c r="O64" s="129"/>
      <c r="P64" s="129"/>
      <c r="Q64" s="129"/>
      <c r="R64" s="129"/>
      <c r="S64" s="129"/>
      <c r="T64" s="129"/>
      <c r="U64" s="129"/>
      <c r="V64" s="129"/>
      <c r="W64" s="129"/>
      <c r="X64" s="129"/>
      <c r="Y64" s="129"/>
      <c r="Z64" s="129"/>
      <c r="AA64" s="130"/>
    </row>
    <row r="65" spans="2:27" x14ac:dyDescent="0.25">
      <c r="B65" s="536"/>
      <c r="C65" s="127"/>
      <c r="D65" s="441" t="s">
        <v>481</v>
      </c>
      <c r="F65" s="442">
        <f t="shared" ref="F65:L65" si="257">F68/F69</f>
        <v>3.2488628979857048E-2</v>
      </c>
      <c r="G65" s="442">
        <f t="shared" si="257"/>
        <v>2.5749063670411985E-2</v>
      </c>
      <c r="H65" s="442">
        <f t="shared" si="257"/>
        <v>2.5929397063417681E-2</v>
      </c>
      <c r="I65" s="442">
        <f t="shared" si="257"/>
        <v>2.0789138735680949E-2</v>
      </c>
      <c r="J65" s="442">
        <f t="shared" si="257"/>
        <v>1.9477911646586344E-2</v>
      </c>
      <c r="K65" s="442">
        <f>K68/K69</f>
        <v>2.0921925497533595E-2</v>
      </c>
      <c r="L65" s="442">
        <f t="shared" si="257"/>
        <v>1.7134904757762894E-2</v>
      </c>
      <c r="M65" s="442">
        <f>M68/M69</f>
        <v>1.9351814651131647E-2</v>
      </c>
      <c r="N65" s="442">
        <f>AVERAGE(K65:M65)</f>
        <v>1.9136214968809379E-2</v>
      </c>
      <c r="O65" s="442">
        <f t="shared" ref="O65:W65" si="258">N65</f>
        <v>1.9136214968809379E-2</v>
      </c>
      <c r="P65" s="442">
        <f t="shared" si="258"/>
        <v>1.9136214968809379E-2</v>
      </c>
      <c r="Q65" s="442">
        <f t="shared" si="258"/>
        <v>1.9136214968809379E-2</v>
      </c>
      <c r="R65" s="442">
        <f t="shared" si="258"/>
        <v>1.9136214968809379E-2</v>
      </c>
      <c r="S65" s="442">
        <f t="shared" si="258"/>
        <v>1.9136214968809379E-2</v>
      </c>
      <c r="T65" s="442">
        <f t="shared" si="258"/>
        <v>1.9136214968809379E-2</v>
      </c>
      <c r="U65" s="442">
        <f t="shared" si="258"/>
        <v>1.9136214968809379E-2</v>
      </c>
      <c r="V65" s="442">
        <f t="shared" si="258"/>
        <v>1.9136214968809379E-2</v>
      </c>
      <c r="W65" s="442">
        <f t="shared" si="258"/>
        <v>1.9136214968809379E-2</v>
      </c>
      <c r="X65" s="442">
        <f t="shared" ref="X65:Y65" si="259">W65</f>
        <v>1.9136214968809379E-2</v>
      </c>
      <c r="Y65" s="442">
        <f t="shared" si="259"/>
        <v>1.9136214968809379E-2</v>
      </c>
      <c r="Z65" s="442">
        <f t="shared" ref="Z65:AA65" si="260">Y65</f>
        <v>1.9136214968809379E-2</v>
      </c>
      <c r="AA65" s="443">
        <f t="shared" si="260"/>
        <v>1.9136214968809379E-2</v>
      </c>
    </row>
    <row r="66" spans="2:27" x14ac:dyDescent="0.25">
      <c r="B66" s="536"/>
      <c r="C66" s="127"/>
      <c r="D66" s="155" t="s">
        <v>480</v>
      </c>
      <c r="F66" s="157">
        <f t="shared" ref="F66:M66" si="261">F69/F83</f>
        <v>5.760937921121193E-3</v>
      </c>
      <c r="G66" s="157">
        <f t="shared" si="261"/>
        <v>1.0699178277061632E-2</v>
      </c>
      <c r="H66" s="157">
        <f t="shared" si="261"/>
        <v>4.0209577190203488E-3</v>
      </c>
      <c r="I66" s="157">
        <f t="shared" si="261"/>
        <v>3.9242390439308324E-3</v>
      </c>
      <c r="J66" s="157">
        <f t="shared" si="261"/>
        <v>7.9405700946649886E-3</v>
      </c>
      <c r="K66" s="157">
        <f t="shared" si="261"/>
        <v>9.8890156064444287E-3</v>
      </c>
      <c r="L66" s="157">
        <f t="shared" si="261"/>
        <v>1.6982174403696284E-2</v>
      </c>
      <c r="M66" s="157">
        <f t="shared" si="261"/>
        <v>2.1355977285499986E-2</v>
      </c>
      <c r="N66" s="444">
        <f>N82*($M$66/($M$29+$M$66))</f>
        <v>2.6775464615163481E-2</v>
      </c>
      <c r="O66" s="444">
        <f>O82*($M$66/($M$29+$M$66))</f>
        <v>3.3570250416244861E-2</v>
      </c>
      <c r="P66" s="444">
        <f>P82*($M$66/($M$29+$M$66))</f>
        <v>4.2089342956579998E-2</v>
      </c>
      <c r="Q66" s="444">
        <f>Q82*($M$66/($M$29+$M$66))</f>
        <v>5.2770318021201412E-2</v>
      </c>
      <c r="R66" s="444">
        <f t="shared" ref="R66:W66" si="262">R82*($M$66/($M$29+$M$66))</f>
        <v>6.068586572438163E-2</v>
      </c>
      <c r="S66" s="444">
        <f t="shared" si="262"/>
        <v>8.9709540636042404E-2</v>
      </c>
      <c r="T66" s="444">
        <f t="shared" si="262"/>
        <v>0.11345618374558303</v>
      </c>
      <c r="U66" s="444">
        <f>U82*($M$66/($M$29+$M$66))</f>
        <v>0.15831095406360424</v>
      </c>
      <c r="V66" s="444">
        <f t="shared" si="262"/>
        <v>0.17941908127208478</v>
      </c>
      <c r="W66" s="444">
        <f t="shared" si="262"/>
        <v>0.20052720848056535</v>
      </c>
      <c r="X66" s="444">
        <f t="shared" ref="X66:Y66" si="263">X82*($M$66/($M$29+$M$66))</f>
        <v>0.22163533568904589</v>
      </c>
      <c r="Y66" s="444">
        <f t="shared" si="263"/>
        <v>0.24274346289752644</v>
      </c>
      <c r="Z66" s="444">
        <f t="shared" ref="Z66:AA66" si="264">Z82*($M$66/($M$29+$M$66))</f>
        <v>0.26385159010600706</v>
      </c>
      <c r="AA66" s="445">
        <f t="shared" si="264"/>
        <v>0.26385159010600706</v>
      </c>
    </row>
    <row r="67" spans="2:27" x14ac:dyDescent="0.25">
      <c r="B67" s="536"/>
      <c r="C67" s="127"/>
      <c r="F67" s="157"/>
      <c r="G67" s="157"/>
      <c r="H67" s="157"/>
      <c r="I67" s="157"/>
      <c r="J67" s="157"/>
      <c r="K67" s="157"/>
      <c r="L67" s="157"/>
      <c r="M67" s="158"/>
      <c r="N67" s="158"/>
      <c r="O67" s="158"/>
      <c r="AA67" s="128"/>
    </row>
    <row r="68" spans="2:27" x14ac:dyDescent="0.25">
      <c r="B68" s="536"/>
      <c r="C68" s="127"/>
      <c r="D68" s="429" t="s">
        <v>377</v>
      </c>
      <c r="E68" s="125" t="s">
        <v>278</v>
      </c>
      <c r="F68" s="154">
        <f t="shared" ref="F68:N68" si="265">F46</f>
        <v>150</v>
      </c>
      <c r="G68" s="154">
        <f t="shared" si="265"/>
        <v>220</v>
      </c>
      <c r="H68" s="154">
        <f t="shared" si="265"/>
        <v>83</v>
      </c>
      <c r="I68" s="154">
        <f t="shared" si="265"/>
        <v>49</v>
      </c>
      <c r="J68" s="154">
        <f t="shared" si="265"/>
        <v>97</v>
      </c>
      <c r="K68" s="154">
        <f t="shared" si="265"/>
        <v>123</v>
      </c>
      <c r="L68" s="154">
        <f t="shared" si="265"/>
        <v>197</v>
      </c>
      <c r="M68" s="154">
        <f t="shared" si="265"/>
        <v>289</v>
      </c>
      <c r="N68" s="154">
        <f t="shared" si="265"/>
        <v>365.46847840784403</v>
      </c>
      <c r="O68" s="154">
        <f t="shared" ref="O68:W68" si="266">O46</f>
        <v>467.37735034842831</v>
      </c>
      <c r="P68" s="154">
        <f t="shared" si="266"/>
        <v>597.7029498422238</v>
      </c>
      <c r="Q68" s="154">
        <f t="shared" si="266"/>
        <v>764.36912482765388</v>
      </c>
      <c r="R68" s="154">
        <f t="shared" si="266"/>
        <v>896.60498342283825</v>
      </c>
      <c r="S68" s="154">
        <f t="shared" si="266"/>
        <v>1351.924383700175</v>
      </c>
      <c r="T68" s="154">
        <f t="shared" si="266"/>
        <v>1743.9824549732259</v>
      </c>
      <c r="U68" s="154">
        <f t="shared" si="266"/>
        <v>2482.1331684735214</v>
      </c>
      <c r="V68" s="154">
        <f t="shared" si="266"/>
        <v>2869.3459427553908</v>
      </c>
      <c r="W68" s="154">
        <f t="shared" si="266"/>
        <v>3271.0543747411457</v>
      </c>
      <c r="X68" s="154">
        <f t="shared" ref="X68:Y68" si="267">X46</f>
        <v>3687.6834056292278</v>
      </c>
      <c r="Y68" s="154">
        <f t="shared" si="267"/>
        <v>4119.6691760029371</v>
      </c>
      <c r="Z68" s="154">
        <f t="shared" ref="Z68:AA68" si="268">Z46</f>
        <v>4567.4593038293451</v>
      </c>
      <c r="AA68" s="166">
        <f t="shared" si="268"/>
        <v>4658.8084899059313</v>
      </c>
    </row>
    <row r="69" spans="2:27" x14ac:dyDescent="0.25">
      <c r="B69" s="536"/>
      <c r="C69" s="127"/>
      <c r="D69" s="155" t="s">
        <v>219</v>
      </c>
      <c r="E69" s="125" t="s">
        <v>278</v>
      </c>
      <c r="F69" s="129">
        <f>SUMIFS('EV Data'!$AU:$AU,'EV Data'!$AE:$AE,'EV Forecast'!F44)</f>
        <v>4617</v>
      </c>
      <c r="G69" s="129">
        <f>SUMIFS('EV Data'!$AU:$AU,'EV Data'!$AE:$AE,'EV Forecast'!G44)</f>
        <v>8544</v>
      </c>
      <c r="H69" s="129">
        <f>SUMIFS('EV Data'!$AU:$AU,'EV Data'!$AE:$AE,'EV Forecast'!H44)</f>
        <v>3201</v>
      </c>
      <c r="I69" s="129">
        <f>SUMIFS('EV Data'!$AU:$AU,'EV Data'!$AE:$AE,'EV Forecast'!I44)</f>
        <v>2357</v>
      </c>
      <c r="J69" s="129">
        <f>SUMIFS('EV Data'!$AU:$AU,'EV Data'!$AE:$AE,'EV Forecast'!J44)</f>
        <v>4980</v>
      </c>
      <c r="K69" s="129">
        <f>SUMIFS('EV Data'!$AU:$AU,'EV Data'!$AE:$AE,'EV Forecast'!K44)</f>
        <v>5879</v>
      </c>
      <c r="L69" s="129">
        <f>SUMIFS('EV Data'!$AU:$AU,'EV Data'!$AE:$AE,'EV Forecast'!L44)</f>
        <v>11497</v>
      </c>
      <c r="M69" s="129">
        <f>SUMIFS('EV Data'!$AU:$AU,'EV Data'!$AE:$AE,'EV Forecast'!M44)</f>
        <v>14934</v>
      </c>
      <c r="N69" s="154">
        <f>N66*N83</f>
        <v>19098.263632778519</v>
      </c>
      <c r="O69" s="154">
        <f t="shared" ref="O69:W69" si="269">O66*O83</f>
        <v>24423.709239795804</v>
      </c>
      <c r="P69" s="154">
        <f t="shared" si="269"/>
        <v>31234.126017942195</v>
      </c>
      <c r="Q69" s="154">
        <f t="shared" si="269"/>
        <v>39943.589997996962</v>
      </c>
      <c r="R69" s="154">
        <f t="shared" si="269"/>
        <v>46853.831067650448</v>
      </c>
      <c r="S69" s="154">
        <f t="shared" si="269"/>
        <v>70647.428757657268</v>
      </c>
      <c r="T69" s="154">
        <f t="shared" si="269"/>
        <v>91135.183097377885</v>
      </c>
      <c r="U69" s="154">
        <f t="shared" si="269"/>
        <v>129708.67919905877</v>
      </c>
      <c r="V69" s="154">
        <f t="shared" si="269"/>
        <v>149943.23315411192</v>
      </c>
      <c r="W69" s="154">
        <f t="shared" si="269"/>
        <v>170935.28579568758</v>
      </c>
      <c r="X69" s="154">
        <f t="shared" ref="X69:Y69" si="270">X66*X83</f>
        <v>192707.04324966462</v>
      </c>
      <c r="Y69" s="154">
        <f t="shared" si="270"/>
        <v>215281.29688748246</v>
      </c>
      <c r="Z69" s="154">
        <f t="shared" ref="Z69:AA69" si="271">Z66*Z83</f>
        <v>238681.43785351323</v>
      </c>
      <c r="AA69" s="166">
        <f t="shared" si="271"/>
        <v>243455.06661058348</v>
      </c>
    </row>
    <row r="70" spans="2:27" x14ac:dyDescent="0.25">
      <c r="B70" s="536"/>
      <c r="C70" s="127"/>
      <c r="D70" s="155" t="s">
        <v>219</v>
      </c>
      <c r="E70" s="125" t="s">
        <v>279</v>
      </c>
      <c r="F70" s="129">
        <f>SUMIFS('EV Data'!$AV$6:$AV$33,'EV Data'!$AE$6:$AE$33,'EV Forecast'!F44)</f>
        <v>3659</v>
      </c>
      <c r="G70" s="129">
        <f>SUMIFS('EV Data'!$AV$6:$AV$33,'EV Data'!$AE$6:$AE$33,'EV Forecast'!G44)</f>
        <v>5517</v>
      </c>
      <c r="H70" s="129">
        <f>SUMIFS('EV Data'!$AV$6:$AV$33,'EV Data'!$AE$6:$AE$33,'EV Forecast'!H44)</f>
        <v>1864</v>
      </c>
      <c r="I70" s="129">
        <f>SUMIFS('EV Data'!$AV$6:$AV$33,'EV Data'!$AE$6:$AE$33,'EV Forecast'!I44)</f>
        <v>1006</v>
      </c>
      <c r="J70" s="129">
        <f>SUMIFS('EV Data'!$AV$6:$AV$33,'EV Data'!$AE$6:$AE$33,'EV Forecast'!J44)</f>
        <v>1030</v>
      </c>
      <c r="K70" s="129">
        <f>SUMIFS('EV Data'!$AV$6:$AV$33,'EV Data'!$AE$6:$AE$33,'EV Forecast'!K44)</f>
        <v>795</v>
      </c>
      <c r="L70" s="129">
        <f>SUMIFS('EV Data'!$AV:$AV,'EV Data'!$AE:$AE,'EV Forecast'!L44)</f>
        <v>827</v>
      </c>
      <c r="M70" s="129">
        <f>SUMIFS('EV Data'!$AV:$AV,'EV Data'!$AE:$AE,'EV Forecast'!M44)</f>
        <v>1360</v>
      </c>
      <c r="O70" s="129"/>
      <c r="P70" s="129"/>
      <c r="Q70" s="129"/>
      <c r="R70" s="129"/>
      <c r="S70" s="129"/>
      <c r="T70" s="129"/>
      <c r="U70" s="129"/>
      <c r="V70" s="129"/>
      <c r="W70" s="129"/>
      <c r="X70" s="129"/>
      <c r="Y70" s="129"/>
      <c r="Z70" s="129"/>
      <c r="AA70" s="130"/>
    </row>
    <row r="71" spans="2:27" x14ac:dyDescent="0.25">
      <c r="B71" s="536"/>
      <c r="C71" s="127"/>
      <c r="D71" s="155" t="s">
        <v>219</v>
      </c>
      <c r="E71" s="125" t="s">
        <v>280</v>
      </c>
      <c r="F71" s="129">
        <f>SUMIFS('EV Data'!$AX$6:$AX$33,'EV Data'!$AE$6:$AE$33,'EV Forecast'!F44)</f>
        <v>436</v>
      </c>
      <c r="G71" s="129">
        <f>SUMIFS('EV Data'!$AX$6:$AX$33,'EV Data'!$AE$6:$AE$33,'EV Forecast'!G44)</f>
        <v>2152</v>
      </c>
      <c r="H71" s="129">
        <f>SUMIFS('EV Data'!$AX$6:$AX$33,'EV Data'!$AE$6:$AE$33,'EV Forecast'!H44)</f>
        <v>1245</v>
      </c>
      <c r="I71" s="129">
        <f>SUMIFS('EV Data'!$AX$6:$AX$33,'EV Data'!$AE$6:$AE$33,'EV Forecast'!I44)</f>
        <v>1216</v>
      </c>
      <c r="J71" s="129">
        <f>SUMIFS('EV Data'!$AX$6:$AX$33,'EV Data'!$AE$6:$AE$33,'EV Forecast'!J44)</f>
        <v>3668</v>
      </c>
      <c r="K71" s="129">
        <f>SUMIFS('EV Data'!$AX$6:$AX$33,'EV Data'!$AE$6:$AE$33,'EV Forecast'!K44)</f>
        <v>4565</v>
      </c>
      <c r="L71" s="129">
        <f>SUMIFS('EV Data'!$AX:$AX,'EV Data'!$AE:$AE,'EV Forecast'!L44)</f>
        <v>10050</v>
      </c>
      <c r="M71" s="129">
        <f>SUMIFS('EV Data'!$AX:$AX,'EV Data'!$AE:$AE,'EV Forecast'!M44)</f>
        <v>13220</v>
      </c>
      <c r="O71" s="129"/>
      <c r="P71" s="129"/>
      <c r="Q71" s="129"/>
      <c r="R71" s="129"/>
      <c r="S71" s="129"/>
      <c r="T71" s="129"/>
      <c r="U71" s="129"/>
      <c r="V71" s="129"/>
      <c r="W71" s="129"/>
      <c r="X71" s="129"/>
      <c r="Y71" s="129"/>
      <c r="Z71" s="129"/>
      <c r="AA71" s="130"/>
    </row>
    <row r="72" spans="2:27" x14ac:dyDescent="0.25">
      <c r="B72" s="536"/>
      <c r="C72" s="127"/>
      <c r="D72" s="155" t="s">
        <v>219</v>
      </c>
      <c r="E72" s="125" t="s">
        <v>281</v>
      </c>
      <c r="F72" s="129">
        <f>SUMIFS('EV Data'!$AY$6:$AY$33,'EV Data'!$AE$6:$AE$33,'EV Forecast'!F44)</f>
        <v>522</v>
      </c>
      <c r="G72" s="129">
        <f>SUMIFS('EV Data'!$AY$6:$AY$33,'EV Data'!$AE$6:$AE$33,'EV Forecast'!G44)</f>
        <v>875</v>
      </c>
      <c r="H72" s="129">
        <f>SUMIFS('EV Data'!$AY$6:$AY$33,'EV Data'!$AE$6:$AE$33,'EV Forecast'!H44)</f>
        <v>92</v>
      </c>
      <c r="I72" s="129">
        <f>SUMIFS('EV Data'!$AY$6:$AY$33,'EV Data'!$AE$6:$AE$33,'EV Forecast'!I44)</f>
        <v>135</v>
      </c>
      <c r="J72" s="129">
        <f>SUMIFS('EV Data'!$AY$6:$AY$33,'EV Data'!$AE$6:$AE$33,'EV Forecast'!J44)</f>
        <v>282</v>
      </c>
      <c r="K72" s="129">
        <f>SUMIFS('EV Data'!$AY$6:$AY$33,'EV Data'!$AE$6:$AE$33,'EV Forecast'!K44)</f>
        <v>519</v>
      </c>
      <c r="L72" s="129">
        <f>SUMIFS('EV Data'!$AY:$AY,'EV Data'!$AE:$AE,'EV Forecast'!L44)</f>
        <v>620</v>
      </c>
      <c r="M72" s="129">
        <f>SUMIFS('EV Data'!$AY:$AY,'EV Data'!$AE:$AE,'EV Forecast'!M44)</f>
        <v>354</v>
      </c>
      <c r="O72" s="129"/>
      <c r="P72" s="129"/>
      <c r="Q72" s="129"/>
      <c r="R72" s="129"/>
      <c r="S72" s="129"/>
      <c r="T72" s="129"/>
      <c r="U72" s="129"/>
      <c r="V72" s="129"/>
      <c r="W72" s="129"/>
      <c r="X72" s="129"/>
      <c r="Y72" s="129"/>
      <c r="Z72" s="129"/>
      <c r="AA72" s="130"/>
    </row>
    <row r="73" spans="2:27" x14ac:dyDescent="0.25">
      <c r="B73" s="536"/>
      <c r="C73" s="127"/>
      <c r="D73" s="155" t="s">
        <v>219</v>
      </c>
      <c r="E73" s="125" t="s">
        <v>282</v>
      </c>
      <c r="F73" s="129">
        <f>SUMIFS('EV Data'!$AW$6:$AW$33,'EV Data'!$AE$6:$AE$33,'EV Forecast'!F44)</f>
        <v>0</v>
      </c>
      <c r="G73" s="129">
        <f>SUMIFS('EV Data'!$AW$6:$AW$33,'EV Data'!$AE$6:$AE$33,'EV Forecast'!G44)</f>
        <v>0</v>
      </c>
      <c r="H73" s="129">
        <f>SUMIFS('EV Data'!$AW$6:$AW$33,'EV Data'!$AE$6:$AE$33,'EV Forecast'!H44)</f>
        <v>0</v>
      </c>
      <c r="I73" s="129">
        <f>SUMIFS('EV Data'!$AW$6:$AW$33,'EV Data'!$AE$6:$AE$33,'EV Forecast'!I44)</f>
        <v>0</v>
      </c>
      <c r="J73" s="129">
        <f>SUMIFS('EV Data'!$AW$6:$AW$33,'EV Data'!$AE$6:$AE$33,'EV Forecast'!J44)</f>
        <v>0</v>
      </c>
      <c r="K73" s="129">
        <f>SUMIFS('EV Data'!$AW$6:$AW$33,'EV Data'!$AE$6:$AE$33,'EV Forecast'!K44)</f>
        <v>0</v>
      </c>
      <c r="L73" s="129">
        <f>SUMIFS('EV Data'!$AW:$AW,'EV Data'!$AE:$AE,'EV Forecast'!L44)</f>
        <v>0</v>
      </c>
      <c r="M73" s="129">
        <f>SUMIFS('EV Data'!$AW:$AW,'EV Data'!$AE:$AE,'EV Forecast'!M44)</f>
        <v>0</v>
      </c>
      <c r="O73" s="129"/>
      <c r="P73" s="129"/>
      <c r="Q73" s="129"/>
      <c r="R73" s="129"/>
      <c r="S73" s="129"/>
      <c r="T73" s="129"/>
      <c r="U73" s="129"/>
      <c r="V73" s="129"/>
      <c r="W73" s="129"/>
      <c r="X73" s="129"/>
      <c r="Y73" s="129"/>
      <c r="Z73" s="129"/>
      <c r="AA73" s="130"/>
    </row>
    <row r="74" spans="2:27" x14ac:dyDescent="0.25">
      <c r="B74" s="536"/>
      <c r="C74" s="127"/>
      <c r="D74" s="155"/>
      <c r="F74" s="129"/>
      <c r="G74" s="129"/>
      <c r="H74" s="129"/>
      <c r="I74" s="129"/>
      <c r="J74" s="129"/>
      <c r="K74" s="129"/>
      <c r="L74" s="129"/>
      <c r="M74" s="129"/>
      <c r="N74" s="129"/>
      <c r="O74" s="129"/>
      <c r="P74" s="129"/>
      <c r="Q74" s="129"/>
      <c r="R74" s="129"/>
      <c r="S74" s="129"/>
      <c r="T74" s="129"/>
      <c r="U74" s="129"/>
      <c r="V74" s="129"/>
      <c r="W74" s="129"/>
      <c r="X74" s="129"/>
      <c r="Y74" s="129"/>
      <c r="Z74" s="129"/>
      <c r="AA74" s="130"/>
    </row>
    <row r="75" spans="2:27" x14ac:dyDescent="0.25">
      <c r="B75" s="536"/>
      <c r="C75" s="127"/>
      <c r="D75" s="155" t="s">
        <v>219</v>
      </c>
      <c r="E75" s="125" t="s">
        <v>288</v>
      </c>
      <c r="F75" s="157">
        <f>F70/F$69</f>
        <v>0.79250595624864628</v>
      </c>
      <c r="G75" s="157">
        <f t="shared" ref="G75:L75" si="272">G70/G$69</f>
        <v>0.6457162921348315</v>
      </c>
      <c r="H75" s="157">
        <f t="shared" si="272"/>
        <v>0.58231802561699464</v>
      </c>
      <c r="I75" s="157">
        <f t="shared" si="272"/>
        <v>0.42681374628765378</v>
      </c>
      <c r="J75" s="157">
        <f t="shared" si="272"/>
        <v>0.20682730923694778</v>
      </c>
      <c r="K75" s="157">
        <f t="shared" si="272"/>
        <v>0.13522707943527812</v>
      </c>
      <c r="L75" s="157">
        <f t="shared" si="272"/>
        <v>7.1931808297816827E-2</v>
      </c>
      <c r="M75" s="157">
        <f>M70/M$69</f>
        <v>9.1067363064148921E-2</v>
      </c>
      <c r="N75" s="158">
        <f>AVERAGE(L75:M75)</f>
        <v>8.1499585680982867E-2</v>
      </c>
      <c r="O75" s="158">
        <f t="shared" ref="O75:O78" si="273">N75</f>
        <v>8.1499585680982867E-2</v>
      </c>
      <c r="P75" s="158">
        <f t="shared" ref="P75:P78" si="274">O75</f>
        <v>8.1499585680982867E-2</v>
      </c>
      <c r="Q75" s="158">
        <f t="shared" ref="Q75:Q78" si="275">P75</f>
        <v>8.1499585680982867E-2</v>
      </c>
      <c r="R75" s="158">
        <f t="shared" ref="R75:R78" si="276">Q75</f>
        <v>8.1499585680982867E-2</v>
      </c>
      <c r="S75" s="158">
        <f t="shared" ref="S75:S78" si="277">R75</f>
        <v>8.1499585680982867E-2</v>
      </c>
      <c r="T75" s="158">
        <f t="shared" ref="T75:T78" si="278">S75</f>
        <v>8.1499585680982867E-2</v>
      </c>
      <c r="U75" s="158">
        <f t="shared" ref="U75:U78" si="279">T75</f>
        <v>8.1499585680982867E-2</v>
      </c>
      <c r="V75" s="158">
        <f t="shared" ref="V75:V78" si="280">U75</f>
        <v>8.1499585680982867E-2</v>
      </c>
      <c r="W75" s="158">
        <f t="shared" ref="W75:W78" si="281">V75</f>
        <v>8.1499585680982867E-2</v>
      </c>
      <c r="X75" s="158">
        <f t="shared" ref="X75:X78" si="282">W75</f>
        <v>8.1499585680982867E-2</v>
      </c>
      <c r="Y75" s="158">
        <f t="shared" ref="Y75:Y78" si="283">X75</f>
        <v>8.1499585680982867E-2</v>
      </c>
      <c r="Z75" s="158">
        <f t="shared" ref="Z75:Z78" si="284">Y75</f>
        <v>8.1499585680982867E-2</v>
      </c>
      <c r="AA75" s="446">
        <f t="shared" ref="AA75:AA78" si="285">Z75</f>
        <v>8.1499585680982867E-2</v>
      </c>
    </row>
    <row r="76" spans="2:27" x14ac:dyDescent="0.25">
      <c r="B76" s="536"/>
      <c r="C76" s="127"/>
      <c r="D76" s="155" t="s">
        <v>219</v>
      </c>
      <c r="E76" s="125" t="s">
        <v>289</v>
      </c>
      <c r="F76" s="157">
        <f>F71/F$69</f>
        <v>9.4433614901451163E-2</v>
      </c>
      <c r="G76" s="157">
        <f t="shared" ref="G76:L76" si="286">G71/G$69</f>
        <v>0.25187265917602997</v>
      </c>
      <c r="H76" s="157">
        <f t="shared" si="286"/>
        <v>0.38894095595126521</v>
      </c>
      <c r="I76" s="157">
        <f t="shared" si="286"/>
        <v>0.51591005515485788</v>
      </c>
      <c r="J76" s="157">
        <f t="shared" si="286"/>
        <v>0.73654618473895583</v>
      </c>
      <c r="K76" s="157">
        <f t="shared" si="286"/>
        <v>0.77649260078244597</v>
      </c>
      <c r="L76" s="157">
        <f t="shared" si="286"/>
        <v>0.8741410802818127</v>
      </c>
      <c r="M76" s="157">
        <f>M71/M$69</f>
        <v>0.88522833802062406</v>
      </c>
      <c r="N76" s="158">
        <f t="shared" ref="N76:N78" si="287">AVERAGE(L76:M76)</f>
        <v>0.87968470915121832</v>
      </c>
      <c r="O76" s="158">
        <f t="shared" si="273"/>
        <v>0.87968470915121832</v>
      </c>
      <c r="P76" s="158">
        <f t="shared" si="274"/>
        <v>0.87968470915121832</v>
      </c>
      <c r="Q76" s="158">
        <f t="shared" si="275"/>
        <v>0.87968470915121832</v>
      </c>
      <c r="R76" s="158">
        <f t="shared" si="276"/>
        <v>0.87968470915121832</v>
      </c>
      <c r="S76" s="158">
        <f t="shared" si="277"/>
        <v>0.87968470915121832</v>
      </c>
      <c r="T76" s="158">
        <f t="shared" si="278"/>
        <v>0.87968470915121832</v>
      </c>
      <c r="U76" s="158">
        <f t="shared" si="279"/>
        <v>0.87968470915121832</v>
      </c>
      <c r="V76" s="158">
        <f t="shared" si="280"/>
        <v>0.87968470915121832</v>
      </c>
      <c r="W76" s="158">
        <f t="shared" si="281"/>
        <v>0.87968470915121832</v>
      </c>
      <c r="X76" s="158">
        <f t="shared" si="282"/>
        <v>0.87968470915121832</v>
      </c>
      <c r="Y76" s="158">
        <f t="shared" si="283"/>
        <v>0.87968470915121832</v>
      </c>
      <c r="Z76" s="158">
        <f t="shared" si="284"/>
        <v>0.87968470915121832</v>
      </c>
      <c r="AA76" s="446">
        <f t="shared" si="285"/>
        <v>0.87968470915121832</v>
      </c>
    </row>
    <row r="77" spans="2:27" x14ac:dyDescent="0.25">
      <c r="B77" s="536"/>
      <c r="C77" s="127"/>
      <c r="D77" s="155" t="s">
        <v>219</v>
      </c>
      <c r="E77" s="125" t="s">
        <v>290</v>
      </c>
      <c r="F77" s="157">
        <f>F72/F$69</f>
        <v>0.11306042884990253</v>
      </c>
      <c r="G77" s="157">
        <f t="shared" ref="G77:L77" si="288">G72/G$69</f>
        <v>0.10241104868913857</v>
      </c>
      <c r="H77" s="157">
        <f t="shared" si="288"/>
        <v>2.8741018431740081E-2</v>
      </c>
      <c r="I77" s="157">
        <f t="shared" si="288"/>
        <v>5.7276198557488334E-2</v>
      </c>
      <c r="J77" s="157">
        <f t="shared" si="288"/>
        <v>5.6626506024096385E-2</v>
      </c>
      <c r="K77" s="157">
        <f t="shared" si="288"/>
        <v>8.8280319782275893E-2</v>
      </c>
      <c r="L77" s="157">
        <f t="shared" si="288"/>
        <v>5.392711142037053E-2</v>
      </c>
      <c r="M77" s="157">
        <f>M72/M$69</f>
        <v>2.3704298915227E-2</v>
      </c>
      <c r="N77" s="158">
        <f t="shared" si="287"/>
        <v>3.8815705167798767E-2</v>
      </c>
      <c r="O77" s="158">
        <f t="shared" si="273"/>
        <v>3.8815705167798767E-2</v>
      </c>
      <c r="P77" s="158">
        <f t="shared" si="274"/>
        <v>3.8815705167798767E-2</v>
      </c>
      <c r="Q77" s="158">
        <f t="shared" si="275"/>
        <v>3.8815705167798767E-2</v>
      </c>
      <c r="R77" s="158">
        <f t="shared" si="276"/>
        <v>3.8815705167798767E-2</v>
      </c>
      <c r="S77" s="158">
        <f t="shared" si="277"/>
        <v>3.8815705167798767E-2</v>
      </c>
      <c r="T77" s="158">
        <f t="shared" si="278"/>
        <v>3.8815705167798767E-2</v>
      </c>
      <c r="U77" s="158">
        <f t="shared" si="279"/>
        <v>3.8815705167798767E-2</v>
      </c>
      <c r="V77" s="158">
        <f t="shared" si="280"/>
        <v>3.8815705167798767E-2</v>
      </c>
      <c r="W77" s="158">
        <f t="shared" si="281"/>
        <v>3.8815705167798767E-2</v>
      </c>
      <c r="X77" s="158">
        <f t="shared" si="282"/>
        <v>3.8815705167798767E-2</v>
      </c>
      <c r="Y77" s="158">
        <f t="shared" si="283"/>
        <v>3.8815705167798767E-2</v>
      </c>
      <c r="Z77" s="158">
        <f t="shared" si="284"/>
        <v>3.8815705167798767E-2</v>
      </c>
      <c r="AA77" s="446">
        <f t="shared" si="285"/>
        <v>3.8815705167798767E-2</v>
      </c>
    </row>
    <row r="78" spans="2:27" x14ac:dyDescent="0.25">
      <c r="B78" s="536"/>
      <c r="C78" s="127"/>
      <c r="D78" s="155" t="s">
        <v>219</v>
      </c>
      <c r="E78" s="125" t="s">
        <v>291</v>
      </c>
      <c r="F78" s="157">
        <f>F73/F$69</f>
        <v>0</v>
      </c>
      <c r="G78" s="157">
        <f t="shared" ref="G78:L78" si="289">G73/G$69</f>
        <v>0</v>
      </c>
      <c r="H78" s="157">
        <f t="shared" si="289"/>
        <v>0</v>
      </c>
      <c r="I78" s="157">
        <f t="shared" si="289"/>
        <v>0</v>
      </c>
      <c r="J78" s="157">
        <f t="shared" si="289"/>
        <v>0</v>
      </c>
      <c r="K78" s="157">
        <f t="shared" si="289"/>
        <v>0</v>
      </c>
      <c r="L78" s="157">
        <f t="shared" si="289"/>
        <v>0</v>
      </c>
      <c r="M78" s="157">
        <f t="shared" ref="M78" si="290">M73/M$69</f>
        <v>0</v>
      </c>
      <c r="N78" s="158">
        <f t="shared" si="287"/>
        <v>0</v>
      </c>
      <c r="O78" s="158">
        <f t="shared" si="273"/>
        <v>0</v>
      </c>
      <c r="P78" s="158">
        <f t="shared" si="274"/>
        <v>0</v>
      </c>
      <c r="Q78" s="158">
        <f t="shared" si="275"/>
        <v>0</v>
      </c>
      <c r="R78" s="158">
        <f t="shared" si="276"/>
        <v>0</v>
      </c>
      <c r="S78" s="158">
        <f t="shared" si="277"/>
        <v>0</v>
      </c>
      <c r="T78" s="158">
        <f t="shared" si="278"/>
        <v>0</v>
      </c>
      <c r="U78" s="158">
        <f t="shared" si="279"/>
        <v>0</v>
      </c>
      <c r="V78" s="158">
        <f t="shared" si="280"/>
        <v>0</v>
      </c>
      <c r="W78" s="158">
        <f t="shared" si="281"/>
        <v>0</v>
      </c>
      <c r="X78" s="158">
        <f t="shared" si="282"/>
        <v>0</v>
      </c>
      <c r="Y78" s="158">
        <f t="shared" si="283"/>
        <v>0</v>
      </c>
      <c r="Z78" s="158">
        <f t="shared" si="284"/>
        <v>0</v>
      </c>
      <c r="AA78" s="446">
        <f t="shared" si="285"/>
        <v>0</v>
      </c>
    </row>
    <row r="79" spans="2:27" x14ac:dyDescent="0.25">
      <c r="B79" s="536"/>
      <c r="C79" s="127"/>
      <c r="F79" s="157"/>
      <c r="G79" s="157"/>
      <c r="H79" s="157"/>
      <c r="I79" s="157"/>
      <c r="J79" s="157"/>
      <c r="K79" s="157"/>
      <c r="L79" s="157"/>
      <c r="AA79" s="128"/>
    </row>
    <row r="80" spans="2:27" x14ac:dyDescent="0.25">
      <c r="B80" s="537"/>
      <c r="C80" s="132"/>
      <c r="D80" s="133"/>
      <c r="E80" s="133"/>
      <c r="F80" s="169"/>
      <c r="G80" s="169"/>
      <c r="H80" s="169"/>
      <c r="I80" s="169"/>
      <c r="J80" s="169"/>
      <c r="K80" s="169"/>
      <c r="L80" s="169"/>
      <c r="M80" s="133"/>
      <c r="N80" s="133"/>
      <c r="O80" s="133"/>
      <c r="P80" s="133"/>
      <c r="Q80" s="133"/>
      <c r="R80" s="133"/>
      <c r="S80" s="133"/>
      <c r="T80" s="133"/>
      <c r="U80" s="133"/>
      <c r="V80" s="133"/>
      <c r="W80" s="133"/>
      <c r="X80" s="133"/>
      <c r="Y80" s="133"/>
      <c r="Z80" s="133"/>
      <c r="AA80" s="134"/>
    </row>
    <row r="81" spans="2:27" x14ac:dyDescent="0.25">
      <c r="B81" s="430"/>
      <c r="C81" s="123"/>
      <c r="D81" s="124"/>
      <c r="E81" s="436" t="s">
        <v>501</v>
      </c>
      <c r="F81" s="433"/>
      <c r="G81" s="433"/>
      <c r="H81" s="433"/>
      <c r="I81" s="433"/>
      <c r="J81" s="433"/>
      <c r="K81" s="433"/>
      <c r="L81" s="433"/>
      <c r="M81" s="435"/>
      <c r="N81" s="435"/>
      <c r="O81" s="435">
        <v>0.2</v>
      </c>
      <c r="P81" s="435">
        <v>0.23</v>
      </c>
      <c r="Q81" s="435">
        <v>0.34</v>
      </c>
      <c r="R81" s="435">
        <v>0.43</v>
      </c>
      <c r="S81" s="435">
        <v>0.6</v>
      </c>
      <c r="T81" s="435">
        <v>0.67999999999999994</v>
      </c>
      <c r="U81" s="435">
        <v>0.7599999999999999</v>
      </c>
      <c r="V81" s="435">
        <v>0.83999999999999986</v>
      </c>
      <c r="W81" s="435">
        <v>0.91999999999999982</v>
      </c>
      <c r="X81" s="435">
        <v>1</v>
      </c>
      <c r="Y81" s="435">
        <f>X81</f>
        <v>1</v>
      </c>
      <c r="Z81" s="435">
        <f t="shared" ref="Z81:AA81" si="291">Y81</f>
        <v>1</v>
      </c>
      <c r="AA81" s="434">
        <f t="shared" si="291"/>
        <v>1</v>
      </c>
    </row>
    <row r="82" spans="2:27" x14ac:dyDescent="0.25">
      <c r="B82" s="431"/>
      <c r="C82" s="127"/>
      <c r="E82" s="458" t="s">
        <v>500</v>
      </c>
      <c r="F82" s="432">
        <f>(F69+F32)/F83</f>
        <v>1.0206729953383443E-2</v>
      </c>
      <c r="G82" s="432">
        <f t="shared" ref="G82:K82" si="292">(G69+G32)/G83</f>
        <v>2.0985115820107543E-2</v>
      </c>
      <c r="H82" s="432">
        <f t="shared" si="292"/>
        <v>1.2262602078436938E-2</v>
      </c>
      <c r="I82" s="432">
        <f t="shared" si="292"/>
        <v>1.7506734640192066E-2</v>
      </c>
      <c r="J82" s="432">
        <f t="shared" si="292"/>
        <v>3.143700401333633E-2</v>
      </c>
      <c r="K82" s="432">
        <f t="shared" si="292"/>
        <v>6.503301945506966E-2</v>
      </c>
      <c r="L82" s="432">
        <f>(L69+L32)/L83</f>
        <v>7.4049784048543288E-2</v>
      </c>
      <c r="M82" s="432">
        <f>(M69+M32)/M83</f>
        <v>8.0939354115394352E-2</v>
      </c>
      <c r="N82" s="432">
        <f>M82*(($Q$82/$M$82)^(1/4))</f>
        <v>0.10147926190024462</v>
      </c>
      <c r="O82" s="432">
        <f t="shared" ref="O82:P82" si="293">N82*(($Q$82/$M$82)^(1/4))</f>
        <v>0.12723156378461625</v>
      </c>
      <c r="P82" s="432">
        <f t="shared" si="293"/>
        <v>0.15951900437541369</v>
      </c>
      <c r="Q82" s="432">
        <f>O81</f>
        <v>0.2</v>
      </c>
      <c r="R82" s="432">
        <f>P81</f>
        <v>0.23</v>
      </c>
      <c r="S82" s="432">
        <f t="shared" ref="S82:AA82" si="294">Q81</f>
        <v>0.34</v>
      </c>
      <c r="T82" s="432">
        <f t="shared" si="294"/>
        <v>0.43</v>
      </c>
      <c r="U82" s="432">
        <f t="shared" si="294"/>
        <v>0.6</v>
      </c>
      <c r="V82" s="432">
        <f t="shared" si="294"/>
        <v>0.67999999999999994</v>
      </c>
      <c r="W82" s="432">
        <f t="shared" si="294"/>
        <v>0.7599999999999999</v>
      </c>
      <c r="X82" s="432">
        <f t="shared" si="294"/>
        <v>0.83999999999999986</v>
      </c>
      <c r="Y82" s="432">
        <f t="shared" si="294"/>
        <v>0.91999999999999982</v>
      </c>
      <c r="Z82" s="432">
        <f t="shared" si="294"/>
        <v>1</v>
      </c>
      <c r="AA82" s="432">
        <f t="shared" si="294"/>
        <v>1</v>
      </c>
    </row>
    <row r="83" spans="2:27" x14ac:dyDescent="0.25">
      <c r="B83" s="127"/>
      <c r="C83" s="127"/>
      <c r="D83" s="155" t="s">
        <v>219</v>
      </c>
      <c r="E83" s="125" t="s">
        <v>283</v>
      </c>
      <c r="F83" s="129">
        <f>SUMIFS('EV Data'!$AF:$AF,'EV Data'!$AE:$AE,'EV Forecast'!F44)</f>
        <v>801432</v>
      </c>
      <c r="G83" s="129">
        <f>SUMIFS('EV Data'!$AF:$AF,'EV Data'!$AE:$AE,'EV Forecast'!G44)</f>
        <v>798566</v>
      </c>
      <c r="H83" s="129">
        <f>SUMIFS('EV Data'!$AF:$AF,'EV Data'!$AE:$AE,'EV Forecast'!H44)</f>
        <v>796079</v>
      </c>
      <c r="I83" s="129">
        <f>SUMIFS('EV Data'!$AF:$AF,'EV Data'!$AE:$AE,'EV Forecast'!I44)</f>
        <v>600626</v>
      </c>
      <c r="J83" s="129">
        <f>SUMIFS('EV Data'!$AF:$AF,'EV Data'!$AE:$AE,'EV Forecast'!J44)</f>
        <v>627159</v>
      </c>
      <c r="K83" s="129">
        <f>SUMIFS('EV Data'!$AF:$AF,'EV Data'!$AE:$AE,'EV Forecast'!K44)</f>
        <v>594498</v>
      </c>
      <c r="L83" s="129">
        <f>SUMIFS('EV Data'!$AF:$AF,'EV Data'!$AE:$AE,'EV Forecast'!L44)</f>
        <v>677004</v>
      </c>
      <c r="M83" s="129">
        <f>SUMIFS('EV Data'!$AF:$AF,'EV Data'!$AE:$AE,'EV Forecast'!M44)</f>
        <v>699289</v>
      </c>
      <c r="N83" s="154">
        <f>M83*1.02</f>
        <v>713274.78</v>
      </c>
      <c r="O83" s="154">
        <f t="shared" ref="O83:W83" si="295">N83*1.02</f>
        <v>727540.27560000005</v>
      </c>
      <c r="P83" s="154">
        <f t="shared" si="295"/>
        <v>742091.08111200004</v>
      </c>
      <c r="Q83" s="154">
        <f t="shared" si="295"/>
        <v>756932.90273424005</v>
      </c>
      <c r="R83" s="154">
        <f t="shared" si="295"/>
        <v>772071.56078892492</v>
      </c>
      <c r="S83" s="154">
        <f t="shared" si="295"/>
        <v>787512.99200470338</v>
      </c>
      <c r="T83" s="154">
        <f t="shared" si="295"/>
        <v>803263.25184479752</v>
      </c>
      <c r="U83" s="154">
        <f>T83*1.02</f>
        <v>819328.5168816935</v>
      </c>
      <c r="V83" s="154">
        <f t="shared" si="295"/>
        <v>835715.08721932734</v>
      </c>
      <c r="W83" s="154">
        <f t="shared" si="295"/>
        <v>852429.38896371389</v>
      </c>
      <c r="X83" s="154">
        <f t="shared" ref="X83" si="296">W83*1.02</f>
        <v>869477.97674298822</v>
      </c>
      <c r="Y83" s="154">
        <f t="shared" ref="Y83" si="297">X83*1.02</f>
        <v>886867.53627784795</v>
      </c>
      <c r="Z83" s="154">
        <f t="shared" ref="Z83" si="298">Y83*1.02</f>
        <v>904604.8870034049</v>
      </c>
      <c r="AA83" s="166">
        <f t="shared" ref="AA83" si="299">Z83*1.02</f>
        <v>922696.984743473</v>
      </c>
    </row>
    <row r="84" spans="2:27" x14ac:dyDescent="0.25">
      <c r="B84" s="127"/>
      <c r="C84" s="127"/>
      <c r="D84" s="155" t="s">
        <v>219</v>
      </c>
      <c r="E84" s="125" t="s">
        <v>284</v>
      </c>
      <c r="F84" s="129">
        <f>SUMIFS('EV Data'!$AG:$AG,'EV Data'!$AE:$AE,'EV Forecast'!F44)</f>
        <v>253252</v>
      </c>
      <c r="G84" s="129">
        <f>SUMIFS('EV Data'!$AG:$AG,'EV Data'!$AE:$AE,'EV Forecast'!G44)</f>
        <v>240525</v>
      </c>
      <c r="H84" s="129">
        <f>SUMIFS('EV Data'!$AG:$AG,'EV Data'!$AE:$AE,'EV Forecast'!H44)</f>
        <v>205764</v>
      </c>
      <c r="I84" s="129">
        <f>SUMIFS('EV Data'!$AG:$AG,'EV Data'!$AE:$AE,'EV Forecast'!I44)</f>
        <v>124652</v>
      </c>
      <c r="J84" s="129">
        <f>SUMIFS('EV Data'!$AG:$AG,'EV Data'!$AE:$AE,'EV Forecast'!J44)</f>
        <v>128831</v>
      </c>
      <c r="K84" s="129">
        <f>SUMIFS('EV Data'!$AG:$AG,'EV Data'!$AE:$AE,'EV Forecast'!K44)</f>
        <v>109955</v>
      </c>
      <c r="L84" s="129">
        <f>SUMIFS('EV Data'!$AG:$AG,'EV Data'!$AE:$AE,'EV Forecast'!L44)</f>
        <v>110539</v>
      </c>
      <c r="M84" s="129">
        <f>SUMIFS('EV Data'!$AG:$AG,'EV Data'!$AE:$AE,'EV Forecast'!M44)</f>
        <v>107568</v>
      </c>
      <c r="N84" s="462"/>
      <c r="O84" s="462"/>
      <c r="P84" s="462"/>
      <c r="Q84" s="462"/>
      <c r="R84" s="462"/>
      <c r="AA84" s="128"/>
    </row>
    <row r="85" spans="2:27" x14ac:dyDescent="0.25">
      <c r="B85" s="127"/>
      <c r="C85" s="127"/>
      <c r="D85" s="155" t="s">
        <v>219</v>
      </c>
      <c r="E85" s="125" t="s">
        <v>285</v>
      </c>
      <c r="F85" s="129">
        <f>SUMIFS('EV Data'!$AI:$AI,'EV Data'!$AE:$AE,'EV Forecast'!F44)</f>
        <v>345265</v>
      </c>
      <c r="G85" s="129">
        <f>SUMIFS('EV Data'!$AI:$AI,'EV Data'!$AE:$AE,'EV Forecast'!G44)</f>
        <v>368224</v>
      </c>
      <c r="H85" s="129">
        <f>SUMIFS('EV Data'!$AI:$AI,'EV Data'!$AE:$AE,'EV Forecast'!H44)</f>
        <v>395962</v>
      </c>
      <c r="I85" s="129">
        <f>SUMIFS('EV Data'!$AI:$AI,'EV Data'!$AE:$AE,'EV Forecast'!I44)</f>
        <v>312969</v>
      </c>
      <c r="J85" s="129">
        <f>SUMIFS('EV Data'!$AI:$AI,'EV Data'!$AE:$AE,'EV Forecast'!J44)</f>
        <v>352434</v>
      </c>
      <c r="K85" s="129">
        <f>SUMIFS('EV Data'!$AI:$AI,'EV Data'!$AE:$AE,'EV Forecast'!K44)</f>
        <v>341594</v>
      </c>
      <c r="L85" s="129">
        <f>SUMIFS('EV Data'!$AI:$AI,'EV Data'!$AE:$AE,'EV Forecast'!L44)</f>
        <v>412086</v>
      </c>
      <c r="M85" s="129">
        <f>SUMIFS('EV Data'!$AI:$AI,'EV Data'!$AE:$AE,'EV Forecast'!M44)</f>
        <v>437005</v>
      </c>
      <c r="N85" s="129"/>
      <c r="O85" s="129"/>
      <c r="P85" s="129"/>
      <c r="Q85" s="129"/>
      <c r="R85" s="129"/>
      <c r="S85" s="129"/>
      <c r="T85" s="129"/>
      <c r="U85" s="129"/>
      <c r="V85" s="129"/>
      <c r="W85" s="129"/>
      <c r="X85" s="129"/>
      <c r="Y85" s="129"/>
      <c r="Z85" s="129"/>
      <c r="AA85" s="130"/>
    </row>
    <row r="86" spans="2:27" x14ac:dyDescent="0.25">
      <c r="B86" s="127"/>
      <c r="C86" s="127"/>
      <c r="D86" s="155" t="s">
        <v>219</v>
      </c>
      <c r="E86" s="125" t="s">
        <v>286</v>
      </c>
      <c r="F86" s="129">
        <f>SUMIFS('EV Data'!$AJ:$AJ,'EV Data'!$AE:$AE,'EV Forecast'!F44)</f>
        <v>58851</v>
      </c>
      <c r="G86" s="129">
        <f>SUMIFS('EV Data'!$AJ:$AJ,'EV Data'!$AE:$AE,'EV Forecast'!G44)</f>
        <v>54456</v>
      </c>
      <c r="H86" s="129">
        <f>SUMIFS('EV Data'!$AJ:$AJ,'EV Data'!$AE:$AE,'EV Forecast'!H44)</f>
        <v>49692</v>
      </c>
      <c r="I86" s="129">
        <f>SUMIFS('EV Data'!$AJ:$AJ,'EV Data'!$AE:$AE,'EV Forecast'!I44)</f>
        <v>35235</v>
      </c>
      <c r="J86" s="129">
        <f>SUMIFS('EV Data'!$AJ:$AJ,'EV Data'!$AE:$AE,'EV Forecast'!J44)</f>
        <v>27989</v>
      </c>
      <c r="K86" s="129">
        <f>SUMIFS('EV Data'!$AJ:$AJ,'EV Data'!$AE:$AE,'EV Forecast'!K44)</f>
        <v>20185</v>
      </c>
      <c r="L86" s="129">
        <f>SUMIFS('EV Data'!$AJ:$AJ,'EV Data'!$AE:$AE,'EV Forecast'!L44)</f>
        <v>26725</v>
      </c>
      <c r="M86" s="129">
        <f>SUMIFS('EV Data'!$AJ:$AJ,'EV Data'!$AE:$AE,'EV Forecast'!M44)</f>
        <v>29792</v>
      </c>
      <c r="N86" s="129"/>
      <c r="O86" s="129"/>
      <c r="P86" s="129"/>
      <c r="Q86" s="129"/>
      <c r="R86" s="129"/>
      <c r="S86" s="129"/>
      <c r="T86" s="129"/>
      <c r="U86" s="129"/>
      <c r="V86" s="129"/>
      <c r="W86" s="129"/>
      <c r="X86" s="129"/>
      <c r="Y86" s="129"/>
      <c r="Z86" s="129"/>
      <c r="AA86" s="130"/>
    </row>
    <row r="87" spans="2:27" x14ac:dyDescent="0.25">
      <c r="B87" s="132"/>
      <c r="C87" s="132"/>
      <c r="D87" s="459" t="s">
        <v>219</v>
      </c>
      <c r="E87" s="133" t="s">
        <v>287</v>
      </c>
      <c r="F87" s="135">
        <f>SUMIFS('EV Data'!$AH:$AH,'EV Data'!$AE:$AE,'EV Forecast'!F44)</f>
        <v>144064</v>
      </c>
      <c r="G87" s="135">
        <f>SUMIFS('EV Data'!$AH:$AH,'EV Data'!$AE:$AE,'EV Forecast'!G44)</f>
        <v>135361</v>
      </c>
      <c r="H87" s="135">
        <f>SUMIFS('EV Data'!$AH:$AH,'EV Data'!$AE:$AE,'EV Forecast'!H44)</f>
        <v>144661</v>
      </c>
      <c r="I87" s="135">
        <f>SUMIFS('EV Data'!$AH:$AH,'EV Data'!$AE:$AE,'EV Forecast'!I44)</f>
        <v>127770</v>
      </c>
      <c r="J87" s="135">
        <f>SUMIFS('EV Data'!$AH:$AH,'EV Data'!$AE:$AE,'EV Forecast'!J44)</f>
        <v>117905</v>
      </c>
      <c r="K87" s="135">
        <f>SUMIFS('EV Data'!$AH:$AH,'EV Data'!$AE:$AE,'EV Forecast'!K44)</f>
        <v>122764</v>
      </c>
      <c r="L87" s="135">
        <f>SUMIFS('EV Data'!$AH:$AH,'EV Data'!$AE:$AE,'EV Forecast'!L44)</f>
        <v>127654</v>
      </c>
      <c r="M87" s="135">
        <f>SUMIFS('EV Data'!$AH:$AH,'EV Data'!$AE:$AE,'EV Forecast'!M44)</f>
        <v>124924</v>
      </c>
      <c r="N87" s="133"/>
      <c r="O87" s="133"/>
      <c r="P87" s="133"/>
      <c r="Q87" s="133"/>
      <c r="R87" s="133"/>
      <c r="S87" s="133"/>
      <c r="T87" s="133"/>
      <c r="U87" s="133"/>
      <c r="V87" s="133"/>
      <c r="W87" s="133"/>
      <c r="X87" s="133"/>
      <c r="Y87" s="133"/>
      <c r="Z87" s="133"/>
      <c r="AA87" s="134"/>
    </row>
    <row r="89" spans="2:27" x14ac:dyDescent="0.25">
      <c r="C89" s="125" t="s">
        <v>292</v>
      </c>
      <c r="X89" s="159" t="s">
        <v>293</v>
      </c>
      <c r="Y89" s="126" t="s">
        <v>268</v>
      </c>
      <c r="Z89" s="126" t="s">
        <v>294</v>
      </c>
    </row>
    <row r="90" spans="2:27" x14ac:dyDescent="0.25">
      <c r="C90" s="539" t="s">
        <v>295</v>
      </c>
      <c r="D90" s="125" t="s">
        <v>29</v>
      </c>
      <c r="F90" s="154">
        <f>(F$16+F$53)*$X90+(F$21+F$58)*$Y90+(F$26+F$63)*$Z90</f>
        <v>206588.65964912283</v>
      </c>
      <c r="G90" s="154">
        <f>(G$16-F$16+G$53-F$53)*$X90+(G$21-F$21+G$58-F$58)*$Y90+(G$26-F$26+G$63-F$63)*$Z90</f>
        <v>617582.57846934756</v>
      </c>
      <c r="H90" s="154">
        <f t="shared" ref="H90:O90" si="300">(H$16-G$16+H$53-G$53)*$X90+(H$21-G$21+H$58-G$58)*$Y90+(H$26-G$26+H$63-G$63)*$Z90</f>
        <v>661705.55548376741</v>
      </c>
      <c r="I90" s="154">
        <f t="shared" si="300"/>
        <v>513364.75844546885</v>
      </c>
      <c r="J90" s="154">
        <f t="shared" si="300"/>
        <v>671155.57031204668</v>
      </c>
      <c r="K90" s="154">
        <f t="shared" si="300"/>
        <v>1145961.2233315124</v>
      </c>
      <c r="L90" s="154">
        <f t="shared" si="300"/>
        <v>1603779.5717058403</v>
      </c>
      <c r="M90" s="154">
        <f t="shared" si="300"/>
        <v>1918717.0252750353</v>
      </c>
      <c r="N90" s="154">
        <f>(N$16-M$16+N$53-M$53)*$X90+(N$21-M$21+N$58-M$58)*$Y90+(N$26-M$26+N$63-M$63)*$Z90</f>
        <v>2395607.1131810741</v>
      </c>
      <c r="O90" s="154">
        <f t="shared" si="300"/>
        <v>3060968.7254779846</v>
      </c>
      <c r="P90" s="154"/>
      <c r="Q90" s="154"/>
      <c r="V90" s="154"/>
      <c r="W90" s="126" t="s">
        <v>29</v>
      </c>
      <c r="X90" s="156">
        <v>0.8</v>
      </c>
      <c r="Y90" s="156">
        <v>0.25</v>
      </c>
      <c r="Z90" s="156">
        <v>0.33333333333333337</v>
      </c>
    </row>
    <row r="91" spans="2:27" x14ac:dyDescent="0.25">
      <c r="C91" s="539"/>
      <c r="D91" s="125" t="s">
        <v>39</v>
      </c>
      <c r="F91" s="154">
        <f t="shared" ref="F91:F92" si="301">(F$16+F$53)*$X91+(F$21+F$58)*$Y91+(F$26+F$63)*$Z91</f>
        <v>36475.994736842105</v>
      </c>
      <c r="G91" s="154">
        <f>(G$16-F$16+G$53-F$53)*$X91+(G$21-F$21+G$58-F$58)*$Y91+(G$26-F$26+G$63-F$63)*$Z91</f>
        <v>102002.16138010053</v>
      </c>
      <c r="H91" s="154">
        <f t="shared" ref="H91:M91" si="302">(H$16-G$16+H$53-G$53)*$X91+(H$21-G$21+H$58-G$58)*$Y91+(H$26-G$26+H$63-G$63)*$Z91</f>
        <v>98363.516259003518</v>
      </c>
      <c r="I91" s="154">
        <f t="shared" si="302"/>
        <v>67431.843837213033</v>
      </c>
      <c r="J91" s="154">
        <f t="shared" si="302"/>
        <v>89107.447125082443</v>
      </c>
      <c r="K91" s="154">
        <f t="shared" si="302"/>
        <v>170274.62050732027</v>
      </c>
      <c r="L91" s="154">
        <f t="shared" si="302"/>
        <v>266449.01574362395</v>
      </c>
      <c r="M91" s="154">
        <f t="shared" si="302"/>
        <v>357336.87537479022</v>
      </c>
      <c r="N91" s="154">
        <f>(N$16-M$16+N$53-M$53)*$X91+(N$21-M$21+N$58-M$58)*$Y91+(N$26-M$26+N$63-M$63)*$Z91</f>
        <v>455456.43257950025</v>
      </c>
      <c r="O91" s="154">
        <f>(O$16-N$16+O$53-N$53)*$X91+(O$21-N$21+O$58-N$58)*$Y91+(O$26-N$26+O$63-N$63)*$Z91</f>
        <v>566992.24563708028</v>
      </c>
      <c r="P91" s="154"/>
      <c r="Q91" s="154"/>
      <c r="V91" s="154"/>
      <c r="W91" s="126" t="s">
        <v>39</v>
      </c>
      <c r="X91" s="156">
        <v>0.1</v>
      </c>
      <c r="Y91" s="156">
        <v>0.45</v>
      </c>
      <c r="Z91" s="156">
        <v>0.33333333333333337</v>
      </c>
    </row>
    <row r="92" spans="2:27" x14ac:dyDescent="0.25">
      <c r="C92" s="539"/>
      <c r="D92" s="125" t="s">
        <v>40</v>
      </c>
      <c r="F92" s="154">
        <f t="shared" si="301"/>
        <v>32660.205263157895</v>
      </c>
      <c r="G92" s="154">
        <f>(G$16-F$16+G$53-F$53)*$X92+(G$21-F$21+G$58-F$58)*$Y92+(G$26-F$26+G$63-F$63)*$Z92</f>
        <v>93117.024996303968</v>
      </c>
      <c r="H92" s="154">
        <f t="shared" ref="H92:M92" si="303">(H$16-G$16+H$53-G$53)*$X92+(H$21-G$21+H$58-G$58)*$Y92+(H$26-G$26+H$63-G$63)*$Z92</f>
        <v>92757.4308296784</v>
      </c>
      <c r="I92" s="154">
        <f t="shared" si="303"/>
        <v>66263.635228903979</v>
      </c>
      <c r="J92" s="154">
        <f t="shared" si="303"/>
        <v>87240.103542010227</v>
      </c>
      <c r="K92" s="154">
        <f t="shared" si="303"/>
        <v>165427.91079348302</v>
      </c>
      <c r="L92" s="154">
        <f t="shared" si="303"/>
        <v>257234.41071771609</v>
      </c>
      <c r="M92" s="154">
        <f t="shared" si="303"/>
        <v>348280.17594684364</v>
      </c>
      <c r="N92" s="154">
        <f>(N$16-M$16+N$53-M$53)*$X92+(N$21-M$21+N$58-M$58)*$Y92+(N$26-M$26+N$63-M$63)*$Z92</f>
        <v>445185.35023115948</v>
      </c>
      <c r="O92" s="154">
        <f>(O$16-N$16+O$53-N$53)*$X92+(O$21-N$21+O$58-N$58)*$Y92+(O$26-N$26+O$63-N$63)*$Z92</f>
        <v>551454.73813456832</v>
      </c>
      <c r="P92" s="154"/>
      <c r="Q92" s="154"/>
      <c r="V92" s="154"/>
      <c r="W92" s="126" t="s">
        <v>40</v>
      </c>
      <c r="X92" s="156">
        <v>0.1</v>
      </c>
      <c r="Y92" s="156">
        <v>0.3</v>
      </c>
      <c r="Z92" s="156">
        <v>0.33333333333333298</v>
      </c>
    </row>
    <row r="93" spans="2:27" x14ac:dyDescent="0.25">
      <c r="K93" s="160">
        <f>SUM(K90:K92)</f>
        <v>1481663.7546323158</v>
      </c>
      <c r="L93" s="160">
        <f t="shared" ref="L93:O93" si="304">SUM(L90:L92)</f>
        <v>2127462.9981671805</v>
      </c>
      <c r="M93" s="160">
        <f t="shared" si="304"/>
        <v>2624334.0765966694</v>
      </c>
      <c r="N93" s="160">
        <f>SUM(N90:N92)</f>
        <v>3296248.8959917338</v>
      </c>
      <c r="O93" s="160">
        <f t="shared" si="304"/>
        <v>4179415.7092496334</v>
      </c>
      <c r="P93" s="160"/>
      <c r="Q93" s="160"/>
    </row>
    <row r="95" spans="2:27" x14ac:dyDescent="0.25">
      <c r="C95" s="125" t="s">
        <v>296</v>
      </c>
    </row>
    <row r="96" spans="2:27" x14ac:dyDescent="0.25">
      <c r="D96" s="125" t="s">
        <v>297</v>
      </c>
      <c r="F96" s="161">
        <v>0.2</v>
      </c>
      <c r="G96" s="161">
        <f>F96</f>
        <v>0.2</v>
      </c>
      <c r="H96" s="161">
        <f t="shared" ref="H96:O96" si="305">G96</f>
        <v>0.2</v>
      </c>
      <c r="I96" s="161">
        <f t="shared" si="305"/>
        <v>0.2</v>
      </c>
      <c r="J96" s="161">
        <f t="shared" si="305"/>
        <v>0.2</v>
      </c>
      <c r="K96" s="161">
        <f t="shared" si="305"/>
        <v>0.2</v>
      </c>
      <c r="L96" s="161">
        <f t="shared" si="305"/>
        <v>0.2</v>
      </c>
      <c r="M96" s="161">
        <f t="shared" si="305"/>
        <v>0.2</v>
      </c>
      <c r="N96" s="161">
        <f>M96</f>
        <v>0.2</v>
      </c>
      <c r="O96" s="161">
        <f t="shared" si="305"/>
        <v>0.2</v>
      </c>
      <c r="P96" s="161"/>
      <c r="Q96" s="161"/>
    </row>
    <row r="97" spans="4:17" x14ac:dyDescent="0.25">
      <c r="D97" s="125" t="s">
        <v>40</v>
      </c>
      <c r="F97" s="162">
        <f>((F92/F96)/8760)*12</f>
        <v>223.70003604902666</v>
      </c>
      <c r="G97" s="162">
        <f t="shared" ref="G97:K97" si="306">G92/G96/8760*12</f>
        <v>637.78784244043811</v>
      </c>
      <c r="H97" s="162">
        <f t="shared" si="306"/>
        <v>635.3248686964273</v>
      </c>
      <c r="I97" s="162">
        <f t="shared" si="306"/>
        <v>453.8605152664656</v>
      </c>
      <c r="J97" s="162">
        <f t="shared" si="306"/>
        <v>597.5349557671932</v>
      </c>
      <c r="K97" s="162">
        <f t="shared" si="306"/>
        <v>1133.067882147144</v>
      </c>
      <c r="L97" s="162">
        <f>L92/L96/8760*12</f>
        <v>1761.8795254638085</v>
      </c>
      <c r="M97" s="162">
        <f>M92/M96/8760*12</f>
        <v>2385.480657170162</v>
      </c>
      <c r="N97" s="162">
        <f>N92/N96/8760*12</f>
        <v>3049.2147276106816</v>
      </c>
      <c r="O97" s="162">
        <f>O92/O96/8760*12</f>
        <v>3777.0872474970429</v>
      </c>
      <c r="P97" s="162"/>
      <c r="Q97" s="162"/>
    </row>
    <row r="98" spans="4:17" x14ac:dyDescent="0.25">
      <c r="N98" s="142"/>
    </row>
    <row r="99" spans="4:17" x14ac:dyDescent="0.25">
      <c r="F99" s="162"/>
    </row>
    <row r="101" spans="4:17" x14ac:dyDescent="0.25">
      <c r="E101" s="163"/>
      <c r="F101" s="140">
        <f t="shared" ref="F101:L101" si="307">F116</f>
        <v>2017</v>
      </c>
      <c r="G101" s="140">
        <f t="shared" si="307"/>
        <v>2018</v>
      </c>
      <c r="H101" s="140">
        <f t="shared" si="307"/>
        <v>2019</v>
      </c>
      <c r="I101" s="140">
        <f t="shared" si="307"/>
        <v>2020</v>
      </c>
      <c r="J101" s="140">
        <f t="shared" si="307"/>
        <v>2021</v>
      </c>
      <c r="K101" s="140">
        <f t="shared" si="307"/>
        <v>2022</v>
      </c>
      <c r="L101" s="140">
        <f t="shared" si="307"/>
        <v>2023</v>
      </c>
      <c r="M101" s="140">
        <f t="shared" ref="M101" si="308">M116</f>
        <v>2024</v>
      </c>
      <c r="N101" s="164"/>
    </row>
    <row r="102" spans="4:17" x14ac:dyDescent="0.25">
      <c r="E102" s="127" t="s">
        <v>493</v>
      </c>
      <c r="F102" s="165">
        <f>F31+F68</f>
        <v>246</v>
      </c>
      <c r="G102" s="165">
        <f t="shared" ref="G102:L102" si="309">G31+G68</f>
        <v>455</v>
      </c>
      <c r="H102" s="165">
        <f t="shared" si="309"/>
        <v>254</v>
      </c>
      <c r="I102" s="165">
        <f t="shared" si="309"/>
        <v>251</v>
      </c>
      <c r="J102" s="165">
        <f t="shared" si="309"/>
        <v>399</v>
      </c>
      <c r="K102" s="165">
        <f t="shared" si="309"/>
        <v>703</v>
      </c>
      <c r="L102" s="502">
        <f t="shared" si="309"/>
        <v>850</v>
      </c>
      <c r="M102" s="502">
        <f t="shared" ref="M102" si="310">M31+M68</f>
        <v>1053</v>
      </c>
      <c r="N102" s="128" t="s">
        <v>110</v>
      </c>
    </row>
    <row r="103" spans="4:17" x14ac:dyDescent="0.25">
      <c r="E103" s="127" t="s">
        <v>298</v>
      </c>
      <c r="F103" s="165">
        <f>F32+F69</f>
        <v>8180</v>
      </c>
      <c r="G103" s="165">
        <f t="shared" ref="G103:K103" si="311">G32+G69</f>
        <v>16758</v>
      </c>
      <c r="H103" s="165">
        <f t="shared" si="311"/>
        <v>9762</v>
      </c>
      <c r="I103" s="165">
        <f t="shared" si="311"/>
        <v>10515</v>
      </c>
      <c r="J103" s="165">
        <f t="shared" si="311"/>
        <v>19716</v>
      </c>
      <c r="K103" s="165">
        <f t="shared" si="311"/>
        <v>38662</v>
      </c>
      <c r="L103" s="502">
        <f>L32+L69</f>
        <v>50132</v>
      </c>
      <c r="M103" s="502">
        <f>M32+M69</f>
        <v>56600</v>
      </c>
      <c r="N103" s="128" t="s">
        <v>111</v>
      </c>
    </row>
    <row r="104" spans="4:17" x14ac:dyDescent="0.25">
      <c r="E104" s="163" t="s">
        <v>494</v>
      </c>
      <c r="F104" s="167">
        <f t="shared" ref="F104:L104" si="312">F28</f>
        <v>2.6943586865001402E-2</v>
      </c>
      <c r="G104" s="167">
        <f t="shared" si="312"/>
        <v>2.8609690771852932E-2</v>
      </c>
      <c r="H104" s="167">
        <f t="shared" si="312"/>
        <v>2.6063100137174212E-2</v>
      </c>
      <c r="I104" s="167">
        <f t="shared" si="312"/>
        <v>2.476097082618289E-2</v>
      </c>
      <c r="J104" s="167">
        <f t="shared" si="312"/>
        <v>2.0494028230184581E-2</v>
      </c>
      <c r="K104" s="167">
        <f t="shared" si="312"/>
        <v>1.7692096513436843E-2</v>
      </c>
      <c r="L104" s="167">
        <f t="shared" si="312"/>
        <v>1.6901773003753073E-2</v>
      </c>
      <c r="M104" s="167">
        <f t="shared" ref="M104" si="313">M28</f>
        <v>1.8336293380694091E-2</v>
      </c>
      <c r="N104" s="128" t="s">
        <v>299</v>
      </c>
    </row>
    <row r="105" spans="4:17" x14ac:dyDescent="0.25">
      <c r="E105" s="127" t="s">
        <v>300</v>
      </c>
      <c r="F105" s="165">
        <f>F33+F70</f>
        <v>6191</v>
      </c>
      <c r="G105" s="165">
        <f t="shared" ref="G105:K105" si="314">G33+G70</f>
        <v>12828</v>
      </c>
      <c r="H105" s="165">
        <f t="shared" si="314"/>
        <v>7124</v>
      </c>
      <c r="I105" s="165">
        <f t="shared" si="314"/>
        <v>5699</v>
      </c>
      <c r="J105" s="165">
        <f t="shared" si="314"/>
        <v>8028</v>
      </c>
      <c r="K105" s="165">
        <f t="shared" si="314"/>
        <v>13157</v>
      </c>
      <c r="L105" s="502">
        <f t="shared" ref="L105:M108" si="315">L33+L70</f>
        <v>11001</v>
      </c>
      <c r="M105" s="502">
        <f t="shared" si="315"/>
        <v>9794</v>
      </c>
      <c r="N105" s="128" t="s">
        <v>113</v>
      </c>
    </row>
    <row r="106" spans="4:17" x14ac:dyDescent="0.25">
      <c r="E106" s="127" t="s">
        <v>301</v>
      </c>
      <c r="F106" s="165">
        <f>F34+F71</f>
        <v>1467</v>
      </c>
      <c r="G106" s="165">
        <f t="shared" ref="G106:K106" si="316">G34+G71</f>
        <v>3055</v>
      </c>
      <c r="H106" s="165">
        <f t="shared" si="316"/>
        <v>2546</v>
      </c>
      <c r="I106" s="165">
        <f t="shared" si="316"/>
        <v>4681</v>
      </c>
      <c r="J106" s="165">
        <f t="shared" si="316"/>
        <v>11406</v>
      </c>
      <c r="K106" s="165">
        <f t="shared" si="316"/>
        <v>23938</v>
      </c>
      <c r="L106" s="502">
        <f t="shared" si="315"/>
        <v>36195</v>
      </c>
      <c r="M106" s="502">
        <f t="shared" si="315"/>
        <v>42094</v>
      </c>
      <c r="N106" s="128" t="s">
        <v>128</v>
      </c>
    </row>
    <row r="107" spans="4:17" x14ac:dyDescent="0.25">
      <c r="E107" s="127" t="s">
        <v>302</v>
      </c>
      <c r="F107" s="165">
        <f>F35+F72</f>
        <v>522</v>
      </c>
      <c r="G107" s="165">
        <f t="shared" ref="G107:K107" si="317">G35+G72</f>
        <v>875</v>
      </c>
      <c r="H107" s="165">
        <f t="shared" si="317"/>
        <v>92</v>
      </c>
      <c r="I107" s="165">
        <f t="shared" si="317"/>
        <v>135</v>
      </c>
      <c r="J107" s="165">
        <f t="shared" si="317"/>
        <v>282</v>
      </c>
      <c r="K107" s="165">
        <f t="shared" si="317"/>
        <v>695</v>
      </c>
      <c r="L107" s="502">
        <f t="shared" si="315"/>
        <v>1127</v>
      </c>
      <c r="M107" s="502">
        <f t="shared" si="315"/>
        <v>632</v>
      </c>
      <c r="N107" s="128" t="s">
        <v>144</v>
      </c>
    </row>
    <row r="108" spans="4:17" x14ac:dyDescent="0.25">
      <c r="E108" s="132" t="s">
        <v>303</v>
      </c>
      <c r="F108" s="168">
        <f>F36+F73</f>
        <v>0</v>
      </c>
      <c r="G108" s="168">
        <f t="shared" ref="G108:K108" si="318">G36+G73</f>
        <v>0</v>
      </c>
      <c r="H108" s="168">
        <f t="shared" si="318"/>
        <v>0</v>
      </c>
      <c r="I108" s="168">
        <f t="shared" si="318"/>
        <v>0</v>
      </c>
      <c r="J108" s="168">
        <f t="shared" si="318"/>
        <v>0</v>
      </c>
      <c r="K108" s="168">
        <f t="shared" si="318"/>
        <v>872</v>
      </c>
      <c r="L108" s="503">
        <f t="shared" si="315"/>
        <v>1809</v>
      </c>
      <c r="M108" s="503">
        <f t="shared" si="315"/>
        <v>4080</v>
      </c>
      <c r="N108" s="128" t="s">
        <v>304</v>
      </c>
    </row>
    <row r="109" spans="4:17" x14ac:dyDescent="0.25">
      <c r="E109" s="123" t="str">
        <f>E38</f>
        <v>Passenger EV as % of EV</v>
      </c>
      <c r="F109" s="460">
        <f>F105/SUM(F$105:F$108)</f>
        <v>0.75684596577017116</v>
      </c>
      <c r="G109" s="460">
        <f t="shared" ref="G109:L109" si="319">G105/SUM(G$105:G$108)</f>
        <v>0.76548514142499102</v>
      </c>
      <c r="H109" s="460">
        <f t="shared" si="319"/>
        <v>0.72976849006351152</v>
      </c>
      <c r="I109" s="460">
        <f t="shared" si="319"/>
        <v>0.54198763670946271</v>
      </c>
      <c r="J109" s="460">
        <f t="shared" si="319"/>
        <v>0.40718198417528911</v>
      </c>
      <c r="K109" s="460">
        <f t="shared" si="319"/>
        <v>0.34030831307226733</v>
      </c>
      <c r="L109" s="504">
        <f t="shared" si="319"/>
        <v>0.21944067661373973</v>
      </c>
      <c r="M109" s="504">
        <f t="shared" ref="M109" si="320">M105/SUM(M$105:M$108)</f>
        <v>0.17303886925795053</v>
      </c>
      <c r="N109" s="128" t="s">
        <v>305</v>
      </c>
    </row>
    <row r="110" spans="4:17" x14ac:dyDescent="0.25">
      <c r="E110" s="127" t="str">
        <f>E39</f>
        <v>Multi-Purpose EV as % of EV</v>
      </c>
      <c r="F110" s="460">
        <f>F106/SUM(F$105:F$108)</f>
        <v>0.17933985330073349</v>
      </c>
      <c r="G110" s="460">
        <f t="shared" ref="F110:L112" si="321">G106/SUM(G$105:G$108)</f>
        <v>0.18230099057166727</v>
      </c>
      <c r="H110" s="460">
        <f t="shared" si="321"/>
        <v>0.26080721163695963</v>
      </c>
      <c r="I110" s="460">
        <f t="shared" si="321"/>
        <v>0.44517356157869709</v>
      </c>
      <c r="J110" s="460">
        <f t="shared" si="321"/>
        <v>0.57851491174680458</v>
      </c>
      <c r="K110" s="460">
        <f t="shared" si="321"/>
        <v>0.61916093321607779</v>
      </c>
      <c r="L110" s="504">
        <f t="shared" si="321"/>
        <v>0.72199393600893635</v>
      </c>
      <c r="M110" s="504">
        <f t="shared" ref="M110" si="322">M106/SUM(M$105:M$108)</f>
        <v>0.74371024734982327</v>
      </c>
      <c r="N110" s="128" t="s">
        <v>306</v>
      </c>
    </row>
    <row r="111" spans="4:17" x14ac:dyDescent="0.25">
      <c r="E111" s="127" t="str">
        <f>E40</f>
        <v>Van EV as % of EV</v>
      </c>
      <c r="F111" s="460">
        <f t="shared" si="321"/>
        <v>6.3814180929095354E-2</v>
      </c>
      <c r="G111" s="460">
        <f t="shared" si="321"/>
        <v>5.2213868003341685E-2</v>
      </c>
      <c r="H111" s="460">
        <f t="shared" si="321"/>
        <v>9.4242982995287848E-3</v>
      </c>
      <c r="I111" s="460">
        <f t="shared" si="321"/>
        <v>1.2838801711840228E-2</v>
      </c>
      <c r="J111" s="460">
        <f t="shared" si="321"/>
        <v>1.4303104077906269E-2</v>
      </c>
      <c r="K111" s="460">
        <f t="shared" si="321"/>
        <v>1.7976307485386166E-2</v>
      </c>
      <c r="L111" s="504">
        <f t="shared" si="321"/>
        <v>2.2480651081145775E-2</v>
      </c>
      <c r="M111" s="504">
        <f t="shared" ref="M111" si="323">M107/SUM(M$105:M$108)</f>
        <v>1.1166077738515901E-2</v>
      </c>
      <c r="N111" s="128" t="s">
        <v>307</v>
      </c>
    </row>
    <row r="112" spans="4:17" x14ac:dyDescent="0.25">
      <c r="E112" s="132" t="str">
        <f>E41</f>
        <v>Pickup Truck EV as % of EV</v>
      </c>
      <c r="F112" s="461">
        <f t="shared" si="321"/>
        <v>0</v>
      </c>
      <c r="G112" s="461">
        <f t="shared" si="321"/>
        <v>0</v>
      </c>
      <c r="H112" s="461">
        <f t="shared" si="321"/>
        <v>0</v>
      </c>
      <c r="I112" s="461">
        <f t="shared" si="321"/>
        <v>0</v>
      </c>
      <c r="J112" s="461">
        <f t="shared" si="321"/>
        <v>0</v>
      </c>
      <c r="K112" s="461">
        <f t="shared" si="321"/>
        <v>2.2554446226268687E-2</v>
      </c>
      <c r="L112" s="505">
        <f t="shared" si="321"/>
        <v>3.6084736296178088E-2</v>
      </c>
      <c r="M112" s="505">
        <f t="shared" ref="M112" si="324">M108/SUM(M$105:M$108)</f>
        <v>7.2084805653710241E-2</v>
      </c>
      <c r="N112" s="134" t="s">
        <v>308</v>
      </c>
    </row>
    <row r="116" spans="5:15" x14ac:dyDescent="0.25">
      <c r="E116" s="170"/>
      <c r="F116" s="140">
        <f t="shared" ref="F116:M116" si="325">F7</f>
        <v>2017</v>
      </c>
      <c r="G116" s="140">
        <f t="shared" si="325"/>
        <v>2018</v>
      </c>
      <c r="H116" s="140">
        <f t="shared" si="325"/>
        <v>2019</v>
      </c>
      <c r="I116" s="140">
        <f t="shared" si="325"/>
        <v>2020</v>
      </c>
      <c r="J116" s="140">
        <f t="shared" si="325"/>
        <v>2021</v>
      </c>
      <c r="K116" s="140">
        <f t="shared" si="325"/>
        <v>2022</v>
      </c>
      <c r="L116" s="140">
        <f t="shared" si="325"/>
        <v>2023</v>
      </c>
      <c r="M116" s="140">
        <f t="shared" si="325"/>
        <v>2024</v>
      </c>
    </row>
    <row r="117" spans="5:15" x14ac:dyDescent="0.25">
      <c r="E117" s="540" t="s">
        <v>495</v>
      </c>
      <c r="F117" s="541"/>
      <c r="G117" s="541"/>
      <c r="H117" s="541"/>
      <c r="I117" s="541"/>
      <c r="J117" s="541"/>
      <c r="K117" s="541"/>
      <c r="L117" s="541"/>
      <c r="M117" s="541"/>
    </row>
    <row r="118" spans="5:15" x14ac:dyDescent="0.25">
      <c r="E118" s="171" t="s">
        <v>138</v>
      </c>
      <c r="F118" s="172">
        <f>F9+F46</f>
        <v>246</v>
      </c>
      <c r="G118" s="172">
        <f t="shared" ref="G118:L118" si="326">G9+G46</f>
        <v>455</v>
      </c>
      <c r="H118" s="172">
        <f t="shared" si="326"/>
        <v>254</v>
      </c>
      <c r="I118" s="172">
        <f t="shared" si="326"/>
        <v>251</v>
      </c>
      <c r="J118" s="172">
        <f t="shared" si="326"/>
        <v>399</v>
      </c>
      <c r="K118" s="172">
        <f t="shared" si="326"/>
        <v>703</v>
      </c>
      <c r="L118" s="172">
        <f t="shared" si="326"/>
        <v>850</v>
      </c>
      <c r="M118" s="172">
        <f t="shared" ref="M118" si="327">M9+M46</f>
        <v>1053</v>
      </c>
      <c r="N118" s="125" t="s">
        <v>309</v>
      </c>
    </row>
    <row r="119" spans="5:15" x14ac:dyDescent="0.25">
      <c r="E119" s="140" t="s">
        <v>310</v>
      </c>
      <c r="F119" s="170">
        <f>F12+F49</f>
        <v>229.04093567251462</v>
      </c>
      <c r="G119" s="170">
        <f t="shared" ref="G119:L119" si="328">G12+G49</f>
        <v>432.46956928838949</v>
      </c>
      <c r="H119" s="170">
        <f t="shared" si="328"/>
        <v>251.61449547016556</v>
      </c>
      <c r="I119" s="170">
        <f t="shared" si="328"/>
        <v>248.19346627068307</v>
      </c>
      <c r="J119" s="170">
        <f t="shared" si="328"/>
        <v>393.50722891566267</v>
      </c>
      <c r="K119" s="170">
        <f t="shared" si="328"/>
        <v>673.60020352069819</v>
      </c>
      <c r="L119" s="170">
        <f t="shared" si="328"/>
        <v>800.23185277349489</v>
      </c>
      <c r="M119" s="170">
        <f t="shared" ref="M119" si="329">M12+M49</f>
        <v>966.2398910604345</v>
      </c>
      <c r="N119" s="125" t="s">
        <v>311</v>
      </c>
    </row>
    <row r="120" spans="5:15" x14ac:dyDescent="0.25">
      <c r="E120" s="140" t="s">
        <v>276</v>
      </c>
      <c r="F120" s="170">
        <f>F17+F54</f>
        <v>16.959064327485379</v>
      </c>
      <c r="G120" s="170">
        <f t="shared" ref="G120:L120" si="330">G17+G54</f>
        <v>22.530430711610485</v>
      </c>
      <c r="H120" s="170">
        <f t="shared" si="330"/>
        <v>2.3855045298344266</v>
      </c>
      <c r="I120" s="170">
        <f t="shared" si="330"/>
        <v>2.8065337293169286</v>
      </c>
      <c r="J120" s="170">
        <f t="shared" si="330"/>
        <v>5.492771084337349</v>
      </c>
      <c r="K120" s="170">
        <f t="shared" si="330"/>
        <v>13.97228831958482</v>
      </c>
      <c r="L120" s="170">
        <f t="shared" si="330"/>
        <v>19.192839862715804</v>
      </c>
      <c r="M120" s="170">
        <f t="shared" ref="M120" si="331">M17+M54</f>
        <v>11.948031946333561</v>
      </c>
      <c r="N120" s="125" t="s">
        <v>312</v>
      </c>
    </row>
    <row r="121" spans="5:15" x14ac:dyDescent="0.25">
      <c r="E121" s="140" t="s">
        <v>313</v>
      </c>
      <c r="F121" s="173">
        <f>F22+F59</f>
        <v>0</v>
      </c>
      <c r="G121" s="173">
        <f t="shared" ref="G121:L121" si="332">G22+G59</f>
        <v>0</v>
      </c>
      <c r="H121" s="173">
        <f t="shared" si="332"/>
        <v>0</v>
      </c>
      <c r="I121" s="173">
        <f t="shared" si="332"/>
        <v>0</v>
      </c>
      <c r="J121" s="173">
        <f t="shared" si="332"/>
        <v>0</v>
      </c>
      <c r="K121" s="173">
        <f t="shared" si="332"/>
        <v>15.427508159716927</v>
      </c>
      <c r="L121" s="173">
        <f t="shared" si="332"/>
        <v>30.57530736378931</v>
      </c>
      <c r="M121" s="173">
        <f t="shared" ref="M121" si="333">M22+M59</f>
        <v>74.812076993231898</v>
      </c>
      <c r="N121" s="125" t="s">
        <v>314</v>
      </c>
    </row>
    <row r="123" spans="5:15" x14ac:dyDescent="0.25">
      <c r="E123" s="170"/>
      <c r="F123" s="174">
        <f t="shared" ref="F123:L123" si="334">L7</f>
        <v>2023</v>
      </c>
      <c r="G123" s="140">
        <f t="shared" si="334"/>
        <v>2024</v>
      </c>
      <c r="H123" s="140">
        <f t="shared" si="334"/>
        <v>2025</v>
      </c>
      <c r="I123" s="174">
        <f t="shared" si="334"/>
        <v>2026</v>
      </c>
      <c r="J123" s="140">
        <f t="shared" si="334"/>
        <v>2027</v>
      </c>
      <c r="K123" s="174">
        <f t="shared" si="334"/>
        <v>2028</v>
      </c>
      <c r="L123" s="140">
        <f t="shared" si="334"/>
        <v>2029</v>
      </c>
      <c r="O123" s="125" t="s">
        <v>315</v>
      </c>
    </row>
    <row r="124" spans="5:15" x14ac:dyDescent="0.25">
      <c r="E124" s="170" t="s">
        <v>316</v>
      </c>
      <c r="F124" s="175">
        <f>L83</f>
        <v>677004</v>
      </c>
      <c r="G124" s="175">
        <f t="shared" ref="G124:L124" si="335">M83</f>
        <v>699289</v>
      </c>
      <c r="H124" s="175">
        <f t="shared" si="335"/>
        <v>713274.78</v>
      </c>
      <c r="I124" s="175">
        <f t="shared" si="335"/>
        <v>727540.27560000005</v>
      </c>
      <c r="J124" s="175">
        <f t="shared" si="335"/>
        <v>742091.08111200004</v>
      </c>
      <c r="K124" s="175">
        <f t="shared" si="335"/>
        <v>756932.90273424005</v>
      </c>
      <c r="L124" s="175">
        <f t="shared" si="335"/>
        <v>772071.56078892492</v>
      </c>
      <c r="N124" s="125" t="s">
        <v>317</v>
      </c>
      <c r="O124" s="125" t="s">
        <v>543</v>
      </c>
    </row>
    <row r="125" spans="5:15" x14ac:dyDescent="0.25">
      <c r="E125" s="170" t="s">
        <v>318</v>
      </c>
      <c r="F125" s="176">
        <f>L82</f>
        <v>7.4049784048543288E-2</v>
      </c>
      <c r="G125" s="176">
        <f>M82</f>
        <v>8.0939354115394352E-2</v>
      </c>
      <c r="H125" s="176">
        <f t="shared" ref="H125:L125" si="336">N82</f>
        <v>0.10147926190024462</v>
      </c>
      <c r="I125" s="176">
        <f t="shared" si="336"/>
        <v>0.12723156378461625</v>
      </c>
      <c r="J125" s="176">
        <f t="shared" si="336"/>
        <v>0.15951900437541369</v>
      </c>
      <c r="K125" s="176">
        <f t="shared" si="336"/>
        <v>0.2</v>
      </c>
      <c r="L125" s="176">
        <f t="shared" si="336"/>
        <v>0.23</v>
      </c>
      <c r="N125" s="125" t="s">
        <v>319</v>
      </c>
      <c r="O125" s="125" t="s">
        <v>320</v>
      </c>
    </row>
    <row r="126" spans="5:15" x14ac:dyDescent="0.25">
      <c r="E126" s="170" t="str">
        <f>D28</f>
        <v>Burlington % of ON New EVs</v>
      </c>
      <c r="F126" s="177">
        <f>(L31+L68)/(L32+L69)</f>
        <v>1.695523817122796E-2</v>
      </c>
      <c r="G126" s="177">
        <f>(M31+M68)/(M32+M69)</f>
        <v>1.8604240282685511E-2</v>
      </c>
      <c r="H126" s="177">
        <f>(N31+N68)/(N32+N69)</f>
        <v>1.8547353963678431E-2</v>
      </c>
      <c r="I126" s="177">
        <f t="shared" ref="I126:L126" si="337">(O31+O68)/(O32+O69)</f>
        <v>1.8547353963678428E-2</v>
      </c>
      <c r="J126" s="177">
        <f t="shared" si="337"/>
        <v>1.8547353963678431E-2</v>
      </c>
      <c r="K126" s="177">
        <f t="shared" si="337"/>
        <v>1.8547353963678428E-2</v>
      </c>
      <c r="L126" s="177">
        <f t="shared" si="337"/>
        <v>1.8547353963678431E-2</v>
      </c>
      <c r="N126" s="125" t="s">
        <v>321</v>
      </c>
      <c r="O126" s="125" t="s">
        <v>379</v>
      </c>
    </row>
    <row r="127" spans="5:15" x14ac:dyDescent="0.25">
      <c r="E127" s="140" t="s">
        <v>378</v>
      </c>
      <c r="F127" s="178">
        <f>SUM(F128:F130)</f>
        <v>850</v>
      </c>
      <c r="G127" s="172">
        <f>SUM(G128:G130)</f>
        <v>1053</v>
      </c>
      <c r="H127" s="172">
        <f>SUM(H128:H130)</f>
        <v>1342.5056697459172</v>
      </c>
      <c r="I127" s="178">
        <f>SUM(I128:I130)</f>
        <v>1716.8559802670027</v>
      </c>
      <c r="J127" s="172">
        <f t="shared" ref="J127:L127" si="338">SUM(J128:J130)</f>
        <v>2195.5918126859251</v>
      </c>
      <c r="K127" s="178">
        <f t="shared" si="338"/>
        <v>2807.8204947533054</v>
      </c>
      <c r="L127" s="172">
        <f t="shared" si="338"/>
        <v>3293.5734403456277</v>
      </c>
      <c r="N127" s="125" t="s">
        <v>322</v>
      </c>
      <c r="O127" s="125" t="s">
        <v>380</v>
      </c>
    </row>
    <row r="128" spans="5:15" x14ac:dyDescent="0.25">
      <c r="E128" s="140" t="s">
        <v>310</v>
      </c>
      <c r="F128" s="175">
        <f>L12+L49</f>
        <v>800.23185277349489</v>
      </c>
      <c r="G128" s="175">
        <f t="shared" ref="G128:L128" si="339">M12+M49</f>
        <v>966.2398910604345</v>
      </c>
      <c r="H128" s="175">
        <f t="shared" si="339"/>
        <v>1247.9392361659557</v>
      </c>
      <c r="I128" s="175">
        <f t="shared" si="339"/>
        <v>1595.9202176232541</v>
      </c>
      <c r="J128" s="175">
        <f t="shared" si="339"/>
        <v>2040.9337788301973</v>
      </c>
      <c r="K128" s="175">
        <f t="shared" si="339"/>
        <v>2610.0369201246808</v>
      </c>
      <c r="L128" s="175">
        <f t="shared" si="339"/>
        <v>3061.5733073062511</v>
      </c>
      <c r="N128" s="125" t="s">
        <v>323</v>
      </c>
      <c r="O128" s="125" t="s">
        <v>544</v>
      </c>
    </row>
    <row r="129" spans="5:15" x14ac:dyDescent="0.25">
      <c r="E129" s="140" t="s">
        <v>276</v>
      </c>
      <c r="F129" s="175">
        <f>L17+L54</f>
        <v>19.192839862715804</v>
      </c>
      <c r="G129" s="175">
        <f t="shared" ref="G129:L129" si="340">M17+M54</f>
        <v>11.948031946333561</v>
      </c>
      <c r="H129" s="175">
        <f t="shared" si="340"/>
        <v>23.856104619576143</v>
      </c>
      <c r="I129" s="175">
        <f t="shared" si="340"/>
        <v>30.5082479761491</v>
      </c>
      <c r="J129" s="175">
        <f t="shared" si="340"/>
        <v>39.015304862908593</v>
      </c>
      <c r="K129" s="175">
        <f t="shared" si="340"/>
        <v>49.894507699548278</v>
      </c>
      <c r="L129" s="175">
        <f t="shared" si="340"/>
        <v>58.526257531570138</v>
      </c>
      <c r="N129" s="125" t="s">
        <v>324</v>
      </c>
      <c r="O129" s="125" t="s">
        <v>544</v>
      </c>
    </row>
    <row r="130" spans="5:15" x14ac:dyDescent="0.25">
      <c r="E130" s="140" t="s">
        <v>325</v>
      </c>
      <c r="F130" s="175">
        <f>L22+L59</f>
        <v>30.57530736378931</v>
      </c>
      <c r="G130" s="175">
        <f t="shared" ref="G130:L130" si="341">M22+M59</f>
        <v>74.812076993231898</v>
      </c>
      <c r="H130" s="175">
        <f t="shared" si="341"/>
        <v>70.71032896038534</v>
      </c>
      <c r="I130" s="175">
        <f t="shared" si="341"/>
        <v>90.427514667599638</v>
      </c>
      <c r="J130" s="175">
        <f t="shared" si="341"/>
        <v>115.64272899281933</v>
      </c>
      <c r="K130" s="175">
        <f t="shared" si="341"/>
        <v>147.88906692907614</v>
      </c>
      <c r="L130" s="175">
        <f t="shared" si="341"/>
        <v>173.47387550780633</v>
      </c>
      <c r="N130" s="125" t="s">
        <v>326</v>
      </c>
      <c r="O130" s="125" t="s">
        <v>544</v>
      </c>
    </row>
    <row r="133" spans="5:15" x14ac:dyDescent="0.25">
      <c r="F133" s="125">
        <v>2023</v>
      </c>
      <c r="G133" s="125">
        <v>2024</v>
      </c>
      <c r="H133" s="125">
        <v>2025</v>
      </c>
      <c r="I133" s="125">
        <v>2026</v>
      </c>
    </row>
    <row r="134" spans="5:15" x14ac:dyDescent="0.25">
      <c r="E134" s="125" t="str">
        <f>E128</f>
        <v>Passenger &amp; Multi-Purpose EVs</v>
      </c>
      <c r="F134" s="154">
        <f>F128</f>
        <v>800.23185277349489</v>
      </c>
      <c r="G134" s="154">
        <f t="shared" ref="G134:I134" si="342">G128</f>
        <v>966.2398910604345</v>
      </c>
      <c r="H134" s="154">
        <f t="shared" si="342"/>
        <v>1247.9392361659557</v>
      </c>
      <c r="I134" s="154">
        <f t="shared" si="342"/>
        <v>1595.9202176232541</v>
      </c>
      <c r="J134" s="125" t="s">
        <v>110</v>
      </c>
    </row>
    <row r="135" spans="5:15" x14ac:dyDescent="0.25">
      <c r="E135" s="125" t="s">
        <v>327</v>
      </c>
      <c r="F135" s="154">
        <f>L13+L50</f>
        <v>3028.6577519116086</v>
      </c>
      <c r="G135" s="154">
        <f t="shared" ref="G135:I135" si="343">M13+M50</f>
        <v>3994.8976429720433</v>
      </c>
      <c r="H135" s="154">
        <f>N13+N50</f>
        <v>5242.8368791379989</v>
      </c>
      <c r="I135" s="154">
        <f t="shared" si="343"/>
        <v>6838.7570967612528</v>
      </c>
      <c r="J135" s="125" t="s">
        <v>111</v>
      </c>
      <c r="K135" s="142"/>
    </row>
    <row r="136" spans="5:15" x14ac:dyDescent="0.25">
      <c r="E136" s="125" t="s">
        <v>328</v>
      </c>
      <c r="F136" s="154">
        <f>L16+L53</f>
        <v>6624626.4125216613</v>
      </c>
      <c r="G136" s="154">
        <f>M16+M53</f>
        <v>8872420.3398609571</v>
      </c>
      <c r="H136" s="154">
        <f>N16+N53</f>
        <v>11663628.135669569</v>
      </c>
      <c r="I136" s="154">
        <f t="shared" ref="I136" si="344">O16+O53</f>
        <v>15256046.930685168</v>
      </c>
      <c r="J136" s="142" t="s">
        <v>329</v>
      </c>
      <c r="K136" s="142"/>
      <c r="L136" s="179"/>
    </row>
    <row r="137" spans="5:15" x14ac:dyDescent="0.25">
      <c r="E137" s="125" t="s">
        <v>330</v>
      </c>
      <c r="G137" s="154"/>
      <c r="H137" s="154">
        <f>H136-G136</f>
        <v>2791207.7958086114</v>
      </c>
      <c r="I137" s="154">
        <f>I136-H136</f>
        <v>3592418.7950155996</v>
      </c>
      <c r="J137" s="125" t="s">
        <v>331</v>
      </c>
      <c r="L137" s="179"/>
    </row>
    <row r="138" spans="5:15" x14ac:dyDescent="0.25">
      <c r="E138" s="125" t="str">
        <f>E129</f>
        <v>Van EVs</v>
      </c>
      <c r="F138" s="154">
        <f>F129</f>
        <v>19.192839862715804</v>
      </c>
      <c r="G138" s="154">
        <f>G129</f>
        <v>11.948031946333561</v>
      </c>
      <c r="H138" s="154">
        <f>H129</f>
        <v>23.856104619576143</v>
      </c>
      <c r="I138" s="154">
        <f>I129</f>
        <v>30.5082479761491</v>
      </c>
      <c r="J138" s="125" t="s">
        <v>128</v>
      </c>
      <c r="L138" s="179"/>
    </row>
    <row r="139" spans="5:15" x14ac:dyDescent="0.25">
      <c r="E139" s="125" t="s">
        <v>327</v>
      </c>
      <c r="F139" s="150">
        <f>L18+L55</f>
        <v>83.339432564885186</v>
      </c>
      <c r="G139" s="150">
        <f t="shared" ref="G139:I139" si="345">M18+M55</f>
        <v>95.287464511218758</v>
      </c>
      <c r="H139" s="150">
        <f t="shared" si="345"/>
        <v>119.14356913079489</v>
      </c>
      <c r="I139" s="150">
        <f t="shared" si="345"/>
        <v>149.65181710694401</v>
      </c>
      <c r="J139" s="125" t="s">
        <v>144</v>
      </c>
      <c r="L139" s="179"/>
    </row>
    <row r="140" spans="5:15" x14ac:dyDescent="0.25">
      <c r="E140" s="125" t="s">
        <v>328</v>
      </c>
      <c r="F140" s="154">
        <f>L21+L58</f>
        <v>236025.85478621445</v>
      </c>
      <c r="G140" s="154">
        <f t="shared" ref="G140:I140" si="346">M21+M58</f>
        <v>296403.85097252426</v>
      </c>
      <c r="H140" s="154">
        <f>N21+N58</f>
        <v>364877.73329479498</v>
      </c>
      <c r="I140" s="154">
        <f t="shared" si="346"/>
        <v>468461.11664487363</v>
      </c>
      <c r="J140" s="142" t="s">
        <v>332</v>
      </c>
      <c r="L140" s="179"/>
    </row>
    <row r="141" spans="5:15" x14ac:dyDescent="0.25">
      <c r="E141" s="125" t="s">
        <v>330</v>
      </c>
      <c r="F141" s="154"/>
      <c r="G141" s="154"/>
      <c r="H141" s="154">
        <f t="shared" ref="H141:I141" si="347">H140-G140</f>
        <v>68473.882322270714</v>
      </c>
      <c r="I141" s="154">
        <f t="shared" si="347"/>
        <v>103583.38335007866</v>
      </c>
      <c r="J141" s="125" t="s">
        <v>333</v>
      </c>
      <c r="L141" s="179"/>
    </row>
    <row r="142" spans="5:15" x14ac:dyDescent="0.25">
      <c r="E142" s="125" t="str">
        <f>E130</f>
        <v>Pickup Truck EVs</v>
      </c>
      <c r="F142" s="154">
        <f>F130</f>
        <v>30.57530736378931</v>
      </c>
      <c r="G142" s="154">
        <f>G130</f>
        <v>74.812076993231898</v>
      </c>
      <c r="H142" s="154">
        <f>H130</f>
        <v>70.71032896038534</v>
      </c>
      <c r="I142" s="154">
        <f>I130</f>
        <v>90.427514667599638</v>
      </c>
      <c r="J142" s="125" t="s">
        <v>334</v>
      </c>
      <c r="L142" s="179"/>
    </row>
    <row r="143" spans="5:15" x14ac:dyDescent="0.25">
      <c r="E143" s="125" t="s">
        <v>327</v>
      </c>
      <c r="F143" s="154">
        <f>L23+L55</f>
        <v>117.65924018912372</v>
      </c>
      <c r="G143" s="154">
        <f>M23+M55</f>
        <v>199.32185956885621</v>
      </c>
      <c r="H143" s="154">
        <f>N23+N55</f>
        <v>284.21810523524448</v>
      </c>
      <c r="I143" s="154">
        <f t="shared" ref="I143" si="348">O23+O55</f>
        <v>392.78720133607567</v>
      </c>
      <c r="J143" s="125" t="s">
        <v>335</v>
      </c>
      <c r="L143" s="179"/>
    </row>
    <row r="144" spans="5:15" x14ac:dyDescent="0.25">
      <c r="E144" s="125" t="s">
        <v>328</v>
      </c>
      <c r="F144" s="154">
        <f t="shared" ref="F144:I144" si="349">L26+L63</f>
        <v>184290.97104966949</v>
      </c>
      <c r="G144" s="154">
        <f t="shared" si="349"/>
        <v>500453.12412073312</v>
      </c>
      <c r="H144" s="154">
        <f>N26+N63</f>
        <v>937020.3419815849</v>
      </c>
      <c r="I144" s="154">
        <f t="shared" si="349"/>
        <v>1420433.8728655395</v>
      </c>
      <c r="J144" s="125" t="s">
        <v>336</v>
      </c>
      <c r="L144" s="179"/>
    </row>
    <row r="145" spans="5:23" x14ac:dyDescent="0.25">
      <c r="E145" s="125" t="s">
        <v>330</v>
      </c>
      <c r="G145" s="154"/>
      <c r="H145" s="154">
        <f t="shared" ref="H145:I145" si="350">H144-G144</f>
        <v>436567.21786085179</v>
      </c>
      <c r="I145" s="154">
        <f t="shared" si="350"/>
        <v>483413.53088395461</v>
      </c>
      <c r="J145" s="125" t="s">
        <v>337</v>
      </c>
    </row>
    <row r="146" spans="5:23" x14ac:dyDescent="0.25">
      <c r="L146" s="136"/>
    </row>
    <row r="147" spans="5:23" x14ac:dyDescent="0.25">
      <c r="I147" s="538">
        <v>2025</v>
      </c>
      <c r="J147" s="538"/>
      <c r="K147" s="538"/>
      <c r="L147" s="538">
        <v>2026</v>
      </c>
      <c r="M147" s="538"/>
      <c r="N147" s="538"/>
    </row>
    <row r="148" spans="5:23" x14ac:dyDescent="0.25">
      <c r="F148" s="126" t="str">
        <f t="shared" ref="F148:H151" si="351">X89</f>
        <v>Passenger/SUV</v>
      </c>
      <c r="G148" s="126" t="str">
        <f t="shared" si="351"/>
        <v>Van</v>
      </c>
      <c r="H148" s="126" t="str">
        <f t="shared" si="351"/>
        <v>Pick-up Truck</v>
      </c>
      <c r="I148" s="140" t="str">
        <f>F148</f>
        <v>Passenger/SUV</v>
      </c>
      <c r="J148" s="140" t="str">
        <f>G148</f>
        <v>Van</v>
      </c>
      <c r="K148" s="140" t="str">
        <f>H148</f>
        <v>Pick-up Truck</v>
      </c>
      <c r="L148" s="140" t="str">
        <f>I148</f>
        <v>Passenger/SUV</v>
      </c>
      <c r="M148" s="140" t="str">
        <f t="shared" ref="M148:N148" si="352">J148</f>
        <v>Van</v>
      </c>
      <c r="N148" s="140" t="str">
        <f t="shared" si="352"/>
        <v>Pick-up Truck</v>
      </c>
    </row>
    <row r="149" spans="5:23" x14ac:dyDescent="0.25">
      <c r="E149" s="125" t="str">
        <f>W90</f>
        <v>Residential</v>
      </c>
      <c r="F149" s="180">
        <f t="shared" si="351"/>
        <v>0.8</v>
      </c>
      <c r="G149" s="180">
        <f t="shared" si="351"/>
        <v>0.25</v>
      </c>
      <c r="H149" s="180">
        <f t="shared" si="351"/>
        <v>0.33333333333333337</v>
      </c>
      <c r="I149" s="507">
        <f>$F149*I$152</f>
        <v>2232966.2366468892</v>
      </c>
      <c r="J149" s="507">
        <f>$G149*J$152</f>
        <v>17118.470580567679</v>
      </c>
      <c r="K149" s="507">
        <f>$H149*K$152</f>
        <v>145522.40595361727</v>
      </c>
      <c r="L149" s="507">
        <f>$F149*L$152</f>
        <v>2873935.03601248</v>
      </c>
      <c r="M149" s="507">
        <f>$G149*M$152</f>
        <v>25895.845837519664</v>
      </c>
      <c r="N149" s="507">
        <f>$H149*N$152</f>
        <v>161137.8436279849</v>
      </c>
      <c r="R149" s="179"/>
      <c r="S149" s="179"/>
      <c r="T149" s="179"/>
      <c r="U149" s="179"/>
      <c r="V149" s="179"/>
      <c r="W149" s="179"/>
    </row>
    <row r="150" spans="5:23" x14ac:dyDescent="0.25">
      <c r="E150" s="125" t="str">
        <f>W91</f>
        <v>GS&lt;50</v>
      </c>
      <c r="F150" s="180">
        <f t="shared" si="351"/>
        <v>0.1</v>
      </c>
      <c r="G150" s="180">
        <f t="shared" si="351"/>
        <v>0.45</v>
      </c>
      <c r="H150" s="180">
        <f t="shared" si="351"/>
        <v>0.33333333333333337</v>
      </c>
      <c r="I150" s="507">
        <f>$F150*I$152</f>
        <v>279120.77958086116</v>
      </c>
      <c r="J150" s="507">
        <f>$G150*J$152</f>
        <v>30813.247045021821</v>
      </c>
      <c r="K150" s="507">
        <f>$H150*K$152</f>
        <v>145522.40595361727</v>
      </c>
      <c r="L150" s="507">
        <f>$F150*L$152</f>
        <v>359241.87950156</v>
      </c>
      <c r="M150" s="507">
        <f>$G150*M$152</f>
        <v>46612.522507535396</v>
      </c>
      <c r="N150" s="507">
        <f>$H150*N$152</f>
        <v>161137.8436279849</v>
      </c>
      <c r="R150" s="179"/>
      <c r="S150" s="179"/>
      <c r="T150" s="179"/>
      <c r="U150" s="179"/>
      <c r="V150" s="179"/>
      <c r="W150" s="179"/>
    </row>
    <row r="151" spans="5:23" x14ac:dyDescent="0.25">
      <c r="E151" s="125" t="str">
        <f>W92</f>
        <v>GS&gt;50</v>
      </c>
      <c r="F151" s="180">
        <f t="shared" si="351"/>
        <v>0.1</v>
      </c>
      <c r="G151" s="180">
        <f t="shared" si="351"/>
        <v>0.3</v>
      </c>
      <c r="H151" s="180">
        <f t="shared" si="351"/>
        <v>0.33333333333333298</v>
      </c>
      <c r="I151" s="507">
        <f>$F151*I$152</f>
        <v>279120.77958086116</v>
      </c>
      <c r="J151" s="507">
        <f>$G151*J$152</f>
        <v>20542.164696681215</v>
      </c>
      <c r="K151" s="507">
        <f>$H151*K$152</f>
        <v>145522.4059536171</v>
      </c>
      <c r="L151" s="507">
        <f>$F151*L$152</f>
        <v>359241.87950156</v>
      </c>
      <c r="M151" s="507">
        <f>$G151*M$152</f>
        <v>31075.015005023597</v>
      </c>
      <c r="N151" s="507">
        <f>$H151*N$152</f>
        <v>161137.84362798469</v>
      </c>
      <c r="R151" s="179"/>
      <c r="S151" s="179"/>
      <c r="T151" s="179"/>
      <c r="U151" s="179"/>
      <c r="V151" s="179"/>
      <c r="W151" s="179"/>
    </row>
    <row r="152" spans="5:23" x14ac:dyDescent="0.25">
      <c r="I152" s="172">
        <f>H137</f>
        <v>2791207.7958086114</v>
      </c>
      <c r="J152" s="172">
        <f>H141</f>
        <v>68473.882322270714</v>
      </c>
      <c r="K152" s="172">
        <f>H145</f>
        <v>436567.21786085179</v>
      </c>
      <c r="L152" s="172">
        <f>I137</f>
        <v>3592418.7950155996</v>
      </c>
      <c r="M152" s="172">
        <f>I141</f>
        <v>103583.38335007866</v>
      </c>
      <c r="N152" s="172">
        <f>I145</f>
        <v>483413.53088395461</v>
      </c>
      <c r="R152" s="154"/>
      <c r="S152" s="154"/>
      <c r="T152" s="154"/>
      <c r="U152" s="154"/>
      <c r="V152" s="154"/>
      <c r="W152" s="154"/>
    </row>
    <row r="155" spans="5:23" x14ac:dyDescent="0.25">
      <c r="F155" s="125" t="s">
        <v>338</v>
      </c>
      <c r="G155" s="125" t="s">
        <v>339</v>
      </c>
    </row>
    <row r="156" spans="5:23" x14ac:dyDescent="0.25">
      <c r="E156" s="125" t="str">
        <f>E149</f>
        <v>Residential</v>
      </c>
      <c r="F156" s="179">
        <f>SUM(I149:K149)</f>
        <v>2395607.1131810741</v>
      </c>
      <c r="G156" s="179">
        <f>SUM(L149:N149)</f>
        <v>3060968.7254779846</v>
      </c>
      <c r="I156" s="179"/>
      <c r="J156" s="179"/>
    </row>
    <row r="157" spans="5:23" x14ac:dyDescent="0.25">
      <c r="E157" s="125" t="str">
        <f t="shared" ref="E157:E158" si="353">E150</f>
        <v>GS&lt;50</v>
      </c>
      <c r="F157" s="179">
        <f>SUM(I150:K150)</f>
        <v>455456.43257950025</v>
      </c>
      <c r="G157" s="179">
        <f>SUM(L150:N150)</f>
        <v>566992.24563708028</v>
      </c>
      <c r="I157" s="179"/>
      <c r="J157" s="179"/>
    </row>
    <row r="158" spans="5:23" x14ac:dyDescent="0.25">
      <c r="E158" s="125" t="str">
        <f t="shared" si="353"/>
        <v>GS&gt;50</v>
      </c>
      <c r="F158" s="179">
        <f>SUM(I151:K151)</f>
        <v>445185.35023115948</v>
      </c>
      <c r="G158" s="179">
        <f>SUM(L151:N151)</f>
        <v>551454.73813456832</v>
      </c>
      <c r="I158" s="179"/>
      <c r="J158" s="179"/>
    </row>
    <row r="159" spans="5:23" x14ac:dyDescent="0.25">
      <c r="E159" s="125" t="s">
        <v>138</v>
      </c>
      <c r="F159" s="181">
        <f>SUM(F156:F158)</f>
        <v>3296248.8959917338</v>
      </c>
      <c r="G159" s="181">
        <f t="shared" ref="G159" si="354">SUM(G156:G158)</f>
        <v>4179415.7092496334</v>
      </c>
      <c r="I159" s="181"/>
      <c r="J159" s="181"/>
    </row>
    <row r="161" spans="5:10" x14ac:dyDescent="0.25">
      <c r="F161" s="125" t="s">
        <v>414</v>
      </c>
      <c r="G161" s="125" t="s">
        <v>415</v>
      </c>
    </row>
    <row r="162" spans="5:10" x14ac:dyDescent="0.25">
      <c r="E162" s="125" t="str">
        <f>E156</f>
        <v>Residential</v>
      </c>
      <c r="F162" s="179">
        <f>F156/2</f>
        <v>1197803.5565905371</v>
      </c>
      <c r="G162" s="179">
        <f>SUM($F156:F156)+G156/2</f>
        <v>3926091.4759200662</v>
      </c>
      <c r="I162" s="179"/>
      <c r="J162" s="179"/>
    </row>
    <row r="163" spans="5:10" x14ac:dyDescent="0.25">
      <c r="E163" s="125" t="str">
        <f t="shared" ref="E163:E165" si="355">E157</f>
        <v>GS&lt;50</v>
      </c>
      <c r="F163" s="179">
        <f t="shared" ref="F163:F164" si="356">F157/2</f>
        <v>227728.21628975013</v>
      </c>
      <c r="G163" s="179">
        <f>SUM($F157:F157)+G157/2</f>
        <v>738952.55539804045</v>
      </c>
      <c r="I163" s="179"/>
      <c r="J163" s="179"/>
    </row>
    <row r="164" spans="5:10" x14ac:dyDescent="0.25">
      <c r="E164" s="125" t="str">
        <f t="shared" si="355"/>
        <v>GS&gt;50</v>
      </c>
      <c r="F164" s="179">
        <f t="shared" si="356"/>
        <v>222592.67511557974</v>
      </c>
      <c r="G164" s="179">
        <f>SUM($F158:F158)+G158/2</f>
        <v>720912.71929844364</v>
      </c>
      <c r="I164" s="179"/>
      <c r="J164" s="179"/>
    </row>
    <row r="165" spans="5:10" x14ac:dyDescent="0.25">
      <c r="E165" s="125" t="str">
        <f t="shared" si="355"/>
        <v>Total</v>
      </c>
      <c r="F165" s="181">
        <f t="shared" ref="F165:G165" si="357">SUM(F162:F164)</f>
        <v>1648124.4479958669</v>
      </c>
      <c r="G165" s="181">
        <f t="shared" si="357"/>
        <v>5385956.7506165504</v>
      </c>
      <c r="I165" s="181"/>
      <c r="J165" s="181"/>
    </row>
  </sheetData>
  <mergeCells count="14">
    <mergeCell ref="C59:C63"/>
    <mergeCell ref="B7:B43"/>
    <mergeCell ref="B44:B80"/>
    <mergeCell ref="L147:N147"/>
    <mergeCell ref="C22:C26"/>
    <mergeCell ref="C90:C92"/>
    <mergeCell ref="E117:M117"/>
    <mergeCell ref="C9:C10"/>
    <mergeCell ref="C12:C16"/>
    <mergeCell ref="C17:C21"/>
    <mergeCell ref="I147:K147"/>
    <mergeCell ref="C46:C47"/>
    <mergeCell ref="C49:C53"/>
    <mergeCell ref="C54:C58"/>
  </mergeCells>
  <phoneticPr fontId="40" type="noConversion"/>
  <hyperlinks>
    <hyperlink ref="F3" r:id="rId1" display="https://council.cleanairpartnership.org/wp-content/uploads/2021/11/2-21-050-EV-Charging-Performance-Requirements-in-GTHA.pdf" xr:uid="{09DFD716-9293-4CFB-ABC3-B2EE71D5208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Monthly Data</vt:lpstr>
      <vt:lpstr>Economic</vt:lpstr>
      <vt:lpstr>Weather</vt:lpstr>
      <vt:lpstr>CDM</vt:lpstr>
      <vt:lpstr>Res Predicted Monthly</vt:lpstr>
      <vt:lpstr>GS&lt;50 Predicted Monthly</vt:lpstr>
      <vt:lpstr>GS&gt;50 Predicted Monthly</vt:lpstr>
      <vt:lpstr>EV Data</vt:lpstr>
      <vt:lpstr>EV Forecast</vt:lpstr>
      <vt:lpstr>Heating</vt:lpstr>
      <vt:lpstr>Total Additional-Lost Loads</vt:lpstr>
      <vt:lpstr>Model Summary</vt:lpstr>
      <vt:lpstr>Res Normalized Monthly</vt:lpstr>
      <vt:lpstr>GS&lt;50 Normalized Monthly</vt:lpstr>
      <vt:lpstr>GS&gt;50 Normalized Monthly</vt:lpstr>
      <vt:lpstr>Res Normalized Monthly WN</vt:lpstr>
      <vt:lpstr>GS&lt;50 Normalized Monthly WN</vt:lpstr>
      <vt:lpstr>GS&gt;50 Normalized Monthly WN</vt:lpstr>
      <vt:lpstr>Normalized Annual Summary</vt:lpstr>
      <vt:lpstr>Customer Count</vt:lpstr>
      <vt:lpstr>kW Forecast</vt:lpstr>
      <vt:lpstr>kW Forecast (Weather Normal)</vt:lpstr>
      <vt:lpstr>CDM Framework</vt:lpstr>
      <vt:lpstr>CDM Adjustment</vt:lpstr>
      <vt:lpstr>Summary Tables</vt:lpstr>
      <vt:lpstr>Summary Tables (Weather Normal)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Blair</dc:creator>
  <cp:lastModifiedBy>Chad Ecker</cp:lastModifiedBy>
  <cp:lastPrinted>2020-08-20T20:35:33Z</cp:lastPrinted>
  <dcterms:created xsi:type="dcterms:W3CDTF">2018-12-19T20:07:02Z</dcterms:created>
  <dcterms:modified xsi:type="dcterms:W3CDTF">2025-04-10T14:32:03Z</dcterms:modified>
</cp:coreProperties>
</file>