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ontarioenergyboard.sharepoint.com/sites/IRM/Shared Documents/IRM/2025/ERTH Power Corporation  EB-2024-0021/Submissions/OEB Staff Submission/"/>
    </mc:Choice>
  </mc:AlternateContent>
  <xr:revisionPtr revIDLastSave="341" documentId="11_16F06AA9DC97A67C36B7A93535AED61894015E6F" xr6:coauthVersionLast="47" xr6:coauthVersionMax="47" xr10:uidLastSave="{EF20C79D-E413-4BD4-A91A-A9D7FD9EAC15}"/>
  <bookViews>
    <workbookView xWindow="-110" yWindow="-110" windowWidth="19420" windowHeight="11620" activeTab="2" xr2:uid="{00000000-000D-0000-FFFF-FFFF00000000}"/>
  </bookViews>
  <sheets>
    <sheet name="OEB Staff Reductions" sheetId="1" r:id="rId1"/>
    <sheet name="Depreciation" sheetId="2" r:id="rId2"/>
    <sheet name="CC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I7" i="1"/>
  <c r="I6" i="1"/>
  <c r="I5" i="1"/>
  <c r="I4" i="1"/>
  <c r="H7" i="2"/>
  <c r="F7" i="2"/>
  <c r="E15" i="3"/>
  <c r="C19" i="1"/>
  <c r="C20" i="1"/>
  <c r="H9" i="1"/>
  <c r="I9" i="1"/>
  <c r="J9" i="1"/>
  <c r="E6" i="2"/>
  <c r="E5" i="2"/>
  <c r="E4" i="2"/>
  <c r="E3" i="2"/>
  <c r="C7" i="2"/>
  <c r="I4" i="2"/>
  <c r="I3" i="2"/>
  <c r="I7" i="2" s="1"/>
  <c r="G4" i="2"/>
  <c r="G3" i="2"/>
  <c r="G7" i="2" s="1"/>
  <c r="F3" i="2"/>
  <c r="H3" i="2"/>
  <c r="F4" i="2"/>
  <c r="H4" i="2"/>
  <c r="F5" i="2"/>
  <c r="G5" i="2" s="1"/>
  <c r="H5" i="2"/>
  <c r="I5" i="2" s="1"/>
  <c r="F6" i="2"/>
  <c r="G6" i="2" s="1"/>
  <c r="H6" i="2"/>
  <c r="I6" i="2" s="1"/>
  <c r="H2" i="2"/>
  <c r="F2" i="2"/>
  <c r="D4" i="2"/>
  <c r="D5" i="2"/>
  <c r="D6" i="2"/>
  <c r="D3" i="2"/>
  <c r="B7" i="2"/>
  <c r="F8" i="1"/>
  <c r="I3" i="1"/>
  <c r="H8" i="1"/>
  <c r="H4" i="1"/>
  <c r="H5" i="1"/>
  <c r="H6" i="1"/>
  <c r="H7" i="1"/>
  <c r="H3" i="1"/>
  <c r="D4" i="1"/>
  <c r="E4" i="1" s="1"/>
  <c r="F4" i="1" s="1"/>
  <c r="D5" i="1"/>
  <c r="E5" i="1" s="1"/>
  <c r="F5" i="1" s="1"/>
  <c r="D6" i="1"/>
  <c r="E6" i="1" s="1"/>
  <c r="F6" i="1" s="1"/>
  <c r="D7" i="1"/>
  <c r="E7" i="1" s="1"/>
  <c r="F7" i="1" s="1"/>
  <c r="D3" i="1"/>
  <c r="D8" i="1" s="1"/>
  <c r="C8" i="1"/>
  <c r="B3" i="3" l="1"/>
  <c r="B5" i="3" s="1"/>
  <c r="B7" i="3" s="1"/>
  <c r="E35" i="3" s="1"/>
  <c r="E37" i="3" s="1"/>
  <c r="E41" i="3" s="1"/>
  <c r="E43" i="3" s="1"/>
  <c r="B4" i="3"/>
  <c r="B6" i="3" s="1"/>
  <c r="E16" i="3" s="1"/>
  <c r="E18" i="3" s="1"/>
  <c r="E22" i="3" s="1"/>
  <c r="E24" i="3" s="1"/>
  <c r="E47" i="3" s="1"/>
  <c r="E49" i="3" s="1"/>
  <c r="E3" i="1"/>
  <c r="F3" i="1" s="1"/>
  <c r="G3" i="1" l="1"/>
  <c r="E8" i="1"/>
  <c r="G4" i="1"/>
  <c r="G5" i="1"/>
  <c r="G6" i="1"/>
  <c r="G7" i="1"/>
  <c r="B8" i="1"/>
  <c r="G8" i="1" l="1"/>
  <c r="J8" i="1" l="1"/>
  <c r="I8" i="1"/>
</calcChain>
</file>

<file path=xl/sharedStrings.xml><?xml version="1.0" encoding="utf-8"?>
<sst xmlns="http://schemas.openxmlformats.org/spreadsheetml/2006/main" count="136" uniqueCount="67">
  <si>
    <t>Project Descriptions:</t>
  </si>
  <si>
    <t>Proposed ACM/ICM Main</t>
  </si>
  <si>
    <t>Proposed ACM/ICM Goderich</t>
  </si>
  <si>
    <t>Total</t>
  </si>
  <si>
    <t>Proposed ICM - Incremental for Energy</t>
  </si>
  <si>
    <t>Reduction for Benchmarking</t>
  </si>
  <si>
    <t>+ Incremental for Energy</t>
  </si>
  <si>
    <t>Reduction for Space Allocation</t>
  </si>
  <si>
    <t>Reduced ICM Main</t>
  </si>
  <si>
    <t>Reduced ICM Goderich</t>
  </si>
  <si>
    <t>Land</t>
  </si>
  <si>
    <t>Yard</t>
  </si>
  <si>
    <t>Building</t>
  </si>
  <si>
    <t>Furniture, Fixtures &amp; Equipment</t>
  </si>
  <si>
    <t>Mechanical &amp; Energy Systems</t>
  </si>
  <si>
    <t>Incremental for Energy</t>
  </si>
  <si>
    <t>Reduction from Benchmarking</t>
  </si>
  <si>
    <t>Reduction from Space Allocation</t>
  </si>
  <si>
    <t>Allocation for Main RZ</t>
  </si>
  <si>
    <t>Allocation for Goderich RZ</t>
  </si>
  <si>
    <t>ICM Proposed</t>
  </si>
  <si>
    <t>Revised</t>
  </si>
  <si>
    <t>Main Total Capex</t>
  </si>
  <si>
    <t>Goderich total Capex</t>
  </si>
  <si>
    <t>ICM Main</t>
  </si>
  <si>
    <t>Depreciation Main</t>
  </si>
  <si>
    <t>Depreciation Rate</t>
  </si>
  <si>
    <t>Years</t>
  </si>
  <si>
    <t>Reduced Depreciation Main</t>
  </si>
  <si>
    <t>Reduced Depreciation Goderich</t>
  </si>
  <si>
    <t xml:space="preserve">Allocation of CCA deduction to Main and Goderich </t>
  </si>
  <si>
    <t>Source</t>
  </si>
  <si>
    <t>additional CCA deduction per IRR Staff 16 - achieves maximum CCA deductions eligible</t>
  </si>
  <si>
    <t>C</t>
  </si>
  <si>
    <r>
      <rPr>
        <sz val="12"/>
        <color rgb="FF000000"/>
        <rFont val="Arial"/>
      </rPr>
      <t xml:space="preserve">Total proposed CCA (Sum of </t>
    </r>
    <r>
      <rPr>
        <b/>
        <sz val="12"/>
        <color rgb="FF00B050"/>
        <rFont val="Arial"/>
      </rPr>
      <t>V</t>
    </r>
    <r>
      <rPr>
        <sz val="12"/>
        <color rgb="FF000000"/>
        <rFont val="Arial"/>
      </rPr>
      <t>)</t>
    </r>
  </si>
  <si>
    <t>V/C</t>
  </si>
  <si>
    <t>Main - proportion</t>
  </si>
  <si>
    <t>Goderich - proportion</t>
  </si>
  <si>
    <t>A</t>
  </si>
  <si>
    <t>Additional CCA allocated to Main</t>
  </si>
  <si>
    <t>B</t>
  </si>
  <si>
    <t>Additional CCA allocated to Goderich</t>
  </si>
  <si>
    <t>Main RZ - Grossed up Taxes/PILs</t>
  </si>
  <si>
    <t> </t>
  </si>
  <si>
    <t>Regulatory Taxable Income</t>
  </si>
  <si>
    <t xml:space="preserve">T </t>
  </si>
  <si>
    <t>Add Back Amortization Expense (Prorated to Eligible Incremental Capital)</t>
  </si>
  <si>
    <t>U</t>
  </si>
  <si>
    <t>Deduct CCA (Prorated to Eligible Incremental Capital)</t>
  </si>
  <si>
    <t>V</t>
  </si>
  <si>
    <t>OEB staff reduction to maximum eligible CCA</t>
  </si>
  <si>
    <t>AA</t>
  </si>
  <si>
    <t>Incremental Taxable Income</t>
  </si>
  <si>
    <t>W = T + U - V - AA</t>
  </si>
  <si>
    <t>Current Tax Rate</t>
  </si>
  <si>
    <t>X</t>
  </si>
  <si>
    <t>Taxes/PILs Before Gross Up</t>
  </si>
  <si>
    <t>Y = W * X</t>
  </si>
  <si>
    <t>Grossed-Up Taxes/PILs</t>
  </si>
  <si>
    <t xml:space="preserve">Z = Y / ( 1 - X ) </t>
  </si>
  <si>
    <t>Goderich RZ - Grossed up Taxes/PILs</t>
  </si>
  <si>
    <t>BB</t>
  </si>
  <si>
    <t>W = T + U - V - BB</t>
  </si>
  <si>
    <t>Additional reduction to incremental revenue requirement for CCA</t>
  </si>
  <si>
    <t>IRR Staff-16</t>
  </si>
  <si>
    <t>Check</t>
  </si>
  <si>
    <t>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</si>
</sst>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000_);_(* \(#,##0.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</font>
    <font>
      <sz val="12"/>
      <color theme="1"/>
      <name val="ari"/>
    </font>
    <font>
      <sz val="12"/>
      <color rgb="FF000000"/>
      <name val="Arial"/>
    </font>
    <font>
      <b/>
      <sz val="12"/>
      <color rgb="FF00B050"/>
      <name val="Arial"/>
    </font>
    <font>
      <b/>
      <sz val="12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</font>
    <font>
      <b/>
      <sz val="12"/>
      <color rgb="FF000000"/>
      <name val="Arial"/>
      <family val="2"/>
    </font>
    <font>
      <i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0" fillId="2" borderId="1" xfId="3" applyNumberFormat="1" applyFont="1" applyFill="1" applyBorder="1" applyProtection="1">
      <protection locked="0"/>
    </xf>
    <xf numFmtId="165" fontId="0" fillId="0" borderId="0" xfId="0" applyNumberFormat="1"/>
    <xf numFmtId="10" fontId="0" fillId="0" borderId="0" xfId="2" applyNumberFormat="1" applyFont="1"/>
    <xf numFmtId="0" fontId="2" fillId="2" borderId="0" xfId="0" applyFont="1" applyFill="1" applyAlignment="1" applyProtection="1">
      <alignment horizontal="left" vertical="top" wrapText="1"/>
      <protection locked="0"/>
    </xf>
    <xf numFmtId="9" fontId="0" fillId="0" borderId="0" xfId="0" applyNumberFormat="1"/>
    <xf numFmtId="165" fontId="0" fillId="2" borderId="0" xfId="3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5" fontId="0" fillId="2" borderId="2" xfId="3" applyNumberFormat="1" applyFont="1" applyFill="1" applyBorder="1" applyProtection="1">
      <protection locked="0"/>
    </xf>
    <xf numFmtId="165" fontId="2" fillId="0" borderId="1" xfId="0" applyNumberFormat="1" applyFont="1" applyBorder="1"/>
    <xf numFmtId="166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0" fontId="2" fillId="0" borderId="0" xfId="0" quotePrefix="1" applyFont="1" applyAlignment="1">
      <alignment horizontal="center" vertical="center" wrapText="1"/>
    </xf>
    <xf numFmtId="0" fontId="0" fillId="0" borderId="1" xfId="0" applyBorder="1"/>
    <xf numFmtId="167" fontId="0" fillId="0" borderId="1" xfId="1" applyNumberFormat="1" applyFont="1" applyBorder="1"/>
    <xf numFmtId="167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3" fontId="0" fillId="0" borderId="1" xfId="0" applyNumberFormat="1" applyBorder="1"/>
    <xf numFmtId="168" fontId="0" fillId="0" borderId="1" xfId="1" applyNumberFormat="1" applyFont="1" applyBorder="1"/>
    <xf numFmtId="0" fontId="3" fillId="0" borderId="3" xfId="0" applyFont="1" applyBorder="1"/>
    <xf numFmtId="0" fontId="4" fillId="0" borderId="4" xfId="0" applyFont="1" applyBorder="1"/>
    <xf numFmtId="0" fontId="5" fillId="0" borderId="4" xfId="0" applyFont="1" applyBorder="1"/>
    <xf numFmtId="0" fontId="6" fillId="3" borderId="5" xfId="0" applyFont="1" applyFill="1" applyBorder="1"/>
    <xf numFmtId="0" fontId="7" fillId="0" borderId="0" xfId="0" applyFont="1"/>
    <xf numFmtId="0" fontId="4" fillId="0" borderId="0" xfId="0" applyFont="1"/>
    <xf numFmtId="0" fontId="5" fillId="0" borderId="0" xfId="0" applyFont="1"/>
    <xf numFmtId="0" fontId="6" fillId="3" borderId="7" xfId="0" applyFont="1" applyFill="1" applyBorder="1"/>
    <xf numFmtId="6" fontId="6" fillId="3" borderId="7" xfId="0" applyNumberFormat="1" applyFont="1" applyFill="1" applyBorder="1"/>
    <xf numFmtId="0" fontId="6" fillId="0" borderId="7" xfId="0" applyFont="1" applyBorder="1"/>
    <xf numFmtId="10" fontId="4" fillId="4" borderId="0" xfId="0" applyNumberFormat="1" applyFont="1" applyFill="1"/>
    <xf numFmtId="0" fontId="4" fillId="0" borderId="11" xfId="0" applyFont="1" applyBorder="1"/>
    <xf numFmtId="0" fontId="5" fillId="0" borderId="11" xfId="0" applyFont="1" applyBorder="1"/>
    <xf numFmtId="0" fontId="6" fillId="0" borderId="12" xfId="0" applyFont="1" applyBorder="1"/>
    <xf numFmtId="0" fontId="3" fillId="0" borderId="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7" fontId="6" fillId="3" borderId="7" xfId="0" applyNumberFormat="1" applyFont="1" applyFill="1" applyBorder="1"/>
    <xf numFmtId="6" fontId="6" fillId="3" borderId="0" xfId="0" applyNumberFormat="1" applyFont="1" applyFill="1"/>
    <xf numFmtId="6" fontId="8" fillId="0" borderId="0" xfId="0" applyNumberFormat="1" applyFont="1"/>
    <xf numFmtId="167" fontId="8" fillId="0" borderId="13" xfId="0" applyNumberFormat="1" applyFont="1" applyBorder="1"/>
    <xf numFmtId="0" fontId="0" fillId="0" borderId="14" xfId="0" applyBorder="1"/>
    <xf numFmtId="6" fontId="6" fillId="3" borderId="15" xfId="0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8" fillId="0" borderId="0" xfId="0" applyNumberFormat="1" applyFont="1"/>
    <xf numFmtId="167" fontId="8" fillId="0" borderId="0" xfId="0" applyNumberFormat="1" applyFont="1"/>
    <xf numFmtId="0" fontId="9" fillId="0" borderId="0" xfId="0" applyFont="1"/>
    <xf numFmtId="0" fontId="8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7" fontId="16" fillId="3" borderId="7" xfId="0" applyNumberFormat="1" applyFont="1" applyFill="1" applyBorder="1"/>
    <xf numFmtId="0" fontId="16" fillId="3" borderId="7" xfId="0" applyFont="1" applyFill="1" applyBorder="1"/>
    <xf numFmtId="0" fontId="16" fillId="0" borderId="7" xfId="0" applyFont="1" applyBorder="1"/>
    <xf numFmtId="10" fontId="14" fillId="4" borderId="0" xfId="0" applyNumberFormat="1" applyFont="1" applyFill="1"/>
    <xf numFmtId="0" fontId="17" fillId="0" borderId="0" xfId="0" applyFont="1"/>
    <xf numFmtId="5" fontId="16" fillId="3" borderId="9" xfId="0" applyNumberFormat="1" applyFont="1" applyFill="1" applyBorder="1"/>
    <xf numFmtId="5" fontId="16" fillId="3" borderId="7" xfId="0" applyNumberFormat="1" applyFont="1" applyFill="1" applyBorder="1"/>
    <xf numFmtId="5" fontId="6" fillId="3" borderId="9" xfId="0" applyNumberFormat="1" applyFont="1" applyFill="1" applyBorder="1"/>
    <xf numFmtId="5" fontId="6" fillId="3" borderId="7" xfId="0" applyNumberFormat="1" applyFont="1" applyFill="1" applyBorder="1"/>
    <xf numFmtId="0" fontId="12" fillId="0" borderId="0" xfId="0" quotePrefix="1" applyFont="1" applyAlignment="1">
      <alignment horizontal="right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167" fontId="18" fillId="0" borderId="0" xfId="0" applyNumberFormat="1" applyFont="1"/>
    <xf numFmtId="6" fontId="19" fillId="3" borderId="22" xfId="0" applyNumberFormat="1" applyFont="1" applyFill="1" applyBorder="1" applyAlignment="1">
      <alignment horizontal="right" wrapText="1"/>
    </xf>
    <xf numFmtId="0" fontId="4" fillId="5" borderId="8" xfId="0" applyFont="1" applyFill="1" applyBorder="1" applyAlignment="1">
      <alignment wrapText="1"/>
    </xf>
    <xf numFmtId="0" fontId="4" fillId="5" borderId="0" xfId="0" applyFont="1" applyFill="1"/>
    <xf numFmtId="0" fontId="5" fillId="5" borderId="0" xfId="0" applyFont="1" applyFill="1"/>
    <xf numFmtId="6" fontId="6" fillId="5" borderId="7" xfId="0" applyNumberFormat="1" applyFont="1" applyFill="1" applyBorder="1"/>
    <xf numFmtId="0" fontId="20" fillId="0" borderId="0" xfId="0" applyFont="1" applyAlignment="1">
      <alignment horizontal="right"/>
    </xf>
    <xf numFmtId="167" fontId="20" fillId="0" borderId="0" xfId="0" applyNumberFormat="1" applyFont="1"/>
  </cellXfs>
  <cellStyles count="4">
    <cellStyle name="Comma" xfId="1" builtinId="3"/>
    <cellStyle name="Currency 2" xfId="3" xr:uid="{0CCD2D25-0F78-4E5C-89C9-4DD3C25B00D9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workbookViewId="0">
      <selection activeCell="E14" sqref="E14"/>
    </sheetView>
  </sheetViews>
  <sheetFormatPr defaultRowHeight="14.5"/>
  <cols>
    <col min="1" max="1" width="46.54296875" customWidth="1"/>
    <col min="2" max="2" width="13.54296875" bestFit="1" customWidth="1"/>
    <col min="3" max="3" width="19.7265625" bestFit="1" customWidth="1"/>
    <col min="4" max="4" width="13.453125" customWidth="1"/>
    <col min="5" max="5" width="19.54296875" customWidth="1"/>
    <col min="6" max="6" width="13.54296875" bestFit="1" customWidth="1"/>
    <col min="7" max="8" width="13.54296875" customWidth="1"/>
    <col min="9" max="9" width="13" customWidth="1"/>
    <col min="10" max="10" width="12.81640625" customWidth="1"/>
  </cols>
  <sheetData>
    <row r="2" spans="1:10" ht="43.5">
      <c r="A2" s="2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17" t="s">
        <v>6</v>
      </c>
      <c r="H2" s="3" t="s">
        <v>7</v>
      </c>
      <c r="I2" s="3" t="s">
        <v>8</v>
      </c>
      <c r="J2" s="3" t="s">
        <v>9</v>
      </c>
    </row>
    <row r="3" spans="1:10">
      <c r="A3" s="1" t="s">
        <v>10</v>
      </c>
      <c r="B3" s="5">
        <v>5055587.1883738106</v>
      </c>
      <c r="C3" s="5">
        <v>1161412.8116261887</v>
      </c>
      <c r="D3" s="5">
        <f>C3+B3</f>
        <v>6216999.9999999991</v>
      </c>
      <c r="E3" s="15">
        <f>D3</f>
        <v>6216999.9999999991</v>
      </c>
      <c r="F3" s="16">
        <f>E3*(1-$B$11)</f>
        <v>5878173.4999999991</v>
      </c>
      <c r="G3" s="16">
        <f>F3</f>
        <v>5878173.4999999991</v>
      </c>
      <c r="H3" s="16">
        <f>G3*(1-B$12)</f>
        <v>5231574.4149999991</v>
      </c>
      <c r="I3" s="16">
        <f>$H3*$B$13</f>
        <v>4237575.2761499994</v>
      </c>
      <c r="J3" s="16">
        <f>$H3*$B$14</f>
        <v>993999.13884999987</v>
      </c>
    </row>
    <row r="4" spans="1:10">
      <c r="A4" s="1" t="s">
        <v>11</v>
      </c>
      <c r="B4" s="5">
        <v>375518.64007887861</v>
      </c>
      <c r="C4" s="5">
        <v>86267.359921121315</v>
      </c>
      <c r="D4" s="5">
        <f t="shared" ref="D4:D7" si="0">C4+B4</f>
        <v>461785.99999999994</v>
      </c>
      <c r="E4" s="15">
        <f t="shared" ref="E4:E6" si="1">D4</f>
        <v>461785.99999999994</v>
      </c>
      <c r="F4" s="16">
        <f t="shared" ref="F4:F7" si="2">E4*(1-$B$11)</f>
        <v>436618.66299999994</v>
      </c>
      <c r="G4" s="16">
        <f t="shared" ref="G4:G6" si="3">F4</f>
        <v>436618.66299999994</v>
      </c>
      <c r="H4" s="16">
        <f t="shared" ref="H4:H7" si="4">G4*(1-B$12)</f>
        <v>388590.61006999994</v>
      </c>
      <c r="I4" s="16">
        <f>$H4*$B$13</f>
        <v>314758.39415669994</v>
      </c>
      <c r="J4" s="16">
        <f>$H4*$B$14</f>
        <v>73832.215913299995</v>
      </c>
    </row>
    <row r="5" spans="1:10">
      <c r="A5" s="1" t="s">
        <v>12</v>
      </c>
      <c r="B5" s="5">
        <v>11257294.386390796</v>
      </c>
      <c r="C5" s="5">
        <v>2586122.1332842587</v>
      </c>
      <c r="D5" s="5">
        <f t="shared" si="0"/>
        <v>13843416.519675054</v>
      </c>
      <c r="E5" s="15">
        <f t="shared" si="1"/>
        <v>13843416.519675054</v>
      </c>
      <c r="F5" s="16">
        <f t="shared" si="2"/>
        <v>13088950.319352763</v>
      </c>
      <c r="G5" s="16">
        <f t="shared" si="3"/>
        <v>13088950.319352763</v>
      </c>
      <c r="H5" s="16">
        <f t="shared" si="4"/>
        <v>11649165.784223959</v>
      </c>
      <c r="I5" s="16">
        <f>$H5*$B$13</f>
        <v>9435824.2852214072</v>
      </c>
      <c r="J5" s="16">
        <f>$H5*$B$14</f>
        <v>2213341.4990025521</v>
      </c>
    </row>
    <row r="6" spans="1:10">
      <c r="A6" s="1" t="s">
        <v>13</v>
      </c>
      <c r="B6" s="5">
        <v>1449642.9303392232</v>
      </c>
      <c r="C6" s="5">
        <v>333024.39634531655</v>
      </c>
      <c r="D6" s="5">
        <f t="shared" si="0"/>
        <v>1782667.3266845397</v>
      </c>
      <c r="E6" s="15">
        <f t="shared" si="1"/>
        <v>1782667.3266845397</v>
      </c>
      <c r="F6" s="16">
        <f t="shared" si="2"/>
        <v>1685511.9573802322</v>
      </c>
      <c r="G6" s="16">
        <f t="shared" si="3"/>
        <v>1685511.9573802322</v>
      </c>
      <c r="H6" s="16">
        <f t="shared" si="4"/>
        <v>1500105.6420684066</v>
      </c>
      <c r="I6" s="16">
        <f>$H6*$B$13</f>
        <v>1215085.5700754095</v>
      </c>
      <c r="J6" s="16">
        <f>$H6*$B$14</f>
        <v>285020.07199299725</v>
      </c>
    </row>
    <row r="7" spans="1:10">
      <c r="A7" s="11" t="s">
        <v>14</v>
      </c>
      <c r="B7" s="12">
        <v>8845082.91131269</v>
      </c>
      <c r="C7" s="12">
        <v>2031968.2423277111</v>
      </c>
      <c r="D7" s="12">
        <f t="shared" si="0"/>
        <v>10877051.153640401</v>
      </c>
      <c r="E7" s="15">
        <f>D7-B10</f>
        <v>9077051.1536404006</v>
      </c>
      <c r="F7" s="16">
        <f t="shared" si="2"/>
        <v>8582351.8657669984</v>
      </c>
      <c r="G7" s="16">
        <f>F7+B10</f>
        <v>10382351.865766998</v>
      </c>
      <c r="H7" s="16">
        <f t="shared" si="4"/>
        <v>9240293.1605326291</v>
      </c>
      <c r="I7" s="16">
        <f>$H7*$B$13</f>
        <v>7484637.4600314302</v>
      </c>
      <c r="J7" s="16">
        <f>$H7*$B$14</f>
        <v>1755655.7005011996</v>
      </c>
    </row>
    <row r="8" spans="1:10">
      <c r="A8" s="1" t="s">
        <v>3</v>
      </c>
      <c r="B8" s="13">
        <f t="shared" ref="B8:J8" si="5">SUM(B3:B7)</f>
        <v>26983126.056495398</v>
      </c>
      <c r="C8" s="13">
        <f t="shared" si="5"/>
        <v>6198794.9435045961</v>
      </c>
      <c r="D8" s="13">
        <f t="shared" si="5"/>
        <v>33181920.999999993</v>
      </c>
      <c r="E8" s="13">
        <f t="shared" si="5"/>
        <v>31381920.999999993</v>
      </c>
      <c r="F8" s="14">
        <f t="shared" si="5"/>
        <v>29671606.305499993</v>
      </c>
      <c r="G8" s="14">
        <f t="shared" si="5"/>
        <v>31471606.305499993</v>
      </c>
      <c r="H8" s="14">
        <f t="shared" si="5"/>
        <v>28009729.611894995</v>
      </c>
      <c r="I8" s="14">
        <f t="shared" si="5"/>
        <v>22687880.985634945</v>
      </c>
      <c r="J8" s="14">
        <f t="shared" si="5"/>
        <v>5321848.6262600487</v>
      </c>
    </row>
    <row r="9" spans="1:10">
      <c r="H9" s="6">
        <f>H8-D8</f>
        <v>-5172191.3881049976</v>
      </c>
      <c r="I9" s="6">
        <f>I8-B8</f>
        <v>-4295245.070860453</v>
      </c>
      <c r="J9" s="6">
        <f>J8-C8</f>
        <v>-876946.31724454742</v>
      </c>
    </row>
    <row r="10" spans="1:10">
      <c r="A10" s="8" t="s">
        <v>15</v>
      </c>
      <c r="B10" s="10">
        <v>1800000</v>
      </c>
    </row>
    <row r="11" spans="1:10">
      <c r="A11" s="8" t="s">
        <v>16</v>
      </c>
      <c r="B11" s="7">
        <v>5.45E-2</v>
      </c>
    </row>
    <row r="12" spans="1:10">
      <c r="A12" s="8" t="s">
        <v>17</v>
      </c>
      <c r="B12" s="7">
        <v>0.11</v>
      </c>
    </row>
    <row r="13" spans="1:10">
      <c r="A13" s="8" t="s">
        <v>18</v>
      </c>
      <c r="B13" s="9">
        <v>0.81</v>
      </c>
    </row>
    <row r="14" spans="1:10">
      <c r="A14" s="8" t="s">
        <v>19</v>
      </c>
      <c r="B14" s="9">
        <v>0.19</v>
      </c>
    </row>
    <row r="18" spans="1:3">
      <c r="B18" t="s">
        <v>20</v>
      </c>
      <c r="C18" t="s">
        <v>21</v>
      </c>
    </row>
    <row r="19" spans="1:3">
      <c r="A19" s="8" t="s">
        <v>22</v>
      </c>
      <c r="B19" s="5">
        <v>31442456.976718806</v>
      </c>
      <c r="C19" s="6">
        <f>B19+I9</f>
        <v>27147211.905858353</v>
      </c>
    </row>
    <row r="20" spans="1:3">
      <c r="A20" s="8" t="s">
        <v>23</v>
      </c>
      <c r="B20" s="5">
        <v>7223230.6557278074</v>
      </c>
      <c r="C20" s="6">
        <f>B20+J9</f>
        <v>6346284.33848326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EE4E-07DB-4418-9A7F-FA6AFAAFF831}">
  <dimension ref="A1:J7"/>
  <sheetViews>
    <sheetView workbookViewId="0">
      <selection activeCell="I5" sqref="I5"/>
    </sheetView>
  </sheetViews>
  <sheetFormatPr defaultRowHeight="14.5"/>
  <cols>
    <col min="1" max="1" width="32.453125" customWidth="1"/>
    <col min="2" max="2" width="13.26953125" customWidth="1"/>
    <col min="3" max="3" width="16.7265625" bestFit="1" customWidth="1"/>
    <col min="4" max="4" width="16" customWidth="1"/>
    <col min="6" max="6" width="11.1796875" customWidth="1"/>
    <col min="7" max="7" width="11.54296875" customWidth="1"/>
    <col min="8" max="8" width="11.1796875" bestFit="1" customWidth="1"/>
    <col min="9" max="9" width="13.54296875" customWidth="1"/>
  </cols>
  <sheetData>
    <row r="1" spans="1:10" ht="43.5">
      <c r="A1" s="18"/>
      <c r="B1" s="21" t="s">
        <v>24</v>
      </c>
      <c r="C1" s="21" t="s">
        <v>25</v>
      </c>
      <c r="D1" s="21" t="s">
        <v>26</v>
      </c>
      <c r="E1" s="21" t="s">
        <v>27</v>
      </c>
      <c r="F1" s="21" t="s">
        <v>8</v>
      </c>
      <c r="G1" s="21" t="s">
        <v>28</v>
      </c>
      <c r="H1" s="21" t="s">
        <v>9</v>
      </c>
      <c r="I1" s="21" t="s">
        <v>29</v>
      </c>
      <c r="J1" s="3"/>
    </row>
    <row r="2" spans="1:10">
      <c r="A2" s="1" t="s">
        <v>10</v>
      </c>
      <c r="B2" s="5">
        <v>5055587.1883738106</v>
      </c>
      <c r="C2" s="5">
        <v>0</v>
      </c>
      <c r="D2" s="18"/>
      <c r="E2" s="18"/>
      <c r="F2" s="19">
        <f>'OEB Staff Reductions'!I3</f>
        <v>4237575.2761499994</v>
      </c>
      <c r="G2" s="19">
        <v>0</v>
      </c>
      <c r="H2" s="19">
        <f>'OEB Staff Reductions'!J3</f>
        <v>993999.13884999987</v>
      </c>
      <c r="I2" s="19">
        <v>0</v>
      </c>
    </row>
    <row r="3" spans="1:10">
      <c r="A3" s="1" t="s">
        <v>11</v>
      </c>
      <c r="B3" s="5">
        <v>375518.64007887861</v>
      </c>
      <c r="C3" s="5">
        <v>10729.104002253674</v>
      </c>
      <c r="D3" s="23">
        <f>C3/B3</f>
        <v>2.8571428571428571E-2</v>
      </c>
      <c r="E3" s="22">
        <f>1/D3</f>
        <v>35</v>
      </c>
      <c r="F3" s="19">
        <f>'OEB Staff Reductions'!I4</f>
        <v>314758.39415669994</v>
      </c>
      <c r="G3" s="19">
        <f>F3*D3</f>
        <v>8993.0969759057116</v>
      </c>
      <c r="H3" s="19">
        <f>'OEB Staff Reductions'!J4</f>
        <v>73832.215913299995</v>
      </c>
      <c r="I3" s="19">
        <f>H3*D3</f>
        <v>2109.4918832371427</v>
      </c>
    </row>
    <row r="4" spans="1:10">
      <c r="A4" s="1" t="s">
        <v>12</v>
      </c>
      <c r="B4" s="5">
        <v>11257294.386390796</v>
      </c>
      <c r="C4" s="5">
        <v>291395.24460170569</v>
      </c>
      <c r="D4" s="23">
        <f t="shared" ref="D4:D6" si="0">C4/B4</f>
        <v>2.588501593722024E-2</v>
      </c>
      <c r="E4" s="22">
        <f>1/D4</f>
        <v>38.632388808464796</v>
      </c>
      <c r="F4" s="19">
        <f>'OEB Staff Reductions'!I5</f>
        <v>9435824.2852214072</v>
      </c>
      <c r="G4" s="19">
        <f t="shared" ref="G4:G6" si="1">F4*D4</f>
        <v>244246.46200376589</v>
      </c>
      <c r="H4" s="19">
        <f>'OEB Staff Reductions'!J5</f>
        <v>2213341.4990025521</v>
      </c>
      <c r="I4" s="19">
        <f t="shared" ref="I4:I6" si="2">H4*D4</f>
        <v>57292.379976191995</v>
      </c>
    </row>
    <row r="5" spans="1:10">
      <c r="A5" s="1" t="s">
        <v>13</v>
      </c>
      <c r="B5" s="5">
        <v>1449642.9303392232</v>
      </c>
      <c r="C5" s="5">
        <v>132568.2524668613</v>
      </c>
      <c r="D5" s="23">
        <f t="shared" si="0"/>
        <v>9.1448900755056767E-2</v>
      </c>
      <c r="E5" s="22">
        <f>1/D5</f>
        <v>10.935068565542094</v>
      </c>
      <c r="F5" s="19">
        <f>'OEB Staff Reductions'!I6</f>
        <v>1215085.5700754095</v>
      </c>
      <c r="G5" s="19">
        <f t="shared" si="1"/>
        <v>111118.23970672769</v>
      </c>
      <c r="H5" s="19">
        <f>'OEB Staff Reductions'!J6</f>
        <v>285020.07199299725</v>
      </c>
      <c r="I5" s="19">
        <f t="shared" si="2"/>
        <v>26064.772276886742</v>
      </c>
    </row>
    <row r="6" spans="1:10">
      <c r="A6" s="11" t="s">
        <v>14</v>
      </c>
      <c r="B6" s="12">
        <v>8845082.91131269</v>
      </c>
      <c r="C6" s="5">
        <v>197315.37063077054</v>
      </c>
      <c r="D6" s="23">
        <f t="shared" si="0"/>
        <v>2.2307916455865891E-2</v>
      </c>
      <c r="E6" s="22">
        <f>1/D6</f>
        <v>44.827135782869085</v>
      </c>
      <c r="F6" s="19">
        <f>'OEB Staff Reductions'!I7</f>
        <v>7484637.4600314302</v>
      </c>
      <c r="G6" s="19">
        <f t="shared" si="1"/>
        <v>166966.66716082543</v>
      </c>
      <c r="H6" s="19">
        <f>'OEB Staff Reductions'!J7</f>
        <v>1755655.7005011996</v>
      </c>
      <c r="I6" s="19">
        <f t="shared" si="2"/>
        <v>39165.020692045466</v>
      </c>
    </row>
    <row r="7" spans="1:10">
      <c r="A7" s="1" t="s">
        <v>3</v>
      </c>
      <c r="B7" s="13">
        <f>SUM(B2:B6)</f>
        <v>26983126.056495398</v>
      </c>
      <c r="C7" s="15">
        <f>SUM(C2:C6)</f>
        <v>632007.97170159128</v>
      </c>
      <c r="D7" s="18"/>
      <c r="E7" s="18"/>
      <c r="F7" s="20">
        <f>SUM(F2:F6)</f>
        <v>22687880.985634945</v>
      </c>
      <c r="G7" s="20">
        <f>SUM(G2:G6)</f>
        <v>531324.4658472247</v>
      </c>
      <c r="H7" s="20">
        <f>SUM(H2:H6)</f>
        <v>5321848.6262600487</v>
      </c>
      <c r="I7" s="20">
        <f>SUM(I2:I6)</f>
        <v>124631.66482836135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D308-2A2A-4B24-A6B5-0D2CAA51A5CC}">
  <dimension ref="A1:G52"/>
  <sheetViews>
    <sheetView tabSelected="1" workbookViewId="0">
      <selection activeCell="B4" sqref="B4:B5"/>
    </sheetView>
  </sheetViews>
  <sheetFormatPr defaultRowHeight="14.5"/>
  <cols>
    <col min="2" max="2" width="44" customWidth="1"/>
    <col min="3" max="3" width="15.81640625" customWidth="1"/>
    <col min="4" max="4" width="26.26953125" customWidth="1"/>
    <col min="5" max="5" width="28" bestFit="1" customWidth="1"/>
    <col min="6" max="6" width="20.453125" bestFit="1" customWidth="1"/>
  </cols>
  <sheetData>
    <row r="1" spans="1:7" ht="36" customHeight="1">
      <c r="A1" s="45"/>
      <c r="B1" s="76" t="s">
        <v>30</v>
      </c>
      <c r="D1" s="46" t="s">
        <v>31</v>
      </c>
      <c r="E1" s="47"/>
      <c r="F1" s="47"/>
      <c r="G1" s="48"/>
    </row>
    <row r="2" spans="1:7" ht="16.5" customHeight="1">
      <c r="A2" s="49"/>
      <c r="B2" s="42">
        <v>413000</v>
      </c>
      <c r="D2" s="42" t="s">
        <v>32</v>
      </c>
      <c r="G2" s="50"/>
    </row>
    <row r="3" spans="1:7" ht="16.5" customHeight="1">
      <c r="A3" s="49"/>
      <c r="B3" s="43">
        <f>E15+E34</f>
        <v>1969986</v>
      </c>
      <c r="C3" s="58" t="s">
        <v>33</v>
      </c>
      <c r="D3" s="54" t="s">
        <v>34</v>
      </c>
      <c r="G3" s="50"/>
    </row>
    <row r="4" spans="1:7" ht="16.5" customHeight="1">
      <c r="A4" s="49"/>
      <c r="B4" s="51">
        <f>E15/B3</f>
        <v>0.81196414593809296</v>
      </c>
      <c r="C4" s="58" t="s">
        <v>35</v>
      </c>
      <c r="D4" s="54" t="s">
        <v>36</v>
      </c>
      <c r="G4" s="50"/>
    </row>
    <row r="5" spans="1:7" ht="16.5" customHeight="1">
      <c r="A5" s="49"/>
      <c r="B5" s="51">
        <f>E34/B3</f>
        <v>0.18803585406190704</v>
      </c>
      <c r="C5" s="58" t="s">
        <v>35</v>
      </c>
      <c r="D5" s="54" t="s">
        <v>37</v>
      </c>
      <c r="G5" s="50"/>
    </row>
    <row r="6" spans="1:7" ht="16.5" customHeight="1">
      <c r="A6" s="49"/>
      <c r="B6" s="52">
        <f>B4*B2</f>
        <v>335341.19227243238</v>
      </c>
      <c r="C6" s="58" t="s">
        <v>38</v>
      </c>
      <c r="D6" s="54" t="s">
        <v>39</v>
      </c>
      <c r="G6" s="50"/>
    </row>
    <row r="7" spans="1:7" ht="16.5" customHeight="1">
      <c r="A7" s="49"/>
      <c r="B7" s="52">
        <f>B5*B2</f>
        <v>77658.807727567604</v>
      </c>
      <c r="C7" s="58" t="s">
        <v>40</v>
      </c>
      <c r="D7" s="54" t="s">
        <v>41</v>
      </c>
      <c r="G7" s="50"/>
    </row>
    <row r="8" spans="1:7">
      <c r="A8" s="49"/>
      <c r="G8" s="50"/>
    </row>
    <row r="9" spans="1:7" ht="18">
      <c r="A9" s="49"/>
      <c r="B9" s="24" t="s">
        <v>42</v>
      </c>
      <c r="C9" s="25" t="s">
        <v>43</v>
      </c>
      <c r="D9" s="26" t="s">
        <v>43</v>
      </c>
      <c r="E9" s="27" t="s">
        <v>43</v>
      </c>
      <c r="F9" s="28"/>
      <c r="G9" s="50"/>
    </row>
    <row r="10" spans="1:7" ht="18">
      <c r="A10" s="49"/>
      <c r="B10" s="38" t="s">
        <v>43</v>
      </c>
      <c r="C10" s="29"/>
      <c r="D10" s="30"/>
      <c r="E10" s="31" t="s">
        <v>43</v>
      </c>
      <c r="F10" s="28"/>
      <c r="G10" s="50"/>
    </row>
    <row r="11" spans="1:7" ht="15.5">
      <c r="A11" s="49"/>
      <c r="B11" s="39" t="s">
        <v>44</v>
      </c>
      <c r="C11" s="29"/>
      <c r="D11" s="28"/>
      <c r="E11" s="32">
        <v>967550</v>
      </c>
      <c r="F11" s="58" t="s">
        <v>45</v>
      </c>
      <c r="G11" s="50"/>
    </row>
    <row r="12" spans="1:7" ht="15.5">
      <c r="A12" s="49"/>
      <c r="B12" s="39" t="s">
        <v>43</v>
      </c>
      <c r="C12" s="29"/>
      <c r="D12" s="30"/>
      <c r="E12" s="31" t="s">
        <v>43</v>
      </c>
      <c r="F12" s="58"/>
      <c r="G12" s="50"/>
    </row>
    <row r="13" spans="1:7" ht="28.5">
      <c r="A13" s="49"/>
      <c r="B13" s="39" t="s">
        <v>46</v>
      </c>
      <c r="C13" s="29"/>
      <c r="D13" s="28"/>
      <c r="E13" s="32">
        <v>632008</v>
      </c>
      <c r="F13" s="58" t="s">
        <v>47</v>
      </c>
      <c r="G13" s="50"/>
    </row>
    <row r="14" spans="1:7" ht="15.5">
      <c r="A14" s="49"/>
      <c r="B14" s="39" t="s">
        <v>43</v>
      </c>
      <c r="C14" s="29"/>
      <c r="D14" s="30"/>
      <c r="E14" s="31" t="s">
        <v>43</v>
      </c>
      <c r="F14" s="58"/>
      <c r="G14" s="50"/>
    </row>
    <row r="15" spans="1:7" ht="28.5">
      <c r="A15" s="49"/>
      <c r="B15" s="39" t="s">
        <v>48</v>
      </c>
      <c r="C15" s="29"/>
      <c r="D15" s="28"/>
      <c r="E15" s="32">
        <f>1599558</f>
        <v>1599558</v>
      </c>
      <c r="F15" s="58" t="s">
        <v>49</v>
      </c>
      <c r="G15" s="50"/>
    </row>
    <row r="16" spans="1:7" ht="15.5">
      <c r="A16" s="49"/>
      <c r="B16" s="39" t="s">
        <v>50</v>
      </c>
      <c r="C16" s="60"/>
      <c r="D16" s="71" t="s">
        <v>38</v>
      </c>
      <c r="E16" s="62">
        <f>B6</f>
        <v>335341.19227243238</v>
      </c>
      <c r="F16" s="58" t="s">
        <v>51</v>
      </c>
      <c r="G16" s="50"/>
    </row>
    <row r="17" spans="1:7" ht="15.5">
      <c r="A17" s="49"/>
      <c r="B17" s="39" t="s">
        <v>43</v>
      </c>
      <c r="C17" s="60"/>
      <c r="D17" s="61"/>
      <c r="E17" s="63" t="s">
        <v>43</v>
      </c>
      <c r="F17" s="58"/>
      <c r="G17" s="50"/>
    </row>
    <row r="18" spans="1:7" ht="15.5">
      <c r="A18" s="49"/>
      <c r="B18" s="39" t="s">
        <v>52</v>
      </c>
      <c r="C18" s="60"/>
      <c r="D18" s="61"/>
      <c r="E18" s="67">
        <f>E11+E13-E15-E16</f>
        <v>-335341.19227243238</v>
      </c>
      <c r="F18" s="58" t="s">
        <v>53</v>
      </c>
      <c r="G18" s="50"/>
    </row>
    <row r="19" spans="1:7" ht="15.5">
      <c r="A19" s="49"/>
      <c r="B19" s="39" t="s">
        <v>43</v>
      </c>
      <c r="C19" s="60"/>
      <c r="D19" s="61"/>
      <c r="E19" s="64" t="s">
        <v>43</v>
      </c>
      <c r="F19" s="58"/>
      <c r="G19" s="50"/>
    </row>
    <row r="20" spans="1:7" ht="15.5">
      <c r="A20" s="49"/>
      <c r="B20" s="39" t="s">
        <v>54</v>
      </c>
      <c r="C20" s="65">
        <v>0.26500000000000001</v>
      </c>
      <c r="D20" s="61" t="s">
        <v>55</v>
      </c>
      <c r="E20" s="64" t="s">
        <v>43</v>
      </c>
      <c r="F20" s="58"/>
      <c r="G20" s="50"/>
    </row>
    <row r="21" spans="1:7" ht="15.5">
      <c r="A21" s="49"/>
      <c r="B21" s="39" t="s">
        <v>43</v>
      </c>
      <c r="C21" s="60"/>
      <c r="D21" s="66"/>
      <c r="E21" s="64" t="s">
        <v>43</v>
      </c>
      <c r="F21" s="58"/>
      <c r="G21" s="50"/>
    </row>
    <row r="22" spans="1:7" ht="15.5">
      <c r="A22" s="49"/>
      <c r="B22" s="39" t="s">
        <v>56</v>
      </c>
      <c r="C22" s="60"/>
      <c r="D22" s="66"/>
      <c r="E22" s="68">
        <f>E18*C20</f>
        <v>-88865.415952194584</v>
      </c>
      <c r="F22" s="58" t="s">
        <v>57</v>
      </c>
      <c r="G22" s="50"/>
    </row>
    <row r="23" spans="1:7" ht="15.5">
      <c r="A23" s="49"/>
      <c r="B23" s="39" t="s">
        <v>43</v>
      </c>
      <c r="C23" s="29"/>
      <c r="D23" s="30"/>
      <c r="E23" s="32" t="s">
        <v>43</v>
      </c>
      <c r="F23" s="58"/>
      <c r="G23" s="50"/>
    </row>
    <row r="24" spans="1:7" ht="15.5">
      <c r="A24" s="49"/>
      <c r="B24" s="77" t="s">
        <v>58</v>
      </c>
      <c r="C24" s="78"/>
      <c r="D24" s="79"/>
      <c r="E24" s="80">
        <f>E22/(1-C20)</f>
        <v>-120905.32782611508</v>
      </c>
      <c r="F24" s="58" t="s">
        <v>59</v>
      </c>
      <c r="G24" s="50"/>
    </row>
    <row r="25" spans="1:7" ht="15.5">
      <c r="A25" s="49"/>
      <c r="B25" s="40" t="s">
        <v>43</v>
      </c>
      <c r="C25" s="35" t="s">
        <v>43</v>
      </c>
      <c r="D25" s="36" t="s">
        <v>43</v>
      </c>
      <c r="E25" s="37" t="s">
        <v>43</v>
      </c>
      <c r="F25" s="58"/>
      <c r="G25" s="50"/>
    </row>
    <row r="26" spans="1:7">
      <c r="A26" s="49"/>
      <c r="F26" s="59"/>
      <c r="G26" s="50"/>
    </row>
    <row r="27" spans="1:7">
      <c r="A27" s="49"/>
      <c r="F27" s="59"/>
      <c r="G27" s="50"/>
    </row>
    <row r="28" spans="1:7" ht="18">
      <c r="A28" s="49"/>
      <c r="B28" s="24" t="s">
        <v>60</v>
      </c>
      <c r="C28" s="25" t="s">
        <v>43</v>
      </c>
      <c r="D28" s="26" t="s">
        <v>43</v>
      </c>
      <c r="E28" s="27" t="s">
        <v>43</v>
      </c>
      <c r="F28" s="59"/>
      <c r="G28" s="50"/>
    </row>
    <row r="29" spans="1:7" ht="18">
      <c r="A29" s="49"/>
      <c r="B29" s="38" t="s">
        <v>43</v>
      </c>
      <c r="C29" s="29"/>
      <c r="D29" s="30"/>
      <c r="E29" s="31" t="s">
        <v>43</v>
      </c>
      <c r="F29" s="59"/>
      <c r="G29" s="50"/>
    </row>
    <row r="30" spans="1:7" ht="15.5">
      <c r="A30" s="49"/>
      <c r="B30" s="39" t="s">
        <v>44</v>
      </c>
      <c r="C30" s="29"/>
      <c r="D30" s="28"/>
      <c r="E30" s="32">
        <v>225237</v>
      </c>
      <c r="F30" s="58" t="s">
        <v>45</v>
      </c>
      <c r="G30" s="50"/>
    </row>
    <row r="31" spans="1:7" ht="15.5">
      <c r="A31" s="49"/>
      <c r="B31" s="39" t="s">
        <v>43</v>
      </c>
      <c r="C31" s="29"/>
      <c r="D31" s="30"/>
      <c r="E31" s="31" t="s">
        <v>43</v>
      </c>
      <c r="F31" s="58"/>
      <c r="G31" s="50"/>
    </row>
    <row r="32" spans="1:7" ht="28.5">
      <c r="A32" s="49"/>
      <c r="B32" s="39" t="s">
        <v>46</v>
      </c>
      <c r="C32" s="29"/>
      <c r="D32" s="28"/>
      <c r="E32" s="32">
        <v>145190</v>
      </c>
      <c r="F32" s="58" t="s">
        <v>47</v>
      </c>
      <c r="G32" s="50"/>
    </row>
    <row r="33" spans="1:7" ht="15.5">
      <c r="A33" s="49"/>
      <c r="B33" s="39" t="s">
        <v>43</v>
      </c>
      <c r="C33" s="29"/>
      <c r="D33" s="30"/>
      <c r="E33" s="31" t="s">
        <v>43</v>
      </c>
      <c r="F33" s="58"/>
      <c r="G33" s="50"/>
    </row>
    <row r="34" spans="1:7" ht="28.5">
      <c r="A34" s="49"/>
      <c r="B34" s="39" t="s">
        <v>48</v>
      </c>
      <c r="C34" s="29"/>
      <c r="D34" s="28"/>
      <c r="E34" s="32">
        <v>370428</v>
      </c>
      <c r="F34" s="58" t="s">
        <v>49</v>
      </c>
      <c r="G34" s="50"/>
    </row>
    <row r="35" spans="1:7" ht="15.5">
      <c r="A35" s="49"/>
      <c r="B35" s="39" t="s">
        <v>50</v>
      </c>
      <c r="C35" s="29"/>
      <c r="D35" s="72" t="s">
        <v>40</v>
      </c>
      <c r="E35" s="41">
        <f>B7</f>
        <v>77658.807727567604</v>
      </c>
      <c r="F35" s="58" t="s">
        <v>61</v>
      </c>
      <c r="G35" s="50"/>
    </row>
    <row r="36" spans="1:7" ht="15.5">
      <c r="A36" s="49"/>
      <c r="B36" s="39" t="s">
        <v>43</v>
      </c>
      <c r="C36" s="29"/>
      <c r="D36" s="28"/>
      <c r="E36" s="31" t="s">
        <v>43</v>
      </c>
      <c r="F36" s="58"/>
      <c r="G36" s="50"/>
    </row>
    <row r="37" spans="1:7" ht="15.5">
      <c r="A37" s="49"/>
      <c r="B37" s="39" t="s">
        <v>52</v>
      </c>
      <c r="C37" s="29"/>
      <c r="D37" s="28"/>
      <c r="E37" s="69">
        <f>E30+E32-E34-E35</f>
        <v>-77659.807727567604</v>
      </c>
      <c r="F37" s="58" t="s">
        <v>62</v>
      </c>
      <c r="G37" s="50"/>
    </row>
    <row r="38" spans="1:7" ht="15.5">
      <c r="A38" s="49"/>
      <c r="B38" s="39" t="s">
        <v>43</v>
      </c>
      <c r="C38" s="29"/>
      <c r="D38" s="28"/>
      <c r="E38" s="33" t="s">
        <v>43</v>
      </c>
      <c r="F38" s="58"/>
      <c r="G38" s="50"/>
    </row>
    <row r="39" spans="1:7" ht="15.5">
      <c r="A39" s="49"/>
      <c r="B39" s="39" t="s">
        <v>54</v>
      </c>
      <c r="C39" s="34">
        <v>0.26500000000000001</v>
      </c>
      <c r="D39" s="28" t="s">
        <v>55</v>
      </c>
      <c r="E39" s="33" t="s">
        <v>43</v>
      </c>
      <c r="F39" s="58"/>
      <c r="G39" s="50"/>
    </row>
    <row r="40" spans="1:7" ht="15.5">
      <c r="A40" s="49"/>
      <c r="B40" s="39" t="s">
        <v>43</v>
      </c>
      <c r="C40" s="29"/>
      <c r="D40" s="30"/>
      <c r="E40" s="33" t="s">
        <v>43</v>
      </c>
      <c r="F40" s="58"/>
      <c r="G40" s="50"/>
    </row>
    <row r="41" spans="1:7" ht="15.5">
      <c r="A41" s="49"/>
      <c r="B41" s="39" t="s">
        <v>56</v>
      </c>
      <c r="C41" s="29"/>
      <c r="D41" s="30"/>
      <c r="E41" s="70">
        <f>E37*C39</f>
        <v>-20579.849047805415</v>
      </c>
      <c r="F41" s="58" t="s">
        <v>57</v>
      </c>
      <c r="G41" s="50"/>
    </row>
    <row r="42" spans="1:7" ht="15.5">
      <c r="A42" s="49"/>
      <c r="B42" s="39" t="s">
        <v>43</v>
      </c>
      <c r="C42" s="29"/>
      <c r="D42" s="30"/>
      <c r="E42" s="32" t="s">
        <v>43</v>
      </c>
      <c r="F42" s="58"/>
      <c r="G42" s="50"/>
    </row>
    <row r="43" spans="1:7" ht="15.5">
      <c r="A43" s="49"/>
      <c r="B43" s="77" t="s">
        <v>58</v>
      </c>
      <c r="C43" s="78"/>
      <c r="D43" s="79"/>
      <c r="E43" s="80">
        <f>E41/(1-C39)</f>
        <v>-27999.794622864512</v>
      </c>
      <c r="F43" s="58" t="s">
        <v>59</v>
      </c>
      <c r="G43" s="50"/>
    </row>
    <row r="44" spans="1:7" ht="15.5">
      <c r="A44" s="49"/>
      <c r="B44" s="40" t="s">
        <v>43</v>
      </c>
      <c r="C44" s="35" t="s">
        <v>43</v>
      </c>
      <c r="D44" s="36" t="s">
        <v>43</v>
      </c>
      <c r="E44" s="37" t="s">
        <v>43</v>
      </c>
      <c r="G44" s="50"/>
    </row>
    <row r="45" spans="1:7">
      <c r="A45" s="49"/>
      <c r="G45" s="50"/>
    </row>
    <row r="46" spans="1:7">
      <c r="A46" s="49"/>
      <c r="G46" s="50"/>
    </row>
    <row r="47" spans="1:7" ht="46.5">
      <c r="A47" s="49"/>
      <c r="D47" s="74" t="s">
        <v>63</v>
      </c>
      <c r="E47" s="75">
        <f>E24+E43</f>
        <v>-148905.12244897959</v>
      </c>
      <c r="F47" s="53"/>
      <c r="G47" s="50"/>
    </row>
    <row r="48" spans="1:7" ht="15.5">
      <c r="A48" s="49"/>
      <c r="D48" s="73" t="s">
        <v>64</v>
      </c>
      <c r="E48" s="44">
        <v>-149000</v>
      </c>
      <c r="F48" s="53"/>
      <c r="G48" s="50"/>
    </row>
    <row r="49" spans="1:7" ht="15.5">
      <c r="A49" s="49"/>
      <c r="D49" s="81" t="s">
        <v>65</v>
      </c>
      <c r="E49" s="82">
        <f>E47-E48</f>
        <v>94.877551020414103</v>
      </c>
      <c r="F49" s="54" t="s">
        <v>66</v>
      </c>
      <c r="G49" s="50"/>
    </row>
    <row r="50" spans="1:7">
      <c r="A50" s="49"/>
      <c r="G50" s="50"/>
    </row>
    <row r="51" spans="1:7">
      <c r="A51" s="49"/>
      <c r="G51" s="50"/>
    </row>
    <row r="52" spans="1:7">
      <c r="A52" s="55"/>
      <c r="B52" s="56"/>
      <c r="C52" s="56"/>
      <c r="D52" s="56"/>
      <c r="E52" s="56"/>
      <c r="F52" s="56"/>
      <c r="G52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F994162927F4EBBA0833824D20125" ma:contentTypeVersion="33" ma:contentTypeDescription="Create a new document." ma:contentTypeScope="" ma:versionID="70411d0083db54bdb7804d1033d4f24f">
  <xsd:schema xmlns:xsd="http://www.w3.org/2001/XMLSchema" xmlns:xs="http://www.w3.org/2001/XMLSchema" xmlns:p="http://schemas.microsoft.com/office/2006/metadata/properties" xmlns:ns2="8367ee9a-2bad-4275-a510-c35595ceaaf6" xmlns:ns3="01471336-afb1-4cde-a276-2d6acc6bcfc0" targetNamespace="http://schemas.microsoft.com/office/2006/metadata/properties" ma:root="true" ma:fieldsID="fb92529b1b6641972eced599eb8a4192" ns2:_="" ns3:_="">
    <xsd:import namespace="8367ee9a-2bad-4275-a510-c35595ceaaf6"/>
    <xsd:import namespace="01471336-afb1-4cde-a276-2d6acc6bcfc0"/>
    <xsd:element name="properties">
      <xsd:complexType>
        <xsd:sequence>
          <xsd:element name="documentManagement">
            <xsd:complexType>
              <xsd:all>
                <xsd:element ref="ns2:Case_x0020_Manager" minOccurs="0"/>
                <xsd:element ref="ns2:Mechanism" minOccurs="0"/>
                <xsd:element ref="ns2:Mechanisim" minOccurs="0"/>
                <xsd:element ref="ns2:Hearing_x0020_Authority" minOccurs="0"/>
                <xsd:element ref="ns2:Rate_x0020_Zones" minOccurs="0"/>
                <xsd:element ref="ns2:Legal_x0020_Counsel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Metadata" minOccurs="0"/>
                <xsd:element ref="ns2:Tranche_x0020_Numbe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7ee9a-2bad-4275-a510-c35595ceaaf6" elementFormDefault="qualified">
    <xsd:import namespace="http://schemas.microsoft.com/office/2006/documentManagement/types"/>
    <xsd:import namespace="http://schemas.microsoft.com/office/infopath/2007/PartnerControls"/>
    <xsd:element name="Case_x0020_Manager" ma:index="3" nillable="true" ma:displayName="Case Manager" ma:format="Dropdown" ma:internalName="Case_x0020_Manag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lly Bibiresanmi"/>
                    <xsd:enumeration value="Yaroslav Paliy"/>
                    <xsd:enumeration value="Urooj Iqbal"/>
                    <xsd:enumeration value="Kelli Benincasa"/>
                    <xsd:enumeration value="Lizzie Zhang"/>
                    <xsd:enumeration value="Hatem Hassan"/>
                    <xsd:enumeration value="Abla Nur"/>
                    <xsd:enumeration value="Iris Qi"/>
                    <xsd:enumeration value="Harshleen Kaur"/>
                    <xsd:enumeration value="Muzammel Hussain"/>
                    <xsd:enumeration value="Tina Zhu"/>
                  </xsd:restriction>
                </xsd:simpleType>
              </xsd:element>
            </xsd:sequence>
          </xsd:extension>
        </xsd:complexContent>
      </xsd:complexType>
    </xsd:element>
    <xsd:element name="Mechanism" ma:index="4" nillable="true" ma:displayName="Rate Effective Date" ma:format="Dropdown" ma:internalName="Mechanism" ma:readOnly="false">
      <xsd:simpleType>
        <xsd:restriction base="dms:Choice">
          <xsd:enumeration value="Jan 1"/>
          <xsd:enumeration value="May 1"/>
        </xsd:restriction>
      </xsd:simpleType>
    </xsd:element>
    <xsd:element name="Mechanisim" ma:index="5" nillable="true" ma:displayName="Mechanisim" ma:format="Dropdown" ma:internalName="Mechanisi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ice Cap IR"/>
                    <xsd:enumeration value="Annual IR"/>
                  </xsd:restriction>
                </xsd:simpleType>
              </xsd:element>
            </xsd:sequence>
          </xsd:extension>
        </xsd:complexContent>
      </xsd:complexType>
    </xsd:element>
    <xsd:element name="Hearing_x0020_Authority" ma:index="6" nillable="true" ma:displayName="Hearing Authority" ma:format="Dropdown" ma:hidden="true" ma:internalName="Hearing_x0020_Authority" ma:readOnly="false">
      <xsd:simpleType>
        <xsd:restriction base="dms:Choice">
          <xsd:enumeration value="Panel"/>
          <xsd:enumeration value="DA - Darryl Seal"/>
          <xsd:enumeration value="DA - Lawren Murray"/>
          <xsd:enumeration value="DA - Tina Li"/>
          <xsd:enumeration value="DA - Kevin Mancherjee"/>
          <xsd:enumeration value="DA - Ted Antonopoulos"/>
          <xsd:enumeration value="DA - James Sidlofsky"/>
          <xsd:enumeration value="DA - Donald Lau"/>
        </xsd:restriction>
      </xsd:simpleType>
    </xsd:element>
    <xsd:element name="Rate_x0020_Zones" ma:index="7" nillable="true" ma:displayName="Rate Zones" ma:format="Dropdown" ma:hidden="true" ma:internalName="Rate_x0020_Zones" ma:readOnly="false">
      <xsd:simpleType>
        <xsd:restriction base="dms:Choice">
          <xsd:enumeration value="1"/>
          <xsd:enumeration value="2"/>
          <xsd:enumeration value="5"/>
        </xsd:restriction>
      </xsd:simpleType>
    </xsd:element>
    <xsd:element name="Legal_x0020_Counsel" ma:index="8" nillable="true" ma:displayName="Legal Counsel" ma:format="Dropdown" ma:hidden="true" ma:internalName="Legal_x0020_Counsel" ma:readOnly="false">
      <xsd:simpleType>
        <xsd:restriction base="dms:Choice">
          <xsd:enumeration value="Lawren Murray"/>
          <xsd:enumeration value="James Sidlofsky"/>
          <xsd:enumeration value="Richard Lanni"/>
          <xsd:enumeration value="Ljuba Djurdjevic"/>
          <xsd:enumeration value="Ian Richler"/>
          <xsd:enumeration value="Michael Millar"/>
        </xsd:restrict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Tranche_x0020_Number" ma:index="26" nillable="true" ma:displayName="Tranche #" ma:format="Dropdown" ma:hidden="true" ma:internalName="Tranche_x0020_Number" ma:readOnly="false">
      <xsd:simpleType>
        <xsd:restriction base="dms:Choice">
          <xsd:enumeration value="Tranche #1"/>
          <xsd:enumeration value="Tranche #2"/>
          <xsd:enumeration value="Tranche #3"/>
          <xsd:enumeration value="Tranche #4"/>
        </xsd:restriction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1336-afb1-4cde-a276-2d6acc6bcf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53d9606-52aa-4b94-90db-b9f9f6e02968}" ma:internalName="TaxCatchAll" ma:readOnly="false" ma:showField="CatchAllData" ma:web="01471336-afb1-4cde-a276-2d6acc6bcf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che_x0020_Number xmlns="8367ee9a-2bad-4275-a510-c35595ceaaf6" xsi:nil="true"/>
    <TaxCatchAll xmlns="01471336-afb1-4cde-a276-2d6acc6bcfc0" xsi:nil="true"/>
    <Hearing_x0020_Authority xmlns="8367ee9a-2bad-4275-a510-c35595ceaaf6" xsi:nil="true"/>
    <lcf76f155ced4ddcb4097134ff3c332f xmlns="8367ee9a-2bad-4275-a510-c35595ceaaf6">
      <Terms xmlns="http://schemas.microsoft.com/office/infopath/2007/PartnerControls"/>
    </lcf76f155ced4ddcb4097134ff3c332f>
    <Rate_x0020_Zones xmlns="8367ee9a-2bad-4275-a510-c35595ceaaf6" xsi:nil="true"/>
    <_Flow_SignoffStatus xmlns="8367ee9a-2bad-4275-a510-c35595ceaaf6" xsi:nil="true"/>
    <Mechanisim xmlns="8367ee9a-2bad-4275-a510-c35595ceaaf6" xsi:nil="true"/>
    <Legal_x0020_Counsel xmlns="8367ee9a-2bad-4275-a510-c35595ceaaf6" xsi:nil="true"/>
    <Case_x0020_Manager xmlns="8367ee9a-2bad-4275-a510-c35595ceaaf6" xsi:nil="true"/>
    <Mechanism xmlns="8367ee9a-2bad-4275-a510-c35595ceaaf6" xsi:nil="true"/>
  </documentManagement>
</p:properties>
</file>

<file path=customXml/itemProps1.xml><?xml version="1.0" encoding="utf-8"?>
<ds:datastoreItem xmlns:ds="http://schemas.openxmlformats.org/officeDocument/2006/customXml" ds:itemID="{0DE8BD00-A1E0-44E2-AB50-D9C025D7A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FE36E-BC7F-4FEA-A651-6CD29342E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67ee9a-2bad-4275-a510-c35595ceaaf6"/>
    <ds:schemaRef ds:uri="01471336-afb1-4cde-a276-2d6acc6bc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14DE8E-091C-4204-B05E-94F82F1E0FA7}">
  <ds:schemaRefs>
    <ds:schemaRef ds:uri="http://schemas.microsoft.com/office/2006/metadata/properties"/>
    <ds:schemaRef ds:uri="http://schemas.microsoft.com/office/infopath/2007/PartnerControls"/>
    <ds:schemaRef ds:uri="8367ee9a-2bad-4275-a510-c35595ceaaf6"/>
    <ds:schemaRef ds:uri="01471336-afb1-4cde-a276-2d6acc6bcf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OEB Staff Reductions</vt:lpstr>
      <vt:lpstr>Depreciation</vt:lpstr>
      <vt:lpstr>CCA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 DeFazio</dc:creator>
  <cp:keywords/>
  <dc:description/>
  <cp:lastModifiedBy>Margaret DeFazio</cp:lastModifiedBy>
  <cp:revision/>
  <dcterms:created xsi:type="dcterms:W3CDTF">2015-06-05T18:17:20Z</dcterms:created>
  <dcterms:modified xsi:type="dcterms:W3CDTF">2025-04-25T16:24:44Z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0x01010051EF994162927F4EBBA0833824D20125</vt:lpwstr>
  </property>
  <property fmtid="{D5CDD505-2E9C-101B-9397-08002B2CF9AE}" pid="3" name="MediaServiceImageTags">
    <vt:lpwstr/>
  </property>
</Properties>
</file>