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5 Rate Application\04 - OPEB Hearing\01 - Interrogatories\01 - Files for submission\"/>
    </mc:Choice>
  </mc:AlternateContent>
  <xr:revisionPtr revIDLastSave="0" documentId="13_ncr:1_{ED18491C-4025-45B3-9053-AC6D93DE963D}" xr6:coauthVersionLast="47" xr6:coauthVersionMax="47" xr10:uidLastSave="{00000000-0000-0000-0000-000000000000}"/>
  <bookViews>
    <workbookView xWindow="-25320" yWindow="-120" windowWidth="25440" windowHeight="15270" xr2:uid="{846AC659-735A-445B-A86C-C2370319B539}"/>
  </bookViews>
  <sheets>
    <sheet name="Appendix A" sheetId="1" r:id="rId1"/>
    <sheet name="Appendix B" sheetId="3" r:id="rId2"/>
    <sheet name="Appendix C" sheetId="4" r:id="rId3"/>
    <sheet name="Appendix D" sheetId="2" r:id="rId4"/>
    <sheet name="Transitional" sheetId="5" r:id="rId5"/>
    <sheet name="Gain Loss" sheetId="6" r:id="rId6"/>
    <sheet name="Recover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6" l="1"/>
  <c r="J50" i="6"/>
  <c r="J48" i="6"/>
  <c r="J37" i="6"/>
  <c r="J35" i="6"/>
  <c r="J24" i="6"/>
  <c r="J22" i="6"/>
  <c r="J11" i="6"/>
  <c r="J9" i="6"/>
  <c r="I22" i="7"/>
  <c r="J4" i="7"/>
  <c r="I6" i="7" s="1"/>
  <c r="I8" i="7" l="1"/>
  <c r="I10" i="7"/>
  <c r="I12" i="7"/>
  <c r="I14" i="7"/>
  <c r="I16" i="7"/>
  <c r="I18" i="7"/>
  <c r="I20" i="7"/>
  <c r="I24" i="7"/>
  <c r="J6" i="7"/>
  <c r="J8" i="7" l="1"/>
  <c r="J10" i="7" s="1"/>
  <c r="J12" i="7" s="1"/>
  <c r="J14" i="7" s="1"/>
  <c r="J16" i="7" s="1"/>
  <c r="J18" i="7" s="1"/>
  <c r="J20" i="7" s="1"/>
  <c r="J22" i="7" s="1"/>
  <c r="J24" i="7" s="1"/>
  <c r="G48" i="4" l="1"/>
  <c r="G47" i="4"/>
  <c r="G46" i="4"/>
  <c r="H28" i="4"/>
  <c r="D27" i="4"/>
  <c r="D26" i="4"/>
  <c r="D25" i="4"/>
  <c r="D23" i="4"/>
  <c r="D22" i="4"/>
  <c r="E22" i="4" s="1"/>
  <c r="G21" i="4"/>
  <c r="D20" i="4"/>
  <c r="E18" i="4"/>
  <c r="G18" i="4"/>
  <c r="G17" i="4"/>
  <c r="I28" i="4"/>
  <c r="C28" i="4"/>
  <c r="G48" i="3"/>
  <c r="G47" i="3"/>
  <c r="G46" i="3"/>
  <c r="D27" i="3"/>
  <c r="D26" i="3"/>
  <c r="D25" i="3"/>
  <c r="D23" i="3"/>
  <c r="E22" i="3"/>
  <c r="G22" i="3" s="1"/>
  <c r="D22" i="3"/>
  <c r="G21" i="3"/>
  <c r="D20" i="3"/>
  <c r="G17" i="3"/>
  <c r="E18" i="3"/>
  <c r="E19" i="3" s="1"/>
  <c r="E20" i="3" s="1"/>
  <c r="G20" i="3" s="1"/>
  <c r="G16" i="3"/>
  <c r="G15" i="3"/>
  <c r="G14" i="3"/>
  <c r="G13" i="3"/>
  <c r="G12" i="3"/>
  <c r="G11" i="3"/>
  <c r="G10" i="3"/>
  <c r="G9" i="3"/>
  <c r="I28" i="3"/>
  <c r="G8" i="3"/>
  <c r="H28" i="3"/>
  <c r="G7" i="3"/>
  <c r="C28" i="3"/>
  <c r="D27" i="2"/>
  <c r="Q26" i="2"/>
  <c r="L26" i="2"/>
  <c r="O26" i="2" s="1"/>
  <c r="Q25" i="2"/>
  <c r="F25" i="2"/>
  <c r="Q24" i="2"/>
  <c r="L24" i="2"/>
  <c r="O24" i="2" s="1"/>
  <c r="Q23" i="2"/>
  <c r="L23" i="2"/>
  <c r="Q22" i="2"/>
  <c r="L22" i="2"/>
  <c r="Q21" i="2"/>
  <c r="L21" i="2"/>
  <c r="O21" i="2" s="1"/>
  <c r="F21" i="2"/>
  <c r="Q20" i="2"/>
  <c r="L20" i="2"/>
  <c r="Q19" i="2"/>
  <c r="L19" i="2"/>
  <c r="O19" i="2" s="1"/>
  <c r="F19" i="2"/>
  <c r="Q18" i="2"/>
  <c r="F18" i="2"/>
  <c r="Q17" i="2"/>
  <c r="F17" i="2"/>
  <c r="Q16" i="2"/>
  <c r="F16" i="2"/>
  <c r="Q15" i="2"/>
  <c r="F15" i="2"/>
  <c r="Q14" i="2"/>
  <c r="L14" i="2"/>
  <c r="Q13" i="2"/>
  <c r="F13" i="2"/>
  <c r="Q12" i="2"/>
  <c r="L12" i="2"/>
  <c r="O12" i="2" s="1"/>
  <c r="F12" i="2"/>
  <c r="Q11" i="2"/>
  <c r="L11" i="2"/>
  <c r="Q10" i="2"/>
  <c r="F10" i="2"/>
  <c r="Q9" i="2"/>
  <c r="L9" i="2"/>
  <c r="O9" i="2" s="1"/>
  <c r="F9" i="2"/>
  <c r="Q8" i="2"/>
  <c r="F8" i="2"/>
  <c r="Q7" i="2"/>
  <c r="L7" i="2"/>
  <c r="O7" i="2" s="1"/>
  <c r="S7" i="2" s="1"/>
  <c r="H27" i="2"/>
  <c r="F7" i="2"/>
  <c r="Q6" i="2"/>
  <c r="Q27" i="2" s="1"/>
  <c r="G27" i="2"/>
  <c r="F6" i="2"/>
  <c r="F47" i="1"/>
  <c r="F46" i="1"/>
  <c r="F45" i="1"/>
  <c r="D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H27" i="1"/>
  <c r="F10" i="1"/>
  <c r="F9" i="1"/>
  <c r="F8" i="1"/>
  <c r="F7" i="1"/>
  <c r="G27" i="1"/>
  <c r="C27" i="1"/>
  <c r="E23" i="4" l="1"/>
  <c r="E24" i="4" s="1"/>
  <c r="E25" i="4" s="1"/>
  <c r="E26" i="4" s="1"/>
  <c r="G22" i="4"/>
  <c r="E19" i="4"/>
  <c r="E20" i="4" s="1"/>
  <c r="G20" i="4" s="1"/>
  <c r="G18" i="3"/>
  <c r="G19" i="3"/>
  <c r="E23" i="3"/>
  <c r="E24" i="3" s="1"/>
  <c r="E25" i="3" s="1"/>
  <c r="E26" i="3" s="1"/>
  <c r="S19" i="2"/>
  <c r="S24" i="2"/>
  <c r="M10" i="2"/>
  <c r="M6" i="2"/>
  <c r="M20" i="2"/>
  <c r="O20" i="2"/>
  <c r="S20" i="2" s="1"/>
  <c r="S11" i="2"/>
  <c r="S25" i="2"/>
  <c r="S21" i="2"/>
  <c r="S26" i="2"/>
  <c r="S8" i="2"/>
  <c r="M13" i="2"/>
  <c r="M23" i="2"/>
  <c r="O23" i="2"/>
  <c r="S23" i="2" s="1"/>
  <c r="M14" i="2"/>
  <c r="O14" i="2"/>
  <c r="S14" i="2" s="1"/>
  <c r="S9" i="2"/>
  <c r="M24" i="2"/>
  <c r="O11" i="2"/>
  <c r="M11" i="2"/>
  <c r="M26" i="2"/>
  <c r="M8" i="2"/>
  <c r="S12" i="2"/>
  <c r="O22" i="2"/>
  <c r="S22" i="2" s="1"/>
  <c r="M22" i="2"/>
  <c r="M19" i="2"/>
  <c r="L17" i="2"/>
  <c r="O17" i="2" s="1"/>
  <c r="S17" i="2" s="1"/>
  <c r="F24" i="2"/>
  <c r="L6" i="2"/>
  <c r="O6" i="2" s="1"/>
  <c r="F22" i="2"/>
  <c r="L13" i="2"/>
  <c r="O13" i="2" s="1"/>
  <c r="S13" i="2" s="1"/>
  <c r="F20" i="2"/>
  <c r="S6" i="2"/>
  <c r="M12" i="2"/>
  <c r="L10" i="2"/>
  <c r="O10" i="2" s="1"/>
  <c r="S10" i="2" s="1"/>
  <c r="M21" i="2"/>
  <c r="F26" i="2"/>
  <c r="L8" i="2"/>
  <c r="O8" i="2" s="1"/>
  <c r="L15" i="2"/>
  <c r="O15" i="2" s="1"/>
  <c r="S15" i="2" s="1"/>
  <c r="F11" i="2"/>
  <c r="F27" i="2" s="1"/>
  <c r="H29" i="2" s="1"/>
  <c r="C27" i="2"/>
  <c r="L25" i="2"/>
  <c r="O25" i="2" s="1"/>
  <c r="M9" i="2"/>
  <c r="L18" i="2"/>
  <c r="O18" i="2" s="1"/>
  <c r="S18" i="2" s="1"/>
  <c r="F14" i="2"/>
  <c r="M7" i="2"/>
  <c r="L16" i="2"/>
  <c r="O16" i="2" s="1"/>
  <c r="S16" i="2" s="1"/>
  <c r="F23" i="2"/>
  <c r="F6" i="1"/>
  <c r="F27" i="1" s="1"/>
  <c r="H29" i="1" s="1"/>
  <c r="G25" i="4" l="1"/>
  <c r="E27" i="4"/>
  <c r="G27" i="4" s="1"/>
  <c r="G26" i="4"/>
  <c r="G24" i="4"/>
  <c r="G19" i="4"/>
  <c r="G28" i="4" s="1"/>
  <c r="G23" i="4"/>
  <c r="E27" i="3"/>
  <c r="G27" i="3" s="1"/>
  <c r="G26" i="3"/>
  <c r="G25" i="3"/>
  <c r="E28" i="3"/>
  <c r="G24" i="3"/>
  <c r="G23" i="3"/>
  <c r="G28" i="3" s="1"/>
  <c r="I30" i="3" s="1"/>
  <c r="M17" i="2"/>
  <c r="M16" i="2"/>
  <c r="M25" i="2"/>
  <c r="M18" i="2"/>
  <c r="S27" i="2"/>
  <c r="M15" i="2"/>
  <c r="O27" i="2"/>
  <c r="E2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D18" authorId="0" shapeId="0" xr:uid="{720E7AF9-D661-4C46-9110-2AB790585127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Price cap adj</t>
        </r>
      </text>
    </comment>
    <comment ref="D19" authorId="0" shapeId="0" xr:uid="{680F7E0C-A760-4F5A-928B-BE5512FA55CE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Price cap adj</t>
        </r>
      </text>
    </comment>
    <comment ref="D20" authorId="0" shapeId="0" xr:uid="{225B73B6-A449-4C80-B74C-AF2F87C05A4E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2.00% escalator
0.72% productivity
0.4% stretch</t>
        </r>
      </text>
    </comment>
    <comment ref="D22" authorId="0" shapeId="0" xr:uid="{A7CF0C06-5116-4D8D-8B57-3F8141967BA4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1.70% escalator
0.30% stretch</t>
        </r>
      </text>
    </comment>
    <comment ref="D23" authorId="0" shapeId="0" xr:uid="{6EA68DE5-41CC-46C8-BCDF-778E51DD0E50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1.60% escalator
0.45% stretch</t>
        </r>
      </text>
    </comment>
    <comment ref="D24" authorId="0" shapeId="0" xr:uid="{7FAF67E1-43DE-4F26-A1CF-708001412781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GSHi did not apply an increase to rates in this IRM year</t>
        </r>
      </text>
    </comment>
    <comment ref="D25" authorId="0" shapeId="0" xr:uid="{A5396F34-4192-4512-BD5C-9DF4F3CEC99C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1.90% escalator
0.30% stretch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D18" authorId="0" shapeId="0" xr:uid="{A3D3A5FC-F039-4CC5-AA03-FB552F1E48C3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Price cap adj</t>
        </r>
      </text>
    </comment>
    <comment ref="D19" authorId="0" shapeId="0" xr:uid="{318E7F69-AB29-4A0B-98C5-A3C4F8FD6A8C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Price cap adj</t>
        </r>
      </text>
    </comment>
    <comment ref="D20" authorId="0" shapeId="0" xr:uid="{6221F810-CA23-4889-B3C8-A350CD4DB5B0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2.00% escalator
0.72% productivity
0.4% stretch</t>
        </r>
      </text>
    </comment>
    <comment ref="D22" authorId="0" shapeId="0" xr:uid="{70ADE8AB-FE89-4ACB-96A7-9B2C4D63F37A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1.70% escalator
0.30% stretch</t>
        </r>
      </text>
    </comment>
    <comment ref="D23" authorId="0" shapeId="0" xr:uid="{AA90FC89-A95B-402D-B1A4-CC7388A86E2D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1.60% escalator
0.45% stretch</t>
        </r>
      </text>
    </comment>
    <comment ref="D24" authorId="0" shapeId="0" xr:uid="{F80F3B70-1E32-482F-A670-A45FC50D38B8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GSHi did not apply an increase to rates in this IRM year</t>
        </r>
      </text>
    </comment>
    <comment ref="D25" authorId="0" shapeId="0" xr:uid="{CCC733F4-EE4F-46BC-915D-385B9AA9555F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1.90% escalator
0.30% stretch</t>
        </r>
      </text>
    </comment>
  </commentList>
</comments>
</file>

<file path=xl/sharedStrings.xml><?xml version="1.0" encoding="utf-8"?>
<sst xmlns="http://schemas.openxmlformats.org/spreadsheetml/2006/main" count="206" uniqueCount="94">
  <si>
    <t>Appendix A: Option A. Actual-Cash cost for all years ("GSHi method")</t>
  </si>
  <si>
    <t>Year</t>
  </si>
  <si>
    <t>OPEB under accrual method - Sum of current service costs and interest costs (accrued method) (Note 2)</t>
  </si>
  <si>
    <t>OPEBs actually paid under cash method (Note 3)</t>
  </si>
  <si>
    <t>Differences</t>
  </si>
  <si>
    <t>Initial recognition amount</t>
  </si>
  <si>
    <t>Annual net actuarial (gain) loss</t>
  </si>
  <si>
    <t>(a)</t>
  </si>
  <si>
    <t>(b)</t>
  </si>
  <si>
    <t>(a) - (b) = (c)</t>
  </si>
  <si>
    <t>(d)</t>
  </si>
  <si>
    <t>(e)</t>
  </si>
  <si>
    <t>Note 1</t>
  </si>
  <si>
    <t>Subtotals</t>
  </si>
  <si>
    <t>(c) + (d) + (e)</t>
  </si>
  <si>
    <t>GSHi Method (agrees to GSHi submission)</t>
  </si>
  <si>
    <t xml:space="preserve">This activity covers only two months because financial statements were issued on October 31, 2000—when </t>
  </si>
  <si>
    <t xml:space="preserve">the organization was incorporated and the OPEB liability was established. We know the balance as of December 31, 2000, </t>
  </si>
  <si>
    <t xml:space="preserve">and are estimating the current service cost, actuarial revaluation, and payments by examining the changes over </t>
  </si>
  <si>
    <t>the 10-month period ending October 31, 2000.</t>
  </si>
  <si>
    <t>Note 2</t>
  </si>
  <si>
    <t xml:space="preserve">In 9-Staff-54, GSHi reported the gross amounts for both current service cost and interest because the notes to GSHi’s audited </t>
  </si>
  <si>
    <t xml:space="preserve">financial statements disclosed transfers to affiliates separately from the gross costs. Under the OEB’s proposed methodology, </t>
  </si>
  <si>
    <t xml:space="preserve">balances transferred to affiliates would be excluded from these gross accrual costs. As a result, GSHi is adjusting for those </t>
  </si>
  <si>
    <t>transfers in this response. The figures reported above reflect the following adjustments from 9-Staff-54:</t>
  </si>
  <si>
    <t>Originally reported in 9-Staff-54</t>
  </si>
  <si>
    <t>Transfer to affiliate in year</t>
  </si>
  <si>
    <t>Reported above</t>
  </si>
  <si>
    <t>D</t>
  </si>
  <si>
    <t>E</t>
  </si>
  <si>
    <t>D+E</t>
  </si>
  <si>
    <t>Note 3</t>
  </si>
  <si>
    <t>These figures agree to financial statements or actuary reports for the year.</t>
  </si>
  <si>
    <t>Appendix D: Expanding GSHi's Proposal to Quantify Capitalization Difference</t>
  </si>
  <si>
    <t>Change consists of:</t>
  </si>
  <si>
    <t>Total Change - Direct to Income Statement</t>
  </si>
  <si>
    <t>Total Change - Payroll Burden</t>
  </si>
  <si>
    <t>Balance Check</t>
  </si>
  <si>
    <t>Approximate Percentage of Payroll Burden Capitalized</t>
  </si>
  <si>
    <t>Actual OPEBs Capitalized</t>
  </si>
  <si>
    <t>GSHi would have capitalized under pure cash method</t>
  </si>
  <si>
    <t>Difference</t>
  </si>
  <si>
    <t>(k)</t>
  </si>
  <si>
    <t>(f)</t>
  </si>
  <si>
    <t>(k) + (f) - (a)</t>
  </si>
  <si>
    <t>(g)</t>
  </si>
  <si>
    <t>(f) * (g) = (h)</t>
  </si>
  <si>
    <t>(b) * (g) = (i)</t>
  </si>
  <si>
    <t>(i) - (h)</t>
  </si>
  <si>
    <t>GSHi under-capitalized</t>
  </si>
  <si>
    <t>Appendix B: Option B. Cash pre-2009, Embedded-in-Rates 2009-onward ("Blended method")</t>
  </si>
  <si>
    <t>Price Cap adjustments</t>
  </si>
  <si>
    <t>Either actual cash OPEB payments (2000 to 2008) or OPEBs paid under cash method that had been embedded in rates in respective rebasing applications (2009 to 2019)</t>
  </si>
  <si>
    <t>Numbers different from "GSHi Method"</t>
  </si>
  <si>
    <t>Blended Method</t>
  </si>
  <si>
    <t xml:space="preserve">For the period from October 31, 2000, to December 31, 2008, we assume that the amounts actually paid matched those </t>
  </si>
  <si>
    <t>embedded in the rates. From 2009 onward, we use the amounts embedded in the rates. Amounts embedded in rates</t>
  </si>
  <si>
    <t>are adjusted for price cap index in subsequent years, as applicable.</t>
  </si>
  <si>
    <t>Appendix C: Option C. Embedded-in-Rates for all years (“OEB Staff method”)</t>
  </si>
  <si>
    <t>OPEBs paid under cash method that had been embedded in rates in respective rebasing applications</t>
  </si>
  <si>
    <t>Information not available</t>
  </si>
  <si>
    <t>OEB Staff method (missing data; cannot be calculated)</t>
  </si>
  <si>
    <t>1508 OPEB One Time Transitional Continuity</t>
  </si>
  <si>
    <t>Date</t>
  </si>
  <si>
    <t>Description</t>
  </si>
  <si>
    <t>Balance</t>
  </si>
  <si>
    <t>End of year balance</t>
  </si>
  <si>
    <t>2020 Activity:</t>
  </si>
  <si>
    <t>Record OPEB One-Time Transitional Amount - GSH (Hydro company)</t>
  </si>
  <si>
    <t>Record OPEB One-Time Transitional Amount - GSHPI (Corporate services company)</t>
  </si>
  <si>
    <t>Subtotal</t>
  </si>
  <si>
    <t>Record tax gross up of regulatory asset 2020YE</t>
  </si>
  <si>
    <t>Record iterative gross-up of regulatory asset</t>
  </si>
  <si>
    <t>2021 Activity:</t>
  </si>
  <si>
    <t>No activity in year</t>
  </si>
  <si>
    <t>2022 Activity:</t>
  </si>
  <si>
    <t>2023 Activity:</t>
  </si>
  <si>
    <t>1508 OPEB Actuarial Gains Losses</t>
  </si>
  <si>
    <t>Actuarial gain/loss</t>
  </si>
  <si>
    <t>Actuarial gain/loss (Services Company)</t>
  </si>
  <si>
    <t>Taxes</t>
  </si>
  <si>
    <t>Iterative taxes</t>
  </si>
  <si>
    <t>Net Amount Proposed for Disposition</t>
  </si>
  <si>
    <t>2025 Activity</t>
  </si>
  <si>
    <t>Activity</t>
  </si>
  <si>
    <t>2026 Activity</t>
  </si>
  <si>
    <t>2027 Activity</t>
  </si>
  <si>
    <t>2028 Activity</t>
  </si>
  <si>
    <t>2029 Activity</t>
  </si>
  <si>
    <t>2030 Activity</t>
  </si>
  <si>
    <t>2031 Activity</t>
  </si>
  <si>
    <t>2032 Activity</t>
  </si>
  <si>
    <t>2033 Activity</t>
  </si>
  <si>
    <t>2034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</si>
</sst>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5" fontId="0" fillId="0" borderId="0" xfId="0" applyNumberFormat="1"/>
    <xf numFmtId="164" fontId="0" fillId="0" borderId="0" xfId="1" applyNumberFormat="1" applyFont="1" applyBorder="1"/>
    <xf numFmtId="164" fontId="0" fillId="0" borderId="0" xfId="0" applyNumberFormat="1"/>
    <xf numFmtId="164" fontId="0" fillId="0" borderId="1" xfId="0" applyNumberFormat="1" applyBorder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0" fillId="0" borderId="0" xfId="1" applyNumberFormat="1" applyFont="1"/>
    <xf numFmtId="0" fontId="2" fillId="0" borderId="0" xfId="0" applyFont="1"/>
    <xf numFmtId="10" fontId="0" fillId="0" borderId="0" xfId="0" applyNumberFormat="1"/>
    <xf numFmtId="10" fontId="0" fillId="0" borderId="0" xfId="2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NumberFormat="1" applyFont="1" applyFill="1" applyBorder="1"/>
    <xf numFmtId="164" fontId="0" fillId="2" borderId="0" xfId="1" applyNumberFormat="1" applyFont="1" applyFill="1" applyBorder="1"/>
    <xf numFmtId="10" fontId="0" fillId="0" borderId="0" xfId="2" applyNumberFormat="1" applyFont="1" applyBorder="1"/>
    <xf numFmtId="164" fontId="0" fillId="2" borderId="0" xfId="0" applyNumberFormat="1" applyFill="1"/>
    <xf numFmtId="164" fontId="0" fillId="3" borderId="0" xfId="1" applyNumberFormat="1" applyFont="1" applyFill="1" applyBorder="1"/>
    <xf numFmtId="164" fontId="0" fillId="3" borderId="0" xfId="0" applyNumberFormat="1" applyFill="1"/>
    <xf numFmtId="164" fontId="2" fillId="3" borderId="2" xfId="0" applyNumberFormat="1" applyFont="1" applyFill="1" applyBorder="1"/>
    <xf numFmtId="0" fontId="7" fillId="0" borderId="0" xfId="0" applyFont="1"/>
    <xf numFmtId="0" fontId="2" fillId="0" borderId="3" xfId="0" applyFont="1" applyBorder="1"/>
    <xf numFmtId="0" fontId="0" fillId="0" borderId="3" xfId="0" applyBorder="1"/>
    <xf numFmtId="14" fontId="0" fillId="0" borderId="0" xfId="0" applyNumberFormat="1"/>
    <xf numFmtId="43" fontId="0" fillId="0" borderId="0" xfId="1" applyFont="1"/>
    <xf numFmtId="10" fontId="0" fillId="0" borderId="0" xfId="2" applyNumberFormat="1" applyFont="1"/>
    <xf numFmtId="43" fontId="0" fillId="0" borderId="1" xfId="1" applyFont="1" applyBorder="1"/>
    <xf numFmtId="43" fontId="0" fillId="0" borderId="0" xfId="0" applyNumberFormat="1"/>
    <xf numFmtId="43" fontId="0" fillId="0" borderId="2" xfId="1" applyFont="1" applyBorder="1"/>
    <xf numFmtId="164" fontId="0" fillId="0" borderId="4" xfId="0" applyNumberFormat="1" applyBorder="1"/>
    <xf numFmtId="164" fontId="2" fillId="0" borderId="4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B870-29D3-4A05-BC83-00CFF6306BF6}">
  <sheetPr>
    <pageSetUpPr fitToPage="1"/>
  </sheetPr>
  <dimension ref="A2:J49"/>
  <sheetViews>
    <sheetView tabSelected="1" workbookViewId="0"/>
  </sheetViews>
  <sheetFormatPr defaultRowHeight="15" x14ac:dyDescent="0.25"/>
  <cols>
    <col min="2" max="2" width="9.5703125" bestFit="1" customWidth="1"/>
    <col min="3" max="3" width="19.7109375" customWidth="1"/>
    <col min="4" max="4" width="18.140625" customWidth="1"/>
    <col min="5" max="5" width="1.5703125" customWidth="1"/>
    <col min="6" max="6" width="11.7109375" customWidth="1"/>
    <col min="7" max="7" width="11.5703125" customWidth="1"/>
    <col min="8" max="8" width="14.42578125" customWidth="1"/>
    <col min="9" max="9" width="2.140625" customWidth="1"/>
    <col min="10" max="10" width="13.85546875" customWidth="1"/>
  </cols>
  <sheetData>
    <row r="2" spans="1:10" ht="21" x14ac:dyDescent="0.35">
      <c r="A2" s="1" t="s">
        <v>0</v>
      </c>
    </row>
    <row r="3" spans="1:10" x14ac:dyDescent="0.25">
      <c r="B3" s="2"/>
      <c r="G3" s="2"/>
    </row>
    <row r="4" spans="1:10" ht="90" x14ac:dyDescent="0.25">
      <c r="B4" s="3" t="s">
        <v>1</v>
      </c>
      <c r="C4" s="4" t="s">
        <v>2</v>
      </c>
      <c r="D4" s="4" t="s">
        <v>3</v>
      </c>
      <c r="E4" s="5"/>
      <c r="F4" s="4" t="s">
        <v>4</v>
      </c>
      <c r="G4" s="4" t="s">
        <v>5</v>
      </c>
      <c r="H4" s="4" t="s">
        <v>6</v>
      </c>
      <c r="J4" s="6"/>
    </row>
    <row r="5" spans="1:10" x14ac:dyDescent="0.25">
      <c r="C5" s="7" t="s">
        <v>7</v>
      </c>
      <c r="D5" s="7" t="s">
        <v>8</v>
      </c>
      <c r="F5" s="2" t="s">
        <v>9</v>
      </c>
      <c r="G5" s="7" t="s">
        <v>10</v>
      </c>
      <c r="H5" s="7" t="s">
        <v>11</v>
      </c>
      <c r="J5" s="8"/>
    </row>
    <row r="6" spans="1:10" x14ac:dyDescent="0.25">
      <c r="B6" s="9">
        <v>36830</v>
      </c>
      <c r="C6" s="10">
        <v>480000</v>
      </c>
      <c r="D6" s="10">
        <v>147000</v>
      </c>
      <c r="F6" s="11">
        <f>C6-D6</f>
        <v>333000</v>
      </c>
      <c r="G6" s="11">
        <v>6491000</v>
      </c>
      <c r="J6" s="11"/>
    </row>
    <row r="7" spans="1:10" x14ac:dyDescent="0.25">
      <c r="A7" s="3" t="s">
        <v>12</v>
      </c>
      <c r="B7" s="9">
        <v>36891</v>
      </c>
      <c r="C7" s="10">
        <v>96000</v>
      </c>
      <c r="D7" s="10">
        <v>29400</v>
      </c>
      <c r="F7" s="11">
        <f t="shared" ref="F7:F26" si="0">C7-D7</f>
        <v>66600</v>
      </c>
      <c r="G7" s="9"/>
      <c r="H7" s="11">
        <v>-1007</v>
      </c>
      <c r="J7" s="11"/>
    </row>
    <row r="8" spans="1:10" x14ac:dyDescent="0.25">
      <c r="B8" s="9">
        <v>37256</v>
      </c>
      <c r="C8" s="10">
        <v>547873</v>
      </c>
      <c r="D8" s="10">
        <v>214500</v>
      </c>
      <c r="F8" s="11">
        <f t="shared" si="0"/>
        <v>333373</v>
      </c>
      <c r="G8" s="9"/>
      <c r="H8" s="11">
        <v>-432206</v>
      </c>
      <c r="J8" s="11"/>
    </row>
    <row r="9" spans="1:10" x14ac:dyDescent="0.25">
      <c r="B9" s="9">
        <v>37621</v>
      </c>
      <c r="C9" s="10">
        <v>564864</v>
      </c>
      <c r="D9" s="10">
        <v>300419</v>
      </c>
      <c r="F9" s="11">
        <f t="shared" si="0"/>
        <v>264445</v>
      </c>
      <c r="G9" s="9"/>
      <c r="H9" s="11">
        <v>0</v>
      </c>
      <c r="J9" s="11"/>
    </row>
    <row r="10" spans="1:10" x14ac:dyDescent="0.25">
      <c r="B10" s="9">
        <v>37986</v>
      </c>
      <c r="C10" s="10">
        <v>580731</v>
      </c>
      <c r="D10" s="10">
        <v>300324</v>
      </c>
      <c r="F10" s="11">
        <f t="shared" si="0"/>
        <v>280407</v>
      </c>
      <c r="G10" s="9"/>
      <c r="H10" s="11">
        <v>0</v>
      </c>
      <c r="J10" s="11"/>
    </row>
    <row r="11" spans="1:10" x14ac:dyDescent="0.25">
      <c r="B11" s="9">
        <v>38352</v>
      </c>
      <c r="C11" s="10">
        <v>664100</v>
      </c>
      <c r="D11" s="10">
        <v>327436</v>
      </c>
      <c r="F11" s="11">
        <f t="shared" si="0"/>
        <v>336664</v>
      </c>
      <c r="G11" s="9"/>
      <c r="H11" s="11">
        <v>1206138</v>
      </c>
      <c r="J11" s="11"/>
    </row>
    <row r="12" spans="1:10" x14ac:dyDescent="0.25">
      <c r="B12" s="9">
        <v>38717</v>
      </c>
      <c r="C12" s="10">
        <v>686507</v>
      </c>
      <c r="D12" s="10">
        <v>221430</v>
      </c>
      <c r="F12" s="11">
        <f t="shared" si="0"/>
        <v>465077</v>
      </c>
      <c r="G12" s="9"/>
      <c r="H12" s="11">
        <v>0</v>
      </c>
      <c r="J12" s="11"/>
    </row>
    <row r="13" spans="1:10" x14ac:dyDescent="0.25">
      <c r="B13" s="9">
        <v>39082</v>
      </c>
      <c r="C13" s="10">
        <v>712481</v>
      </c>
      <c r="D13" s="10">
        <v>248097</v>
      </c>
      <c r="F13" s="11">
        <f t="shared" si="0"/>
        <v>464384</v>
      </c>
      <c r="G13" s="9"/>
      <c r="H13" s="11">
        <v>0</v>
      </c>
      <c r="J13" s="11"/>
    </row>
    <row r="14" spans="1:10" x14ac:dyDescent="0.25">
      <c r="B14" s="9">
        <v>39447</v>
      </c>
      <c r="C14" s="10">
        <v>1149549</v>
      </c>
      <c r="D14" s="10">
        <v>346000</v>
      </c>
      <c r="F14" s="11">
        <f t="shared" si="0"/>
        <v>803549</v>
      </c>
      <c r="G14" s="9"/>
      <c r="H14" s="11">
        <v>5912439</v>
      </c>
      <c r="J14" s="11"/>
    </row>
    <row r="15" spans="1:10" x14ac:dyDescent="0.25">
      <c r="B15" s="9">
        <v>39813</v>
      </c>
      <c r="C15" s="10">
        <v>1143686</v>
      </c>
      <c r="D15" s="10">
        <v>353486</v>
      </c>
      <c r="F15" s="11">
        <f t="shared" si="0"/>
        <v>790200</v>
      </c>
      <c r="G15" s="9"/>
      <c r="H15" s="11">
        <v>0</v>
      </c>
      <c r="J15" s="11"/>
    </row>
    <row r="16" spans="1:10" x14ac:dyDescent="0.25">
      <c r="B16" s="9">
        <v>40178</v>
      </c>
      <c r="C16" s="10">
        <v>1293468</v>
      </c>
      <c r="D16" s="10">
        <v>395036</v>
      </c>
      <c r="F16" s="11">
        <f t="shared" si="0"/>
        <v>898432</v>
      </c>
      <c r="G16" s="9"/>
      <c r="H16" s="11">
        <v>0</v>
      </c>
      <c r="J16" s="11"/>
    </row>
    <row r="17" spans="1:10" x14ac:dyDescent="0.25">
      <c r="B17" s="9">
        <v>40543</v>
      </c>
      <c r="C17" s="10">
        <v>1134528</v>
      </c>
      <c r="D17" s="10">
        <v>359203</v>
      </c>
      <c r="F17" s="11">
        <f t="shared" si="0"/>
        <v>775325</v>
      </c>
      <c r="G17" s="9"/>
      <c r="H17" s="11">
        <v>-2780264</v>
      </c>
      <c r="J17" s="11"/>
    </row>
    <row r="18" spans="1:10" x14ac:dyDescent="0.25">
      <c r="B18" s="9">
        <v>40908</v>
      </c>
      <c r="C18" s="10">
        <v>1122923</v>
      </c>
      <c r="D18" s="10">
        <v>433451</v>
      </c>
      <c r="F18" s="11">
        <f t="shared" si="0"/>
        <v>689472</v>
      </c>
      <c r="G18" s="9"/>
      <c r="H18" s="11">
        <v>1280544</v>
      </c>
      <c r="J18" s="11"/>
    </row>
    <row r="19" spans="1:10" x14ac:dyDescent="0.25">
      <c r="B19" s="9">
        <v>41274</v>
      </c>
      <c r="C19" s="10">
        <v>1279123</v>
      </c>
      <c r="D19" s="10">
        <v>460614</v>
      </c>
      <c r="F19" s="11">
        <f t="shared" si="0"/>
        <v>818509</v>
      </c>
      <c r="G19" s="9"/>
      <c r="H19" s="11">
        <v>1461200</v>
      </c>
      <c r="J19" s="11"/>
    </row>
    <row r="20" spans="1:10" x14ac:dyDescent="0.25">
      <c r="B20" s="9">
        <v>41639</v>
      </c>
      <c r="C20" s="10">
        <v>972143</v>
      </c>
      <c r="D20" s="10">
        <v>537032</v>
      </c>
      <c r="F20" s="11">
        <f t="shared" si="0"/>
        <v>435111</v>
      </c>
      <c r="G20" s="9"/>
      <c r="H20" s="11">
        <v>-1603178</v>
      </c>
      <c r="J20" s="11"/>
    </row>
    <row r="21" spans="1:10" x14ac:dyDescent="0.25">
      <c r="B21" s="9">
        <v>42004</v>
      </c>
      <c r="C21" s="10">
        <v>1255136</v>
      </c>
      <c r="D21" s="10">
        <v>490242</v>
      </c>
      <c r="F21" s="11">
        <f t="shared" si="0"/>
        <v>764894</v>
      </c>
      <c r="G21" s="9"/>
      <c r="H21" s="11">
        <v>2345418</v>
      </c>
      <c r="J21" s="11"/>
    </row>
    <row r="22" spans="1:10" x14ac:dyDescent="0.25">
      <c r="B22" s="9">
        <v>42369</v>
      </c>
      <c r="C22" s="10">
        <v>1310940</v>
      </c>
      <c r="D22" s="10">
        <v>526559</v>
      </c>
      <c r="F22" s="11">
        <f t="shared" si="0"/>
        <v>784381</v>
      </c>
      <c r="G22" s="9"/>
      <c r="H22" s="11">
        <v>-477627</v>
      </c>
      <c r="J22" s="11"/>
    </row>
    <row r="23" spans="1:10" x14ac:dyDescent="0.25">
      <c r="B23" s="9">
        <v>42735</v>
      </c>
      <c r="C23" s="10">
        <v>935431</v>
      </c>
      <c r="D23" s="10">
        <v>507749</v>
      </c>
      <c r="F23" s="11">
        <f t="shared" si="0"/>
        <v>427682</v>
      </c>
      <c r="G23" s="9"/>
      <c r="H23" s="11">
        <v>-6840715</v>
      </c>
      <c r="J23" s="11"/>
    </row>
    <row r="24" spans="1:10" x14ac:dyDescent="0.25">
      <c r="B24" s="9">
        <v>43100</v>
      </c>
      <c r="C24" s="10">
        <v>938383</v>
      </c>
      <c r="D24" s="10">
        <v>545139</v>
      </c>
      <c r="F24" s="11">
        <f t="shared" si="0"/>
        <v>393244</v>
      </c>
      <c r="G24" s="9"/>
      <c r="H24" s="11">
        <v>1552390</v>
      </c>
      <c r="J24" s="11"/>
    </row>
    <row r="25" spans="1:10" x14ac:dyDescent="0.25">
      <c r="B25" s="9">
        <v>43465</v>
      </c>
      <c r="C25" s="10">
        <v>954366</v>
      </c>
      <c r="D25" s="10">
        <v>550634</v>
      </c>
      <c r="F25" s="11">
        <f t="shared" si="0"/>
        <v>403732</v>
      </c>
      <c r="G25" s="9"/>
      <c r="H25" s="11">
        <v>-1545129</v>
      </c>
      <c r="J25" s="11"/>
    </row>
    <row r="26" spans="1:10" x14ac:dyDescent="0.25">
      <c r="B26" s="9">
        <v>43830</v>
      </c>
      <c r="C26" s="10">
        <v>392580</v>
      </c>
      <c r="D26" s="10">
        <v>643026</v>
      </c>
      <c r="F26" s="11">
        <f t="shared" si="0"/>
        <v>-250446</v>
      </c>
      <c r="G26" s="9"/>
      <c r="H26" s="11">
        <v>2329046</v>
      </c>
      <c r="J26" s="11"/>
    </row>
    <row r="27" spans="1:10" x14ac:dyDescent="0.25">
      <c r="B27" t="s">
        <v>13</v>
      </c>
      <c r="C27" s="12">
        <f>SUM(C6:C26)</f>
        <v>18214812</v>
      </c>
      <c r="D27" s="12">
        <f>SUM(D6:D26)</f>
        <v>7936777</v>
      </c>
      <c r="F27" s="12">
        <f>SUM(F6:F26)</f>
        <v>10278035</v>
      </c>
      <c r="G27" s="12">
        <f>SUM(G6:G26)</f>
        <v>6491000</v>
      </c>
      <c r="H27" s="12">
        <f>SUM(H6:H26)</f>
        <v>2407049</v>
      </c>
    </row>
    <row r="29" spans="1:10" ht="15.75" thickBot="1" x14ac:dyDescent="0.3">
      <c r="G29" s="8" t="s">
        <v>14</v>
      </c>
      <c r="H29" s="13">
        <f>SUM(F27:H27)</f>
        <v>19176084</v>
      </c>
    </row>
    <row r="30" spans="1:10" ht="15.75" thickTop="1" x14ac:dyDescent="0.25">
      <c r="H30" s="14" t="s">
        <v>15</v>
      </c>
    </row>
    <row r="31" spans="1:10" x14ac:dyDescent="0.25">
      <c r="H31" s="14"/>
    </row>
    <row r="32" spans="1:10" x14ac:dyDescent="0.25">
      <c r="A32" s="3" t="s">
        <v>12</v>
      </c>
      <c r="B32" t="s">
        <v>16</v>
      </c>
    </row>
    <row r="33" spans="1:6" x14ac:dyDescent="0.25">
      <c r="B33" t="s">
        <v>17</v>
      </c>
    </row>
    <row r="34" spans="1:6" x14ac:dyDescent="0.25">
      <c r="B34" t="s">
        <v>18</v>
      </c>
    </row>
    <row r="35" spans="1:6" x14ac:dyDescent="0.25">
      <c r="B35" t="s">
        <v>19</v>
      </c>
    </row>
    <row r="37" spans="1:6" x14ac:dyDescent="0.25">
      <c r="A37" s="3" t="s">
        <v>20</v>
      </c>
      <c r="B37" t="s">
        <v>21</v>
      </c>
    </row>
    <row r="38" spans="1:6" x14ac:dyDescent="0.25">
      <c r="A38" s="3"/>
      <c r="B38" t="s">
        <v>22</v>
      </c>
    </row>
    <row r="39" spans="1:6" x14ac:dyDescent="0.25">
      <c r="A39" s="3"/>
      <c r="B39" t="s">
        <v>23</v>
      </c>
    </row>
    <row r="40" spans="1:6" x14ac:dyDescent="0.25">
      <c r="A40" s="3"/>
      <c r="B40" t="s">
        <v>24</v>
      </c>
    </row>
    <row r="42" spans="1:6" ht="30" x14ac:dyDescent="0.25">
      <c r="C42" s="6" t="s">
        <v>25</v>
      </c>
      <c r="D42" s="6" t="s">
        <v>26</v>
      </c>
      <c r="F42" s="6" t="s">
        <v>27</v>
      </c>
    </row>
    <row r="43" spans="1:6" x14ac:dyDescent="0.25">
      <c r="C43" s="15" t="s">
        <v>28</v>
      </c>
      <c r="D43" s="15" t="s">
        <v>29</v>
      </c>
      <c r="F43" s="15" t="s">
        <v>30</v>
      </c>
    </row>
    <row r="44" spans="1:6" ht="6" customHeight="1" x14ac:dyDescent="0.25"/>
    <row r="45" spans="1:6" x14ac:dyDescent="0.25">
      <c r="B45" s="9">
        <v>41639</v>
      </c>
      <c r="C45" s="16">
        <v>1341634</v>
      </c>
      <c r="D45" s="16">
        <v>-369491</v>
      </c>
      <c r="F45" s="11">
        <f>SUM(C45:D45)</f>
        <v>972143</v>
      </c>
    </row>
    <row r="46" spans="1:6" x14ac:dyDescent="0.25">
      <c r="B46" s="9">
        <v>42735</v>
      </c>
      <c r="C46" s="16">
        <v>1402277</v>
      </c>
      <c r="D46" s="16">
        <v>-466855</v>
      </c>
      <c r="F46" s="11">
        <f>SUM(C46:D46)</f>
        <v>935422</v>
      </c>
    </row>
    <row r="47" spans="1:6" x14ac:dyDescent="0.25">
      <c r="B47" s="9">
        <v>43830</v>
      </c>
      <c r="C47" s="16">
        <v>737870</v>
      </c>
      <c r="D47" s="16">
        <v>-345290</v>
      </c>
      <c r="F47" s="11">
        <f>SUM(C47:D47)</f>
        <v>392580</v>
      </c>
    </row>
    <row r="49" spans="1:2" x14ac:dyDescent="0.25">
      <c r="A49" s="3" t="s">
        <v>31</v>
      </c>
      <c r="B49" t="s">
        <v>32</v>
      </c>
    </row>
  </sheetData>
  <pageMargins left="0.7" right="0.7" top="0.75" bottom="0.75" header="0.3" footer="0.3"/>
  <pageSetup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279E-7C31-4706-972C-21852BBB8B54}">
  <sheetPr>
    <pageSetUpPr fitToPage="1"/>
  </sheetPr>
  <dimension ref="A2:S52"/>
  <sheetViews>
    <sheetView workbookViewId="0"/>
  </sheetViews>
  <sheetFormatPr defaultRowHeight="15" x14ac:dyDescent="0.25"/>
  <cols>
    <col min="2" max="2" width="9.5703125" bestFit="1" customWidth="1"/>
    <col min="3" max="3" width="19.7109375" customWidth="1"/>
    <col min="4" max="4" width="12.7109375" customWidth="1"/>
    <col min="5" max="5" width="19.85546875" customWidth="1"/>
    <col min="6" max="6" width="1.42578125" customWidth="1"/>
    <col min="7" max="7" width="12.85546875" customWidth="1"/>
    <col min="8" max="8" width="11.140625" customWidth="1"/>
    <col min="9" max="9" width="11.5703125" customWidth="1"/>
    <col min="10" max="10" width="14.42578125" customWidth="1"/>
    <col min="12" max="12" width="11.42578125" bestFit="1" customWidth="1"/>
    <col min="13" max="13" width="12.85546875" customWidth="1"/>
    <col min="16" max="16" width="11.42578125" bestFit="1" customWidth="1"/>
    <col min="19" max="19" width="12.5703125" customWidth="1"/>
  </cols>
  <sheetData>
    <row r="2" spans="1:17" ht="21" x14ac:dyDescent="0.35">
      <c r="A2" s="1" t="s">
        <v>50</v>
      </c>
    </row>
    <row r="4" spans="1:17" x14ac:dyDescent="0.25">
      <c r="B4" s="2"/>
    </row>
    <row r="5" spans="1:17" ht="150" x14ac:dyDescent="0.25">
      <c r="B5" s="3" t="s">
        <v>1</v>
      </c>
      <c r="C5" s="4" t="s">
        <v>2</v>
      </c>
      <c r="D5" s="4" t="s">
        <v>51</v>
      </c>
      <c r="E5" s="4" t="s">
        <v>52</v>
      </c>
      <c r="F5" s="4"/>
      <c r="G5" s="4" t="s">
        <v>4</v>
      </c>
      <c r="H5" s="4" t="s">
        <v>5</v>
      </c>
      <c r="I5" s="4" t="s">
        <v>6</v>
      </c>
      <c r="P5" s="20"/>
    </row>
    <row r="6" spans="1:17" x14ac:dyDescent="0.25">
      <c r="C6" s="7" t="s">
        <v>7</v>
      </c>
      <c r="D6" s="21"/>
      <c r="E6" s="7" t="s">
        <v>8</v>
      </c>
      <c r="F6" s="21"/>
      <c r="G6" s="2" t="s">
        <v>9</v>
      </c>
      <c r="H6" s="7" t="s">
        <v>10</v>
      </c>
      <c r="I6" s="7" t="s">
        <v>11</v>
      </c>
    </row>
    <row r="7" spans="1:17" x14ac:dyDescent="0.25">
      <c r="B7" s="9">
        <v>36830</v>
      </c>
      <c r="C7" s="10">
        <v>480000</v>
      </c>
      <c r="D7" s="10"/>
      <c r="E7" s="10">
        <v>147000</v>
      </c>
      <c r="F7" s="10"/>
      <c r="G7" s="11">
        <f>C7-E7</f>
        <v>333000</v>
      </c>
      <c r="H7" s="11">
        <v>6491000</v>
      </c>
      <c r="P7" s="11"/>
      <c r="Q7" s="11"/>
    </row>
    <row r="8" spans="1:17" x14ac:dyDescent="0.25">
      <c r="A8" s="3" t="s">
        <v>12</v>
      </c>
      <c r="B8" s="9">
        <v>36891</v>
      </c>
      <c r="C8" s="10">
        <v>96000</v>
      </c>
      <c r="D8" s="10"/>
      <c r="E8" s="10">
        <v>29400</v>
      </c>
      <c r="F8" s="10"/>
      <c r="G8" s="11">
        <f t="shared" ref="G8:G27" si="0">C8-E8</f>
        <v>66600</v>
      </c>
      <c r="I8" s="11">
        <v>-1007</v>
      </c>
      <c r="P8" s="11"/>
      <c r="Q8" s="11"/>
    </row>
    <row r="9" spans="1:17" x14ac:dyDescent="0.25">
      <c r="B9" s="9">
        <v>37256</v>
      </c>
      <c r="C9" s="10">
        <v>547873</v>
      </c>
      <c r="D9" s="10"/>
      <c r="E9" s="10">
        <v>214500</v>
      </c>
      <c r="F9" s="10"/>
      <c r="G9" s="11">
        <f t="shared" si="0"/>
        <v>333373</v>
      </c>
      <c r="I9" s="11">
        <v>-432206</v>
      </c>
      <c r="P9" s="11"/>
      <c r="Q9" s="11"/>
    </row>
    <row r="10" spans="1:17" x14ac:dyDescent="0.25">
      <c r="B10" s="9">
        <v>37621</v>
      </c>
      <c r="C10" s="10">
        <v>564864</v>
      </c>
      <c r="D10" s="10"/>
      <c r="E10" s="10">
        <v>300419</v>
      </c>
      <c r="F10" s="10"/>
      <c r="G10" s="11">
        <f t="shared" si="0"/>
        <v>264445</v>
      </c>
      <c r="I10" s="11">
        <v>0</v>
      </c>
      <c r="P10" s="11"/>
      <c r="Q10" s="11"/>
    </row>
    <row r="11" spans="1:17" x14ac:dyDescent="0.25">
      <c r="B11" s="9">
        <v>37986</v>
      </c>
      <c r="C11" s="10">
        <v>580731</v>
      </c>
      <c r="D11" s="10"/>
      <c r="E11" s="10">
        <v>300324</v>
      </c>
      <c r="F11" s="10"/>
      <c r="G11" s="11">
        <f t="shared" si="0"/>
        <v>280407</v>
      </c>
      <c r="I11" s="11">
        <v>0</v>
      </c>
      <c r="P11" s="11"/>
      <c r="Q11" s="11"/>
    </row>
    <row r="12" spans="1:17" x14ac:dyDescent="0.25">
      <c r="B12" s="9">
        <v>38352</v>
      </c>
      <c r="C12" s="10">
        <v>664100</v>
      </c>
      <c r="D12" s="10"/>
      <c r="E12" s="10">
        <v>327436</v>
      </c>
      <c r="F12" s="10"/>
      <c r="G12" s="11">
        <f t="shared" si="0"/>
        <v>336664</v>
      </c>
      <c r="I12" s="11">
        <v>1206138</v>
      </c>
      <c r="P12" s="11"/>
      <c r="Q12" s="11"/>
    </row>
    <row r="13" spans="1:17" x14ac:dyDescent="0.25">
      <c r="B13" s="9">
        <v>38717</v>
      </c>
      <c r="C13" s="10">
        <v>686507</v>
      </c>
      <c r="D13" s="10"/>
      <c r="E13" s="10">
        <v>221430</v>
      </c>
      <c r="F13" s="22"/>
      <c r="G13" s="11">
        <f t="shared" si="0"/>
        <v>465077</v>
      </c>
      <c r="I13" s="11">
        <v>0</v>
      </c>
      <c r="P13" s="11"/>
      <c r="Q13" s="11"/>
    </row>
    <row r="14" spans="1:17" x14ac:dyDescent="0.25">
      <c r="B14" s="9">
        <v>39082</v>
      </c>
      <c r="C14" s="10">
        <v>712481</v>
      </c>
      <c r="D14" s="10"/>
      <c r="E14" s="10">
        <v>248097</v>
      </c>
      <c r="F14" s="22"/>
      <c r="G14" s="11">
        <f t="shared" si="0"/>
        <v>464384</v>
      </c>
      <c r="I14" s="11">
        <v>0</v>
      </c>
      <c r="P14" s="11"/>
      <c r="Q14" s="11"/>
    </row>
    <row r="15" spans="1:17" x14ac:dyDescent="0.25">
      <c r="B15" s="9">
        <v>39447</v>
      </c>
      <c r="C15" s="10">
        <v>1149549</v>
      </c>
      <c r="D15" s="10"/>
      <c r="E15" s="10">
        <v>346000</v>
      </c>
      <c r="F15" s="22"/>
      <c r="G15" s="11">
        <f t="shared" si="0"/>
        <v>803549</v>
      </c>
      <c r="I15" s="11">
        <v>5912439</v>
      </c>
      <c r="P15" s="11"/>
      <c r="Q15" s="11"/>
    </row>
    <row r="16" spans="1:17" x14ac:dyDescent="0.25">
      <c r="B16" s="9">
        <v>39813</v>
      </c>
      <c r="C16" s="10">
        <v>1143686</v>
      </c>
      <c r="D16" s="10"/>
      <c r="E16" s="10">
        <v>353486</v>
      </c>
      <c r="F16" s="22"/>
      <c r="G16" s="11">
        <f t="shared" si="0"/>
        <v>790200</v>
      </c>
      <c r="I16" s="11">
        <v>0</v>
      </c>
      <c r="P16" s="11"/>
      <c r="Q16" s="11"/>
    </row>
    <row r="17" spans="2:19" x14ac:dyDescent="0.25">
      <c r="B17" s="9">
        <v>40178</v>
      </c>
      <c r="C17" s="10">
        <v>1293468</v>
      </c>
      <c r="D17" s="10"/>
      <c r="E17" s="23">
        <v>383250</v>
      </c>
      <c r="F17" s="22"/>
      <c r="G17" s="11">
        <f t="shared" si="0"/>
        <v>910218</v>
      </c>
      <c r="I17" s="11">
        <v>0</v>
      </c>
      <c r="P17" s="10"/>
      <c r="Q17" s="11"/>
    </row>
    <row r="18" spans="2:19" x14ac:dyDescent="0.25">
      <c r="B18" s="9">
        <v>40543</v>
      </c>
      <c r="C18" s="10">
        <v>1134528</v>
      </c>
      <c r="D18" s="24">
        <v>-2E-3</v>
      </c>
      <c r="E18" s="23">
        <f>E17*(1+D18)</f>
        <v>382483.5</v>
      </c>
      <c r="F18" s="22"/>
      <c r="G18" s="11">
        <f t="shared" si="0"/>
        <v>752044.5</v>
      </c>
      <c r="I18" s="11">
        <v>-2780264</v>
      </c>
      <c r="P18" s="10"/>
      <c r="Q18" s="11"/>
    </row>
    <row r="19" spans="2:19" x14ac:dyDescent="0.25">
      <c r="B19" s="9">
        <v>40908</v>
      </c>
      <c r="C19" s="10">
        <v>1122923</v>
      </c>
      <c r="D19" s="24">
        <v>-2.0000000000000001E-4</v>
      </c>
      <c r="E19" s="23">
        <f>E18*(1+D19)</f>
        <v>382407.00329999998</v>
      </c>
      <c r="F19" s="22"/>
      <c r="G19" s="11">
        <f t="shared" si="0"/>
        <v>740515.99670000002</v>
      </c>
      <c r="I19" s="11">
        <v>1280544</v>
      </c>
      <c r="P19" s="10"/>
      <c r="Q19" s="11"/>
    </row>
    <row r="20" spans="2:19" x14ac:dyDescent="0.25">
      <c r="B20" s="9">
        <v>41274</v>
      </c>
      <c r="C20" s="10">
        <v>1279123</v>
      </c>
      <c r="D20" s="24">
        <f>2%-0.4%-0.72%</f>
        <v>8.8000000000000005E-3</v>
      </c>
      <c r="E20" s="23">
        <f>E19*(1+D20)</f>
        <v>385772.18492903997</v>
      </c>
      <c r="F20" s="22"/>
      <c r="G20" s="11">
        <f t="shared" si="0"/>
        <v>893350.81507095997</v>
      </c>
      <c r="I20" s="11">
        <v>1461200</v>
      </c>
      <c r="P20" s="10"/>
      <c r="Q20" s="11"/>
    </row>
    <row r="21" spans="2:19" x14ac:dyDescent="0.25">
      <c r="B21" s="9">
        <v>41639</v>
      </c>
      <c r="C21" s="10">
        <v>972143</v>
      </c>
      <c r="D21" s="10"/>
      <c r="E21" s="23">
        <v>424775</v>
      </c>
      <c r="F21" s="22"/>
      <c r="G21" s="11">
        <f t="shared" si="0"/>
        <v>547368</v>
      </c>
      <c r="I21" s="11">
        <v>-1603178</v>
      </c>
      <c r="P21" s="10"/>
      <c r="Q21" s="11"/>
    </row>
    <row r="22" spans="2:19" x14ac:dyDescent="0.25">
      <c r="B22" s="9">
        <v>42004</v>
      </c>
      <c r="C22" s="10">
        <v>1255136</v>
      </c>
      <c r="D22" s="24">
        <f>1.7%-0.3%</f>
        <v>1.4000000000000002E-2</v>
      </c>
      <c r="E22" s="23">
        <f t="shared" ref="E22:E27" si="1">E21*(1+D22)</f>
        <v>430721.85</v>
      </c>
      <c r="F22" s="22"/>
      <c r="G22" s="11">
        <f t="shared" si="0"/>
        <v>824414.15</v>
      </c>
      <c r="I22" s="11">
        <v>2345418</v>
      </c>
      <c r="P22" s="10"/>
      <c r="Q22" s="11"/>
    </row>
    <row r="23" spans="2:19" x14ac:dyDescent="0.25">
      <c r="B23" s="9">
        <v>42369</v>
      </c>
      <c r="C23" s="10">
        <v>1310940</v>
      </c>
      <c r="D23" s="24">
        <f>1.6%-0.45%</f>
        <v>1.15E-2</v>
      </c>
      <c r="E23" s="23">
        <f t="shared" si="1"/>
        <v>435675.15127500001</v>
      </c>
      <c r="F23" s="22"/>
      <c r="G23" s="11">
        <f t="shared" si="0"/>
        <v>875264.84872499993</v>
      </c>
      <c r="I23" s="11">
        <v>-477627</v>
      </c>
      <c r="P23" s="10"/>
      <c r="Q23" s="11"/>
    </row>
    <row r="24" spans="2:19" x14ac:dyDescent="0.25">
      <c r="B24" s="9">
        <v>42735</v>
      </c>
      <c r="C24" s="10">
        <v>935431</v>
      </c>
      <c r="D24" s="10">
        <v>0</v>
      </c>
      <c r="E24" s="23">
        <f t="shared" si="1"/>
        <v>435675.15127500001</v>
      </c>
      <c r="F24" s="22"/>
      <c r="G24" s="11">
        <f t="shared" si="0"/>
        <v>499755.84872499999</v>
      </c>
      <c r="I24" s="11">
        <v>-6840715</v>
      </c>
      <c r="P24" s="10"/>
      <c r="Q24" s="11"/>
    </row>
    <row r="25" spans="2:19" x14ac:dyDescent="0.25">
      <c r="B25" s="9">
        <v>43100</v>
      </c>
      <c r="C25" s="10">
        <v>938383</v>
      </c>
      <c r="D25" s="24">
        <f>1.9%-0.3%</f>
        <v>1.6E-2</v>
      </c>
      <c r="E25" s="23">
        <f t="shared" si="1"/>
        <v>442645.95369540004</v>
      </c>
      <c r="F25" s="22"/>
      <c r="G25" s="11">
        <f t="shared" si="0"/>
        <v>495737.04630459996</v>
      </c>
      <c r="I25" s="11">
        <v>1552390</v>
      </c>
      <c r="P25" s="22"/>
      <c r="Q25" s="11"/>
    </row>
    <row r="26" spans="2:19" x14ac:dyDescent="0.25">
      <c r="B26" s="9">
        <v>43465</v>
      </c>
      <c r="C26" s="10">
        <v>954366</v>
      </c>
      <c r="D26" s="24">
        <f>1.2%-0.45%</f>
        <v>7.4999999999999997E-3</v>
      </c>
      <c r="E26" s="23">
        <f t="shared" si="1"/>
        <v>445965.79834811558</v>
      </c>
      <c r="F26" s="22"/>
      <c r="G26" s="11">
        <f t="shared" si="0"/>
        <v>508400.20165188442</v>
      </c>
      <c r="I26" s="11">
        <v>-1545129</v>
      </c>
      <c r="P26" s="22"/>
      <c r="Q26" s="11"/>
    </row>
    <row r="27" spans="2:19" x14ac:dyDescent="0.25">
      <c r="B27" s="9">
        <v>43830</v>
      </c>
      <c r="C27" s="10">
        <v>392580</v>
      </c>
      <c r="D27" s="24">
        <f>1.5%-0.3%</f>
        <v>1.2E-2</v>
      </c>
      <c r="E27" s="23">
        <f t="shared" si="1"/>
        <v>451317.38792829297</v>
      </c>
      <c r="F27" s="22"/>
      <c r="G27" s="11">
        <f t="shared" si="0"/>
        <v>-58737.38792829297</v>
      </c>
      <c r="I27" s="11">
        <v>2329046</v>
      </c>
      <c r="P27" s="22"/>
      <c r="Q27" s="11"/>
    </row>
    <row r="28" spans="2:19" x14ac:dyDescent="0.25">
      <c r="B28" t="s">
        <v>13</v>
      </c>
      <c r="C28" s="12">
        <f>SUM(C7:C27)</f>
        <v>18214812</v>
      </c>
      <c r="D28" s="12"/>
      <c r="E28" s="12">
        <f>SUM(E7:E27)</f>
        <v>7088780.9807508467</v>
      </c>
      <c r="F28" s="11"/>
      <c r="G28" s="12">
        <f>SUM(G7:G27)</f>
        <v>11126031.019249152</v>
      </c>
      <c r="H28" s="12">
        <f>SUM(H7:H27)</f>
        <v>6491000</v>
      </c>
      <c r="I28" s="12">
        <f>SUM(I7:I27)</f>
        <v>2407049</v>
      </c>
      <c r="M28" s="11"/>
      <c r="P28" s="11"/>
      <c r="Q28" s="11"/>
      <c r="S28" s="11"/>
    </row>
    <row r="29" spans="2:19" x14ac:dyDescent="0.25">
      <c r="C29" s="11"/>
      <c r="D29" s="11"/>
      <c r="E29" s="11"/>
      <c r="F29" s="11"/>
      <c r="G29" s="11"/>
      <c r="I29" s="11"/>
      <c r="M29" s="11"/>
      <c r="P29" s="11"/>
      <c r="Q29" s="11"/>
      <c r="S29" s="11"/>
    </row>
    <row r="30" spans="2:19" ht="15.75" thickBot="1" x14ac:dyDescent="0.3">
      <c r="C30" s="11"/>
      <c r="D30" s="11"/>
      <c r="E30" s="11"/>
      <c r="F30" s="11"/>
      <c r="G30" s="11"/>
      <c r="H30" s="8" t="s">
        <v>14</v>
      </c>
      <c r="I30" s="13">
        <f>G28+H28+I28</f>
        <v>20024080.019249152</v>
      </c>
      <c r="M30" s="11"/>
      <c r="P30" s="11"/>
      <c r="Q30" s="11"/>
      <c r="S30" s="11"/>
    </row>
    <row r="31" spans="2:19" ht="15.75" thickTop="1" x14ac:dyDescent="0.25">
      <c r="C31" s="25" t="s">
        <v>53</v>
      </c>
      <c r="D31" s="25"/>
      <c r="E31" s="25"/>
      <c r="F31" s="11"/>
      <c r="G31" s="11"/>
      <c r="H31" s="11"/>
      <c r="I31" s="14" t="s">
        <v>54</v>
      </c>
      <c r="J31" s="11"/>
      <c r="M31" s="11"/>
      <c r="P31" s="11"/>
      <c r="Q31" s="11"/>
      <c r="S31" s="11"/>
    </row>
    <row r="32" spans="2:19" x14ac:dyDescent="0.25">
      <c r="C32" s="11"/>
      <c r="D32" s="11"/>
      <c r="E32" s="11"/>
      <c r="F32" s="11"/>
      <c r="G32" s="11"/>
      <c r="H32" s="11"/>
      <c r="J32" s="11"/>
      <c r="M32" s="11"/>
      <c r="P32" s="11"/>
      <c r="Q32" s="11"/>
      <c r="S32" s="11"/>
    </row>
    <row r="33" spans="1:7" x14ac:dyDescent="0.25">
      <c r="A33" s="3" t="s">
        <v>12</v>
      </c>
      <c r="B33" t="s">
        <v>16</v>
      </c>
    </row>
    <row r="34" spans="1:7" x14ac:dyDescent="0.25">
      <c r="B34" t="s">
        <v>17</v>
      </c>
    </row>
    <row r="35" spans="1:7" x14ac:dyDescent="0.25">
      <c r="B35" t="s">
        <v>18</v>
      </c>
    </row>
    <row r="36" spans="1:7" x14ac:dyDescent="0.25">
      <c r="B36" t="s">
        <v>19</v>
      </c>
    </row>
    <row r="38" spans="1:7" x14ac:dyDescent="0.25">
      <c r="A38" s="3" t="s">
        <v>20</v>
      </c>
      <c r="B38" t="s">
        <v>21</v>
      </c>
    </row>
    <row r="39" spans="1:7" x14ac:dyDescent="0.25">
      <c r="A39" s="3"/>
      <c r="B39" t="s">
        <v>22</v>
      </c>
    </row>
    <row r="40" spans="1:7" x14ac:dyDescent="0.25">
      <c r="A40" s="3"/>
      <c r="B40" t="s">
        <v>23</v>
      </c>
    </row>
    <row r="41" spans="1:7" x14ac:dyDescent="0.25">
      <c r="A41" s="3"/>
      <c r="B41" t="s">
        <v>24</v>
      </c>
    </row>
    <row r="43" spans="1:7" ht="30" x14ac:dyDescent="0.25">
      <c r="C43" s="6" t="s">
        <v>25</v>
      </c>
      <c r="D43" s="6"/>
      <c r="E43" s="6" t="s">
        <v>26</v>
      </c>
      <c r="F43" s="6"/>
      <c r="G43" s="6" t="s">
        <v>27</v>
      </c>
    </row>
    <row r="44" spans="1:7" x14ac:dyDescent="0.25">
      <c r="C44" s="15" t="s">
        <v>28</v>
      </c>
      <c r="D44" s="15"/>
      <c r="E44" s="15" t="s">
        <v>29</v>
      </c>
      <c r="F44" s="15"/>
      <c r="G44" s="15" t="s">
        <v>30</v>
      </c>
    </row>
    <row r="45" spans="1:7" ht="6" customHeight="1" x14ac:dyDescent="0.25"/>
    <row r="46" spans="1:7" x14ac:dyDescent="0.25">
      <c r="B46" s="9">
        <v>41639</v>
      </c>
      <c r="C46" s="16">
        <v>1341634</v>
      </c>
      <c r="D46" s="16"/>
      <c r="E46" s="16">
        <v>-369491</v>
      </c>
      <c r="F46" s="16"/>
      <c r="G46" s="11">
        <f>SUM(C46:E46)</f>
        <v>972143</v>
      </c>
    </row>
    <row r="47" spans="1:7" x14ac:dyDescent="0.25">
      <c r="B47" s="9">
        <v>42735</v>
      </c>
      <c r="C47" s="16">
        <v>1402277</v>
      </c>
      <c r="D47" s="16"/>
      <c r="E47" s="16">
        <v>-466855</v>
      </c>
      <c r="F47" s="16"/>
      <c r="G47" s="11">
        <f>SUM(C47:E47)</f>
        <v>935422</v>
      </c>
    </row>
    <row r="48" spans="1:7" x14ac:dyDescent="0.25">
      <c r="B48" s="9">
        <v>43830</v>
      </c>
      <c r="C48" s="16">
        <v>737870</v>
      </c>
      <c r="D48" s="16"/>
      <c r="E48" s="16">
        <v>-345290</v>
      </c>
      <c r="F48" s="16"/>
      <c r="G48" s="11">
        <f>SUM(C48:E48)</f>
        <v>392580</v>
      </c>
    </row>
    <row r="50" spans="1:2" x14ac:dyDescent="0.25">
      <c r="A50" s="3" t="s">
        <v>31</v>
      </c>
      <c r="B50" t="s">
        <v>55</v>
      </c>
    </row>
    <row r="51" spans="1:2" x14ac:dyDescent="0.25">
      <c r="B51" t="s">
        <v>56</v>
      </c>
    </row>
    <row r="52" spans="1:2" x14ac:dyDescent="0.25">
      <c r="B52" t="s">
        <v>57</v>
      </c>
    </row>
  </sheetData>
  <pageMargins left="0.7" right="0.7" top="0.75" bottom="0.75" header="0.3" footer="0.3"/>
  <pageSetup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B4C2-0433-4CD8-9464-64E0DC2FC81E}">
  <sheetPr>
    <pageSetUpPr fitToPage="1"/>
  </sheetPr>
  <dimension ref="A2:S50"/>
  <sheetViews>
    <sheetView workbookViewId="0"/>
  </sheetViews>
  <sheetFormatPr defaultRowHeight="15" x14ac:dyDescent="0.25"/>
  <cols>
    <col min="2" max="2" width="19.42578125" customWidth="1"/>
    <col min="3" max="3" width="19.7109375" customWidth="1"/>
    <col min="4" max="4" width="12.7109375" customWidth="1"/>
    <col min="5" max="5" width="19.85546875" customWidth="1"/>
    <col min="6" max="6" width="1.42578125" customWidth="1"/>
    <col min="7" max="7" width="12.85546875" customWidth="1"/>
    <col min="8" max="8" width="11" customWidth="1"/>
    <col min="9" max="9" width="11.5703125" customWidth="1"/>
    <col min="10" max="10" width="14.42578125" customWidth="1"/>
    <col min="12" max="12" width="11.42578125" bestFit="1" customWidth="1"/>
    <col min="13" max="13" width="12.85546875" customWidth="1"/>
    <col min="16" max="16" width="11.42578125" bestFit="1" customWidth="1"/>
    <col min="19" max="19" width="12.5703125" customWidth="1"/>
  </cols>
  <sheetData>
    <row r="2" spans="1:17" ht="21" x14ac:dyDescent="0.35">
      <c r="A2" s="1" t="s">
        <v>58</v>
      </c>
    </row>
    <row r="4" spans="1:17" x14ac:dyDescent="0.25">
      <c r="B4" s="2"/>
    </row>
    <row r="5" spans="1:17" ht="90" x14ac:dyDescent="0.25">
      <c r="B5" s="3" t="s">
        <v>1</v>
      </c>
      <c r="C5" s="4" t="s">
        <v>2</v>
      </c>
      <c r="D5" s="4" t="s">
        <v>51</v>
      </c>
      <c r="E5" s="4" t="s">
        <v>59</v>
      </c>
      <c r="F5" s="4"/>
      <c r="G5" s="4" t="s">
        <v>4</v>
      </c>
      <c r="H5" s="4" t="s">
        <v>5</v>
      </c>
      <c r="I5" s="4" t="s">
        <v>6</v>
      </c>
      <c r="P5" s="20"/>
    </row>
    <row r="6" spans="1:17" x14ac:dyDescent="0.25">
      <c r="C6" s="7" t="s">
        <v>7</v>
      </c>
      <c r="D6" s="21"/>
      <c r="E6" s="7" t="s">
        <v>8</v>
      </c>
      <c r="F6" s="21"/>
      <c r="G6" s="2" t="s">
        <v>9</v>
      </c>
      <c r="H6" s="7" t="s">
        <v>10</v>
      </c>
      <c r="I6" s="7" t="s">
        <v>11</v>
      </c>
    </row>
    <row r="7" spans="1:17" x14ac:dyDescent="0.25">
      <c r="B7" s="9">
        <v>36830</v>
      </c>
      <c r="C7" s="10">
        <v>480000</v>
      </c>
      <c r="D7" s="10"/>
      <c r="E7" s="26"/>
      <c r="F7" s="10"/>
      <c r="G7" s="27"/>
      <c r="H7" s="11">
        <v>6491000</v>
      </c>
      <c r="P7" s="11"/>
      <c r="Q7" s="11"/>
    </row>
    <row r="8" spans="1:17" x14ac:dyDescent="0.25">
      <c r="A8" s="3" t="s">
        <v>12</v>
      </c>
      <c r="B8" s="9">
        <v>36891</v>
      </c>
      <c r="C8" s="10">
        <v>96000</v>
      </c>
      <c r="D8" s="10"/>
      <c r="E8" s="26"/>
      <c r="F8" s="10"/>
      <c r="G8" s="27"/>
      <c r="I8" s="11">
        <v>-1007</v>
      </c>
      <c r="P8" s="11"/>
      <c r="Q8" s="11"/>
    </row>
    <row r="9" spans="1:17" x14ac:dyDescent="0.25">
      <c r="B9" s="9">
        <v>37256</v>
      </c>
      <c r="C9" s="10">
        <v>547873</v>
      </c>
      <c r="D9" s="10"/>
      <c r="E9" s="26"/>
      <c r="F9" s="10"/>
      <c r="G9" s="27"/>
      <c r="I9" s="11">
        <v>-432206</v>
      </c>
      <c r="P9" s="11"/>
      <c r="Q9" s="11"/>
    </row>
    <row r="10" spans="1:17" x14ac:dyDescent="0.25">
      <c r="B10" s="9">
        <v>37621</v>
      </c>
      <c r="C10" s="10">
        <v>564864</v>
      </c>
      <c r="D10" s="10"/>
      <c r="E10" s="26"/>
      <c r="F10" s="10"/>
      <c r="G10" s="27"/>
      <c r="I10" s="11">
        <v>0</v>
      </c>
      <c r="P10" s="11"/>
      <c r="Q10" s="11"/>
    </row>
    <row r="11" spans="1:17" x14ac:dyDescent="0.25">
      <c r="B11" s="9">
        <v>37986</v>
      </c>
      <c r="C11" s="10">
        <v>580731</v>
      </c>
      <c r="D11" s="10"/>
      <c r="E11" s="26"/>
      <c r="F11" s="10"/>
      <c r="G11" s="27"/>
      <c r="I11" s="11">
        <v>0</v>
      </c>
      <c r="P11" s="11"/>
      <c r="Q11" s="11"/>
    </row>
    <row r="12" spans="1:17" x14ac:dyDescent="0.25">
      <c r="B12" s="9">
        <v>38352</v>
      </c>
      <c r="C12" s="10">
        <v>664100</v>
      </c>
      <c r="D12" s="10"/>
      <c r="E12" s="26"/>
      <c r="F12" s="10"/>
      <c r="G12" s="27"/>
      <c r="I12" s="11">
        <v>1206138</v>
      </c>
      <c r="P12" s="11"/>
      <c r="Q12" s="11"/>
    </row>
    <row r="13" spans="1:17" x14ac:dyDescent="0.25">
      <c r="B13" s="9">
        <v>38717</v>
      </c>
      <c r="C13" s="10">
        <v>686507</v>
      </c>
      <c r="D13" s="10"/>
      <c r="E13" s="26"/>
      <c r="F13" s="22"/>
      <c r="G13" s="27"/>
      <c r="I13" s="11">
        <v>0</v>
      </c>
      <c r="P13" s="11"/>
      <c r="Q13" s="11"/>
    </row>
    <row r="14" spans="1:17" x14ac:dyDescent="0.25">
      <c r="B14" s="9">
        <v>39082</v>
      </c>
      <c r="C14" s="10">
        <v>712481</v>
      </c>
      <c r="D14" s="10"/>
      <c r="E14" s="26"/>
      <c r="F14" s="22"/>
      <c r="G14" s="27"/>
      <c r="I14" s="11">
        <v>0</v>
      </c>
      <c r="P14" s="11"/>
      <c r="Q14" s="11"/>
    </row>
    <row r="15" spans="1:17" x14ac:dyDescent="0.25">
      <c r="B15" s="9">
        <v>39447</v>
      </c>
      <c r="C15" s="10">
        <v>1149549</v>
      </c>
      <c r="D15" s="10"/>
      <c r="E15" s="26"/>
      <c r="F15" s="22"/>
      <c r="G15" s="27"/>
      <c r="I15" s="11">
        <v>5912439</v>
      </c>
      <c r="P15" s="11"/>
      <c r="Q15" s="11"/>
    </row>
    <row r="16" spans="1:17" x14ac:dyDescent="0.25">
      <c r="B16" s="9">
        <v>39813</v>
      </c>
      <c r="C16" s="10">
        <v>1143686</v>
      </c>
      <c r="D16" s="10"/>
      <c r="E16" s="26"/>
      <c r="F16" s="22"/>
      <c r="G16" s="27"/>
      <c r="I16" s="11">
        <v>0</v>
      </c>
      <c r="P16" s="11"/>
      <c r="Q16" s="11"/>
    </row>
    <row r="17" spans="2:19" x14ac:dyDescent="0.25">
      <c r="B17" s="9">
        <v>40178</v>
      </c>
      <c r="C17" s="10">
        <v>1293468</v>
      </c>
      <c r="D17" s="10"/>
      <c r="E17" s="22">
        <v>383250</v>
      </c>
      <c r="F17" s="22"/>
      <c r="G17" s="11">
        <f t="shared" ref="G17:G27" si="0">C17-E17</f>
        <v>910218</v>
      </c>
      <c r="I17" s="11">
        <v>0</v>
      </c>
      <c r="P17" s="10"/>
      <c r="Q17" s="11"/>
    </row>
    <row r="18" spans="2:19" x14ac:dyDescent="0.25">
      <c r="B18" s="9">
        <v>40543</v>
      </c>
      <c r="C18" s="10">
        <v>1134528</v>
      </c>
      <c r="D18" s="24">
        <v>-2E-3</v>
      </c>
      <c r="E18" s="22">
        <f>E17*(1+D18)</f>
        <v>382483.5</v>
      </c>
      <c r="F18" s="22"/>
      <c r="G18" s="11">
        <f t="shared" si="0"/>
        <v>752044.5</v>
      </c>
      <c r="I18" s="11">
        <v>-2780264</v>
      </c>
      <c r="P18" s="10"/>
      <c r="Q18" s="11"/>
    </row>
    <row r="19" spans="2:19" x14ac:dyDescent="0.25">
      <c r="B19" s="9">
        <v>40908</v>
      </c>
      <c r="C19" s="10">
        <v>1122923</v>
      </c>
      <c r="D19" s="24">
        <v>-2.0000000000000001E-4</v>
      </c>
      <c r="E19" s="22">
        <f>E18*(1+D19)</f>
        <v>382407.00329999998</v>
      </c>
      <c r="F19" s="22"/>
      <c r="G19" s="11">
        <f t="shared" si="0"/>
        <v>740515.99670000002</v>
      </c>
      <c r="I19" s="11">
        <v>1280544</v>
      </c>
      <c r="P19" s="10"/>
      <c r="Q19" s="11"/>
    </row>
    <row r="20" spans="2:19" x14ac:dyDescent="0.25">
      <c r="B20" s="9">
        <v>41274</v>
      </c>
      <c r="C20" s="10">
        <v>1279123</v>
      </c>
      <c r="D20" s="24">
        <f>2%-0.4%-0.72%</f>
        <v>8.8000000000000005E-3</v>
      </c>
      <c r="E20" s="22">
        <f>E19*(1+D20)</f>
        <v>385772.18492903997</v>
      </c>
      <c r="F20" s="22"/>
      <c r="G20" s="11">
        <f t="shared" si="0"/>
        <v>893350.81507095997</v>
      </c>
      <c r="I20" s="11">
        <v>1461200</v>
      </c>
      <c r="P20" s="10"/>
      <c r="Q20" s="11"/>
    </row>
    <row r="21" spans="2:19" x14ac:dyDescent="0.25">
      <c r="B21" s="9">
        <v>41639</v>
      </c>
      <c r="C21" s="10">
        <v>972143</v>
      </c>
      <c r="D21" s="10"/>
      <c r="E21" s="22">
        <v>424775</v>
      </c>
      <c r="F21" s="22"/>
      <c r="G21" s="11">
        <f t="shared" si="0"/>
        <v>547368</v>
      </c>
      <c r="I21" s="11">
        <v>-1603178</v>
      </c>
      <c r="P21" s="10"/>
      <c r="Q21" s="11"/>
    </row>
    <row r="22" spans="2:19" x14ac:dyDescent="0.25">
      <c r="B22" s="9">
        <v>42004</v>
      </c>
      <c r="C22" s="10">
        <v>1255136</v>
      </c>
      <c r="D22" s="24">
        <f>1.7%-0.3%</f>
        <v>1.4000000000000002E-2</v>
      </c>
      <c r="E22" s="22">
        <f t="shared" ref="E22:E27" si="1">E21*(1+D22)</f>
        <v>430721.85</v>
      </c>
      <c r="F22" s="22"/>
      <c r="G22" s="11">
        <f t="shared" si="0"/>
        <v>824414.15</v>
      </c>
      <c r="I22" s="11">
        <v>2345418</v>
      </c>
      <c r="P22" s="10"/>
      <c r="Q22" s="11"/>
    </row>
    <row r="23" spans="2:19" x14ac:dyDescent="0.25">
      <c r="B23" s="9">
        <v>42369</v>
      </c>
      <c r="C23" s="10">
        <v>1310940</v>
      </c>
      <c r="D23" s="24">
        <f>1.6%-0.45%</f>
        <v>1.15E-2</v>
      </c>
      <c r="E23" s="22">
        <f t="shared" si="1"/>
        <v>435675.15127500001</v>
      </c>
      <c r="F23" s="22"/>
      <c r="G23" s="11">
        <f t="shared" si="0"/>
        <v>875264.84872499993</v>
      </c>
      <c r="I23" s="11">
        <v>-477627</v>
      </c>
      <c r="P23" s="10"/>
      <c r="Q23" s="11"/>
    </row>
    <row r="24" spans="2:19" x14ac:dyDescent="0.25">
      <c r="B24" s="9">
        <v>42735</v>
      </c>
      <c r="C24" s="10">
        <v>935431</v>
      </c>
      <c r="D24" s="10">
        <v>0</v>
      </c>
      <c r="E24" s="22">
        <f t="shared" si="1"/>
        <v>435675.15127500001</v>
      </c>
      <c r="F24" s="22"/>
      <c r="G24" s="11">
        <f t="shared" si="0"/>
        <v>499755.84872499999</v>
      </c>
      <c r="I24" s="11">
        <v>-6840715</v>
      </c>
      <c r="P24" s="10"/>
      <c r="Q24" s="11"/>
    </row>
    <row r="25" spans="2:19" x14ac:dyDescent="0.25">
      <c r="B25" s="9">
        <v>43100</v>
      </c>
      <c r="C25" s="10">
        <v>938383</v>
      </c>
      <c r="D25" s="24">
        <f>1.9%-0.3%</f>
        <v>1.6E-2</v>
      </c>
      <c r="E25" s="22">
        <f t="shared" si="1"/>
        <v>442645.95369540004</v>
      </c>
      <c r="F25" s="22"/>
      <c r="G25" s="11">
        <f t="shared" si="0"/>
        <v>495737.04630459996</v>
      </c>
      <c r="I25" s="11">
        <v>1552390</v>
      </c>
      <c r="P25" s="22"/>
      <c r="Q25" s="11"/>
    </row>
    <row r="26" spans="2:19" x14ac:dyDescent="0.25">
      <c r="B26" s="9">
        <v>43465</v>
      </c>
      <c r="C26" s="10">
        <v>954366</v>
      </c>
      <c r="D26" s="24">
        <f>1.2%-0.45%</f>
        <v>7.4999999999999997E-3</v>
      </c>
      <c r="E26" s="22">
        <f t="shared" si="1"/>
        <v>445965.79834811558</v>
      </c>
      <c r="F26" s="22"/>
      <c r="G26" s="11">
        <f t="shared" si="0"/>
        <v>508400.20165188442</v>
      </c>
      <c r="I26" s="11">
        <v>-1545129</v>
      </c>
      <c r="P26" s="22"/>
      <c r="Q26" s="11"/>
    </row>
    <row r="27" spans="2:19" x14ac:dyDescent="0.25">
      <c r="B27" s="9">
        <v>43830</v>
      </c>
      <c r="C27" s="10">
        <v>392580</v>
      </c>
      <c r="D27" s="24">
        <f>1.5%-0.3%</f>
        <v>1.2E-2</v>
      </c>
      <c r="E27" s="22">
        <f t="shared" si="1"/>
        <v>451317.38792829297</v>
      </c>
      <c r="F27" s="22"/>
      <c r="G27" s="11">
        <f t="shared" si="0"/>
        <v>-58737.38792829297</v>
      </c>
      <c r="I27" s="11">
        <v>2329046</v>
      </c>
      <c r="P27" s="22"/>
      <c r="Q27" s="11"/>
    </row>
    <row r="28" spans="2:19" x14ac:dyDescent="0.25">
      <c r="B28" t="s">
        <v>13</v>
      </c>
      <c r="C28" s="12">
        <f>SUM(C7:C27)</f>
        <v>18214812</v>
      </c>
      <c r="D28" s="12"/>
      <c r="E28" s="12">
        <f>SUM(E7:E27)</f>
        <v>4600688.9807508485</v>
      </c>
      <c r="F28" s="11"/>
      <c r="G28" s="12">
        <f>SUM(G7:G27)</f>
        <v>6988332.0192491515</v>
      </c>
      <c r="H28" s="12">
        <f>SUM(H7:H27)</f>
        <v>6491000</v>
      </c>
      <c r="I28" s="12">
        <f>SUM(I7:I27)</f>
        <v>2407049</v>
      </c>
      <c r="M28" s="11"/>
      <c r="P28" s="11"/>
      <c r="Q28" s="11"/>
      <c r="S28" s="11"/>
    </row>
    <row r="29" spans="2:19" x14ac:dyDescent="0.25">
      <c r="C29" s="11"/>
      <c r="D29" s="11"/>
      <c r="E29" s="11"/>
      <c r="F29" s="11"/>
      <c r="G29" s="11"/>
      <c r="I29" s="11"/>
      <c r="M29" s="11"/>
      <c r="P29" s="11"/>
      <c r="Q29" s="11"/>
      <c r="S29" s="11"/>
    </row>
    <row r="30" spans="2:19" ht="15.75" thickBot="1" x14ac:dyDescent="0.3">
      <c r="C30" s="11"/>
      <c r="D30" s="11"/>
      <c r="E30" s="11"/>
      <c r="F30" s="11"/>
      <c r="G30" s="11"/>
      <c r="H30" s="8" t="s">
        <v>14</v>
      </c>
      <c r="I30" s="28"/>
      <c r="M30" s="11"/>
      <c r="P30" s="11"/>
      <c r="Q30" s="11"/>
      <c r="S30" s="11"/>
    </row>
    <row r="31" spans="2:19" ht="15.75" thickTop="1" x14ac:dyDescent="0.25">
      <c r="C31" s="27" t="s">
        <v>60</v>
      </c>
      <c r="D31" s="27"/>
      <c r="E31" s="27"/>
      <c r="F31" s="11"/>
      <c r="G31" s="11"/>
      <c r="H31" s="11"/>
      <c r="I31" s="14" t="s">
        <v>61</v>
      </c>
      <c r="J31" s="11"/>
      <c r="M31" s="11"/>
      <c r="P31" s="11"/>
      <c r="Q31" s="11"/>
      <c r="S31" s="11"/>
    </row>
    <row r="32" spans="2:19" x14ac:dyDescent="0.25">
      <c r="C32" s="11"/>
      <c r="D32" s="11"/>
      <c r="E32" s="11"/>
      <c r="F32" s="11"/>
      <c r="G32" s="11"/>
      <c r="H32" s="11"/>
      <c r="J32" s="11"/>
      <c r="M32" s="11"/>
      <c r="P32" s="11"/>
      <c r="Q32" s="11"/>
      <c r="S32" s="11"/>
    </row>
    <row r="33" spans="1:7" x14ac:dyDescent="0.25">
      <c r="A33" s="3" t="s">
        <v>12</v>
      </c>
      <c r="B33" t="s">
        <v>16</v>
      </c>
    </row>
    <row r="34" spans="1:7" x14ac:dyDescent="0.25">
      <c r="B34" t="s">
        <v>17</v>
      </c>
    </row>
    <row r="35" spans="1:7" x14ac:dyDescent="0.25">
      <c r="B35" t="s">
        <v>18</v>
      </c>
    </row>
    <row r="36" spans="1:7" x14ac:dyDescent="0.25">
      <c r="B36" t="s">
        <v>19</v>
      </c>
    </row>
    <row r="38" spans="1:7" x14ac:dyDescent="0.25">
      <c r="A38" s="3" t="s">
        <v>20</v>
      </c>
      <c r="B38" t="s">
        <v>21</v>
      </c>
    </row>
    <row r="39" spans="1:7" x14ac:dyDescent="0.25">
      <c r="A39" s="3"/>
      <c r="B39" t="s">
        <v>22</v>
      </c>
    </row>
    <row r="40" spans="1:7" x14ac:dyDescent="0.25">
      <c r="A40" s="3"/>
      <c r="B40" t="s">
        <v>23</v>
      </c>
    </row>
    <row r="41" spans="1:7" x14ac:dyDescent="0.25">
      <c r="A41" s="3"/>
      <c r="B41" t="s">
        <v>24</v>
      </c>
    </row>
    <row r="43" spans="1:7" ht="30" x14ac:dyDescent="0.25">
      <c r="C43" s="6" t="s">
        <v>25</v>
      </c>
      <c r="D43" s="6"/>
      <c r="E43" s="6" t="s">
        <v>26</v>
      </c>
      <c r="F43" s="6"/>
      <c r="G43" s="6" t="s">
        <v>27</v>
      </c>
    </row>
    <row r="44" spans="1:7" x14ac:dyDescent="0.25">
      <c r="C44" s="15" t="s">
        <v>28</v>
      </c>
      <c r="D44" s="15"/>
      <c r="E44" s="15" t="s">
        <v>29</v>
      </c>
      <c r="F44" s="15"/>
      <c r="G44" s="15" t="s">
        <v>30</v>
      </c>
    </row>
    <row r="45" spans="1:7" ht="6" customHeight="1" x14ac:dyDescent="0.25"/>
    <row r="46" spans="1:7" x14ac:dyDescent="0.25">
      <c r="B46" s="9">
        <v>41639</v>
      </c>
      <c r="C46" s="16">
        <v>1341634</v>
      </c>
      <c r="D46" s="16"/>
      <c r="E46" s="16">
        <v>-369491</v>
      </c>
      <c r="F46" s="16"/>
      <c r="G46" s="11">
        <f>SUM(C46:E46)</f>
        <v>972143</v>
      </c>
    </row>
    <row r="47" spans="1:7" x14ac:dyDescent="0.25">
      <c r="B47" s="9">
        <v>42735</v>
      </c>
      <c r="C47" s="16">
        <v>1402277</v>
      </c>
      <c r="D47" s="16"/>
      <c r="E47" s="16">
        <v>-466855</v>
      </c>
      <c r="F47" s="16"/>
      <c r="G47" s="11">
        <f>SUM(C47:E47)</f>
        <v>935422</v>
      </c>
    </row>
    <row r="48" spans="1:7" x14ac:dyDescent="0.25">
      <c r="B48" s="9">
        <v>43830</v>
      </c>
      <c r="C48" s="16">
        <v>737870</v>
      </c>
      <c r="D48" s="16"/>
      <c r="E48" s="16">
        <v>-345290</v>
      </c>
      <c r="F48" s="16"/>
      <c r="G48" s="11">
        <f>SUM(C48:E48)</f>
        <v>392580</v>
      </c>
    </row>
    <row r="50" spans="1:1" x14ac:dyDescent="0.25">
      <c r="A50" s="3"/>
    </row>
  </sheetData>
  <pageMargins left="0.7" right="0.7" top="0.75" bottom="0.75" header="0.3" footer="0.3"/>
  <pageSetup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98A7-E4B8-46CD-AD58-F4B32FD6C918}">
  <sheetPr>
    <pageSetUpPr fitToPage="1"/>
  </sheetPr>
  <dimension ref="A2:S32"/>
  <sheetViews>
    <sheetView workbookViewId="0"/>
  </sheetViews>
  <sheetFormatPr defaultRowHeight="15" x14ac:dyDescent="0.25"/>
  <cols>
    <col min="2" max="2" width="9.5703125" bestFit="1" customWidth="1"/>
    <col min="3" max="3" width="19.7109375" customWidth="1"/>
    <col min="4" max="4" width="18.140625" customWidth="1"/>
    <col min="5" max="5" width="1.5703125" customWidth="1"/>
    <col min="6" max="6" width="11.7109375" customWidth="1"/>
    <col min="7" max="7" width="11.5703125" customWidth="1"/>
    <col min="8" max="8" width="14.42578125" customWidth="1"/>
    <col min="9" max="9" width="2.140625" customWidth="1"/>
    <col min="10" max="10" width="13.85546875" customWidth="1"/>
    <col min="11" max="11" width="16.85546875" customWidth="1"/>
    <col min="12" max="13" width="13.28515625" customWidth="1"/>
    <col min="14" max="14" width="14.85546875" customWidth="1"/>
    <col min="15" max="15" width="11.140625" bestFit="1" customWidth="1"/>
    <col min="16" max="16" width="1.42578125" customWidth="1"/>
    <col min="17" max="17" width="12.7109375" customWidth="1"/>
    <col min="18" max="18" width="1.140625" customWidth="1"/>
    <col min="19" max="19" width="10.7109375" bestFit="1" customWidth="1"/>
  </cols>
  <sheetData>
    <row r="2" spans="1:19" ht="21" x14ac:dyDescent="0.35">
      <c r="A2" s="1" t="s">
        <v>33</v>
      </c>
    </row>
    <row r="3" spans="1:19" x14ac:dyDescent="0.25">
      <c r="B3" s="2"/>
      <c r="G3" s="2"/>
      <c r="K3" t="s">
        <v>34</v>
      </c>
    </row>
    <row r="4" spans="1:19" ht="90" x14ac:dyDescent="0.25">
      <c r="B4" s="17" t="s">
        <v>1</v>
      </c>
      <c r="C4" s="6" t="s">
        <v>2</v>
      </c>
      <c r="D4" s="6" t="s">
        <v>3</v>
      </c>
      <c r="F4" s="6" t="s">
        <v>4</v>
      </c>
      <c r="G4" s="6" t="s">
        <v>5</v>
      </c>
      <c r="H4" s="6" t="s">
        <v>6</v>
      </c>
      <c r="J4" s="6"/>
      <c r="K4" s="6" t="s">
        <v>35</v>
      </c>
      <c r="L4" s="6" t="s">
        <v>36</v>
      </c>
      <c r="M4" s="6" t="s">
        <v>37</v>
      </c>
      <c r="N4" s="6" t="s">
        <v>38</v>
      </c>
      <c r="O4" s="6" t="s">
        <v>39</v>
      </c>
      <c r="Q4" s="6" t="s">
        <v>40</v>
      </c>
      <c r="S4" s="6" t="s">
        <v>41</v>
      </c>
    </row>
    <row r="5" spans="1:19" x14ac:dyDescent="0.25">
      <c r="C5" s="7" t="s">
        <v>7</v>
      </c>
      <c r="D5" s="7" t="s">
        <v>8</v>
      </c>
      <c r="F5" s="2" t="s">
        <v>9</v>
      </c>
      <c r="G5" s="7" t="s">
        <v>10</v>
      </c>
      <c r="H5" s="7" t="s">
        <v>11</v>
      </c>
      <c r="J5" s="8"/>
      <c r="K5" s="7" t="s">
        <v>42</v>
      </c>
      <c r="L5" s="7" t="s">
        <v>43</v>
      </c>
      <c r="M5" s="7" t="s">
        <v>44</v>
      </c>
      <c r="N5" s="7" t="s">
        <v>45</v>
      </c>
      <c r="O5" s="7" t="s">
        <v>46</v>
      </c>
      <c r="P5" s="7"/>
      <c r="Q5" s="7" t="s">
        <v>47</v>
      </c>
      <c r="S5" s="7" t="s">
        <v>48</v>
      </c>
    </row>
    <row r="6" spans="1:19" x14ac:dyDescent="0.25">
      <c r="B6" s="9">
        <v>36830</v>
      </c>
      <c r="C6" s="10">
        <v>480000</v>
      </c>
      <c r="D6" s="10">
        <v>147000</v>
      </c>
      <c r="F6" s="11">
        <f>C6-D6</f>
        <v>333000</v>
      </c>
      <c r="G6" s="11">
        <v>6491000</v>
      </c>
      <c r="J6" s="11"/>
      <c r="K6" s="16">
        <v>333000</v>
      </c>
      <c r="L6" s="11">
        <f t="shared" ref="L6:L26" si="0">C6-K6</f>
        <v>147000</v>
      </c>
      <c r="M6" s="11">
        <f t="shared" ref="M6:M26" si="1">K6+L6-C6</f>
        <v>0</v>
      </c>
      <c r="N6" s="18">
        <v>0.43006710142129678</v>
      </c>
      <c r="O6" s="11">
        <f>L6*N6</f>
        <v>63219.863908930623</v>
      </c>
      <c r="Q6" s="11">
        <f>N6*D6</f>
        <v>63219.863908930623</v>
      </c>
      <c r="S6" s="11">
        <f>Q6-O6</f>
        <v>0</v>
      </c>
    </row>
    <row r="7" spans="1:19" x14ac:dyDescent="0.25">
      <c r="A7" s="3" t="s">
        <v>12</v>
      </c>
      <c r="B7" s="9">
        <v>36891</v>
      </c>
      <c r="C7" s="10">
        <v>96000</v>
      </c>
      <c r="D7" s="10">
        <v>29400</v>
      </c>
      <c r="F7" s="11">
        <f t="shared" ref="F7:F26" si="2">C7-D7</f>
        <v>66600</v>
      </c>
      <c r="G7" s="9"/>
      <c r="H7" s="11">
        <v>-1007</v>
      </c>
      <c r="J7" s="11"/>
      <c r="K7" s="16">
        <v>96000</v>
      </c>
      <c r="L7" s="11">
        <f t="shared" si="0"/>
        <v>0</v>
      </c>
      <c r="M7" s="11">
        <f t="shared" si="1"/>
        <v>0</v>
      </c>
      <c r="N7" s="18">
        <v>0.43006710142129678</v>
      </c>
      <c r="O7" s="11">
        <f t="shared" ref="O7:O26" si="3">L7*N7</f>
        <v>0</v>
      </c>
      <c r="Q7" s="11">
        <f t="shared" ref="Q7:Q26" si="4">N7*D7</f>
        <v>12643.972781786126</v>
      </c>
      <c r="S7" s="11">
        <f t="shared" ref="S7:S26" si="5">Q7-O7</f>
        <v>12643.972781786126</v>
      </c>
    </row>
    <row r="8" spans="1:19" x14ac:dyDescent="0.25">
      <c r="B8" s="9">
        <v>37256</v>
      </c>
      <c r="C8" s="10">
        <v>547873</v>
      </c>
      <c r="D8" s="10">
        <v>214500</v>
      </c>
      <c r="F8" s="11">
        <f t="shared" si="2"/>
        <v>333373</v>
      </c>
      <c r="G8" s="9"/>
      <c r="H8" s="11">
        <v>-432206</v>
      </c>
      <c r="J8" s="11"/>
      <c r="K8" s="16">
        <v>390453</v>
      </c>
      <c r="L8" s="11">
        <f t="shared" si="0"/>
        <v>157420</v>
      </c>
      <c r="M8" s="11">
        <f t="shared" si="1"/>
        <v>0</v>
      </c>
      <c r="N8" s="18">
        <v>0.29810605169277998</v>
      </c>
      <c r="O8" s="11">
        <f t="shared" si="3"/>
        <v>46927.854657477423</v>
      </c>
      <c r="Q8" s="11">
        <f t="shared" si="4"/>
        <v>63943.748088101303</v>
      </c>
      <c r="S8" s="11">
        <f t="shared" si="5"/>
        <v>17015.893430623881</v>
      </c>
    </row>
    <row r="9" spans="1:19" x14ac:dyDescent="0.25">
      <c r="B9" s="9">
        <v>37621</v>
      </c>
      <c r="C9" s="10">
        <v>564864</v>
      </c>
      <c r="D9" s="10">
        <v>300419</v>
      </c>
      <c r="F9" s="11">
        <f t="shared" si="2"/>
        <v>264445</v>
      </c>
      <c r="G9" s="9"/>
      <c r="H9" s="11">
        <v>0</v>
      </c>
      <c r="J9" s="11"/>
      <c r="K9" s="16">
        <v>407445.6</v>
      </c>
      <c r="L9" s="11">
        <f t="shared" si="0"/>
        <v>157418.40000000002</v>
      </c>
      <c r="M9" s="11">
        <f t="shared" si="1"/>
        <v>0</v>
      </c>
      <c r="N9" s="18">
        <v>0.35322572036690536</v>
      </c>
      <c r="O9" s="11">
        <f t="shared" si="3"/>
        <v>55604.227739005662</v>
      </c>
      <c r="Q9" s="11">
        <f t="shared" si="4"/>
        <v>106115.71768690534</v>
      </c>
      <c r="S9" s="11">
        <f t="shared" si="5"/>
        <v>50511.489947899674</v>
      </c>
    </row>
    <row r="10" spans="1:19" x14ac:dyDescent="0.25">
      <c r="B10" s="9">
        <v>37986</v>
      </c>
      <c r="C10" s="10">
        <v>580731</v>
      </c>
      <c r="D10" s="10">
        <v>300324</v>
      </c>
      <c r="F10" s="11">
        <f t="shared" si="2"/>
        <v>280407</v>
      </c>
      <c r="G10" s="9"/>
      <c r="H10" s="11">
        <v>0</v>
      </c>
      <c r="J10" s="11"/>
      <c r="K10" s="16">
        <v>423312.31</v>
      </c>
      <c r="L10" s="11">
        <f t="shared" si="0"/>
        <v>157418.69</v>
      </c>
      <c r="M10" s="11">
        <f t="shared" si="1"/>
        <v>0</v>
      </c>
      <c r="N10" s="18">
        <v>0.33863666487515198</v>
      </c>
      <c r="O10" s="11">
        <f t="shared" si="3"/>
        <v>53307.740170615441</v>
      </c>
      <c r="Q10" s="11">
        <f t="shared" si="4"/>
        <v>101700.71774196514</v>
      </c>
      <c r="S10" s="11">
        <f t="shared" si="5"/>
        <v>48392.9775713497</v>
      </c>
    </row>
    <row r="11" spans="1:19" x14ac:dyDescent="0.25">
      <c r="B11" s="9">
        <v>38352</v>
      </c>
      <c r="C11" s="10">
        <v>664100</v>
      </c>
      <c r="D11" s="10">
        <v>327436</v>
      </c>
      <c r="F11" s="11">
        <f t="shared" si="2"/>
        <v>336664</v>
      </c>
      <c r="G11" s="9"/>
      <c r="H11" s="11">
        <v>1206138</v>
      </c>
      <c r="J11" s="11"/>
      <c r="K11" s="16">
        <v>491652.6</v>
      </c>
      <c r="L11" s="11">
        <f t="shared" si="0"/>
        <v>172447.40000000002</v>
      </c>
      <c r="M11" s="11">
        <f t="shared" si="1"/>
        <v>0</v>
      </c>
      <c r="N11" s="18">
        <v>0.30855396131251478</v>
      </c>
      <c r="O11" s="11">
        <f t="shared" si="3"/>
        <v>53209.328388043767</v>
      </c>
      <c r="Q11" s="11">
        <f t="shared" si="4"/>
        <v>101031.67487632459</v>
      </c>
      <c r="S11" s="11">
        <f t="shared" si="5"/>
        <v>47822.346488280818</v>
      </c>
    </row>
    <row r="12" spans="1:19" x14ac:dyDescent="0.25">
      <c r="B12" s="9">
        <v>38717</v>
      </c>
      <c r="C12" s="10">
        <v>686507</v>
      </c>
      <c r="D12" s="10">
        <v>221430</v>
      </c>
      <c r="F12" s="11">
        <f t="shared" si="2"/>
        <v>465077</v>
      </c>
      <c r="G12" s="9"/>
      <c r="H12" s="11">
        <v>0</v>
      </c>
      <c r="J12" s="11"/>
      <c r="K12" s="16">
        <v>514058.47</v>
      </c>
      <c r="L12" s="11">
        <f t="shared" si="0"/>
        <v>172448.53000000003</v>
      </c>
      <c r="M12" s="11">
        <f t="shared" si="1"/>
        <v>0</v>
      </c>
      <c r="N12" s="18">
        <v>0.35767200295830737</v>
      </c>
      <c r="O12" s="11">
        <f t="shared" si="3"/>
        <v>61680.011132315769</v>
      </c>
      <c r="Q12" s="11">
        <f t="shared" si="4"/>
        <v>79199.311615058003</v>
      </c>
      <c r="S12" s="11">
        <f t="shared" si="5"/>
        <v>17519.300482742234</v>
      </c>
    </row>
    <row r="13" spans="1:19" x14ac:dyDescent="0.25">
      <c r="B13" s="9">
        <v>39082</v>
      </c>
      <c r="C13" s="10">
        <v>712481</v>
      </c>
      <c r="D13" s="10">
        <v>248097</v>
      </c>
      <c r="F13" s="11">
        <f t="shared" si="2"/>
        <v>464384</v>
      </c>
      <c r="G13" s="9"/>
      <c r="H13" s="11">
        <v>0</v>
      </c>
      <c r="J13" s="11"/>
      <c r="K13" s="16">
        <v>540033.68999999994</v>
      </c>
      <c r="L13" s="11">
        <f t="shared" si="0"/>
        <v>172447.31000000006</v>
      </c>
      <c r="M13" s="11">
        <f t="shared" si="1"/>
        <v>0</v>
      </c>
      <c r="N13" s="18">
        <v>0.36230841110359091</v>
      </c>
      <c r="O13" s="11">
        <f t="shared" si="3"/>
        <v>62479.110885188406</v>
      </c>
      <c r="Q13" s="11">
        <f t="shared" si="4"/>
        <v>89887.629869567594</v>
      </c>
      <c r="S13" s="11">
        <f t="shared" si="5"/>
        <v>27408.518984379189</v>
      </c>
    </row>
    <row r="14" spans="1:19" x14ac:dyDescent="0.25">
      <c r="B14" s="9">
        <v>39447</v>
      </c>
      <c r="C14" s="10">
        <v>1149549</v>
      </c>
      <c r="D14" s="10">
        <v>346000</v>
      </c>
      <c r="F14" s="11">
        <f t="shared" si="2"/>
        <v>803549</v>
      </c>
      <c r="G14" s="9"/>
      <c r="H14" s="11">
        <v>5912439</v>
      </c>
      <c r="J14" s="11"/>
      <c r="K14" s="16">
        <v>795089</v>
      </c>
      <c r="L14" s="11">
        <f t="shared" si="0"/>
        <v>354460</v>
      </c>
      <c r="M14" s="11">
        <f t="shared" si="1"/>
        <v>0</v>
      </c>
      <c r="N14" s="18">
        <v>0.35851626521690699</v>
      </c>
      <c r="O14" s="11">
        <f t="shared" si="3"/>
        <v>127079.67536878485</v>
      </c>
      <c r="Q14" s="11">
        <f t="shared" si="4"/>
        <v>124046.62776504982</v>
      </c>
      <c r="S14" s="11">
        <f t="shared" si="5"/>
        <v>-3033.0476037350309</v>
      </c>
    </row>
    <row r="15" spans="1:19" x14ac:dyDescent="0.25">
      <c r="B15" s="9">
        <v>39813</v>
      </c>
      <c r="C15" s="10">
        <v>1143686</v>
      </c>
      <c r="D15" s="10">
        <v>353486</v>
      </c>
      <c r="F15" s="11">
        <f t="shared" si="2"/>
        <v>790200</v>
      </c>
      <c r="G15" s="9"/>
      <c r="H15" s="11">
        <v>0</v>
      </c>
      <c r="J15" s="11"/>
      <c r="K15" s="16">
        <v>789225.67</v>
      </c>
      <c r="L15" s="11">
        <f t="shared" si="0"/>
        <v>354460.32999999996</v>
      </c>
      <c r="M15" s="11">
        <f t="shared" si="1"/>
        <v>0</v>
      </c>
      <c r="N15" s="18">
        <v>0.36427329421656635</v>
      </c>
      <c r="O15" s="11">
        <f t="shared" si="3"/>
        <v>129120.43207819118</v>
      </c>
      <c r="Q15" s="11">
        <f t="shared" si="4"/>
        <v>128765.50967943718</v>
      </c>
      <c r="S15" s="11">
        <f t="shared" si="5"/>
        <v>-354.92239875400264</v>
      </c>
    </row>
    <row r="16" spans="1:19" x14ac:dyDescent="0.25">
      <c r="B16" s="9">
        <v>40178</v>
      </c>
      <c r="C16" s="10">
        <v>1293468</v>
      </c>
      <c r="D16" s="10">
        <v>395036</v>
      </c>
      <c r="F16" s="11">
        <f t="shared" si="2"/>
        <v>898432</v>
      </c>
      <c r="G16" s="9"/>
      <c r="H16" s="11">
        <v>0</v>
      </c>
      <c r="J16" s="11"/>
      <c r="K16" s="16">
        <v>885668.04</v>
      </c>
      <c r="L16" s="11">
        <f t="shared" si="0"/>
        <v>407799.95999999996</v>
      </c>
      <c r="M16" s="11">
        <f t="shared" si="1"/>
        <v>0</v>
      </c>
      <c r="N16" s="18">
        <v>0.3518742911586501</v>
      </c>
      <c r="O16" s="11">
        <f t="shared" si="3"/>
        <v>143494.32185952584</v>
      </c>
      <c r="Q16" s="11">
        <f>N16*D16</f>
        <v>139003.01248214851</v>
      </c>
      <c r="S16" s="11">
        <f t="shared" si="5"/>
        <v>-4491.3093773773289</v>
      </c>
    </row>
    <row r="17" spans="2:19" x14ac:dyDescent="0.25">
      <c r="B17" s="9">
        <v>40543</v>
      </c>
      <c r="C17" s="10">
        <v>1134528</v>
      </c>
      <c r="D17" s="10">
        <v>359203</v>
      </c>
      <c r="F17" s="11">
        <f t="shared" si="2"/>
        <v>775325</v>
      </c>
      <c r="G17" s="9"/>
      <c r="H17" s="11">
        <v>-2780264</v>
      </c>
      <c r="J17" s="11"/>
      <c r="K17" s="16">
        <v>854306</v>
      </c>
      <c r="L17" s="11">
        <f t="shared" si="0"/>
        <v>280222</v>
      </c>
      <c r="M17" s="11">
        <f t="shared" si="1"/>
        <v>0</v>
      </c>
      <c r="N17" s="18">
        <v>0.38668663638098805</v>
      </c>
      <c r="O17" s="11">
        <f t="shared" si="3"/>
        <v>108358.10261995324</v>
      </c>
      <c r="Q17" s="11">
        <f t="shared" si="4"/>
        <v>138898.99984796005</v>
      </c>
      <c r="S17" s="11">
        <f t="shared" si="5"/>
        <v>30540.897228006812</v>
      </c>
    </row>
    <row r="18" spans="2:19" x14ac:dyDescent="0.25">
      <c r="B18" s="9">
        <v>40908</v>
      </c>
      <c r="C18" s="10">
        <v>1122923</v>
      </c>
      <c r="D18" s="10">
        <v>433451</v>
      </c>
      <c r="F18" s="11">
        <f t="shared" si="2"/>
        <v>689472</v>
      </c>
      <c r="G18" s="9"/>
      <c r="H18" s="11">
        <v>1280544</v>
      </c>
      <c r="J18" s="11"/>
      <c r="K18" s="16">
        <v>792236.55</v>
      </c>
      <c r="L18" s="11">
        <f t="shared" si="0"/>
        <v>330686.44999999995</v>
      </c>
      <c r="M18" s="11">
        <f t="shared" si="1"/>
        <v>0</v>
      </c>
      <c r="N18" s="18">
        <v>0.3833838960136024</v>
      </c>
      <c r="O18" s="11">
        <f t="shared" si="3"/>
        <v>126779.85955990732</v>
      </c>
      <c r="Q18" s="11">
        <f t="shared" si="4"/>
        <v>166178.13311099197</v>
      </c>
      <c r="S18" s="11">
        <f t="shared" si="5"/>
        <v>39398.273551084654</v>
      </c>
    </row>
    <row r="19" spans="2:19" x14ac:dyDescent="0.25">
      <c r="B19" s="9">
        <v>41274</v>
      </c>
      <c r="C19" s="10">
        <v>1279123</v>
      </c>
      <c r="D19" s="10">
        <v>460614</v>
      </c>
      <c r="F19" s="11">
        <f t="shared" si="2"/>
        <v>818509</v>
      </c>
      <c r="G19" s="9"/>
      <c r="H19" s="11">
        <v>1461200</v>
      </c>
      <c r="J19" s="11"/>
      <c r="K19" s="16">
        <v>822254.27</v>
      </c>
      <c r="L19" s="11">
        <f t="shared" si="0"/>
        <v>456868.73</v>
      </c>
      <c r="M19" s="11">
        <f t="shared" si="1"/>
        <v>0</v>
      </c>
      <c r="N19" s="18">
        <v>0.2610384553850752</v>
      </c>
      <c r="O19" s="11">
        <f t="shared" si="3"/>
        <v>119260.30759294097</v>
      </c>
      <c r="Q19" s="11">
        <f t="shared" si="4"/>
        <v>120237.96708874103</v>
      </c>
      <c r="S19" s="11">
        <f t="shared" si="5"/>
        <v>977.65949580006418</v>
      </c>
    </row>
    <row r="20" spans="2:19" x14ac:dyDescent="0.25">
      <c r="B20" s="9">
        <v>41639</v>
      </c>
      <c r="C20" s="10">
        <v>972143</v>
      </c>
      <c r="D20" s="10">
        <v>537032</v>
      </c>
      <c r="F20" s="11">
        <f t="shared" si="2"/>
        <v>435111</v>
      </c>
      <c r="G20" s="9"/>
      <c r="H20" s="11">
        <v>-1603178</v>
      </c>
      <c r="J20" s="11"/>
      <c r="K20" s="16">
        <v>895111</v>
      </c>
      <c r="L20" s="11">
        <f t="shared" si="0"/>
        <v>77032</v>
      </c>
      <c r="M20" s="11">
        <f t="shared" si="1"/>
        <v>0</v>
      </c>
      <c r="N20" s="18">
        <v>0.26105756085535975</v>
      </c>
      <c r="O20" s="11">
        <f t="shared" si="3"/>
        <v>20109.786027810071</v>
      </c>
      <c r="Q20" s="11">
        <f t="shared" si="4"/>
        <v>140196.26402127557</v>
      </c>
      <c r="S20" s="11">
        <f t="shared" si="5"/>
        <v>120086.47799346549</v>
      </c>
    </row>
    <row r="21" spans="2:19" x14ac:dyDescent="0.25">
      <c r="B21" s="9">
        <v>42004</v>
      </c>
      <c r="C21" s="10">
        <v>1255136</v>
      </c>
      <c r="D21" s="10">
        <v>490242</v>
      </c>
      <c r="F21" s="11">
        <f t="shared" si="2"/>
        <v>764894</v>
      </c>
      <c r="G21" s="9"/>
      <c r="H21" s="11">
        <v>2345418</v>
      </c>
      <c r="J21" s="11"/>
      <c r="K21" s="16">
        <v>993138.73</v>
      </c>
      <c r="L21" s="11">
        <f t="shared" si="0"/>
        <v>261997.27000000002</v>
      </c>
      <c r="M21" s="11">
        <f t="shared" si="1"/>
        <v>0</v>
      </c>
      <c r="N21" s="18">
        <v>0.24325977355851183</v>
      </c>
      <c r="O21" s="11">
        <f t="shared" si="3"/>
        <v>63733.396573148289</v>
      </c>
      <c r="Q21" s="11">
        <f t="shared" si="4"/>
        <v>119256.15790887196</v>
      </c>
      <c r="S21" s="11">
        <f t="shared" si="5"/>
        <v>55522.76133572367</v>
      </c>
    </row>
    <row r="22" spans="2:19" x14ac:dyDescent="0.25">
      <c r="B22" s="9">
        <v>42369</v>
      </c>
      <c r="C22" s="10">
        <v>1310940</v>
      </c>
      <c r="D22" s="10">
        <v>526559</v>
      </c>
      <c r="F22" s="11">
        <f t="shared" si="2"/>
        <v>784381</v>
      </c>
      <c r="G22" s="9"/>
      <c r="H22" s="11">
        <v>-477627</v>
      </c>
      <c r="J22" s="11"/>
      <c r="K22" s="16">
        <v>885451</v>
      </c>
      <c r="L22" s="11">
        <f t="shared" si="0"/>
        <v>425489</v>
      </c>
      <c r="M22" s="11">
        <f t="shared" si="1"/>
        <v>0</v>
      </c>
      <c r="N22" s="18">
        <v>0.27728914886962552</v>
      </c>
      <c r="O22" s="11">
        <f t="shared" si="3"/>
        <v>117983.48266338809</v>
      </c>
      <c r="Q22" s="11">
        <f t="shared" si="4"/>
        <v>146009.09693964114</v>
      </c>
      <c r="S22" s="11">
        <f t="shared" si="5"/>
        <v>28025.614276253051</v>
      </c>
    </row>
    <row r="23" spans="2:19" x14ac:dyDescent="0.25">
      <c r="B23" s="9">
        <v>42735</v>
      </c>
      <c r="C23" s="10">
        <v>935431</v>
      </c>
      <c r="D23" s="10">
        <v>507749</v>
      </c>
      <c r="F23" s="11">
        <f t="shared" si="2"/>
        <v>427682</v>
      </c>
      <c r="G23" s="9"/>
      <c r="H23" s="11">
        <v>-6840715</v>
      </c>
      <c r="J23" s="11"/>
      <c r="K23" s="16">
        <v>920549</v>
      </c>
      <c r="L23" s="11">
        <f t="shared" si="0"/>
        <v>14882</v>
      </c>
      <c r="M23" s="11">
        <f t="shared" si="1"/>
        <v>0</v>
      </c>
      <c r="N23" s="18">
        <v>0.29342939503960502</v>
      </c>
      <c r="O23" s="11">
        <f t="shared" si="3"/>
        <v>4366.8162569794022</v>
      </c>
      <c r="Q23" s="11">
        <f t="shared" si="4"/>
        <v>148988.48190196441</v>
      </c>
      <c r="S23" s="11">
        <f t="shared" si="5"/>
        <v>144621.66564498501</v>
      </c>
    </row>
    <row r="24" spans="2:19" x14ac:dyDescent="0.25">
      <c r="B24" s="9">
        <v>43100</v>
      </c>
      <c r="C24" s="10">
        <v>938383</v>
      </c>
      <c r="D24" s="10">
        <v>545139</v>
      </c>
      <c r="F24" s="11">
        <f t="shared" si="2"/>
        <v>393244</v>
      </c>
      <c r="G24" s="9"/>
      <c r="H24" s="11">
        <v>1552390</v>
      </c>
      <c r="J24" s="11"/>
      <c r="K24" s="16">
        <v>624959</v>
      </c>
      <c r="L24" s="11">
        <f t="shared" si="0"/>
        <v>313424</v>
      </c>
      <c r="M24" s="11">
        <f t="shared" si="1"/>
        <v>0</v>
      </c>
      <c r="N24" s="18">
        <v>0.27409732046291441</v>
      </c>
      <c r="O24" s="11">
        <f t="shared" si="3"/>
        <v>85908.67856876849</v>
      </c>
      <c r="Q24" s="11">
        <f t="shared" si="4"/>
        <v>149421.13917983271</v>
      </c>
      <c r="S24" s="11">
        <f t="shared" si="5"/>
        <v>63512.46061106422</v>
      </c>
    </row>
    <row r="25" spans="2:19" x14ac:dyDescent="0.25">
      <c r="B25" s="9">
        <v>43465</v>
      </c>
      <c r="C25" s="10">
        <v>954366</v>
      </c>
      <c r="D25" s="10">
        <v>550634</v>
      </c>
      <c r="F25" s="11">
        <f t="shared" si="2"/>
        <v>403732</v>
      </c>
      <c r="G25" s="9"/>
      <c r="H25" s="11">
        <v>-1545129</v>
      </c>
      <c r="J25" s="11"/>
      <c r="K25" s="16">
        <v>592797</v>
      </c>
      <c r="L25" s="11">
        <f t="shared" si="0"/>
        <v>361569</v>
      </c>
      <c r="M25" s="11">
        <f t="shared" si="1"/>
        <v>0</v>
      </c>
      <c r="N25" s="18">
        <v>0.30420881480849421</v>
      </c>
      <c r="O25" s="11">
        <f t="shared" si="3"/>
        <v>109992.47696149244</v>
      </c>
      <c r="Q25" s="11">
        <f t="shared" si="4"/>
        <v>167507.71653326039</v>
      </c>
      <c r="S25" s="11">
        <f t="shared" si="5"/>
        <v>57515.239571767946</v>
      </c>
    </row>
    <row r="26" spans="2:19" x14ac:dyDescent="0.25">
      <c r="B26" s="9">
        <v>43830</v>
      </c>
      <c r="C26" s="10">
        <v>392580</v>
      </c>
      <c r="D26" s="10">
        <v>643026</v>
      </c>
      <c r="F26" s="11">
        <f t="shared" si="2"/>
        <v>-250446</v>
      </c>
      <c r="G26" s="9"/>
      <c r="H26" s="11">
        <v>2329046</v>
      </c>
      <c r="J26" s="11"/>
      <c r="K26" s="16">
        <v>344542.14</v>
      </c>
      <c r="L26" s="11">
        <f t="shared" si="0"/>
        <v>48037.859999999986</v>
      </c>
      <c r="M26" s="11">
        <f t="shared" si="1"/>
        <v>0</v>
      </c>
      <c r="N26" s="18">
        <v>0.29252199322325789</v>
      </c>
      <c r="O26" s="11">
        <f t="shared" si="3"/>
        <v>14052.130557379807</v>
      </c>
      <c r="Q26" s="11">
        <f t="shared" si="4"/>
        <v>188099.24721437864</v>
      </c>
      <c r="S26" s="11">
        <f t="shared" si="5"/>
        <v>174047.11665699884</v>
      </c>
    </row>
    <row r="27" spans="2:19" ht="15.75" thickBot="1" x14ac:dyDescent="0.3">
      <c r="B27" t="s">
        <v>13</v>
      </c>
      <c r="C27" s="12">
        <f>SUM(C6:C26)</f>
        <v>18214812</v>
      </c>
      <c r="D27" s="12">
        <f>SUM(D6:D26)</f>
        <v>7936777</v>
      </c>
      <c r="F27" s="12">
        <f>SUM(F6:F26)</f>
        <v>10278035</v>
      </c>
      <c r="G27" s="12">
        <f>SUM(G6:G26)</f>
        <v>6491000</v>
      </c>
      <c r="H27" s="12">
        <f>SUM(H6:H26)</f>
        <v>2407049</v>
      </c>
      <c r="O27" s="12">
        <f>SUM(O6:O26)</f>
        <v>1566667.6035698473</v>
      </c>
      <c r="Q27" s="12">
        <f>SUM(Q6:Q26)</f>
        <v>2494350.9902421921</v>
      </c>
      <c r="S27" s="13">
        <f>SUM(S6:S26)</f>
        <v>927683.38667234511</v>
      </c>
    </row>
    <row r="28" spans="2:19" ht="15.75" thickTop="1" x14ac:dyDescent="0.25">
      <c r="L28" s="7"/>
      <c r="M28" s="7"/>
      <c r="N28" s="7"/>
      <c r="O28" s="19"/>
      <c r="S28" s="14" t="s">
        <v>49</v>
      </c>
    </row>
    <row r="29" spans="2:19" ht="15.75" thickBot="1" x14ac:dyDescent="0.3">
      <c r="G29" s="8" t="s">
        <v>14</v>
      </c>
      <c r="H29" s="13">
        <f>SUM(F27:H27)</f>
        <v>19176084</v>
      </c>
      <c r="L29" s="7"/>
      <c r="M29" s="7"/>
      <c r="N29" s="7"/>
      <c r="Q29" s="11"/>
    </row>
    <row r="30" spans="2:19" ht="15.75" thickTop="1" x14ac:dyDescent="0.25">
      <c r="H30" s="14" t="s">
        <v>15</v>
      </c>
      <c r="L30" s="7"/>
      <c r="M30" s="7"/>
      <c r="N30" s="7"/>
    </row>
    <row r="31" spans="2:19" x14ac:dyDescent="0.25">
      <c r="H31" s="14"/>
      <c r="L31" s="7"/>
      <c r="M31" s="7"/>
      <c r="N31" s="7"/>
    </row>
    <row r="32" spans="2:19" ht="6" customHeight="1" x14ac:dyDescent="0.25"/>
  </sheetData>
  <pageMargins left="0.7" right="0.7" top="0.75" bottom="0.75" header="0.3" footer="0.3"/>
  <pageSetup paperSize="5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74771-2A94-4273-9D10-0208460B1F04}">
  <dimension ref="B2:H38"/>
  <sheetViews>
    <sheetView workbookViewId="0"/>
  </sheetViews>
  <sheetFormatPr defaultRowHeight="15" x14ac:dyDescent="0.25"/>
  <cols>
    <col min="2" max="2" width="10.42578125" bestFit="1" customWidth="1"/>
    <col min="3" max="3" width="75.5703125" bestFit="1" customWidth="1"/>
    <col min="4" max="4" width="3" customWidth="1"/>
    <col min="5" max="5" width="13.28515625" bestFit="1" customWidth="1"/>
    <col min="7" max="7" width="3" customWidth="1"/>
    <col min="8" max="8" width="14.28515625" bestFit="1" customWidth="1"/>
  </cols>
  <sheetData>
    <row r="2" spans="2:8" ht="18.75" x14ac:dyDescent="0.3">
      <c r="B2" s="29" t="s">
        <v>62</v>
      </c>
    </row>
    <row r="4" spans="2:8" x14ac:dyDescent="0.25">
      <c r="B4" s="30" t="s">
        <v>63</v>
      </c>
      <c r="C4" s="30" t="s">
        <v>64</v>
      </c>
      <c r="D4" s="31"/>
      <c r="E4" s="31"/>
      <c r="F4" s="31"/>
      <c r="G4" s="31"/>
      <c r="H4" s="30" t="s">
        <v>65</v>
      </c>
    </row>
    <row r="5" spans="2:8" x14ac:dyDescent="0.25">
      <c r="B5" s="32">
        <v>43830</v>
      </c>
      <c r="C5" t="s">
        <v>66</v>
      </c>
      <c r="H5" s="33">
        <v>0</v>
      </c>
    </row>
    <row r="6" spans="2:8" x14ac:dyDescent="0.25">
      <c r="H6" s="33"/>
    </row>
    <row r="7" spans="2:8" x14ac:dyDescent="0.25">
      <c r="B7" t="s">
        <v>67</v>
      </c>
      <c r="H7" s="33"/>
    </row>
    <row r="8" spans="2:8" x14ac:dyDescent="0.25">
      <c r="H8" s="33"/>
    </row>
    <row r="9" spans="2:8" x14ac:dyDescent="0.25">
      <c r="B9" s="9"/>
      <c r="C9" t="s">
        <v>68</v>
      </c>
      <c r="H9" s="33">
        <v>16109318</v>
      </c>
    </row>
    <row r="10" spans="2:8" x14ac:dyDescent="0.25">
      <c r="B10" s="9"/>
      <c r="H10" s="33"/>
    </row>
    <row r="11" spans="2:8" x14ac:dyDescent="0.25">
      <c r="B11" s="9"/>
      <c r="C11" t="s">
        <v>69</v>
      </c>
      <c r="E11" s="33">
        <v>3138999</v>
      </c>
      <c r="F11" s="34">
        <v>0.89</v>
      </c>
      <c r="H11" s="33">
        <v>2793710</v>
      </c>
    </row>
    <row r="12" spans="2:8" x14ac:dyDescent="0.25">
      <c r="B12" s="9"/>
      <c r="C12" t="s">
        <v>69</v>
      </c>
      <c r="E12" s="33">
        <v>368994</v>
      </c>
      <c r="F12" s="18">
        <v>0.74</v>
      </c>
      <c r="H12" s="33">
        <v>273056</v>
      </c>
    </row>
    <row r="13" spans="2:8" x14ac:dyDescent="0.25">
      <c r="B13" s="9"/>
      <c r="H13" s="33"/>
    </row>
    <row r="14" spans="2:8" x14ac:dyDescent="0.25">
      <c r="B14" s="9"/>
      <c r="G14" s="5" t="s">
        <v>70</v>
      </c>
      <c r="H14" s="35">
        <v>19176084</v>
      </c>
    </row>
    <row r="15" spans="2:8" x14ac:dyDescent="0.25">
      <c r="B15" s="9"/>
      <c r="H15" s="33"/>
    </row>
    <row r="16" spans="2:8" x14ac:dyDescent="0.25">
      <c r="B16" s="9"/>
      <c r="C16" t="s">
        <v>71</v>
      </c>
      <c r="F16" s="18">
        <v>0.26500000000000001</v>
      </c>
      <c r="H16" s="33">
        <v>5081662</v>
      </c>
    </row>
    <row r="17" spans="2:8" x14ac:dyDescent="0.25">
      <c r="B17" s="9"/>
      <c r="C17" t="s">
        <v>72</v>
      </c>
      <c r="E17" s="36">
        <v>6913825.8503401354</v>
      </c>
      <c r="F17">
        <v>1.3605442176870748</v>
      </c>
      <c r="H17" s="33">
        <v>1832164</v>
      </c>
    </row>
    <row r="18" spans="2:8" x14ac:dyDescent="0.25">
      <c r="H18" s="33"/>
    </row>
    <row r="19" spans="2:8" ht="15.75" thickBot="1" x14ac:dyDescent="0.3">
      <c r="B19" s="32">
        <v>44196</v>
      </c>
      <c r="C19" t="s">
        <v>66</v>
      </c>
      <c r="H19" s="37">
        <v>26089910</v>
      </c>
    </row>
    <row r="20" spans="2:8" ht="15.75" thickTop="1" x14ac:dyDescent="0.25">
      <c r="G20" s="5"/>
      <c r="H20" s="33"/>
    </row>
    <row r="21" spans="2:8" x14ac:dyDescent="0.25">
      <c r="B21" t="s">
        <v>73</v>
      </c>
      <c r="G21" s="5"/>
      <c r="H21" s="33"/>
    </row>
    <row r="22" spans="2:8" x14ac:dyDescent="0.25">
      <c r="H22" s="33"/>
    </row>
    <row r="23" spans="2:8" x14ac:dyDescent="0.25">
      <c r="C23" t="s">
        <v>74</v>
      </c>
      <c r="H23" s="33">
        <v>0</v>
      </c>
    </row>
    <row r="24" spans="2:8" x14ac:dyDescent="0.25">
      <c r="H24" s="33"/>
    </row>
    <row r="25" spans="2:8" ht="15.75" thickBot="1" x14ac:dyDescent="0.3">
      <c r="B25" s="32">
        <v>44561</v>
      </c>
      <c r="C25" t="s">
        <v>66</v>
      </c>
      <c r="H25" s="37">
        <v>26089910</v>
      </c>
    </row>
    <row r="26" spans="2:8" ht="15.75" thickTop="1" x14ac:dyDescent="0.25">
      <c r="G26" s="5"/>
      <c r="H26" s="33"/>
    </row>
    <row r="27" spans="2:8" x14ac:dyDescent="0.25">
      <c r="B27" t="s">
        <v>75</v>
      </c>
      <c r="G27" s="5"/>
      <c r="H27" s="33"/>
    </row>
    <row r="28" spans="2:8" x14ac:dyDescent="0.25">
      <c r="H28" s="33"/>
    </row>
    <row r="29" spans="2:8" x14ac:dyDescent="0.25">
      <c r="C29" t="s">
        <v>74</v>
      </c>
      <c r="H29" s="33">
        <v>0</v>
      </c>
    </row>
    <row r="30" spans="2:8" x14ac:dyDescent="0.25">
      <c r="H30" s="33"/>
    </row>
    <row r="31" spans="2:8" ht="15.75" thickBot="1" x14ac:dyDescent="0.3">
      <c r="B31" s="32">
        <v>44926</v>
      </c>
      <c r="C31" t="s">
        <v>66</v>
      </c>
      <c r="H31" s="37">
        <v>26089910</v>
      </c>
    </row>
    <row r="32" spans="2:8" ht="15.75" thickTop="1" x14ac:dyDescent="0.25">
      <c r="H32" s="33"/>
    </row>
    <row r="33" spans="2:8" x14ac:dyDescent="0.25">
      <c r="B33" t="s">
        <v>76</v>
      </c>
      <c r="G33" s="5"/>
      <c r="H33" s="33"/>
    </row>
    <row r="34" spans="2:8" x14ac:dyDescent="0.25">
      <c r="H34" s="33"/>
    </row>
    <row r="35" spans="2:8" x14ac:dyDescent="0.25">
      <c r="C35" t="s">
        <v>74</v>
      </c>
      <c r="H35" s="33">
        <v>0</v>
      </c>
    </row>
    <row r="36" spans="2:8" x14ac:dyDescent="0.25">
      <c r="H36" s="33"/>
    </row>
    <row r="37" spans="2:8" ht="15.75" thickBot="1" x14ac:dyDescent="0.3">
      <c r="B37" s="32">
        <v>45291</v>
      </c>
      <c r="C37" t="s">
        <v>66</v>
      </c>
      <c r="H37" s="37">
        <v>26089910</v>
      </c>
    </row>
    <row r="38" spans="2:8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337E-98DB-409D-B35E-6556BC32D307}">
  <dimension ref="B2:J58"/>
  <sheetViews>
    <sheetView workbookViewId="0"/>
  </sheetViews>
  <sheetFormatPr defaultRowHeight="15" x14ac:dyDescent="0.25"/>
  <cols>
    <col min="2" max="2" width="40.42578125" bestFit="1" customWidth="1"/>
    <col min="3" max="3" width="36.28515625" bestFit="1" customWidth="1"/>
    <col min="5" max="5" width="13.28515625" bestFit="1" customWidth="1"/>
    <col min="6" max="6" width="12" bestFit="1" customWidth="1"/>
    <col min="7" max="7" width="8.28515625" bestFit="1" customWidth="1"/>
    <col min="8" max="8" width="13.28515625" bestFit="1" customWidth="1"/>
    <col min="10" max="10" width="13.28515625" bestFit="1" customWidth="1"/>
  </cols>
  <sheetData>
    <row r="2" spans="2:10" ht="18.75" x14ac:dyDescent="0.3">
      <c r="B2" s="29" t="s">
        <v>77</v>
      </c>
    </row>
    <row r="4" spans="2:10" x14ac:dyDescent="0.25">
      <c r="B4" s="30" t="s">
        <v>63</v>
      </c>
      <c r="C4" s="30" t="s">
        <v>64</v>
      </c>
      <c r="D4" s="31"/>
      <c r="E4" s="31"/>
      <c r="F4" s="31"/>
      <c r="G4" s="31"/>
      <c r="H4" s="30" t="s">
        <v>65</v>
      </c>
    </row>
    <row r="5" spans="2:10" x14ac:dyDescent="0.25">
      <c r="B5" s="32">
        <v>43830</v>
      </c>
      <c r="C5" t="s">
        <v>66</v>
      </c>
      <c r="H5" s="33">
        <v>0</v>
      </c>
    </row>
    <row r="6" spans="2:10" x14ac:dyDescent="0.25">
      <c r="H6" s="33"/>
    </row>
    <row r="7" spans="2:10" x14ac:dyDescent="0.25">
      <c r="B7" t="s">
        <v>67</v>
      </c>
      <c r="H7" s="33"/>
    </row>
    <row r="8" spans="2:10" x14ac:dyDescent="0.25">
      <c r="H8" s="33"/>
    </row>
    <row r="9" spans="2:10" x14ac:dyDescent="0.25">
      <c r="B9" s="9"/>
      <c r="C9" t="s">
        <v>78</v>
      </c>
      <c r="H9" s="33">
        <v>1265536</v>
      </c>
      <c r="J9" s="36">
        <f>H9</f>
        <v>1265536</v>
      </c>
    </row>
    <row r="10" spans="2:10" x14ac:dyDescent="0.25">
      <c r="B10" s="9"/>
      <c r="H10" s="33"/>
    </row>
    <row r="11" spans="2:10" x14ac:dyDescent="0.25">
      <c r="B11" s="9"/>
      <c r="C11" t="s">
        <v>79</v>
      </c>
      <c r="E11" s="33">
        <v>380629</v>
      </c>
      <c r="F11" s="18">
        <v>0.74</v>
      </c>
      <c r="H11" s="33">
        <v>281665</v>
      </c>
      <c r="J11" s="36">
        <f>H11</f>
        <v>281665</v>
      </c>
    </row>
    <row r="12" spans="2:10" x14ac:dyDescent="0.25">
      <c r="B12" s="9"/>
      <c r="H12" s="33"/>
    </row>
    <row r="13" spans="2:10" x14ac:dyDescent="0.25">
      <c r="B13" s="9"/>
      <c r="G13" s="5" t="s">
        <v>70</v>
      </c>
      <c r="H13" s="35">
        <v>1547201</v>
      </c>
    </row>
    <row r="14" spans="2:10" x14ac:dyDescent="0.25">
      <c r="B14" s="9"/>
      <c r="H14" s="33"/>
    </row>
    <row r="15" spans="2:10" x14ac:dyDescent="0.25">
      <c r="B15" s="9"/>
      <c r="C15" t="s">
        <v>80</v>
      </c>
      <c r="F15" s="18">
        <v>0.26500000000000001</v>
      </c>
      <c r="H15" s="33">
        <v>410008</v>
      </c>
    </row>
    <row r="16" spans="2:10" x14ac:dyDescent="0.25">
      <c r="B16" s="9"/>
      <c r="C16" t="s">
        <v>81</v>
      </c>
      <c r="E16" s="36">
        <v>557834.01360544213</v>
      </c>
      <c r="F16">
        <v>1.3605442176870748</v>
      </c>
      <c r="H16" s="33">
        <v>147826</v>
      </c>
    </row>
    <row r="17" spans="2:10" x14ac:dyDescent="0.25">
      <c r="H17" s="33"/>
    </row>
    <row r="18" spans="2:10" ht="15.75" thickBot="1" x14ac:dyDescent="0.3">
      <c r="B18" s="32">
        <v>44196</v>
      </c>
      <c r="C18" t="s">
        <v>66</v>
      </c>
      <c r="H18" s="37">
        <v>2105035</v>
      </c>
    </row>
    <row r="19" spans="2:10" ht="15.75" thickTop="1" x14ac:dyDescent="0.25">
      <c r="G19" s="5"/>
      <c r="H19" s="33"/>
    </row>
    <row r="20" spans="2:10" x14ac:dyDescent="0.25">
      <c r="B20" t="s">
        <v>73</v>
      </c>
      <c r="G20" s="5"/>
      <c r="H20" s="33"/>
    </row>
    <row r="21" spans="2:10" x14ac:dyDescent="0.25">
      <c r="H21" s="33"/>
    </row>
    <row r="22" spans="2:10" x14ac:dyDescent="0.25">
      <c r="B22" s="9"/>
      <c r="C22" t="s">
        <v>78</v>
      </c>
      <c r="H22" s="33">
        <v>-993633</v>
      </c>
      <c r="J22" s="36">
        <f>H22</f>
        <v>-993633</v>
      </c>
    </row>
    <row r="23" spans="2:10" x14ac:dyDescent="0.25">
      <c r="B23" s="9"/>
      <c r="H23" s="33"/>
    </row>
    <row r="24" spans="2:10" x14ac:dyDescent="0.25">
      <c r="B24" s="9"/>
      <c r="C24" t="s">
        <v>79</v>
      </c>
      <c r="E24" s="33">
        <v>-310192</v>
      </c>
      <c r="F24" s="18">
        <v>0.74</v>
      </c>
      <c r="H24" s="33">
        <v>-229542</v>
      </c>
      <c r="J24" s="36">
        <f>H24</f>
        <v>-229542</v>
      </c>
    </row>
    <row r="25" spans="2:10" x14ac:dyDescent="0.25">
      <c r="B25" s="9"/>
      <c r="H25" s="33"/>
    </row>
    <row r="26" spans="2:10" x14ac:dyDescent="0.25">
      <c r="B26" s="9"/>
      <c r="G26" s="5" t="s">
        <v>70</v>
      </c>
      <c r="H26" s="35">
        <v>-1223175</v>
      </c>
    </row>
    <row r="27" spans="2:10" x14ac:dyDescent="0.25">
      <c r="B27" s="9"/>
      <c r="H27" s="33"/>
    </row>
    <row r="28" spans="2:10" x14ac:dyDescent="0.25">
      <c r="B28" s="9"/>
      <c r="C28" t="s">
        <v>80</v>
      </c>
      <c r="F28" s="18">
        <v>0.26500000000000001</v>
      </c>
      <c r="H28" s="33">
        <v>-324141</v>
      </c>
    </row>
    <row r="29" spans="2:10" x14ac:dyDescent="0.25">
      <c r="B29" s="9"/>
      <c r="C29" t="s">
        <v>81</v>
      </c>
      <c r="E29" s="36">
        <v>-441008.1632653061</v>
      </c>
      <c r="F29">
        <v>1.3605442176870748</v>
      </c>
      <c r="H29" s="33">
        <v>-116867</v>
      </c>
    </row>
    <row r="30" spans="2:10" x14ac:dyDescent="0.25">
      <c r="H30" s="33"/>
    </row>
    <row r="31" spans="2:10" ht="15.75" thickBot="1" x14ac:dyDescent="0.3">
      <c r="B31" s="32">
        <v>44561</v>
      </c>
      <c r="C31" t="s">
        <v>66</v>
      </c>
      <c r="H31" s="37">
        <v>440852</v>
      </c>
    </row>
    <row r="32" spans="2:10" ht="15.75" thickTop="1" x14ac:dyDescent="0.25">
      <c r="G32" s="5"/>
      <c r="H32" s="33"/>
    </row>
    <row r="33" spans="2:10" x14ac:dyDescent="0.25">
      <c r="B33" t="s">
        <v>75</v>
      </c>
      <c r="G33" s="5"/>
      <c r="H33" s="33"/>
    </row>
    <row r="34" spans="2:10" x14ac:dyDescent="0.25">
      <c r="H34" s="33"/>
    </row>
    <row r="35" spans="2:10" x14ac:dyDescent="0.25">
      <c r="B35" s="9"/>
      <c r="C35" t="s">
        <v>78</v>
      </c>
      <c r="H35" s="33">
        <v>-5284414</v>
      </c>
      <c r="J35" s="36">
        <f>H35</f>
        <v>-5284414</v>
      </c>
    </row>
    <row r="36" spans="2:10" x14ac:dyDescent="0.25">
      <c r="B36" s="9"/>
      <c r="H36" s="33"/>
    </row>
    <row r="37" spans="2:10" x14ac:dyDescent="0.25">
      <c r="B37" s="9"/>
      <c r="C37" t="s">
        <v>79</v>
      </c>
      <c r="E37" s="33">
        <v>-1373426</v>
      </c>
      <c r="F37" s="18">
        <v>0.76</v>
      </c>
      <c r="H37" s="33">
        <v>-1043804</v>
      </c>
      <c r="J37" s="36">
        <f>H37</f>
        <v>-1043804</v>
      </c>
    </row>
    <row r="38" spans="2:10" x14ac:dyDescent="0.25">
      <c r="B38" s="9"/>
      <c r="H38" s="33"/>
    </row>
    <row r="39" spans="2:10" x14ac:dyDescent="0.25">
      <c r="B39" s="9"/>
      <c r="G39" s="5" t="s">
        <v>70</v>
      </c>
      <c r="H39" s="35">
        <v>-6328218</v>
      </c>
    </row>
    <row r="40" spans="2:10" x14ac:dyDescent="0.25">
      <c r="B40" s="9"/>
      <c r="H40" s="33"/>
    </row>
    <row r="41" spans="2:10" x14ac:dyDescent="0.25">
      <c r="B41" s="9"/>
      <c r="C41" t="s">
        <v>80</v>
      </c>
      <c r="F41" s="18">
        <v>0.26500000000000001</v>
      </c>
      <c r="H41" s="33">
        <v>-1676978</v>
      </c>
    </row>
    <row r="42" spans="2:10" x14ac:dyDescent="0.25">
      <c r="B42" s="9"/>
      <c r="C42" t="s">
        <v>81</v>
      </c>
      <c r="E42" s="36">
        <v>-2281602.7210884355</v>
      </c>
      <c r="F42">
        <v>1.3605442176870748</v>
      </c>
      <c r="H42" s="33">
        <v>-604625</v>
      </c>
    </row>
    <row r="43" spans="2:10" x14ac:dyDescent="0.25">
      <c r="H43" s="33"/>
    </row>
    <row r="44" spans="2:10" ht="15.75" thickBot="1" x14ac:dyDescent="0.3">
      <c r="B44" s="32">
        <v>44926</v>
      </c>
      <c r="C44" t="s">
        <v>66</v>
      </c>
      <c r="H44" s="37">
        <v>-8168969</v>
      </c>
    </row>
    <row r="45" spans="2:10" ht="15.75" thickTop="1" x14ac:dyDescent="0.25">
      <c r="H45" s="33"/>
    </row>
    <row r="46" spans="2:10" x14ac:dyDescent="0.25">
      <c r="B46" t="s">
        <v>76</v>
      </c>
      <c r="G46" s="5"/>
      <c r="H46" s="33"/>
    </row>
    <row r="47" spans="2:10" x14ac:dyDescent="0.25">
      <c r="H47" s="33"/>
    </row>
    <row r="48" spans="2:10" x14ac:dyDescent="0.25">
      <c r="B48" s="9"/>
      <c r="C48" t="s">
        <v>78</v>
      </c>
      <c r="H48" s="33">
        <v>558068</v>
      </c>
      <c r="J48" s="36">
        <f>H48</f>
        <v>558068</v>
      </c>
    </row>
    <row r="49" spans="2:10" x14ac:dyDescent="0.25">
      <c r="B49" s="9"/>
      <c r="H49" s="33"/>
    </row>
    <row r="50" spans="2:10" x14ac:dyDescent="0.25">
      <c r="B50" s="9"/>
      <c r="C50" t="s">
        <v>79</v>
      </c>
      <c r="E50" s="33">
        <v>185212</v>
      </c>
      <c r="F50" s="18">
        <v>0.76</v>
      </c>
      <c r="H50" s="33">
        <v>140761</v>
      </c>
      <c r="J50" s="36">
        <f>H50</f>
        <v>140761</v>
      </c>
    </row>
    <row r="51" spans="2:10" x14ac:dyDescent="0.25">
      <c r="B51" s="9"/>
      <c r="H51" s="33"/>
    </row>
    <row r="52" spans="2:10" x14ac:dyDescent="0.25">
      <c r="B52" s="9"/>
      <c r="G52" s="5" t="s">
        <v>70</v>
      </c>
      <c r="H52" s="35">
        <v>698829</v>
      </c>
    </row>
    <row r="53" spans="2:10" x14ac:dyDescent="0.25">
      <c r="B53" s="9"/>
      <c r="H53" s="33"/>
    </row>
    <row r="54" spans="2:10" x14ac:dyDescent="0.25">
      <c r="B54" s="9"/>
      <c r="C54" t="s">
        <v>80</v>
      </c>
      <c r="F54" s="18">
        <v>0.26500000000000001</v>
      </c>
      <c r="H54" s="33">
        <v>185190</v>
      </c>
    </row>
    <row r="55" spans="2:10" x14ac:dyDescent="0.25">
      <c r="B55" s="9"/>
      <c r="C55" t="s">
        <v>81</v>
      </c>
      <c r="E55" s="36">
        <v>251959.18367346938</v>
      </c>
      <c r="F55">
        <v>1.3605442176870748</v>
      </c>
      <c r="H55" s="33">
        <v>66769</v>
      </c>
    </row>
    <row r="56" spans="2:10" x14ac:dyDescent="0.25">
      <c r="H56" s="33"/>
    </row>
    <row r="57" spans="2:10" ht="15.75" thickBot="1" x14ac:dyDescent="0.3">
      <c r="B57" s="32">
        <v>45291</v>
      </c>
      <c r="C57" t="s">
        <v>66</v>
      </c>
      <c r="H57" s="37">
        <v>-7218181</v>
      </c>
      <c r="J57" s="36">
        <f>SUM(J9:J55)</f>
        <v>-5305363</v>
      </c>
    </row>
    <row r="58" spans="2:10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604D-878C-499D-80C5-86CA400EDCC1}">
  <dimension ref="B2:J24"/>
  <sheetViews>
    <sheetView workbookViewId="0"/>
  </sheetViews>
  <sheetFormatPr defaultRowHeight="15" x14ac:dyDescent="0.25"/>
  <cols>
    <col min="9" max="10" width="14.28515625" bestFit="1" customWidth="1"/>
  </cols>
  <sheetData>
    <row r="2" spans="2:10" x14ac:dyDescent="0.25">
      <c r="I2" t="s">
        <v>84</v>
      </c>
      <c r="J2" t="s">
        <v>65</v>
      </c>
    </row>
    <row r="4" spans="2:10" ht="15.75" thickBot="1" x14ac:dyDescent="0.3">
      <c r="B4" t="s">
        <v>82</v>
      </c>
      <c r="J4" s="38">
        <f>Transitional!H37+'Gain Loss'!H57</f>
        <v>18871729</v>
      </c>
    </row>
    <row r="6" spans="2:10" x14ac:dyDescent="0.25">
      <c r="B6" t="s">
        <v>83</v>
      </c>
      <c r="I6" s="36">
        <f>-$J$4/10</f>
        <v>-1887172.9</v>
      </c>
      <c r="J6" s="11">
        <f>J4+I6</f>
        <v>16984556.100000001</v>
      </c>
    </row>
    <row r="8" spans="2:10" x14ac:dyDescent="0.25">
      <c r="B8" t="s">
        <v>85</v>
      </c>
      <c r="I8" s="36">
        <f>-$J$4/10</f>
        <v>-1887172.9</v>
      </c>
      <c r="J8" s="11">
        <f>J6+I8</f>
        <v>15097383.200000001</v>
      </c>
    </row>
    <row r="10" spans="2:10" x14ac:dyDescent="0.25">
      <c r="B10" t="s">
        <v>86</v>
      </c>
      <c r="I10" s="36">
        <f>-$J$4/10</f>
        <v>-1887172.9</v>
      </c>
      <c r="J10" s="11">
        <f>J8+I10</f>
        <v>13210210.300000001</v>
      </c>
    </row>
    <row r="12" spans="2:10" x14ac:dyDescent="0.25">
      <c r="B12" t="s">
        <v>87</v>
      </c>
      <c r="I12" s="36">
        <f>-$J$4/10</f>
        <v>-1887172.9</v>
      </c>
      <c r="J12" s="11">
        <f>J10+I12</f>
        <v>11323037.4</v>
      </c>
    </row>
    <row r="14" spans="2:10" x14ac:dyDescent="0.25">
      <c r="B14" t="s">
        <v>88</v>
      </c>
      <c r="I14" s="36">
        <f>-$J$4/10</f>
        <v>-1887172.9</v>
      </c>
      <c r="J14" s="11">
        <f>J12+I14</f>
        <v>9435864.5</v>
      </c>
    </row>
    <row r="16" spans="2:10" x14ac:dyDescent="0.25">
      <c r="B16" t="s">
        <v>89</v>
      </c>
      <c r="I16" s="36">
        <f>-$J$4/10</f>
        <v>-1887172.9</v>
      </c>
      <c r="J16" s="11">
        <f>J14+I16</f>
        <v>7548691.5999999996</v>
      </c>
    </row>
    <row r="18" spans="2:10" x14ac:dyDescent="0.25">
      <c r="B18" t="s">
        <v>90</v>
      </c>
      <c r="I18" s="36">
        <f>-$J$4/10</f>
        <v>-1887172.9</v>
      </c>
      <c r="J18" s="11">
        <f>J16+I18</f>
        <v>5661518.6999999993</v>
      </c>
    </row>
    <row r="20" spans="2:10" x14ac:dyDescent="0.25">
      <c r="B20" t="s">
        <v>91</v>
      </c>
      <c r="I20" s="36">
        <f>-$J$4/10</f>
        <v>-1887172.9</v>
      </c>
      <c r="J20" s="11">
        <f>J18+I20</f>
        <v>3774345.7999999993</v>
      </c>
    </row>
    <row r="22" spans="2:10" x14ac:dyDescent="0.25">
      <c r="B22" t="s">
        <v>92</v>
      </c>
      <c r="I22" s="36">
        <f>-$J$4/10</f>
        <v>-1887172.9</v>
      </c>
      <c r="J22" s="11">
        <f>J20+I22</f>
        <v>1887172.8999999994</v>
      </c>
    </row>
    <row r="24" spans="2:10" ht="15.75" thickBot="1" x14ac:dyDescent="0.3">
      <c r="B24" t="s">
        <v>93</v>
      </c>
      <c r="I24" s="36">
        <f>-$J$4/10</f>
        <v>-1887172.9</v>
      </c>
      <c r="J24" s="39">
        <f>J22+I24</f>
        <v>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Appendix A</vt:lpstr>
      <vt:lpstr>Appendix B</vt:lpstr>
      <vt:lpstr>Appendix C</vt:lpstr>
      <vt:lpstr>Appendix D</vt:lpstr>
      <vt:lpstr>Transitional</vt:lpstr>
      <vt:lpstr>Gain Loss</vt:lpstr>
      <vt:lpstr>Recovery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Chisholm, David</dc:creator>
  <cp:lastModifiedBy>Chisholm, David</cp:lastModifiedBy>
  <dcterms:created xsi:type="dcterms:W3CDTF">2025-05-29T17:26:52Z</dcterms:created>
  <dcterms:modified xsi:type="dcterms:W3CDTF">2025-06-13T16:21:09Z</dcterms:modified>
</cp:coreProperties>
</file>