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ustomProperty1.bin" ContentType="application/vnd.openxmlformats-officedocument.spreadsheetml.customProperty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T:\2024 Rebasing\2024 Cost of Service\16. Phase 3 Interrogatories\IGUA\IGUA-3\"/>
    </mc:Choice>
  </mc:AlternateContent>
  <xr:revisionPtr revIDLastSave="2" documentId="13_ncr:1_{3F490957-F1A4-4C94-A264-EBDE380A46F7}" xr6:coauthVersionLast="47" xr6:coauthVersionMax="47" xr10:uidLastSave="{1E963E31-EB8D-4605-B27B-DF108CA6EEFC}"/>
  <workbookProtection workbookAlgorithmName="SHA-512" workbookHashValue="T7EriLJX+m2DnFuWtR/5XYNK9Q6fh25zd1vGrM7ARS9CGWBbw3/S64INkNrz8X6afvQMHcRpkj5NmjKMOKxYvw==" workbookSaltValue="/dnTBYRXgvq0OB5m0mgcQA==" workbookSpinCount="100000" lockStructure="1"/>
  <bookViews>
    <workbookView xWindow="-108" yWindow="-108" windowWidth="23256" windowHeight="12456" tabRatio="706" activeTab="2" xr2:uid="{7A25A2CE-80EC-4B0A-B702-32794FC4709B}"/>
  </bookViews>
  <sheets>
    <sheet name="inputs" sheetId="3" r:id="rId1"/>
    <sheet name="E01" sheetId="18" r:id="rId2"/>
    <sheet name="E02" sheetId="19" r:id="rId3"/>
    <sheet name="E10" sheetId="1" r:id="rId4"/>
    <sheet name="E30" sheetId="7" r:id="rId5"/>
    <sheet name="E34" sheetId="9" r:id="rId6"/>
    <sheet name="E20" sheetId="13" r:id="rId7"/>
    <sheet name="E22" sheetId="15" r:id="rId8"/>
    <sheet name="E24" sheetId="17" r:id="rId9"/>
  </sheets>
  <definedNames>
    <definedName name="rates">inputs!$C$6:$J$15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1" i="3"/>
  <c r="I2" i="7" l="1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S2" i="9" l="1"/>
  <c r="S3" i="9"/>
  <c r="S4" i="9"/>
  <c r="S5" i="9"/>
  <c r="S6" i="9"/>
  <c r="S7" i="9"/>
  <c r="S8" i="9"/>
  <c r="N15" i="3"/>
  <c r="J15" i="3"/>
  <c r="N14" i="3" l="1"/>
  <c r="J14" i="3"/>
  <c r="J12" i="3"/>
  <c r="J11" i="3"/>
  <c r="N11" i="3"/>
  <c r="J13" i="3"/>
  <c r="S7" i="19" l="1"/>
  <c r="S8" i="19"/>
  <c r="G14" i="18"/>
  <c r="S4" i="18"/>
  <c r="S3" i="18" l="1"/>
  <c r="S5" i="19"/>
  <c r="S6" i="19"/>
  <c r="S3" i="19"/>
  <c r="S2" i="18"/>
  <c r="S6" i="18"/>
  <c r="S9" i="18"/>
  <c r="S4" i="19"/>
  <c r="S9" i="19"/>
  <c r="S11" i="19"/>
  <c r="S10" i="19"/>
  <c r="S15" i="18"/>
  <c r="G15" i="18"/>
  <c r="S14" i="18"/>
  <c r="S8" i="18"/>
  <c r="S10" i="18"/>
  <c r="S12" i="18"/>
  <c r="S13" i="18"/>
  <c r="S11" i="18"/>
  <c r="S7" i="18"/>
  <c r="S5" i="18"/>
  <c r="S2" i="19" l="1"/>
  <c r="G8" i="19" l="1"/>
  <c r="G11" i="19"/>
  <c r="G9" i="19"/>
  <c r="G7" i="19"/>
  <c r="G3" i="19"/>
  <c r="G2" i="19"/>
  <c r="G6" i="19" l="1"/>
  <c r="G5" i="19"/>
  <c r="G4" i="19"/>
  <c r="G10" i="19"/>
  <c r="I12" i="15" l="1"/>
  <c r="I4" i="15"/>
  <c r="J6" i="17"/>
  <c r="H5" i="15"/>
  <c r="I5" i="15"/>
  <c r="H12" i="15"/>
  <c r="J8" i="17"/>
  <c r="J5" i="17"/>
  <c r="K8" i="15"/>
  <c r="K3" i="13"/>
  <c r="K14" i="18" l="1"/>
  <c r="W14" i="18" s="1"/>
  <c r="K15" i="18"/>
  <c r="W15" i="18" s="1"/>
  <c r="L14" i="18"/>
  <c r="X14" i="18" s="1"/>
  <c r="L15" i="18"/>
  <c r="X15" i="18" s="1"/>
  <c r="H9" i="19"/>
  <c r="H2" i="19"/>
  <c r="H4" i="19"/>
  <c r="H10" i="19"/>
  <c r="H6" i="19"/>
  <c r="H3" i="19"/>
  <c r="H5" i="19"/>
  <c r="H7" i="19"/>
  <c r="H8" i="19"/>
  <c r="H11" i="19"/>
  <c r="I9" i="19"/>
  <c r="V9" i="19" s="1"/>
  <c r="I3" i="19"/>
  <c r="V3" i="19" s="1"/>
  <c r="I8" i="19"/>
  <c r="V8" i="19" s="1"/>
  <c r="I2" i="19"/>
  <c r="V2" i="19" s="1"/>
  <c r="I11" i="19"/>
  <c r="V11" i="19" s="1"/>
  <c r="I10" i="19"/>
  <c r="V10" i="19" s="1"/>
  <c r="I7" i="19"/>
  <c r="V7" i="19" s="1"/>
  <c r="I6" i="19"/>
  <c r="V6" i="19" s="1"/>
  <c r="I4" i="19"/>
  <c r="V4" i="19" s="1"/>
  <c r="I5" i="19"/>
  <c r="V5" i="19" s="1"/>
  <c r="J3" i="19"/>
  <c r="U3" i="19" s="1"/>
  <c r="J4" i="19"/>
  <c r="U4" i="19" s="1"/>
  <c r="J10" i="19"/>
  <c r="U10" i="19" s="1"/>
  <c r="J6" i="19"/>
  <c r="U6" i="19" s="1"/>
  <c r="J7" i="19"/>
  <c r="U7" i="19" s="1"/>
  <c r="J8" i="19"/>
  <c r="U8" i="19" s="1"/>
  <c r="J5" i="19"/>
  <c r="U5" i="19" s="1"/>
  <c r="J9" i="19"/>
  <c r="U9" i="19" s="1"/>
  <c r="J2" i="19"/>
  <c r="U2" i="19" s="1"/>
  <c r="J11" i="19"/>
  <c r="U11" i="19" s="1"/>
  <c r="J14" i="18"/>
  <c r="U14" i="18" s="1"/>
  <c r="J15" i="18"/>
  <c r="U15" i="18" s="1"/>
  <c r="J5" i="18"/>
  <c r="U5" i="18" s="1"/>
  <c r="J2" i="18"/>
  <c r="U2" i="18" s="1"/>
  <c r="J8" i="18"/>
  <c r="U8" i="18" s="1"/>
  <c r="J11" i="18"/>
  <c r="U11" i="18" s="1"/>
  <c r="K3" i="19"/>
  <c r="W3" i="19" s="1"/>
  <c r="K5" i="19"/>
  <c r="W5" i="19" s="1"/>
  <c r="K8" i="19"/>
  <c r="W8" i="19" s="1"/>
  <c r="K4" i="19"/>
  <c r="W4" i="19" s="1"/>
  <c r="K10" i="19"/>
  <c r="W10" i="19" s="1"/>
  <c r="K9" i="19"/>
  <c r="W9" i="19" s="1"/>
  <c r="K2" i="19"/>
  <c r="W2" i="19" s="1"/>
  <c r="K7" i="19"/>
  <c r="W7" i="19" s="1"/>
  <c r="K11" i="19"/>
  <c r="W11" i="19" s="1"/>
  <c r="K6" i="19"/>
  <c r="W6" i="19" s="1"/>
  <c r="H15" i="18"/>
  <c r="H14" i="18"/>
  <c r="I3" i="18"/>
  <c r="V3" i="18" s="1"/>
  <c r="I15" i="18"/>
  <c r="V15" i="18" s="1"/>
  <c r="I14" i="18"/>
  <c r="V14" i="18" s="1"/>
  <c r="L11" i="19"/>
  <c r="X11" i="19" s="1"/>
  <c r="L6" i="19"/>
  <c r="X6" i="19" s="1"/>
  <c r="L3" i="19"/>
  <c r="X3" i="19" s="1"/>
  <c r="L9" i="19"/>
  <c r="X9" i="19" s="1"/>
  <c r="L10" i="19"/>
  <c r="X10" i="19" s="1"/>
  <c r="L7" i="19"/>
  <c r="X7" i="19" s="1"/>
  <c r="L2" i="19"/>
  <c r="X2" i="19" s="1"/>
  <c r="L4" i="19"/>
  <c r="X4" i="19" s="1"/>
  <c r="L8" i="19"/>
  <c r="X8" i="19" s="1"/>
  <c r="L5" i="19"/>
  <c r="X5" i="19" s="1"/>
  <c r="L3" i="18"/>
  <c r="X3" i="18" s="1"/>
  <c r="H10" i="18"/>
  <c r="T10" i="18" s="1"/>
  <c r="H5" i="18"/>
  <c r="H9" i="18"/>
  <c r="T9" i="18" s="1"/>
  <c r="H4" i="18"/>
  <c r="T4" i="18" s="1"/>
  <c r="H3" i="18"/>
  <c r="T3" i="18" s="1"/>
  <c r="H12" i="18"/>
  <c r="T12" i="18" s="1"/>
  <c r="H8" i="18"/>
  <c r="H2" i="18"/>
  <c r="H7" i="18"/>
  <c r="T7" i="18" s="1"/>
  <c r="H13" i="18"/>
  <c r="T13" i="18" s="1"/>
  <c r="H11" i="18"/>
  <c r="T11" i="18" s="1"/>
  <c r="H6" i="18"/>
  <c r="T6" i="18" s="1"/>
  <c r="K4" i="18"/>
  <c r="W4" i="18" s="1"/>
  <c r="K3" i="18"/>
  <c r="W3" i="18" s="1"/>
  <c r="I4" i="18"/>
  <c r="L4" i="18"/>
  <c r="X4" i="18" s="1"/>
  <c r="K7" i="18"/>
  <c r="W7" i="18" s="1"/>
  <c r="L7" i="18"/>
  <c r="X7" i="18" s="1"/>
  <c r="I7" i="18"/>
  <c r="I13" i="18"/>
  <c r="L13" i="18"/>
  <c r="X13" i="18" s="1"/>
  <c r="K13" i="18"/>
  <c r="W13" i="18" s="1"/>
  <c r="I2" i="18"/>
  <c r="L2" i="18"/>
  <c r="X2" i="18" s="1"/>
  <c r="G2" i="18"/>
  <c r="K2" i="18"/>
  <c r="W2" i="18" s="1"/>
  <c r="K5" i="18"/>
  <c r="W5" i="18" s="1"/>
  <c r="L5" i="18"/>
  <c r="X5" i="18" s="1"/>
  <c r="I5" i="18"/>
  <c r="G5" i="18"/>
  <c r="K9" i="18"/>
  <c r="W9" i="18" s="1"/>
  <c r="L9" i="18"/>
  <c r="X9" i="18" s="1"/>
  <c r="I9" i="18"/>
  <c r="I12" i="18"/>
  <c r="L12" i="18"/>
  <c r="X12" i="18" s="1"/>
  <c r="K12" i="18"/>
  <c r="W12" i="18" s="1"/>
  <c r="K8" i="18"/>
  <c r="W8" i="18" s="1"/>
  <c r="I8" i="18"/>
  <c r="G8" i="18"/>
  <c r="L8" i="18"/>
  <c r="X8" i="18" s="1"/>
  <c r="K6" i="18"/>
  <c r="W6" i="18" s="1"/>
  <c r="I6" i="18"/>
  <c r="L6" i="18"/>
  <c r="X6" i="18" s="1"/>
  <c r="K10" i="18"/>
  <c r="W10" i="18" s="1"/>
  <c r="L10" i="18"/>
  <c r="X10" i="18" s="1"/>
  <c r="I10" i="18"/>
  <c r="H4" i="15"/>
  <c r="K9" i="13"/>
  <c r="K5" i="15"/>
  <c r="W5" i="15" s="1"/>
  <c r="N9" i="15"/>
  <c r="X9" i="15" s="1"/>
  <c r="K6" i="17"/>
  <c r="U6" i="17" s="1"/>
  <c r="K11" i="13"/>
  <c r="K2" i="15"/>
  <c r="W2" i="15" s="1"/>
  <c r="J7" i="17"/>
  <c r="S7" i="17" s="1"/>
  <c r="K6" i="13"/>
  <c r="J3" i="17"/>
  <c r="S3" i="17" s="1"/>
  <c r="J4" i="17"/>
  <c r="S4" i="17" s="1"/>
  <c r="H8" i="17"/>
  <c r="H7" i="17"/>
  <c r="H3" i="17"/>
  <c r="H2" i="17"/>
  <c r="H5" i="17"/>
  <c r="H6" i="17"/>
  <c r="H4" i="17"/>
  <c r="J2" i="17"/>
  <c r="S2" i="17" s="1"/>
  <c r="J6" i="15"/>
  <c r="J5" i="15"/>
  <c r="J12" i="15"/>
  <c r="J4" i="15"/>
  <c r="J10" i="15"/>
  <c r="J9" i="15"/>
  <c r="J8" i="15"/>
  <c r="J11" i="15"/>
  <c r="J3" i="15"/>
  <c r="J7" i="15"/>
  <c r="J2" i="15"/>
  <c r="Q7" i="17"/>
  <c r="Q6" i="17"/>
  <c r="Q3" i="17"/>
  <c r="S6" i="17"/>
  <c r="Q8" i="17"/>
  <c r="G8" i="17"/>
  <c r="G7" i="17"/>
  <c r="S5" i="17"/>
  <c r="G6" i="17"/>
  <c r="G3" i="17"/>
  <c r="Q4" i="17"/>
  <c r="Q2" i="17"/>
  <c r="G4" i="17"/>
  <c r="K4" i="17"/>
  <c r="U4" i="17" s="1"/>
  <c r="G2" i="17"/>
  <c r="Q5" i="17"/>
  <c r="G5" i="17"/>
  <c r="S8" i="17"/>
  <c r="K6" i="15"/>
  <c r="W6" i="15" s="1"/>
  <c r="I10" i="15"/>
  <c r="M10" i="15" s="1"/>
  <c r="H10" i="15"/>
  <c r="L10" i="15" s="1"/>
  <c r="H9" i="15"/>
  <c r="L9" i="15" s="1"/>
  <c r="I9" i="15"/>
  <c r="M9" i="15" s="1"/>
  <c r="I3" i="15"/>
  <c r="M3" i="15" s="1"/>
  <c r="H3" i="15"/>
  <c r="L3" i="15" s="1"/>
  <c r="I8" i="15"/>
  <c r="M8" i="15" s="1"/>
  <c r="H8" i="15"/>
  <c r="L8" i="15" s="1"/>
  <c r="I2" i="15"/>
  <c r="M2" i="15" s="1"/>
  <c r="H2" i="15"/>
  <c r="I11" i="15"/>
  <c r="M11" i="15" s="1"/>
  <c r="H11" i="15"/>
  <c r="H6" i="15"/>
  <c r="L6" i="15" s="1"/>
  <c r="I6" i="15"/>
  <c r="M6" i="15" s="1"/>
  <c r="H7" i="15"/>
  <c r="L7" i="15" s="1"/>
  <c r="I7" i="15"/>
  <c r="M7" i="15" s="1"/>
  <c r="G8" i="15"/>
  <c r="T5" i="15"/>
  <c r="T6" i="15"/>
  <c r="G6" i="15"/>
  <c r="G5" i="15"/>
  <c r="G2" i="15"/>
  <c r="T2" i="15"/>
  <c r="T9" i="15"/>
  <c r="T10" i="15"/>
  <c r="M5" i="15"/>
  <c r="L5" i="15"/>
  <c r="K10" i="15"/>
  <c r="W10" i="15" s="1"/>
  <c r="T11" i="15"/>
  <c r="K9" i="15"/>
  <c r="W9" i="15" s="1"/>
  <c r="G9" i="15"/>
  <c r="G10" i="15"/>
  <c r="T12" i="15"/>
  <c r="M4" i="15"/>
  <c r="G3" i="15"/>
  <c r="K3" i="15"/>
  <c r="W8" i="15"/>
  <c r="T3" i="15"/>
  <c r="K4" i="15"/>
  <c r="G4" i="15"/>
  <c r="G11" i="15"/>
  <c r="K11" i="15"/>
  <c r="T7" i="15"/>
  <c r="M12" i="15"/>
  <c r="L12" i="15"/>
  <c r="T8" i="15"/>
  <c r="G7" i="15"/>
  <c r="K7" i="15"/>
  <c r="G12" i="15"/>
  <c r="K12" i="15"/>
  <c r="T4" i="15"/>
  <c r="H8" i="13"/>
  <c r="I8" i="13" s="1"/>
  <c r="J8" i="13"/>
  <c r="O8" i="13" s="1"/>
  <c r="H13" i="13"/>
  <c r="I13" i="13" s="1"/>
  <c r="J13" i="13"/>
  <c r="O13" i="13" s="1"/>
  <c r="H9" i="13"/>
  <c r="M9" i="13" s="1"/>
  <c r="H5" i="13"/>
  <c r="I5" i="13" s="1"/>
  <c r="J5" i="13"/>
  <c r="O5" i="13" s="1"/>
  <c r="H6" i="13"/>
  <c r="I6" i="13" s="1"/>
  <c r="J6" i="13"/>
  <c r="O6" i="13" s="1"/>
  <c r="G13" i="13"/>
  <c r="I3" i="17"/>
  <c r="T3" i="17" s="1"/>
  <c r="K4" i="13"/>
  <c r="K7" i="13"/>
  <c r="K12" i="13"/>
  <c r="K2" i="13"/>
  <c r="K10" i="13"/>
  <c r="P10" i="13"/>
  <c r="K5" i="13"/>
  <c r="K8" i="13"/>
  <c r="K13" i="13"/>
  <c r="K2" i="17"/>
  <c r="U2" i="17" s="1"/>
  <c r="V9" i="13"/>
  <c r="Z10" i="13" l="1"/>
  <c r="V3" i="13"/>
  <c r="L4" i="15"/>
  <c r="V4" i="15" s="1"/>
  <c r="T10" i="19"/>
  <c r="M10" i="19"/>
  <c r="Y10" i="19" s="1"/>
  <c r="Z10" i="19" s="1"/>
  <c r="T4" i="19"/>
  <c r="M4" i="19"/>
  <c r="Y4" i="19" s="1"/>
  <c r="Z4" i="19" s="1"/>
  <c r="N5" i="15"/>
  <c r="X5" i="15" s="1"/>
  <c r="T11" i="19"/>
  <c r="M11" i="19"/>
  <c r="Y11" i="19" s="1"/>
  <c r="Z11" i="19" s="1"/>
  <c r="T2" i="19"/>
  <c r="M2" i="19"/>
  <c r="Y2" i="19" s="1"/>
  <c r="Z2" i="19" s="1"/>
  <c r="N12" i="15"/>
  <c r="X12" i="15" s="1"/>
  <c r="T8" i="19"/>
  <c r="M8" i="19"/>
  <c r="Y8" i="19" s="1"/>
  <c r="Z8" i="19" s="1"/>
  <c r="M9" i="19"/>
  <c r="Y9" i="19" s="1"/>
  <c r="Z9" i="19" s="1"/>
  <c r="T9" i="19"/>
  <c r="N2" i="15"/>
  <c r="X2" i="15" s="1"/>
  <c r="T14" i="18"/>
  <c r="M14" i="18"/>
  <c r="Y14" i="18" s="1"/>
  <c r="Z14" i="18" s="1"/>
  <c r="T7" i="19"/>
  <c r="M7" i="19"/>
  <c r="Y7" i="19" s="1"/>
  <c r="Z7" i="19" s="1"/>
  <c r="N6" i="15"/>
  <c r="X6" i="15" s="1"/>
  <c r="N8" i="15"/>
  <c r="X8" i="15" s="1"/>
  <c r="T15" i="18"/>
  <c r="M15" i="18"/>
  <c r="Y15" i="18" s="1"/>
  <c r="Z15" i="18" s="1"/>
  <c r="T5" i="19"/>
  <c r="M5" i="19"/>
  <c r="Y5" i="19" s="1"/>
  <c r="Z5" i="19" s="1"/>
  <c r="N7" i="15"/>
  <c r="X7" i="15" s="1"/>
  <c r="N11" i="15"/>
  <c r="X11" i="15" s="1"/>
  <c r="N3" i="15"/>
  <c r="X3" i="15" s="1"/>
  <c r="T3" i="19"/>
  <c r="M3" i="19"/>
  <c r="Y3" i="19" s="1"/>
  <c r="Z3" i="19" s="1"/>
  <c r="N4" i="15"/>
  <c r="X4" i="15" s="1"/>
  <c r="N10" i="15"/>
  <c r="X10" i="15" s="1"/>
  <c r="T6" i="19"/>
  <c r="M6" i="19"/>
  <c r="Y6" i="19" s="1"/>
  <c r="Z6" i="19" s="1"/>
  <c r="M2" i="18"/>
  <c r="Y2" i="18" s="1"/>
  <c r="Z2" i="18" s="1"/>
  <c r="T8" i="18"/>
  <c r="M8" i="18"/>
  <c r="Y8" i="18" s="1"/>
  <c r="Z8" i="18" s="1"/>
  <c r="T5" i="18"/>
  <c r="M5" i="18"/>
  <c r="Y5" i="18" s="1"/>
  <c r="Z5" i="18" s="1"/>
  <c r="T2" i="18"/>
  <c r="V4" i="18"/>
  <c r="P11" i="13"/>
  <c r="Z11" i="13" s="1"/>
  <c r="P13" i="13"/>
  <c r="Z13" i="13" s="1"/>
  <c r="V9" i="18"/>
  <c r="V6" i="18"/>
  <c r="V8" i="18"/>
  <c r="V5" i="18"/>
  <c r="V2" i="18"/>
  <c r="V10" i="18"/>
  <c r="V12" i="18"/>
  <c r="V7" i="18"/>
  <c r="U9" i="15"/>
  <c r="O9" i="15"/>
  <c r="Y9" i="15" s="1"/>
  <c r="Z9" i="15" s="1"/>
  <c r="U10" i="15"/>
  <c r="U4" i="15"/>
  <c r="U2" i="15"/>
  <c r="U7" i="15"/>
  <c r="U5" i="15"/>
  <c r="U8" i="15"/>
  <c r="U12" i="15"/>
  <c r="U3" i="15"/>
  <c r="U6" i="15"/>
  <c r="U11" i="15"/>
  <c r="R5" i="17"/>
  <c r="R4" i="17"/>
  <c r="R2" i="17"/>
  <c r="R3" i="17"/>
  <c r="R7" i="17"/>
  <c r="R6" i="17"/>
  <c r="R8" i="17"/>
  <c r="I7" i="17"/>
  <c r="T7" i="17" s="1"/>
  <c r="I8" i="17"/>
  <c r="T8" i="17" s="1"/>
  <c r="P9" i="13"/>
  <c r="Z9" i="13" s="1"/>
  <c r="P3" i="13"/>
  <c r="Z3" i="13" s="1"/>
  <c r="L7" i="13"/>
  <c r="Y7" i="13" s="1"/>
  <c r="L10" i="13"/>
  <c r="Y10" i="13" s="1"/>
  <c r="L11" i="13"/>
  <c r="Y11" i="13" s="1"/>
  <c r="I4" i="17"/>
  <c r="T4" i="17" s="1"/>
  <c r="K5" i="17"/>
  <c r="U5" i="17" s="1"/>
  <c r="I6" i="17"/>
  <c r="T6" i="17" s="1"/>
  <c r="I2" i="17"/>
  <c r="L2" i="17" s="1"/>
  <c r="K7" i="17"/>
  <c r="U7" i="17" s="1"/>
  <c r="K8" i="17"/>
  <c r="K3" i="17"/>
  <c r="U3" i="17" s="1"/>
  <c r="L5" i="13"/>
  <c r="Y5" i="13" s="1"/>
  <c r="I5" i="17"/>
  <c r="L11" i="15"/>
  <c r="L2" i="15"/>
  <c r="V6" i="15"/>
  <c r="L3" i="13"/>
  <c r="V5" i="15"/>
  <c r="V9" i="15"/>
  <c r="V8" i="15"/>
  <c r="V12" i="15"/>
  <c r="V10" i="15"/>
  <c r="W12" i="15"/>
  <c r="W11" i="15"/>
  <c r="V7" i="15"/>
  <c r="W4" i="15"/>
  <c r="V3" i="15"/>
  <c r="W7" i="15"/>
  <c r="W3" i="15"/>
  <c r="W7" i="13"/>
  <c r="W2" i="13"/>
  <c r="W5" i="13"/>
  <c r="W10" i="13"/>
  <c r="J10" i="13"/>
  <c r="O10" i="13" s="1"/>
  <c r="H7" i="13"/>
  <c r="M7" i="13" s="1"/>
  <c r="J7" i="13"/>
  <c r="H4" i="13"/>
  <c r="M4" i="13" s="1"/>
  <c r="J4" i="13"/>
  <c r="O4" i="13" s="1"/>
  <c r="H12" i="13"/>
  <c r="M12" i="13" s="1"/>
  <c r="J12" i="13"/>
  <c r="O12" i="13" s="1"/>
  <c r="I9" i="13"/>
  <c r="N9" i="13" s="1"/>
  <c r="J9" i="13"/>
  <c r="O9" i="13" s="1"/>
  <c r="H3" i="13"/>
  <c r="I3" i="13" s="1"/>
  <c r="N3" i="13" s="1"/>
  <c r="J3" i="13"/>
  <c r="O3" i="13" s="1"/>
  <c r="J11" i="13"/>
  <c r="O11" i="13" s="1"/>
  <c r="L13" i="13"/>
  <c r="Y13" i="13" s="1"/>
  <c r="H2" i="13"/>
  <c r="M2" i="13" s="1"/>
  <c r="J2" i="13"/>
  <c r="O2" i="13" s="1"/>
  <c r="H11" i="13"/>
  <c r="M11" i="13" s="1"/>
  <c r="P5" i="13"/>
  <c r="Z5" i="13" s="1"/>
  <c r="G5" i="13"/>
  <c r="H10" i="13"/>
  <c r="M10" i="13" s="1"/>
  <c r="G11" i="13"/>
  <c r="G10" i="13"/>
  <c r="V7" i="13"/>
  <c r="G3" i="13"/>
  <c r="L9" i="13"/>
  <c r="G9" i="13"/>
  <c r="V12" i="13"/>
  <c r="V10" i="13"/>
  <c r="W9" i="13"/>
  <c r="N5" i="13"/>
  <c r="M5" i="13"/>
  <c r="W3" i="13"/>
  <c r="P7" i="13"/>
  <c r="Z7" i="13" s="1"/>
  <c r="V5" i="13"/>
  <c r="L6" i="13"/>
  <c r="G6" i="13"/>
  <c r="P6" i="13"/>
  <c r="Z6" i="13" s="1"/>
  <c r="M8" i="13"/>
  <c r="N8" i="13"/>
  <c r="W12" i="13"/>
  <c r="L12" i="13"/>
  <c r="P12" i="13"/>
  <c r="Z12" i="13" s="1"/>
  <c r="G12" i="13"/>
  <c r="G4" i="13"/>
  <c r="L4" i="13"/>
  <c r="P4" i="13"/>
  <c r="Z4" i="13" s="1"/>
  <c r="V11" i="13"/>
  <c r="W11" i="13"/>
  <c r="V4" i="13"/>
  <c r="W4" i="13"/>
  <c r="V13" i="13"/>
  <c r="W13" i="13"/>
  <c r="G7" i="13"/>
  <c r="V2" i="13"/>
  <c r="N6" i="13"/>
  <c r="M6" i="13"/>
  <c r="L8" i="13"/>
  <c r="P8" i="13"/>
  <c r="Z8" i="13" s="1"/>
  <c r="G8" i="13"/>
  <c r="G2" i="13"/>
  <c r="L2" i="13"/>
  <c r="P2" i="13"/>
  <c r="Z2" i="13" s="1"/>
  <c r="N13" i="13"/>
  <c r="M13" i="13"/>
  <c r="W6" i="13"/>
  <c r="V6" i="13"/>
  <c r="V8" i="13"/>
  <c r="W8" i="13"/>
  <c r="O7" i="15" l="1"/>
  <c r="Y7" i="15" s="1"/>
  <c r="Z7" i="15" s="1"/>
  <c r="O11" i="15"/>
  <c r="Y11" i="15" s="1"/>
  <c r="Z11" i="15" s="1"/>
  <c r="O12" i="15"/>
  <c r="Y12" i="15" s="1"/>
  <c r="Z12" i="15" s="1"/>
  <c r="O5" i="15"/>
  <c r="Y5" i="15" s="1"/>
  <c r="Z5" i="15" s="1"/>
  <c r="O2" i="15"/>
  <c r="Y2" i="15" s="1"/>
  <c r="Z2" i="15" s="1"/>
  <c r="O3" i="15"/>
  <c r="Y3" i="15" s="1"/>
  <c r="Z3" i="15" s="1"/>
  <c r="O8" i="15"/>
  <c r="Y8" i="15" s="1"/>
  <c r="Z8" i="15" s="1"/>
  <c r="O4" i="15"/>
  <c r="Y4" i="15" s="1"/>
  <c r="Z4" i="15" s="1"/>
  <c r="O6" i="15"/>
  <c r="Y6" i="15" s="1"/>
  <c r="Z6" i="15" s="1"/>
  <c r="O10" i="15"/>
  <c r="Y10" i="15" s="1"/>
  <c r="Z10" i="15" s="1"/>
  <c r="Q9" i="13"/>
  <c r="AA9" i="13" s="1"/>
  <c r="Q6" i="13"/>
  <c r="AA6" i="13" s="1"/>
  <c r="Q8" i="13"/>
  <c r="AA8" i="13" s="1"/>
  <c r="Q5" i="13"/>
  <c r="AA5" i="13" s="1"/>
  <c r="Y3" i="13"/>
  <c r="Q13" i="13"/>
  <c r="AA13" i="13" s="1"/>
  <c r="L5" i="17"/>
  <c r="V5" i="17" s="1"/>
  <c r="W5" i="17" s="1"/>
  <c r="L3" i="17"/>
  <c r="V3" i="17" s="1"/>
  <c r="W3" i="17" s="1"/>
  <c r="L8" i="17"/>
  <c r="V8" i="17" s="1"/>
  <c r="W8" i="17" s="1"/>
  <c r="L6" i="17"/>
  <c r="V6" i="17" s="1"/>
  <c r="W6" i="17" s="1"/>
  <c r="U8" i="17"/>
  <c r="L4" i="17"/>
  <c r="V4" i="17" s="1"/>
  <c r="W4" i="17" s="1"/>
  <c r="L7" i="17"/>
  <c r="V7" i="17" s="1"/>
  <c r="W7" i="17" s="1"/>
  <c r="T5" i="17"/>
  <c r="V11" i="15"/>
  <c r="I12" i="13"/>
  <c r="N12" i="13" s="1"/>
  <c r="T2" i="17"/>
  <c r="V2" i="17"/>
  <c r="W2" i="17" s="1"/>
  <c r="X9" i="13"/>
  <c r="V2" i="15"/>
  <c r="I7" i="13"/>
  <c r="N7" i="13" s="1"/>
  <c r="M3" i="13"/>
  <c r="Q3" i="13" s="1"/>
  <c r="G4" i="9"/>
  <c r="X8" i="13"/>
  <c r="X6" i="13"/>
  <c r="X5" i="13"/>
  <c r="Y9" i="13"/>
  <c r="X13" i="13"/>
  <c r="O7" i="13"/>
  <c r="I11" i="13"/>
  <c r="N11" i="13" s="1"/>
  <c r="Q11" i="13" s="1"/>
  <c r="I2" i="13"/>
  <c r="I4" i="13"/>
  <c r="N4" i="13" s="1"/>
  <c r="Q4" i="13" s="1"/>
  <c r="I10" i="13"/>
  <c r="Y6" i="13"/>
  <c r="Y8" i="13"/>
  <c r="Y4" i="13"/>
  <c r="Y12" i="13"/>
  <c r="Y2" i="13"/>
  <c r="G7" i="9" l="1"/>
  <c r="S3" i="7"/>
  <c r="S12" i="7"/>
  <c r="S7" i="7"/>
  <c r="S16" i="7"/>
  <c r="S11" i="7"/>
  <c r="S4" i="7"/>
  <c r="S10" i="7"/>
  <c r="S21" i="7"/>
  <c r="S6" i="7"/>
  <c r="S8" i="7"/>
  <c r="S23" i="7"/>
  <c r="S17" i="7"/>
  <c r="S18" i="7"/>
  <c r="S5" i="7"/>
  <c r="S20" i="7"/>
  <c r="S15" i="7"/>
  <c r="S14" i="7"/>
  <c r="S13" i="7"/>
  <c r="S19" i="7"/>
  <c r="S9" i="7"/>
  <c r="S24" i="7"/>
  <c r="S22" i="7"/>
  <c r="S25" i="7"/>
  <c r="Q7" i="13"/>
  <c r="AA7" i="13" s="1"/>
  <c r="AA3" i="13"/>
  <c r="AB3" i="13" s="1"/>
  <c r="Q12" i="13"/>
  <c r="AA12" i="13" s="1"/>
  <c r="AB12" i="13" s="1"/>
  <c r="X12" i="13"/>
  <c r="X7" i="13"/>
  <c r="X3" i="13"/>
  <c r="AA11" i="13"/>
  <c r="AA4" i="13"/>
  <c r="AB9" i="13"/>
  <c r="AB8" i="13"/>
  <c r="X11" i="13"/>
  <c r="AB13" i="13"/>
  <c r="AB6" i="13"/>
  <c r="AB5" i="13"/>
  <c r="X4" i="13"/>
  <c r="N2" i="13"/>
  <c r="Q2" i="13" s="1"/>
  <c r="N10" i="13"/>
  <c r="Q10" i="13" s="1"/>
  <c r="G3" i="9"/>
  <c r="G5" i="9"/>
  <c r="G8" i="9"/>
  <c r="G6" i="9"/>
  <c r="G2" i="9"/>
  <c r="G22" i="7"/>
  <c r="G11" i="7"/>
  <c r="G10" i="7"/>
  <c r="G14" i="7"/>
  <c r="G21" i="7"/>
  <c r="G18" i="7"/>
  <c r="G9" i="7"/>
  <c r="G8" i="7"/>
  <c r="G3" i="7"/>
  <c r="G5" i="7"/>
  <c r="G19" i="7"/>
  <c r="G2" i="7"/>
  <c r="G23" i="7"/>
  <c r="G13" i="7"/>
  <c r="G15" i="7"/>
  <c r="G7" i="7"/>
  <c r="G6" i="7"/>
  <c r="G16" i="7"/>
  <c r="G20" i="7"/>
  <c r="G17" i="7"/>
  <c r="G25" i="7"/>
  <c r="G12" i="7"/>
  <c r="G24" i="7"/>
  <c r="G4" i="7"/>
  <c r="AB4" i="13" l="1"/>
  <c r="AB11" i="13"/>
  <c r="AB7" i="13"/>
  <c r="X10" i="13"/>
  <c r="AA10" i="13"/>
  <c r="X2" i="13"/>
  <c r="AA2" i="13"/>
  <c r="AB2" i="13" l="1"/>
  <c r="AB10" i="13"/>
  <c r="K4" i="9"/>
  <c r="W4" i="9" s="1"/>
  <c r="K3" i="9"/>
  <c r="W3" i="9" s="1"/>
  <c r="K5" i="9"/>
  <c r="W5" i="9" s="1"/>
  <c r="K6" i="9"/>
  <c r="W6" i="9" s="1"/>
  <c r="K7" i="9"/>
  <c r="W7" i="9" s="1"/>
  <c r="K2" i="9"/>
  <c r="W2" i="9" s="1"/>
  <c r="K8" i="9"/>
  <c r="W8" i="9" s="1"/>
  <c r="L3" i="9"/>
  <c r="X3" i="9" s="1"/>
  <c r="L4" i="9"/>
  <c r="X4" i="9" s="1"/>
  <c r="L5" i="9"/>
  <c r="X5" i="9" s="1"/>
  <c r="L6" i="9"/>
  <c r="X6" i="9" s="1"/>
  <c r="L7" i="9"/>
  <c r="X7" i="9" s="1"/>
  <c r="L2" i="9"/>
  <c r="X2" i="9" s="1"/>
  <c r="L8" i="9"/>
  <c r="X8" i="9" s="1"/>
  <c r="K5" i="7"/>
  <c r="W5" i="7" s="1"/>
  <c r="K13" i="7"/>
  <c r="W13" i="7" s="1"/>
  <c r="K21" i="7"/>
  <c r="W21" i="7" s="1"/>
  <c r="K20" i="7"/>
  <c r="W20" i="7" s="1"/>
  <c r="K6" i="7"/>
  <c r="W6" i="7" s="1"/>
  <c r="K14" i="7"/>
  <c r="W14" i="7" s="1"/>
  <c r="K22" i="7"/>
  <c r="W22" i="7" s="1"/>
  <c r="K11" i="7"/>
  <c r="W11" i="7" s="1"/>
  <c r="K7" i="7"/>
  <c r="W7" i="7" s="1"/>
  <c r="K15" i="7"/>
  <c r="W15" i="7" s="1"/>
  <c r="K23" i="7"/>
  <c r="W23" i="7" s="1"/>
  <c r="K4" i="7"/>
  <c r="W4" i="7" s="1"/>
  <c r="K8" i="7"/>
  <c r="W8" i="7" s="1"/>
  <c r="K16" i="7"/>
  <c r="W16" i="7" s="1"/>
  <c r="K24" i="7"/>
  <c r="W24" i="7" s="1"/>
  <c r="K9" i="7"/>
  <c r="W9" i="7" s="1"/>
  <c r="K17" i="7"/>
  <c r="W17" i="7" s="1"/>
  <c r="K25" i="7"/>
  <c r="W25" i="7" s="1"/>
  <c r="K3" i="7"/>
  <c r="W3" i="7" s="1"/>
  <c r="K12" i="7"/>
  <c r="W12" i="7" s="1"/>
  <c r="K2" i="7"/>
  <c r="W2" i="7" s="1"/>
  <c r="K10" i="7"/>
  <c r="W10" i="7" s="1"/>
  <c r="K18" i="7"/>
  <c r="W18" i="7" s="1"/>
  <c r="K19" i="7"/>
  <c r="W19" i="7" s="1"/>
  <c r="L5" i="7"/>
  <c r="X5" i="7" s="1"/>
  <c r="L13" i="7"/>
  <c r="X13" i="7" s="1"/>
  <c r="L21" i="7"/>
  <c r="X21" i="7" s="1"/>
  <c r="L11" i="7"/>
  <c r="X11" i="7" s="1"/>
  <c r="L6" i="7"/>
  <c r="X6" i="7" s="1"/>
  <c r="L14" i="7"/>
  <c r="X14" i="7" s="1"/>
  <c r="L22" i="7"/>
  <c r="X22" i="7" s="1"/>
  <c r="L4" i="7"/>
  <c r="X4" i="7" s="1"/>
  <c r="L7" i="7"/>
  <c r="X7" i="7" s="1"/>
  <c r="L15" i="7"/>
  <c r="X15" i="7" s="1"/>
  <c r="L23" i="7"/>
  <c r="X23" i="7" s="1"/>
  <c r="L19" i="7"/>
  <c r="X19" i="7" s="1"/>
  <c r="L8" i="7"/>
  <c r="X8" i="7" s="1"/>
  <c r="L16" i="7"/>
  <c r="X16" i="7" s="1"/>
  <c r="L24" i="7"/>
  <c r="X24" i="7" s="1"/>
  <c r="L20" i="7"/>
  <c r="X20" i="7" s="1"/>
  <c r="L9" i="7"/>
  <c r="X9" i="7" s="1"/>
  <c r="L17" i="7"/>
  <c r="X17" i="7" s="1"/>
  <c r="L25" i="7"/>
  <c r="X25" i="7" s="1"/>
  <c r="L2" i="7"/>
  <c r="X2" i="7" s="1"/>
  <c r="L10" i="7"/>
  <c r="X10" i="7" s="1"/>
  <c r="L18" i="7"/>
  <c r="X18" i="7" s="1"/>
  <c r="L3" i="7"/>
  <c r="X3" i="7" s="1"/>
  <c r="L12" i="7"/>
  <c r="X12" i="7" s="1"/>
  <c r="J16" i="7"/>
  <c r="U16" i="7" s="1"/>
  <c r="J11" i="7"/>
  <c r="U11" i="7" s="1"/>
  <c r="J20" i="7"/>
  <c r="U20" i="7" s="1"/>
  <c r="J14" i="7"/>
  <c r="U14" i="7" s="1"/>
  <c r="J22" i="7"/>
  <c r="U22" i="7" s="1"/>
  <c r="J10" i="7"/>
  <c r="U10" i="7" s="1"/>
  <c r="J17" i="7"/>
  <c r="U17" i="7" s="1"/>
  <c r="J8" i="7"/>
  <c r="U8" i="7" s="1"/>
  <c r="J3" i="7"/>
  <c r="U3" i="7" s="1"/>
  <c r="J23" i="7"/>
  <c r="U23" i="7" s="1"/>
  <c r="J21" i="7"/>
  <c r="U21" i="7" s="1"/>
  <c r="J2" i="7"/>
  <c r="J24" i="7"/>
  <c r="U24" i="7" s="1"/>
  <c r="J19" i="7"/>
  <c r="U19" i="7" s="1"/>
  <c r="J15" i="7"/>
  <c r="U15" i="7" s="1"/>
  <c r="J4" i="7"/>
  <c r="U4" i="7" s="1"/>
  <c r="J7" i="7"/>
  <c r="U7" i="7" s="1"/>
  <c r="J13" i="7"/>
  <c r="U13" i="7" s="1"/>
  <c r="J25" i="7"/>
  <c r="U25" i="7" s="1"/>
  <c r="J6" i="7"/>
  <c r="U6" i="7" s="1"/>
  <c r="J5" i="7"/>
  <c r="U5" i="7" s="1"/>
  <c r="J9" i="7"/>
  <c r="U9" i="7" s="1"/>
  <c r="J12" i="7"/>
  <c r="U12" i="7" s="1"/>
  <c r="J18" i="7"/>
  <c r="U18" i="7" s="1"/>
  <c r="H7" i="9"/>
  <c r="H2" i="9"/>
  <c r="H4" i="9"/>
  <c r="H6" i="9"/>
  <c r="H3" i="9"/>
  <c r="H8" i="9"/>
  <c r="H5" i="9"/>
  <c r="J5" i="9"/>
  <c r="U5" i="9" s="1"/>
  <c r="J3" i="9"/>
  <c r="U3" i="9" s="1"/>
  <c r="J6" i="9"/>
  <c r="U6" i="9" s="1"/>
  <c r="J7" i="9"/>
  <c r="U7" i="9" s="1"/>
  <c r="J8" i="9"/>
  <c r="U8" i="9" s="1"/>
  <c r="J4" i="9"/>
  <c r="U4" i="9" s="1"/>
  <c r="J2" i="9"/>
  <c r="U2" i="9" s="1"/>
  <c r="H25" i="7"/>
  <c r="H17" i="7"/>
  <c r="H9" i="7"/>
  <c r="H22" i="7"/>
  <c r="H14" i="7"/>
  <c r="H6" i="7"/>
  <c r="H19" i="7"/>
  <c r="H11" i="7"/>
  <c r="H3" i="7"/>
  <c r="H10" i="7"/>
  <c r="H12" i="7"/>
  <c r="H24" i="7"/>
  <c r="H16" i="7"/>
  <c r="H8" i="7"/>
  <c r="H21" i="7"/>
  <c r="H13" i="7"/>
  <c r="H5" i="7"/>
  <c r="H18" i="7"/>
  <c r="H2" i="7"/>
  <c r="H4" i="7"/>
  <c r="H23" i="7"/>
  <c r="H15" i="7"/>
  <c r="H7" i="7"/>
  <c r="H20" i="7"/>
  <c r="I2" i="9"/>
  <c r="V2" i="9" s="1"/>
  <c r="I7" i="9"/>
  <c r="V7" i="9" s="1"/>
  <c r="I4" i="9"/>
  <c r="V4" i="9" s="1"/>
  <c r="I8" i="9"/>
  <c r="V8" i="9" s="1"/>
  <c r="I6" i="9"/>
  <c r="V6" i="9" s="1"/>
  <c r="I3" i="9"/>
  <c r="V3" i="9" s="1"/>
  <c r="I5" i="9"/>
  <c r="V5" i="9" s="1"/>
  <c r="V2" i="7"/>
  <c r="V18" i="7"/>
  <c r="V8" i="7"/>
  <c r="V9" i="7"/>
  <c r="V17" i="7"/>
  <c r="V15" i="7"/>
  <c r="V6" i="7"/>
  <c r="V16" i="7"/>
  <c r="V20" i="7"/>
  <c r="V24" i="7"/>
  <c r="V10" i="7"/>
  <c r="V3" i="7"/>
  <c r="V7" i="7"/>
  <c r="V12" i="7"/>
  <c r="V23" i="7"/>
  <c r="V14" i="7"/>
  <c r="V21" i="7"/>
  <c r="V4" i="7"/>
  <c r="V11" i="7"/>
  <c r="V25" i="7"/>
  <c r="V13" i="7"/>
  <c r="V5" i="7"/>
  <c r="V19" i="7"/>
  <c r="V22" i="7"/>
  <c r="U2" i="7" l="1"/>
  <c r="S2" i="7"/>
  <c r="T20" i="7"/>
  <c r="M20" i="7"/>
  <c r="Y20" i="7" s="1"/>
  <c r="Z20" i="7" s="1"/>
  <c r="T13" i="7"/>
  <c r="M13" i="7"/>
  <c r="Y13" i="7" s="1"/>
  <c r="Z13" i="7" s="1"/>
  <c r="T11" i="7"/>
  <c r="M11" i="7"/>
  <c r="Y11" i="7" s="1"/>
  <c r="Z11" i="7" s="1"/>
  <c r="T4" i="9"/>
  <c r="M4" i="9"/>
  <c r="Y4" i="9" s="1"/>
  <c r="Z4" i="9" s="1"/>
  <c r="T7" i="7"/>
  <c r="M7" i="7"/>
  <c r="Y7" i="7" s="1"/>
  <c r="Z7" i="7" s="1"/>
  <c r="T21" i="7"/>
  <c r="M21" i="7"/>
  <c r="Y21" i="7" s="1"/>
  <c r="Z21" i="7" s="1"/>
  <c r="T19" i="7"/>
  <c r="M19" i="7"/>
  <c r="Y19" i="7" s="1"/>
  <c r="Z19" i="7" s="1"/>
  <c r="T2" i="9"/>
  <c r="M2" i="9"/>
  <c r="Y2" i="9" s="1"/>
  <c r="Z2" i="9" s="1"/>
  <c r="T6" i="7"/>
  <c r="M6" i="7"/>
  <c r="Y6" i="7" s="1"/>
  <c r="Z6" i="7" s="1"/>
  <c r="T23" i="7"/>
  <c r="M23" i="7"/>
  <c r="Y23" i="7" s="1"/>
  <c r="Z23" i="7" s="1"/>
  <c r="T4" i="7"/>
  <c r="M4" i="7"/>
  <c r="Y4" i="7" s="1"/>
  <c r="Z4" i="7" s="1"/>
  <c r="T24" i="7"/>
  <c r="M24" i="7"/>
  <c r="Y24" i="7" s="1"/>
  <c r="Z24" i="7" s="1"/>
  <c r="T22" i="7"/>
  <c r="M22" i="7"/>
  <c r="Y22" i="7" s="1"/>
  <c r="Z22" i="7" s="1"/>
  <c r="T5" i="9"/>
  <c r="M5" i="9"/>
  <c r="Y5" i="9" s="1"/>
  <c r="Z5" i="9" s="1"/>
  <c r="T15" i="7"/>
  <c r="M15" i="7"/>
  <c r="Y15" i="7" s="1"/>
  <c r="Z15" i="7" s="1"/>
  <c r="T2" i="7"/>
  <c r="M2" i="7"/>
  <c r="T12" i="7"/>
  <c r="M12" i="7"/>
  <c r="Y12" i="7" s="1"/>
  <c r="Z12" i="7" s="1"/>
  <c r="T9" i="7"/>
  <c r="M9" i="7"/>
  <c r="Y9" i="7" s="1"/>
  <c r="Z9" i="7" s="1"/>
  <c r="T8" i="9"/>
  <c r="M8" i="9"/>
  <c r="Y8" i="9" s="1"/>
  <c r="Z8" i="9" s="1"/>
  <c r="T8" i="7"/>
  <c r="M8" i="7"/>
  <c r="Y8" i="7" s="1"/>
  <c r="Z8" i="7" s="1"/>
  <c r="T14" i="7"/>
  <c r="M14" i="7"/>
  <c r="Y14" i="7" s="1"/>
  <c r="Z14" i="7" s="1"/>
  <c r="T18" i="7"/>
  <c r="M18" i="7"/>
  <c r="Y18" i="7" s="1"/>
  <c r="Z18" i="7" s="1"/>
  <c r="T10" i="7"/>
  <c r="M10" i="7"/>
  <c r="Y10" i="7" s="1"/>
  <c r="Z10" i="7" s="1"/>
  <c r="T17" i="7"/>
  <c r="M17" i="7"/>
  <c r="Y17" i="7" s="1"/>
  <c r="Z17" i="7" s="1"/>
  <c r="T3" i="9"/>
  <c r="M3" i="9"/>
  <c r="Y3" i="9" s="1"/>
  <c r="Z3" i="9" s="1"/>
  <c r="T7" i="9"/>
  <c r="M7" i="9"/>
  <c r="Y7" i="9" s="1"/>
  <c r="Z7" i="9" s="1"/>
  <c r="T16" i="7"/>
  <c r="M16" i="7"/>
  <c r="Y16" i="7" s="1"/>
  <c r="Z16" i="7" s="1"/>
  <c r="T5" i="7"/>
  <c r="M5" i="7"/>
  <c r="Y5" i="7" s="1"/>
  <c r="Z5" i="7" s="1"/>
  <c r="T3" i="7"/>
  <c r="M3" i="7"/>
  <c r="Y3" i="7" s="1"/>
  <c r="Z3" i="7" s="1"/>
  <c r="T25" i="7"/>
  <c r="M25" i="7"/>
  <c r="Y25" i="7" s="1"/>
  <c r="Z25" i="7" s="1"/>
  <c r="T6" i="9"/>
  <c r="M6" i="9"/>
  <c r="Y6" i="9" s="1"/>
  <c r="Z6" i="9" s="1"/>
  <c r="Y2" i="7" l="1"/>
  <c r="Z2" i="7" s="1"/>
  <c r="V12" i="1" l="1"/>
  <c r="V6" i="1"/>
  <c r="V23" i="1"/>
  <c r="V30" i="1"/>
  <c r="V38" i="1"/>
  <c r="V20" i="1"/>
  <c r="V14" i="1"/>
  <c r="V29" i="1"/>
  <c r="V37" i="1"/>
  <c r="V3" i="1"/>
  <c r="V2" i="1"/>
  <c r="V8" i="1"/>
  <c r="V16" i="1"/>
  <c r="V24" i="1"/>
  <c r="V39" i="1"/>
  <c r="V7" i="1"/>
  <c r="V17" i="1"/>
  <c r="V25" i="1"/>
  <c r="V10" i="1"/>
  <c r="V18" i="1"/>
  <c r="V26" i="1"/>
  <c r="V41" i="1"/>
  <c r="V11" i="1"/>
  <c r="V19" i="1"/>
  <c r="G19" i="1"/>
  <c r="V42" i="1"/>
  <c r="V27" i="1" l="1"/>
  <c r="V4" i="1"/>
  <c r="V40" i="1"/>
  <c r="V21" i="1"/>
  <c r="V33" i="1"/>
  <c r="V5" i="1"/>
  <c r="V15" i="1"/>
  <c r="V35" i="1"/>
  <c r="V22" i="1"/>
  <c r="V32" i="1"/>
  <c r="V13" i="1"/>
  <c r="V34" i="1"/>
  <c r="V9" i="1"/>
  <c r="V31" i="1"/>
  <c r="V36" i="1"/>
  <c r="V28" i="1"/>
  <c r="I40" i="1"/>
  <c r="H40" i="1"/>
  <c r="I24" i="1"/>
  <c r="H24" i="1"/>
  <c r="I37" i="1"/>
  <c r="H37" i="1"/>
  <c r="H36" i="1"/>
  <c r="I36" i="1"/>
  <c r="H28" i="1"/>
  <c r="I28" i="1"/>
  <c r="H20" i="1"/>
  <c r="I20" i="1"/>
  <c r="I19" i="1"/>
  <c r="H19" i="1"/>
  <c r="I32" i="1"/>
  <c r="H32" i="1"/>
  <c r="I16" i="1"/>
  <c r="H16" i="1"/>
  <c r="I29" i="1"/>
  <c r="H29" i="1"/>
  <c r="H12" i="1"/>
  <c r="I12" i="1"/>
  <c r="I30" i="1"/>
  <c r="H30" i="1"/>
  <c r="I33" i="1"/>
  <c r="H33" i="1"/>
  <c r="H17" i="1"/>
  <c r="I17" i="1"/>
  <c r="H2" i="1"/>
  <c r="I2" i="1"/>
  <c r="I23" i="1"/>
  <c r="H23" i="1"/>
  <c r="H4" i="1"/>
  <c r="I4" i="1"/>
  <c r="I26" i="1"/>
  <c r="H26" i="1"/>
  <c r="H9" i="1"/>
  <c r="I9" i="1"/>
  <c r="I3" i="1"/>
  <c r="H3" i="1"/>
  <c r="I38" i="1"/>
  <c r="H38" i="1"/>
  <c r="I21" i="1"/>
  <c r="H21" i="1"/>
  <c r="I18" i="1"/>
  <c r="H18" i="1"/>
  <c r="I42" i="1"/>
  <c r="H42" i="1"/>
  <c r="I5" i="1"/>
  <c r="H5" i="1"/>
  <c r="I31" i="1"/>
  <c r="H31" i="1"/>
  <c r="I15" i="1"/>
  <c r="H15" i="1"/>
  <c r="I35" i="1"/>
  <c r="H35" i="1"/>
  <c r="H27" i="1"/>
  <c r="I27" i="1"/>
  <c r="I7" i="1"/>
  <c r="H7" i="1"/>
  <c r="I6" i="1"/>
  <c r="H6" i="1"/>
  <c r="H10" i="1"/>
  <c r="I10" i="1"/>
  <c r="I39" i="1"/>
  <c r="H39" i="1"/>
  <c r="H34" i="1"/>
  <c r="I34" i="1"/>
  <c r="I11" i="1"/>
  <c r="H11" i="1"/>
  <c r="H41" i="1"/>
  <c r="I41" i="1"/>
  <c r="I22" i="1"/>
  <c r="H22" i="1"/>
  <c r="H25" i="1"/>
  <c r="I25" i="1"/>
  <c r="I8" i="1"/>
  <c r="H8" i="1"/>
  <c r="I14" i="1"/>
  <c r="H14" i="1"/>
  <c r="I13" i="1"/>
  <c r="H13" i="1"/>
  <c r="G13" i="1"/>
  <c r="G30" i="1"/>
  <c r="G2" i="1"/>
  <c r="G42" i="1"/>
  <c r="G36" i="1"/>
  <c r="G25" i="1"/>
  <c r="J42" i="1" l="1"/>
  <c r="J36" i="1"/>
  <c r="J30" i="1"/>
  <c r="J2" i="1"/>
  <c r="J25" i="1"/>
  <c r="J19" i="1"/>
  <c r="J13" i="1"/>
  <c r="J8" i="1"/>
  <c r="J17" i="1"/>
  <c r="J26" i="1"/>
  <c r="J9" i="1"/>
  <c r="J18" i="1"/>
  <c r="J27" i="1"/>
  <c r="J31" i="1"/>
  <c r="J10" i="1"/>
  <c r="J28" i="1"/>
  <c r="J32" i="1"/>
  <c r="J3" i="1"/>
  <c r="J11" i="1"/>
  <c r="J20" i="1"/>
  <c r="J33" i="1"/>
  <c r="J4" i="1"/>
  <c r="J12" i="1"/>
  <c r="J21" i="1"/>
  <c r="J29" i="1"/>
  <c r="J34" i="1"/>
  <c r="J16" i="1"/>
  <c r="J24" i="1"/>
  <c r="J35" i="1"/>
  <c r="J37" i="1"/>
  <c r="J5" i="1"/>
  <c r="J6" i="1"/>
  <c r="J39" i="1"/>
  <c r="J15" i="1"/>
  <c r="J23" i="1"/>
  <c r="J7" i="1"/>
  <c r="J22" i="1"/>
  <c r="J14" i="1"/>
  <c r="J40" i="1"/>
  <c r="J41" i="1"/>
  <c r="J38" i="1"/>
  <c r="G4" i="1"/>
  <c r="G5" i="1"/>
  <c r="G3" i="1"/>
  <c r="G6" i="1"/>
  <c r="G7" i="1"/>
  <c r="G8" i="1"/>
  <c r="G9" i="1"/>
  <c r="G10" i="1"/>
  <c r="G11" i="1"/>
  <c r="G12" i="1"/>
  <c r="G14" i="1"/>
  <c r="G15" i="1"/>
  <c r="G16" i="1"/>
  <c r="G17" i="1"/>
  <c r="G18" i="1"/>
  <c r="G20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7" i="1"/>
  <c r="G39" i="1"/>
  <c r="G40" i="1"/>
  <c r="G41" i="1"/>
  <c r="G38" i="1"/>
  <c r="W14" i="1" l="1"/>
  <c r="W37" i="1"/>
  <c r="W4" i="1"/>
  <c r="W10" i="1"/>
  <c r="W22" i="1"/>
  <c r="W33" i="1"/>
  <c r="W31" i="1"/>
  <c r="W8" i="1"/>
  <c r="W24" i="1"/>
  <c r="W27" i="1"/>
  <c r="W5" i="1"/>
  <c r="W23" i="1"/>
  <c r="W16" i="1"/>
  <c r="W20" i="1"/>
  <c r="W18" i="1"/>
  <c r="W12" i="1"/>
  <c r="W7" i="1"/>
  <c r="W15" i="1"/>
  <c r="W34" i="1"/>
  <c r="W11" i="1"/>
  <c r="W9" i="1"/>
  <c r="W28" i="1"/>
  <c r="W38" i="1"/>
  <c r="W39" i="1"/>
  <c r="W29" i="1"/>
  <c r="W3" i="1"/>
  <c r="W26" i="1"/>
  <c r="W40" i="1"/>
  <c r="W35" i="1"/>
  <c r="W41" i="1"/>
  <c r="W6" i="1"/>
  <c r="W21" i="1"/>
  <c r="W32" i="1"/>
  <c r="W17" i="1"/>
  <c r="W2" i="1"/>
  <c r="W13" i="1"/>
  <c r="W30" i="1"/>
  <c r="W36" i="1"/>
  <c r="W42" i="1"/>
  <c r="W19" i="1"/>
  <c r="W25" i="1"/>
  <c r="N4" i="1" l="1"/>
  <c r="Z4" i="1" s="1"/>
  <c r="N12" i="1"/>
  <c r="Z12" i="1" s="1"/>
  <c r="N20" i="1"/>
  <c r="Z20" i="1" s="1"/>
  <c r="N28" i="1"/>
  <c r="Z28" i="1" s="1"/>
  <c r="N36" i="1"/>
  <c r="Z36" i="1" s="1"/>
  <c r="N42" i="1"/>
  <c r="Z42" i="1" s="1"/>
  <c r="N27" i="1"/>
  <c r="Z27" i="1" s="1"/>
  <c r="N5" i="1"/>
  <c r="Z5" i="1" s="1"/>
  <c r="N13" i="1"/>
  <c r="Z13" i="1" s="1"/>
  <c r="N21" i="1"/>
  <c r="Z21" i="1" s="1"/>
  <c r="N29" i="1"/>
  <c r="Z29" i="1" s="1"/>
  <c r="N37" i="1"/>
  <c r="Z37" i="1" s="1"/>
  <c r="N6" i="1"/>
  <c r="Z6" i="1" s="1"/>
  <c r="N14" i="1"/>
  <c r="Z14" i="1" s="1"/>
  <c r="N22" i="1"/>
  <c r="Z22" i="1" s="1"/>
  <c r="N30" i="1"/>
  <c r="Z30" i="1" s="1"/>
  <c r="N38" i="1"/>
  <c r="Z38" i="1" s="1"/>
  <c r="N18" i="1"/>
  <c r="Z18" i="1" s="1"/>
  <c r="N35" i="1"/>
  <c r="Z35" i="1" s="1"/>
  <c r="N7" i="1"/>
  <c r="Z7" i="1" s="1"/>
  <c r="N15" i="1"/>
  <c r="Z15" i="1" s="1"/>
  <c r="N23" i="1"/>
  <c r="Z23" i="1" s="1"/>
  <c r="N31" i="1"/>
  <c r="Z31" i="1" s="1"/>
  <c r="N39" i="1"/>
  <c r="Z39" i="1" s="1"/>
  <c r="N10" i="1"/>
  <c r="Z10" i="1" s="1"/>
  <c r="N3" i="1"/>
  <c r="Z3" i="1" s="1"/>
  <c r="N8" i="1"/>
  <c r="Z8" i="1" s="1"/>
  <c r="N16" i="1"/>
  <c r="Z16" i="1" s="1"/>
  <c r="N24" i="1"/>
  <c r="Z24" i="1" s="1"/>
  <c r="N32" i="1"/>
  <c r="Z32" i="1" s="1"/>
  <c r="N40" i="1"/>
  <c r="Z40" i="1" s="1"/>
  <c r="N34" i="1"/>
  <c r="Z34" i="1" s="1"/>
  <c r="N11" i="1"/>
  <c r="Z11" i="1" s="1"/>
  <c r="N9" i="1"/>
  <c r="Z9" i="1" s="1"/>
  <c r="N17" i="1"/>
  <c r="Z17" i="1" s="1"/>
  <c r="N25" i="1"/>
  <c r="Z25" i="1" s="1"/>
  <c r="N33" i="1"/>
  <c r="Z33" i="1" s="1"/>
  <c r="N41" i="1"/>
  <c r="Z41" i="1" s="1"/>
  <c r="N2" i="1"/>
  <c r="Z2" i="1" s="1"/>
  <c r="N26" i="1"/>
  <c r="Z26" i="1" s="1"/>
  <c r="N19" i="1"/>
  <c r="Z19" i="1" s="1"/>
  <c r="Y31" i="1"/>
  <c r="Y12" i="1"/>
  <c r="Y32" i="1"/>
  <c r="Y25" i="1"/>
  <c r="Y37" i="1"/>
  <c r="Y35" i="1"/>
  <c r="Y23" i="1"/>
  <c r="Y30" i="1"/>
  <c r="Y27" i="1"/>
  <c r="Y4" i="1"/>
  <c r="Y41" i="1"/>
  <c r="Y7" i="1"/>
  <c r="Y36" i="1"/>
  <c r="Y8" i="1"/>
  <c r="Y11" i="1"/>
  <c r="Y38" i="1"/>
  <c r="Y21" i="1"/>
  <c r="Y20" i="1"/>
  <c r="Y18" i="1"/>
  <c r="Y3" i="1"/>
  <c r="Y2" i="1"/>
  <c r="Y14" i="1"/>
  <c r="Y28" i="1"/>
  <c r="Y16" i="1"/>
  <c r="Y10" i="1"/>
  <c r="Y40" i="1"/>
  <c r="Y33" i="1"/>
  <c r="Y9" i="1"/>
  <c r="Y15" i="1"/>
  <c r="Y13" i="1"/>
  <c r="Y5" i="1"/>
  <c r="Y19" i="1"/>
  <c r="Y22" i="1"/>
  <c r="Y34" i="1"/>
  <c r="Y26" i="1"/>
  <c r="Y29" i="1"/>
  <c r="Y39" i="1"/>
  <c r="Y24" i="1"/>
  <c r="Y17" i="1"/>
  <c r="Y6" i="1"/>
  <c r="Y42" i="1"/>
  <c r="O5" i="1" l="1"/>
  <c r="AA5" i="1" s="1"/>
  <c r="O13" i="1"/>
  <c r="AA13" i="1" s="1"/>
  <c r="O21" i="1"/>
  <c r="AA21" i="1" s="1"/>
  <c r="O29" i="1"/>
  <c r="AA29" i="1" s="1"/>
  <c r="O37" i="1"/>
  <c r="AA37" i="1" s="1"/>
  <c r="O35" i="1"/>
  <c r="AA35" i="1" s="1"/>
  <c r="O12" i="1"/>
  <c r="AA12" i="1" s="1"/>
  <c r="O6" i="1"/>
  <c r="AA6" i="1" s="1"/>
  <c r="O14" i="1"/>
  <c r="AA14" i="1" s="1"/>
  <c r="O22" i="1"/>
  <c r="AA22" i="1" s="1"/>
  <c r="O30" i="1"/>
  <c r="AA30" i="1" s="1"/>
  <c r="O38" i="1"/>
  <c r="AA38" i="1" s="1"/>
  <c r="O4" i="1"/>
  <c r="AA4" i="1" s="1"/>
  <c r="O7" i="1"/>
  <c r="AA7" i="1" s="1"/>
  <c r="O15" i="1"/>
  <c r="AA15" i="1" s="1"/>
  <c r="O23" i="1"/>
  <c r="AA23" i="1" s="1"/>
  <c r="O31" i="1"/>
  <c r="AA31" i="1" s="1"/>
  <c r="O39" i="1"/>
  <c r="AA39" i="1" s="1"/>
  <c r="O19" i="1"/>
  <c r="AA19" i="1" s="1"/>
  <c r="O36" i="1"/>
  <c r="AA36" i="1" s="1"/>
  <c r="O8" i="1"/>
  <c r="AA8" i="1" s="1"/>
  <c r="O16" i="1"/>
  <c r="AA16" i="1" s="1"/>
  <c r="O24" i="1"/>
  <c r="AA24" i="1" s="1"/>
  <c r="O32" i="1"/>
  <c r="AA32" i="1" s="1"/>
  <c r="O40" i="1"/>
  <c r="AA40" i="1" s="1"/>
  <c r="O3" i="1"/>
  <c r="AA3" i="1" s="1"/>
  <c r="O9" i="1"/>
  <c r="AA9" i="1" s="1"/>
  <c r="O17" i="1"/>
  <c r="AA17" i="1" s="1"/>
  <c r="O25" i="1"/>
  <c r="AA25" i="1" s="1"/>
  <c r="O33" i="1"/>
  <c r="AA33" i="1" s="1"/>
  <c r="O41" i="1"/>
  <c r="AA41" i="1" s="1"/>
  <c r="O27" i="1"/>
  <c r="AA27" i="1" s="1"/>
  <c r="O20" i="1"/>
  <c r="AA20" i="1" s="1"/>
  <c r="O2" i="1"/>
  <c r="AA2" i="1" s="1"/>
  <c r="O10" i="1"/>
  <c r="AA10" i="1" s="1"/>
  <c r="O18" i="1"/>
  <c r="AA18" i="1" s="1"/>
  <c r="O26" i="1"/>
  <c r="AA26" i="1" s="1"/>
  <c r="O34" i="1"/>
  <c r="AA34" i="1" s="1"/>
  <c r="O42" i="1"/>
  <c r="AA42" i="1" s="1"/>
  <c r="O11" i="1"/>
  <c r="AA11" i="1" s="1"/>
  <c r="O28" i="1"/>
  <c r="AA28" i="1" s="1"/>
  <c r="L13" i="1" l="1"/>
  <c r="L42" i="1"/>
  <c r="L2" i="1"/>
  <c r="L36" i="1"/>
  <c r="L30" i="1"/>
  <c r="L25" i="1"/>
  <c r="L19" i="1"/>
  <c r="M30" i="1"/>
  <c r="M2" i="1"/>
  <c r="M42" i="1"/>
  <c r="M36" i="1"/>
  <c r="M19" i="1"/>
  <c r="M13" i="1"/>
  <c r="M25" i="1"/>
  <c r="M29" i="1"/>
  <c r="M16" i="1"/>
  <c r="M21" i="1"/>
  <c r="M5" i="1"/>
  <c r="M18" i="1"/>
  <c r="M20" i="1"/>
  <c r="M7" i="1"/>
  <c r="M31" i="1"/>
  <c r="M9" i="1"/>
  <c r="M3" i="1"/>
  <c r="M40" i="1"/>
  <c r="M41" i="1"/>
  <c r="M32" i="1"/>
  <c r="M27" i="1"/>
  <c r="M23" i="1"/>
  <c r="M34" i="1"/>
  <c r="M33" i="1"/>
  <c r="M15" i="1"/>
  <c r="M26" i="1"/>
  <c r="M24" i="1"/>
  <c r="M6" i="1"/>
  <c r="M38" i="1"/>
  <c r="M37" i="1"/>
  <c r="M28" i="1"/>
  <c r="M10" i="1"/>
  <c r="M4" i="1"/>
  <c r="M35" i="1"/>
  <c r="M17" i="1"/>
  <c r="M11" i="1"/>
  <c r="M8" i="1"/>
  <c r="M14" i="1"/>
  <c r="M39" i="1"/>
  <c r="M22" i="1"/>
  <c r="M12" i="1"/>
  <c r="L22" i="1"/>
  <c r="L9" i="1"/>
  <c r="L38" i="1"/>
  <c r="L37" i="1"/>
  <c r="L14" i="1"/>
  <c r="L24" i="1"/>
  <c r="L23" i="1"/>
  <c r="L10" i="1"/>
  <c r="L12" i="1"/>
  <c r="L11" i="1"/>
  <c r="L40" i="1"/>
  <c r="L39" i="1"/>
  <c r="L20" i="1"/>
  <c r="L32" i="1"/>
  <c r="L27" i="1"/>
  <c r="L15" i="1"/>
  <c r="L4" i="1"/>
  <c r="L35" i="1"/>
  <c r="L26" i="1"/>
  <c r="L17" i="1"/>
  <c r="L16" i="1"/>
  <c r="L6" i="1"/>
  <c r="L31" i="1"/>
  <c r="L41" i="1"/>
  <c r="L28" i="1"/>
  <c r="L8" i="1"/>
  <c r="L7" i="1"/>
  <c r="L34" i="1"/>
  <c r="L33" i="1"/>
  <c r="L3" i="1"/>
  <c r="L21" i="1"/>
  <c r="L5" i="1"/>
  <c r="L18" i="1"/>
  <c r="L29" i="1"/>
  <c r="P36" i="1" l="1"/>
  <c r="AB36" i="1" s="1"/>
  <c r="AC36" i="1" s="1"/>
  <c r="P20" i="1"/>
  <c r="AB20" i="1" s="1"/>
  <c r="AC20" i="1" s="1"/>
  <c r="P37" i="1"/>
  <c r="AB37" i="1" s="1"/>
  <c r="AC37" i="1" s="1"/>
  <c r="P7" i="1"/>
  <c r="AB7" i="1" s="1"/>
  <c r="AC7" i="1" s="1"/>
  <c r="P38" i="1"/>
  <c r="AB38" i="1" s="1"/>
  <c r="AC38" i="1" s="1"/>
  <c r="P8" i="1"/>
  <c r="AB8" i="1" s="1"/>
  <c r="AC8" i="1" s="1"/>
  <c r="X3" i="1"/>
  <c r="P3" i="1"/>
  <c r="AB3" i="1" s="1"/>
  <c r="AC3" i="1" s="1"/>
  <c r="X24" i="1"/>
  <c r="P24" i="1"/>
  <c r="AB24" i="1" s="1"/>
  <c r="AC24" i="1" s="1"/>
  <c r="X19" i="1"/>
  <c r="P19" i="1"/>
  <c r="AB19" i="1" s="1"/>
  <c r="AC19" i="1" s="1"/>
  <c r="X6" i="1"/>
  <c r="P6" i="1"/>
  <c r="AB6" i="1" s="1"/>
  <c r="AC6" i="1" s="1"/>
  <c r="X39" i="1"/>
  <c r="P39" i="1"/>
  <c r="AB39" i="1" s="1"/>
  <c r="AC39" i="1" s="1"/>
  <c r="X25" i="1"/>
  <c r="P25" i="1"/>
  <c r="AB25" i="1" s="1"/>
  <c r="AC25" i="1" s="1"/>
  <c r="X32" i="1"/>
  <c r="P32" i="1"/>
  <c r="AB32" i="1" s="1"/>
  <c r="AC32" i="1" s="1"/>
  <c r="X34" i="1"/>
  <c r="P34" i="1"/>
  <c r="AB34" i="1" s="1"/>
  <c r="AC34" i="1" s="1"/>
  <c r="P30" i="1"/>
  <c r="AB30" i="1" s="1"/>
  <c r="AC30" i="1" s="1"/>
  <c r="X35" i="1"/>
  <c r="P35" i="1"/>
  <c r="AB35" i="1" s="1"/>
  <c r="AC35" i="1" s="1"/>
  <c r="X14" i="1"/>
  <c r="P14" i="1"/>
  <c r="AB14" i="1" s="1"/>
  <c r="AC14" i="1" s="1"/>
  <c r="X28" i="1"/>
  <c r="P28" i="1"/>
  <c r="AB28" i="1" s="1"/>
  <c r="AC28" i="1" s="1"/>
  <c r="X4" i="1"/>
  <c r="P4" i="1"/>
  <c r="AB4" i="1" s="1"/>
  <c r="AC4" i="1" s="1"/>
  <c r="X12" i="1"/>
  <c r="P12" i="1"/>
  <c r="AB12" i="1" s="1"/>
  <c r="AC12" i="1" s="1"/>
  <c r="P9" i="1"/>
  <c r="AB9" i="1" s="1"/>
  <c r="AC9" i="1" s="1"/>
  <c r="X2" i="1"/>
  <c r="P2" i="1"/>
  <c r="AB2" i="1" s="1"/>
  <c r="AC2" i="1" s="1"/>
  <c r="X23" i="1"/>
  <c r="P23" i="1"/>
  <c r="AB23" i="1" s="1"/>
  <c r="AC23" i="1" s="1"/>
  <c r="P33" i="1"/>
  <c r="AB33" i="1" s="1"/>
  <c r="AC33" i="1" s="1"/>
  <c r="X17" i="1"/>
  <c r="P17" i="1"/>
  <c r="AB17" i="1" s="1"/>
  <c r="AC17" i="1" s="1"/>
  <c r="X40" i="1"/>
  <c r="P40" i="1"/>
  <c r="AB40" i="1" s="1"/>
  <c r="AC40" i="1" s="1"/>
  <c r="X11" i="1"/>
  <c r="P11" i="1"/>
  <c r="AB11" i="1" s="1"/>
  <c r="AC11" i="1" s="1"/>
  <c r="X41" i="1"/>
  <c r="P41" i="1"/>
  <c r="AB41" i="1" s="1"/>
  <c r="AC41" i="1" s="1"/>
  <c r="X15" i="1"/>
  <c r="P15" i="1"/>
  <c r="AB15" i="1" s="1"/>
  <c r="AC15" i="1" s="1"/>
  <c r="P22" i="1"/>
  <c r="AB22" i="1" s="1"/>
  <c r="AC22" i="1" s="1"/>
  <c r="P42" i="1"/>
  <c r="AB42" i="1" s="1"/>
  <c r="AC42" i="1" s="1"/>
  <c r="X16" i="1"/>
  <c r="P16" i="1"/>
  <c r="AB16" i="1" s="1"/>
  <c r="AC16" i="1" s="1"/>
  <c r="X26" i="1"/>
  <c r="P26" i="1"/>
  <c r="AB26" i="1" s="1"/>
  <c r="AC26" i="1" s="1"/>
  <c r="X29" i="1"/>
  <c r="P29" i="1"/>
  <c r="AB29" i="1" s="1"/>
  <c r="AC29" i="1" s="1"/>
  <c r="X18" i="1"/>
  <c r="P18" i="1"/>
  <c r="AB18" i="1" s="1"/>
  <c r="AC18" i="1" s="1"/>
  <c r="X5" i="1"/>
  <c r="P5" i="1"/>
  <c r="AB5" i="1" s="1"/>
  <c r="AC5" i="1" s="1"/>
  <c r="X21" i="1"/>
  <c r="P21" i="1"/>
  <c r="AB21" i="1" s="1"/>
  <c r="AC21" i="1" s="1"/>
  <c r="X31" i="1"/>
  <c r="P31" i="1"/>
  <c r="AB31" i="1" s="1"/>
  <c r="AC31" i="1" s="1"/>
  <c r="P27" i="1"/>
  <c r="AB27" i="1" s="1"/>
  <c r="AC27" i="1" s="1"/>
  <c r="P10" i="1"/>
  <c r="AB10" i="1" s="1"/>
  <c r="AC10" i="1" s="1"/>
  <c r="P13" i="1"/>
  <c r="AB13" i="1" s="1"/>
  <c r="AC13" i="1" s="1"/>
  <c r="X33" i="1"/>
  <c r="X20" i="1"/>
  <c r="X37" i="1"/>
  <c r="X8" i="1"/>
  <c r="X38" i="1"/>
  <c r="X36" i="1"/>
  <c r="X9" i="1"/>
  <c r="X22" i="1"/>
  <c r="X42" i="1"/>
  <c r="X7" i="1"/>
  <c r="X30" i="1"/>
  <c r="X27" i="1"/>
  <c r="X10" i="1"/>
  <c r="X13" i="1"/>
  <c r="V13" i="18" l="1"/>
  <c r="L11" i="18" l="1"/>
  <c r="X11" i="18" s="1"/>
  <c r="I11" i="18"/>
  <c r="K11" i="18"/>
  <c r="W11" i="18" s="1"/>
  <c r="G11" i="18"/>
  <c r="M11" i="18" l="1"/>
  <c r="Y11" i="18" l="1"/>
  <c r="Z11" i="18" s="1"/>
  <c r="V11" i="18"/>
  <c r="G12" i="18" l="1"/>
  <c r="J12" i="18"/>
  <c r="U12" i="18" s="1"/>
  <c r="M12" i="18" l="1"/>
  <c r="Y12" i="18" s="1"/>
  <c r="Z12" i="18" s="1"/>
  <c r="G13" i="18"/>
  <c r="J13" i="18"/>
  <c r="M13" i="18" s="1"/>
  <c r="Y13" i="18" s="1"/>
  <c r="Z13" i="18" s="1"/>
  <c r="U13" i="18" l="1"/>
  <c r="G9" i="18"/>
  <c r="J9" i="18"/>
  <c r="U9" i="18" s="1"/>
  <c r="G10" i="18"/>
  <c r="J10" i="18"/>
  <c r="U10" i="18" s="1"/>
  <c r="M10" i="18" l="1"/>
  <c r="Y10" i="18" s="1"/>
  <c r="Z10" i="18" s="1"/>
  <c r="M9" i="18"/>
  <c r="Y9" i="18" s="1"/>
  <c r="Z9" i="18" s="1"/>
  <c r="G6" i="18"/>
  <c r="J6" i="18"/>
  <c r="M6" i="18" s="1"/>
  <c r="Y6" i="18" s="1"/>
  <c r="Z6" i="18" s="1"/>
  <c r="G7" i="18"/>
  <c r="J7" i="18"/>
  <c r="M7" i="18" s="1"/>
  <c r="Y7" i="18" s="1"/>
  <c r="Z7" i="18" s="1"/>
  <c r="U7" i="18" l="1"/>
  <c r="U6" i="18"/>
  <c r="G3" i="18"/>
  <c r="J3" i="18"/>
  <c r="M3" i="18" s="1"/>
  <c r="Y3" i="18" s="1"/>
  <c r="Z3" i="18" s="1"/>
  <c r="G4" i="18"/>
  <c r="J4" i="18"/>
  <c r="U4" i="18" s="1"/>
  <c r="U3" i="18" l="1"/>
  <c r="M4" i="18"/>
  <c r="Y4" i="18" s="1"/>
  <c r="Z4" i="18" s="1"/>
</calcChain>
</file>

<file path=xl/sharedStrings.xml><?xml version="1.0" encoding="utf-8"?>
<sst xmlns="http://schemas.openxmlformats.org/spreadsheetml/2006/main" count="753" uniqueCount="101">
  <si>
    <t>Monthly Customer Charge</t>
  </si>
  <si>
    <t>Delivery Commodity</t>
  </si>
  <si>
    <t>Delivery Demand</t>
  </si>
  <si>
    <t>Transportation</t>
  </si>
  <si>
    <t>System Commodity</t>
  </si>
  <si>
    <t>Fuel Ratio</t>
  </si>
  <si>
    <t>Fuel Price</t>
  </si>
  <si>
    <t>Fuel Rate</t>
  </si>
  <si>
    <t>Delivery Demand Blocks</t>
  </si>
  <si>
    <t>Incl. Fuel</t>
  </si>
  <si>
    <t>tier 1</t>
  </si>
  <si>
    <t>tier 2</t>
  </si>
  <si>
    <t>tier 3</t>
  </si>
  <si>
    <t>($/month)</t>
  </si>
  <si>
    <r>
      <t>(cents/m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</si>
  <si>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t>(cents/m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</t>
    </r>
  </si>
  <si>
    <t>(%)</t>
  </si>
  <si>
    <r>
      <t>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/d)</t>
    </r>
  </si>
  <si>
    <t>E01</t>
  </si>
  <si>
    <t>E02</t>
  </si>
  <si>
    <t>E10</t>
  </si>
  <si>
    <t>E30</t>
  </si>
  <si>
    <t>E34</t>
  </si>
  <si>
    <t>E20</t>
  </si>
  <si>
    <t>E22</t>
  </si>
  <si>
    <t>E24-EGD</t>
  </si>
  <si>
    <t>E24-North</t>
  </si>
  <si>
    <t>E24-South</t>
  </si>
  <si>
    <t>newrate</t>
  </si>
  <si>
    <t>Rate Zone</t>
  </si>
  <si>
    <t>Rate Class</t>
  </si>
  <si>
    <t>Profile</t>
  </si>
  <si>
    <t>Design Demand</t>
  </si>
  <si>
    <t>Volume</t>
  </si>
  <si>
    <t>Load Factor</t>
  </si>
  <si>
    <t>Proposed Customer Charge</t>
  </si>
  <si>
    <t>Proposed Volumetric Delivery Charge</t>
  </si>
  <si>
    <t>Proposed Demand Delivery Charge</t>
  </si>
  <si>
    <t>Proposed Gas Supply Transportation Charge</t>
  </si>
  <si>
    <t>Proposed Gas Supply Commodity Charge</t>
  </si>
  <si>
    <t>Proposed Total Bill ($)</t>
  </si>
  <si>
    <t>Current Customer Charge</t>
  </si>
  <si>
    <t>Current Demand Delivery Charge</t>
  </si>
  <si>
    <t>Current Volumetric Delivery Charge</t>
  </si>
  <si>
    <t>Current Gas Supply Transportation Charge</t>
  </si>
  <si>
    <t>Current Gas Supply Commodity Charge</t>
  </si>
  <si>
    <t>Current Total Bill ($)</t>
  </si>
  <si>
    <t>Customer Charge Impact</t>
  </si>
  <si>
    <t>Demand Charge Impact</t>
  </si>
  <si>
    <t>Volumetric Charge Impact</t>
  </si>
  <si>
    <t>Gas Supply Transportation Charge Impact</t>
  </si>
  <si>
    <t>Gas Supply Commodity Charge Impact</t>
  </si>
  <si>
    <t>Total Bill Impact ($)</t>
  </si>
  <si>
    <t>Total Bill Impact (%)</t>
  </si>
  <si>
    <t>EGD</t>
  </si>
  <si>
    <t>Rate 1</t>
  </si>
  <si>
    <t>Small (Decile 2)</t>
  </si>
  <si>
    <t>Average (Decile 5)</t>
  </si>
  <si>
    <t>Large (Decile 8)</t>
  </si>
  <si>
    <t>Union North West</t>
  </si>
  <si>
    <t>Rate 01</t>
  </si>
  <si>
    <t>Union North East</t>
  </si>
  <si>
    <t>Union South</t>
  </si>
  <si>
    <t>Rate M1</t>
  </si>
  <si>
    <t>Rate 6</t>
  </si>
  <si>
    <t xml:space="preserve">Proposed Customer Charge </t>
  </si>
  <si>
    <t>Rate 10</t>
  </si>
  <si>
    <t>Rate M2</t>
  </si>
  <si>
    <t>CD</t>
  </si>
  <si>
    <t>CD - Tier 1</t>
  </si>
  <si>
    <t>CD - Tier 2</t>
  </si>
  <si>
    <t>Proposed Demand Delivery Charge - Tier 1</t>
  </si>
  <si>
    <t>Proposed Demand Delivery Charge - Tier 2</t>
  </si>
  <si>
    <t>Rate 100</t>
  </si>
  <si>
    <t>Smallest</t>
  </si>
  <si>
    <t>1st Quintile</t>
  </si>
  <si>
    <t>2nd Quintile</t>
  </si>
  <si>
    <t>3rd Quintile</t>
  </si>
  <si>
    <t>4th Quintile</t>
  </si>
  <si>
    <t>Largest</t>
  </si>
  <si>
    <t>Rate 110</t>
  </si>
  <si>
    <t>Rate 115</t>
  </si>
  <si>
    <t>Rate 20</t>
  </si>
  <si>
    <t>Rate M4</t>
  </si>
  <si>
    <t>Rate M7</t>
  </si>
  <si>
    <t>Rate 145</t>
  </si>
  <si>
    <t>Rate 170</t>
  </si>
  <si>
    <t>Rate M5</t>
  </si>
  <si>
    <t>Rate 135</t>
  </si>
  <si>
    <t>Average</t>
  </si>
  <si>
    <t>CD  -Tier 1</t>
  </si>
  <si>
    <t>CD  -Tier 2</t>
  </si>
  <si>
    <t>CD  -Tier 3</t>
  </si>
  <si>
    <t>Proposed Demand Delivery Charge - Tier 3</t>
  </si>
  <si>
    <t>Gas Supply Charge Impact</t>
  </si>
  <si>
    <t>Rate T1</t>
  </si>
  <si>
    <t>Rate T2</t>
  </si>
  <si>
    <t>Union North</t>
  </si>
  <si>
    <t>Rate 125</t>
  </si>
  <si>
    <t>Small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</si>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</sst>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_);[Red]\(#,##0\);\-"/>
    <numFmt numFmtId="165" formatCode="#,##0.0000_);\(#,##0.0000\);\-"/>
    <numFmt numFmtId="166" formatCode="#,##0.00_);\(#,##0.00\);\-"/>
    <numFmt numFmtId="167" formatCode="_(* #,##0_);_(* \(#,##0\);_(* &quot;-&quot;??_);_(@_)"/>
    <numFmt numFmtId="168" formatCode="0.0%;\(0.0%\)"/>
    <numFmt numFmtId="169" formatCode="0.000%"/>
    <numFmt numFmtId="170" formatCode="#,##0_);\(#,##0\);\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0" tint="-0.499984740745262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4" fillId="2" borderId="1" xfId="0" applyFont="1" applyFill="1" applyBorder="1"/>
    <xf numFmtId="165" fontId="7" fillId="7" borderId="1" xfId="0" applyNumberFormat="1" applyFont="1" applyFill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9" fillId="0" borderId="0" xfId="0" applyFont="1"/>
    <xf numFmtId="0" fontId="4" fillId="3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164" fontId="4" fillId="0" borderId="0" xfId="0" applyNumberFormat="1" applyFont="1"/>
    <xf numFmtId="9" fontId="4" fillId="0" borderId="0" xfId="1" applyFont="1" applyFill="1"/>
    <xf numFmtId="9" fontId="4" fillId="0" borderId="0" xfId="1" applyFont="1"/>
    <xf numFmtId="0" fontId="4" fillId="8" borderId="0" xfId="0" applyFont="1" applyFill="1" applyAlignment="1">
      <alignment horizontal="center" wrapText="1"/>
    </xf>
    <xf numFmtId="164" fontId="4" fillId="8" borderId="0" xfId="0" applyNumberFormat="1" applyFont="1" applyFill="1"/>
    <xf numFmtId="0" fontId="4" fillId="4" borderId="0" xfId="0" applyFont="1" applyFill="1" applyAlignment="1">
      <alignment horizontal="center" wrapText="1"/>
    </xf>
    <xf numFmtId="168" fontId="4" fillId="9" borderId="0" xfId="0" applyNumberFormat="1" applyFont="1" applyFill="1"/>
    <xf numFmtId="167" fontId="4" fillId="4" borderId="0" xfId="2" applyNumberFormat="1" applyFont="1" applyFill="1"/>
    <xf numFmtId="167" fontId="4" fillId="3" borderId="0" xfId="2" applyNumberFormat="1" applyFont="1" applyFill="1"/>
    <xf numFmtId="167" fontId="4" fillId="6" borderId="0" xfId="2" applyNumberFormat="1" applyFont="1" applyFill="1"/>
    <xf numFmtId="167" fontId="4" fillId="5" borderId="0" xfId="2" applyNumberFormat="1" applyFont="1" applyFill="1"/>
    <xf numFmtId="167" fontId="4" fillId="0" borderId="0" xfId="2" applyNumberFormat="1" applyFont="1"/>
    <xf numFmtId="167" fontId="4" fillId="9" borderId="0" xfId="2" applyNumberFormat="1" applyFont="1" applyFill="1"/>
    <xf numFmtId="167" fontId="4" fillId="0" borderId="0" xfId="2" applyNumberFormat="1" applyFont="1" applyFill="1"/>
    <xf numFmtId="166" fontId="7" fillId="0" borderId="1" xfId="0" applyNumberFormat="1" applyFont="1" applyBorder="1" applyAlignment="1" applyProtection="1">
      <alignment horizontal="right"/>
      <protection locked="0"/>
    </xf>
    <xf numFmtId="165" fontId="7" fillId="0" borderId="1" xfId="0" applyNumberFormat="1" applyFont="1" applyBorder="1" applyAlignment="1" applyProtection="1">
      <alignment horizontal="right"/>
      <protection locked="0"/>
    </xf>
    <xf numFmtId="169" fontId="7" fillId="0" borderId="1" xfId="1" applyNumberFormat="1" applyFont="1" applyBorder="1" applyAlignment="1" applyProtection="1">
      <alignment horizontal="right"/>
      <protection locked="0"/>
    </xf>
    <xf numFmtId="170" fontId="8" fillId="0" borderId="1" xfId="0" applyNumberFormat="1" applyFont="1" applyBorder="1" applyAlignment="1" applyProtection="1">
      <alignment horizontal="right"/>
      <protection locked="0"/>
    </xf>
  </cellXfs>
  <cellStyles count="3">
    <cellStyle name="Comma" xfId="2" builtinId="3"/>
    <cellStyle name="Normal" xfId="0" builtinId="0"/>
    <cellStyle name="Percent" xfId="1" builtinId="5"/>
  </cellStyles>
  <dxfs count="226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 patternType="solid"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none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  <fill>
        <patternFill>
          <fgColor indexed="64"/>
          <bgColor theme="9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8" formatCode="0.0%;\(0.0%\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7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_(* #,##0_);_(* \(#,##0\);_(* &quot;-&quot;??_);_(@_)"/>
      <fill>
        <patternFill patternType="solid">
          <fgColor indexed="64"/>
          <bgColor theme="9" tint="0.3999755851924192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_);[Red]\(#,##0\);\-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5CA8E25-2C75-4617-8E27-99E883EC2053}" name="Table19" displayName="Table19" ref="A1:Z15" totalsRowShown="0" headerRowDxfId="225" dataDxfId="224">
  <tableColumns count="26">
    <tableColumn id="36" xr3:uid="{975BC1F5-F5FA-4939-A4F2-09F441B58CFC}" name="newrate" dataDxfId="223"/>
    <tableColumn id="11" xr3:uid="{B310EF82-D0BE-45B8-BA0B-ACF9BDEB9F76}" name="Rate Zone" dataDxfId="222"/>
    <tableColumn id="12" xr3:uid="{9204345D-6FDB-4C0B-9607-EC8563BC6A59}" name="Rate Class" dataDxfId="221"/>
    <tableColumn id="17" xr3:uid="{7706C300-7E7E-4E2A-B944-83648F16D568}" name="Profile" dataDxfId="220"/>
    <tableColumn id="7" xr3:uid="{8BB0DFAC-9CF3-4540-A0D3-437AB540C211}" name="Design Demand" dataDxfId="219"/>
    <tableColumn id="8" xr3:uid="{97FDDD5A-B103-4001-9599-6D6B5E38AB9D}" name="Volume" dataDxfId="218"/>
    <tableColumn id="10" xr3:uid="{A6F7A131-6DAA-4B32-A368-DB1B2B6C799B}" name="Load Factor" dataDxfId="217" dataCellStyle="Percent">
      <calculatedColumnFormula>IFERROR(Table19[[#This Row],[Volume]]/(Table19[[#This Row],[Design Demand]]*366),0)</calculatedColumnFormula>
    </tableColumn>
    <tableColumn id="20" xr3:uid="{CA81BF9A-AE89-4D28-8619-46B19986111F}" name="Proposed Customer Charge" dataDxfId="216" dataCellStyle="Comma">
      <calculatedColumnFormula>12*VLOOKUP(Table19[[#This Row],[newrate]],rates,2,0)</calculatedColumnFormula>
    </tableColumn>
    <tableColumn id="25" xr3:uid="{84B2872E-3093-4619-9915-D3F9D0FCFD04}" name="Proposed Volumetric Delivery Charge" dataDxfId="215" dataCellStyle="Comma">
      <calculatedColumnFormula>Table19[[#This Row],[Volume]]*(VLOOKUP(Table19[[#This Row],[newrate]],rates,3,0))/100</calculatedColumnFormula>
    </tableColumn>
    <tableColumn id="26" xr3:uid="{66CBAF04-2E7F-4E4E-8769-8A1C1627B34B}" name="Proposed Demand Delivery Charge" dataDxfId="214" dataCellStyle="Comma">
      <calculatedColumnFormula>12*Table19[[#This Row],[Design Demand]]*VLOOKUP(Table19[[#This Row],[newrate]],rates,4,0)/100</calculatedColumnFormula>
    </tableColumn>
    <tableColumn id="13" xr3:uid="{4F6661DE-D170-425C-A10E-87EDD3459FD7}" name="Proposed Gas Supply Transportation Charge" dataDxfId="213" dataCellStyle="Comma">
      <calculatedColumnFormula>Table19[[#This Row],[Volume]]*VLOOKUP(Table19[[#This Row],[newrate]],rates,7,0)/100</calculatedColumnFormula>
    </tableColumn>
    <tableColumn id="14" xr3:uid="{238121B0-86CD-4D9E-AA1B-316484D5A464}" name="Proposed Gas Supply Commodity Charge" dataDxfId="212" dataCellStyle="Comma">
      <calculatedColumnFormula>Table19[[#This Row],[Volume]]*VLOOKUP(Table19[[#This Row],[newrate]],rates,8,0)/100</calculatedColumnFormula>
    </tableColumn>
    <tableColumn id="38" xr3:uid="{61679B75-7E95-4D94-A217-E01470A5AFDC}" name="Proposed Total Bill ($)" dataDxfId="211" dataCellStyle="Comma">
      <calculatedColumnFormula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calculatedColumnFormula>
    </tableColumn>
    <tableColumn id="2" xr3:uid="{820B2085-4A5F-428C-BBDA-0561109E8243}" name="Current Customer Charge" dataDxfId="210" dataCellStyle="Comma"/>
    <tableColumn id="22" xr3:uid="{F33C144A-D761-4229-AFF2-A7DCDB5EDEAC}" name="Current Demand Delivery Charge" dataDxfId="209" dataCellStyle="Comma"/>
    <tableColumn id="3" xr3:uid="{A8590575-0DAF-40D9-9330-6C6327A2DAFC}" name="Current Volumetric Delivery Charge" dataDxfId="208" dataCellStyle="Comma"/>
    <tableColumn id="1" xr3:uid="{17C91E84-3F4D-4814-99C3-D11E71D83552}" name="Current Gas Supply Transportation Charge" dataDxfId="207" dataCellStyle="Comma"/>
    <tableColumn id="31" xr3:uid="{1580FFD2-9794-419D-B659-E9D40201AE6F}" name="Current Gas Supply Commodity Charge" dataDxfId="206" dataCellStyle="Comma"/>
    <tableColumn id="42" xr3:uid="{1CB30374-FB56-43BA-8D9C-222F505DEA41}" name="Current Total Bill ($)" dataDxfId="205" dataCellStyle="Comma">
      <calculatedColumnFormula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calculatedColumnFormula>
    </tableColumn>
    <tableColumn id="43" xr3:uid="{5BEF3571-2ADC-4160-BEF4-5A81DE9A4A10}" name="Customer Charge Impact" dataDxfId="204" dataCellStyle="Comma">
      <calculatedColumnFormula>Table19[[#This Row],[Proposed Customer Charge]]-Table19[[#This Row],[Current Customer Charge]]</calculatedColumnFormula>
    </tableColumn>
    <tableColumn id="44" xr3:uid="{29F0F589-6689-424D-9B88-508BB99E37AB}" name="Demand Charge Impact" dataDxfId="203" dataCellStyle="Comma">
      <calculatedColumnFormula>Table19[[#This Row],[Proposed Demand Delivery Charge]]-Table19[[#This Row],[Current Demand Delivery Charge]]</calculatedColumnFormula>
    </tableColumn>
    <tableColumn id="45" xr3:uid="{9A416134-9967-41A4-B085-7526FD62033C}" name="Volumetric Charge Impact" dataDxfId="202" dataCellStyle="Comma">
      <calculatedColumnFormula>Table19[[#This Row],[Proposed Volumetric Delivery Charge]]-Table19[[#This Row],[Current Volumetric Delivery Charge]]</calculatedColumnFormula>
    </tableColumn>
    <tableColumn id="5" xr3:uid="{558902D6-8CAC-4A53-BC61-BB6DE086678C}" name="Gas Supply Transportation Charge Impact" dataDxfId="201" dataCellStyle="Comma">
      <calculatedColumnFormula>Table19[[#This Row],[Proposed Gas Supply Transportation Charge]]-Table19[[#This Row],[Current Gas Supply Transportation Charge]]</calculatedColumnFormula>
    </tableColumn>
    <tableColumn id="4" xr3:uid="{23CDADB1-F326-4AF5-B40C-47BD8B6D00AD}" name="Gas Supply Commodity Charge Impact" dataDxfId="200" dataCellStyle="Comma">
      <calculatedColumnFormula>Table19[[#This Row],[Proposed Gas Supply Commodity Charge]]-Table19[[#This Row],[Current Gas Supply Commodity Charge]]</calculatedColumnFormula>
    </tableColumn>
    <tableColumn id="46" xr3:uid="{82AF880D-78CE-42AE-B1B1-3BE5C5B997D1}" name="Total Bill Impact ($)" dataDxfId="199" dataCellStyle="Comma">
      <calculatedColumnFormula>Table19[[#This Row],[Proposed Total Bill ($)]]-Table19[[#This Row],[Current Total Bill ($)]]</calculatedColumnFormula>
    </tableColumn>
    <tableColumn id="9" xr3:uid="{ACC62916-7378-469B-AA5B-5D3DE806DD52}" name="Total Bill Impact (%)" dataDxfId="198">
      <calculatedColumnFormula>Table19[[#This Row],[Total Bill Impact ($)]]/Table19[[#This Row],[Current Total Bill ($)]]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6DD039-E06D-4705-8916-EC97CAF3A552}" name="Table1910" displayName="Table1910" ref="A1:Z11" totalsRowShown="0" headerRowDxfId="197" dataDxfId="196">
  <tableColumns count="26">
    <tableColumn id="36" xr3:uid="{551E54D1-0265-413A-A2A1-9813313FD91E}" name="newrate" dataDxfId="195"/>
    <tableColumn id="11" xr3:uid="{26D85B58-6F2B-44D5-AA1B-E7AD295C8C52}" name="Rate Zone" dataDxfId="194"/>
    <tableColumn id="12" xr3:uid="{FD42B7BD-C2EF-429D-A8AE-9AA8AD85E0F8}" name="Rate Class" dataDxfId="193"/>
    <tableColumn id="17" xr3:uid="{5F2AB6E4-8428-48C8-97C6-4EB14827D1A7}" name="Profile" dataDxfId="192"/>
    <tableColumn id="7" xr3:uid="{3E87E846-80BE-4490-8226-414D0B24FA79}" name="Design Demand" dataDxfId="191"/>
    <tableColumn id="8" xr3:uid="{0243EF08-8E36-4938-B819-125D6D9D9D95}" name="Volume" dataDxfId="190"/>
    <tableColumn id="10" xr3:uid="{CFA7001E-BE34-4621-B313-E0F107FF53CC}" name="Load Factor" dataDxfId="189" dataCellStyle="Percent">
      <calculatedColumnFormula>IFERROR(Table1910[[#This Row],[Volume]]/(Table1910[[#This Row],[Design Demand]]*366),0)</calculatedColumnFormula>
    </tableColumn>
    <tableColumn id="20" xr3:uid="{F871080B-46E7-4D92-996E-20EE06B90D43}" name="Proposed Customer Charge " dataDxfId="188" dataCellStyle="Comma">
      <calculatedColumnFormula>12*VLOOKUP(Table1910[[#This Row],[newrate]],rates,2,0)</calculatedColumnFormula>
    </tableColumn>
    <tableColumn id="25" xr3:uid="{641576AC-9253-4E9B-BD0E-885865FFA8DF}" name="Proposed Volumetric Delivery Charge" dataDxfId="187" dataCellStyle="Comma">
      <calculatedColumnFormula>Table1910[[#This Row],[Volume]]*(VLOOKUP(Table1910[[#This Row],[newrate]],rates,3,0))/100</calculatedColumnFormula>
    </tableColumn>
    <tableColumn id="26" xr3:uid="{EC0C992B-B2E1-46A8-83A7-8DFB7634F8FF}" name="Proposed Demand Delivery Charge" dataDxfId="186" dataCellStyle="Comma">
      <calculatedColumnFormula>12*Table1910[[#This Row],[Design Demand]]*VLOOKUP(Table1910[[#This Row],[newrate]],rates,4,0)/100</calculatedColumnFormula>
    </tableColumn>
    <tableColumn id="13" xr3:uid="{305F0CEA-556D-4639-984D-6D4713A65FFE}" name="Proposed Gas Supply Transportation Charge" dataDxfId="185" dataCellStyle="Comma">
      <calculatedColumnFormula>Table1910[[#This Row],[Volume]]*VLOOKUP(Table1910[[#This Row],[newrate]],rates,7,0)/100</calculatedColumnFormula>
    </tableColumn>
    <tableColumn id="14" xr3:uid="{823F81D6-936C-4057-B750-17FE5644CAC8}" name="Proposed Gas Supply Commodity Charge" dataDxfId="184" dataCellStyle="Comma">
      <calculatedColumnFormula>Table1910[[#This Row],[Volume]]*VLOOKUP(Table1910[[#This Row],[newrate]],rates,8,0)/100</calculatedColumnFormula>
    </tableColumn>
    <tableColumn id="38" xr3:uid="{E355B1E9-7D7F-4C8B-9B57-5F7AF04B992C}" name="Proposed Total Bill ($)" dataDxfId="183" dataCellStyle="Comma">
      <calculatedColumnFormula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calculatedColumnFormula>
    </tableColumn>
    <tableColumn id="2" xr3:uid="{9602B84A-049F-4099-93EF-754C5C095835}" name="Current Customer Charge" dataDxfId="182" dataCellStyle="Comma"/>
    <tableColumn id="22" xr3:uid="{29C2822A-CDF0-44EE-B79E-A54A6A42ED81}" name="Current Demand Delivery Charge" dataDxfId="181" dataCellStyle="Comma"/>
    <tableColumn id="3" xr3:uid="{36E1E253-F771-44FB-8147-239790A49461}" name="Current Volumetric Delivery Charge" dataDxfId="180" dataCellStyle="Comma"/>
    <tableColumn id="1" xr3:uid="{CB2DDB6A-7439-4422-9F3E-23412B85862B}" name="Current Gas Supply Transportation Charge" dataDxfId="179" dataCellStyle="Comma"/>
    <tableColumn id="31" xr3:uid="{39C9D723-974A-4E81-991C-FAF57D22CA79}" name="Current Gas Supply Commodity Charge" dataDxfId="178" dataCellStyle="Comma"/>
    <tableColumn id="42" xr3:uid="{7CA48476-F34C-4EB7-A6C7-7376249AF7C0}" name="Current Total Bill ($)" dataDxfId="177" dataCellStyle="Comma">
      <calculatedColumnFormula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calculatedColumnFormula>
    </tableColumn>
    <tableColumn id="43" xr3:uid="{8FBA10D5-D768-41DD-8298-D41009D3C914}" name="Customer Charge Impact" dataDxfId="176" dataCellStyle="Comma">
      <calculatedColumnFormula>Table1910[[#This Row],[Proposed Customer Charge ]]-Table1910[[#This Row],[Current Customer Charge]]</calculatedColumnFormula>
    </tableColumn>
    <tableColumn id="44" xr3:uid="{50B5D04C-58AB-4A2F-B007-30941C28B401}" name="Demand Charge Impact" dataDxfId="175" dataCellStyle="Comma">
      <calculatedColumnFormula>Table1910[[#This Row],[Proposed Demand Delivery Charge]]-Table1910[[#This Row],[Current Demand Delivery Charge]]</calculatedColumnFormula>
    </tableColumn>
    <tableColumn id="45" xr3:uid="{A1CDF666-580C-4FE8-864F-31F19D63D9F9}" name="Volumetric Charge Impact" dataDxfId="174" dataCellStyle="Comma">
      <calculatedColumnFormula>Table1910[[#This Row],[Proposed Volumetric Delivery Charge]]-Table1910[[#This Row],[Current Volumetric Delivery Charge]]</calculatedColumnFormula>
    </tableColumn>
    <tableColumn id="5" xr3:uid="{4C8204C8-8209-45A9-BF9B-16FCC5FAC5E2}" name="Gas Supply Transportation Charge Impact" dataDxfId="173" dataCellStyle="Comma">
      <calculatedColumnFormula>Table1910[[#This Row],[Proposed Gas Supply Transportation Charge]]-Table1910[[#This Row],[Current Gas Supply Transportation Charge]]</calculatedColumnFormula>
    </tableColumn>
    <tableColumn id="4" xr3:uid="{64F13881-441F-4B16-8E11-9A560EA9A948}" name="Gas Supply Commodity Charge Impact" dataDxfId="172" dataCellStyle="Comma">
      <calculatedColumnFormula>Table1910[[#This Row],[Proposed Gas Supply Commodity Charge]]-Table1910[[#This Row],[Current Gas Supply Commodity Charge]]</calculatedColumnFormula>
    </tableColumn>
    <tableColumn id="46" xr3:uid="{4C7D655A-84F8-4B16-99DA-CCF4A68D3A05}" name="Total Bill Impact ($)" dataDxfId="171" dataCellStyle="Comma">
      <calculatedColumnFormula>Table1910[[#This Row],[Proposed Total Bill ($)]]-Table1910[[#This Row],[Current Total Bill ($)]]</calculatedColumnFormula>
    </tableColumn>
    <tableColumn id="9" xr3:uid="{F76C85C1-6556-4E57-B046-01A9FBC27574}" name="Total Bill Impact (%)" dataDxfId="170">
      <calculatedColumnFormula>Table1910[[#This Row],[Total Bill Impact ($)]]/Table1910[[#This Row],[Current Total Bill ($)]]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57E1BD-B987-4A17-A0C0-11C12ADFCD28}" name="Table1" displayName="Table1" ref="A1:AC42" totalsRowShown="0" headerRowDxfId="169" dataDxfId="168">
  <tableColumns count="29">
    <tableColumn id="36" xr3:uid="{67A07915-E017-47EF-BB52-258264ED1CED}" name="newrate" dataDxfId="167"/>
    <tableColumn id="11" xr3:uid="{4A21749A-0267-4554-A15D-DB257B22AA96}" name="Rate Zone" dataDxfId="166"/>
    <tableColumn id="12" xr3:uid="{E649A8B2-1AE5-46FA-9808-65049818075A}" name="Rate Class" dataDxfId="165"/>
    <tableColumn id="17" xr3:uid="{8226AF7F-840B-4961-A260-137D1D18D059}" name="Profile" dataDxfId="164"/>
    <tableColumn id="7" xr3:uid="{B2547989-DAEB-4A72-B8E8-B7F1103C4210}" name="CD" dataDxfId="163"/>
    <tableColumn id="8" xr3:uid="{1F3FB927-9F47-4312-AEDC-CA178001822D}" name="Volume" dataDxfId="162"/>
    <tableColumn id="10" xr3:uid="{0FEDA92A-FC91-4E18-8AF4-5FCBCD420C79}" name="Load Factor" dataDxfId="161" dataCellStyle="Percent">
      <calculatedColumnFormula>IFERROR(Table1[[#This Row],[Volume]]/(Table1[[#This Row],[CD]]*366),0)</calculatedColumnFormula>
    </tableColumn>
    <tableColumn id="15" xr3:uid="{EF581278-A751-4137-B8E7-4FE827BA94C5}" name="CD - Tier 1" dataDxfId="160">
      <calculatedColumnFormula>MIN(Table1[[#This Row],[CD]],inputs!$P$8)</calculatedColumnFormula>
    </tableColumn>
    <tableColumn id="16" xr3:uid="{6DC8E37D-B885-4BB5-A095-3360AD235C55}" name="CD - Tier 2" dataDxfId="159">
      <calculatedColumnFormula>MAX(0,Table1[[#This Row],[CD]]-inputs!$P$8)</calculatedColumnFormula>
    </tableColumn>
    <tableColumn id="20" xr3:uid="{355621B3-620A-499A-8426-4347BBBA32C5}" name="Proposed Customer Charge" dataDxfId="158" dataCellStyle="Comma">
      <calculatedColumnFormula>12*VLOOKUP(Table1[[#This Row],[newrate]],rates,2,0)</calculatedColumnFormula>
    </tableColumn>
    <tableColumn id="25" xr3:uid="{151740F3-0734-420F-8451-4009B5B3DC27}" name="Proposed Volumetric Delivery Charge" dataDxfId="157" dataCellStyle="Comma">
      <calculatedColumnFormula>Table1[[#This Row],[Volume]]*VLOOKUP(Table1[[#This Row],[newrate]],rates,3,0)/100</calculatedColumnFormula>
    </tableColumn>
    <tableColumn id="26" xr3:uid="{854434C6-75BF-49B7-9359-4C91B7B7268C}" name="Proposed Demand Delivery Charge - Tier 1" dataDxfId="156" dataCellStyle="Comma">
      <calculatedColumnFormula>12*Table1[[#This Row],[CD - Tier 1]]*VLOOKUP(Table1[[#This Row],[newrate]],rates,4,0)/100</calculatedColumnFormula>
    </tableColumn>
    <tableColumn id="27" xr3:uid="{4559FB95-98D3-4307-B502-B7E659425D83}" name="Proposed Demand Delivery Charge - Tier 2" dataDxfId="155" dataCellStyle="Comma">
      <calculatedColumnFormula>12*Table1[[#This Row],[CD - Tier 2]]*VLOOKUP(Table1[[#This Row],[newrate]],rates,5,0)/100</calculatedColumnFormula>
    </tableColumn>
    <tableColumn id="13" xr3:uid="{2DEE4F24-4C96-4736-AE6F-858CE744783E}" name="Proposed Gas Supply Transportation Charge" dataDxfId="154" dataCellStyle="Comma">
      <calculatedColumnFormula>Table1[[#This Row],[Volume]]*VLOOKUP(Table1[[#This Row],[newrate]],rates,7,0)/100</calculatedColumnFormula>
    </tableColumn>
    <tableColumn id="14" xr3:uid="{BA47E48C-8DBD-4CB2-8811-31BE31069FCC}" name="Proposed Gas Supply Commodity Charge" dataDxfId="153" dataCellStyle="Comma">
      <calculatedColumnFormula>Table1[[#This Row],[Volume]]*VLOOKUP(Table1[[#This Row],[newrate]],rates,8,0)/100</calculatedColumnFormula>
    </tableColumn>
    <tableColumn id="38" xr3:uid="{B3EB82F9-6C38-4D03-B0CF-33B9D79FA36B}" name="Proposed Total Bill ($)" dataDxfId="152" dataCellStyle="Comma">
      <calculatedColumnFormula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calculatedColumnFormula>
    </tableColumn>
    <tableColumn id="2" xr3:uid="{6B5B09CA-2E5E-4C72-A673-C8AFB880BFA8}" name="Current Customer Charge" dataDxfId="151" dataCellStyle="Comma"/>
    <tableColumn id="22" xr3:uid="{D1D8C63E-699D-4280-8725-F4C58E749F97}" name="Current Demand Delivery Charge" dataDxfId="150" dataCellStyle="Comma"/>
    <tableColumn id="3" xr3:uid="{E7E96F66-B5F6-41F8-BB5F-DFBFFC3F6A73}" name="Current Volumetric Delivery Charge" dataDxfId="149" dataCellStyle="Comma"/>
    <tableColumn id="18" xr3:uid="{53588B0B-9F53-4743-A6B8-25D773F51120}" name="Current Gas Supply Transportation Charge" dataDxfId="148" dataCellStyle="Comma"/>
    <tableColumn id="31" xr3:uid="{1844838D-A8D0-4689-92D9-8AB8716CBEE8}" name="Current Gas Supply Commodity Charge" dataDxfId="147" dataCellStyle="Comma"/>
    <tableColumn id="42" xr3:uid="{200FF11A-7B06-416A-9535-7E1725B320AF}" name="Current Total Bill ($)" dataDxfId="146" dataCellStyle="Comma">
      <calculatedColumnFormula>Table1[[#This Row],[Current Customer Charge]]+Table1[[#This Row],[Current Demand Delivery Charge]]+Table1[[#This Row],[Current Volumetric Delivery Charge]]+Table1[[#This Row],[Current Gas Supply Transportation Charge]]+Table1[[#This Row],[Current Gas Supply Commodity Charge]]</calculatedColumnFormula>
    </tableColumn>
    <tableColumn id="43" xr3:uid="{EAEB378C-0F97-407C-9F03-16283D11A594}" name="Customer Charge Impact" dataDxfId="145" dataCellStyle="Comma">
      <calculatedColumnFormula>Table1[[#This Row],[Proposed Customer Charge]]-Table1[[#This Row],[Current Customer Charge]]</calculatedColumnFormula>
    </tableColumn>
    <tableColumn id="44" xr3:uid="{A850212C-623E-4C54-A156-D89FCC377693}" name="Demand Charge Impact" dataDxfId="144" dataCellStyle="Comma">
      <calculatedColumnFormula>Table1[[#This Row],[Proposed Demand Delivery Charge - Tier 1]]+Table1[[#This Row],[Proposed Demand Delivery Charge - Tier 2]]-Table1[[#This Row],[Current Demand Delivery Charge]]</calculatedColumnFormula>
    </tableColumn>
    <tableColumn id="45" xr3:uid="{9E2F9141-E9B1-4778-A734-8BCBED1E2D58}" name="Volumetric Charge Impact" dataDxfId="143" dataCellStyle="Comma">
      <calculatedColumnFormula>Table1[[#This Row],[Proposed Volumetric Delivery Charge]]-Table1[[#This Row],[Current Volumetric Delivery Charge]]</calculatedColumnFormula>
    </tableColumn>
    <tableColumn id="19" xr3:uid="{C498F578-DFF2-45AF-A742-7AB9B4C2D9F1}" name="Gas Supply Transportation Charge Impact" dataDxfId="142" dataCellStyle="Comma">
      <calculatedColumnFormula>Table1[[#This Row],[Proposed Gas Supply Transportation Charge]]-Table1[[#This Row],[Current Gas Supply Transportation Charge]]</calculatedColumnFormula>
    </tableColumn>
    <tableColumn id="4" xr3:uid="{DF094D09-A6EA-40CA-9ED8-9AF26C4CCD7C}" name="Gas Supply Commodity Charge Impact" dataDxfId="141" dataCellStyle="Comma">
      <calculatedColumnFormula>Table1[[#This Row],[Proposed Gas Supply Commodity Charge]]-Table1[[#This Row],[Current Gas Supply Commodity Charge]]</calculatedColumnFormula>
    </tableColumn>
    <tableColumn id="46" xr3:uid="{7BAD653E-FB19-482B-B522-498DEF13EDCA}" name="Total Bill Impact ($)" dataDxfId="140" dataCellStyle="Comma">
      <calculatedColumnFormula>Table1[[#This Row],[Proposed Total Bill ($)]]-Table1[[#This Row],[Current Total Bill ($)]]</calculatedColumnFormula>
    </tableColumn>
    <tableColumn id="9" xr3:uid="{3405AF17-50D9-4F2A-BC4D-0899F20D926D}" name="Total Bill Impact (%)" dataDxfId="139">
      <calculatedColumnFormula>Table1[[#This Row],[Total Bill Impact ($)]]/Table1[[#This Row],[Current Total Bill ($)]]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AAD05B-78F4-467F-9EA2-DF3738161C70}" name="Table12" displayName="Table12" ref="A1:Z25" totalsRowShown="0" headerRowDxfId="138" dataDxfId="137">
  <tableColumns count="26">
    <tableColumn id="36" xr3:uid="{364ECCF2-6E74-409E-852B-2C8F714FE8CC}" name="newrate" dataDxfId="136"/>
    <tableColumn id="11" xr3:uid="{60097417-76E4-47AD-8450-7B5E3E4DB668}" name="Rate Zone" dataDxfId="135"/>
    <tableColumn id="12" xr3:uid="{AB2819AD-A86F-4576-8DB4-B21814A95BEE}" name="Rate Class" dataDxfId="134"/>
    <tableColumn id="15" xr3:uid="{E617F42F-DBFA-4C43-A011-19620E0B0F26}" name="Profile" dataDxfId="133"/>
    <tableColumn id="7" xr3:uid="{6A892FE2-7110-4491-8B9F-A5509F310A78}" name="CD" dataDxfId="132"/>
    <tableColumn id="8" xr3:uid="{9969ADCF-D1FF-45B1-855E-0E46D41CF7BD}" name="Volume" dataDxfId="131"/>
    <tableColumn id="10" xr3:uid="{347A9F82-10AE-4910-BA33-090360B9E44B}" name="Load Factor" dataDxfId="130" dataCellStyle="Percent">
      <calculatedColumnFormula>IFERROR(Table12[[#This Row],[Volume]]/(Table12[[#This Row],[CD]]*366),0)</calculatedColumnFormula>
    </tableColumn>
    <tableColumn id="20" xr3:uid="{1E8FAA9C-2131-46DC-A72F-2311EFF12DA1}" name="Proposed Customer Charge" dataDxfId="129" dataCellStyle="Comma">
      <calculatedColumnFormula>12*VLOOKUP(Table12[[#This Row],[newrate]],rates,2,0)</calculatedColumnFormula>
    </tableColumn>
    <tableColumn id="25" xr3:uid="{6786EE89-E553-4210-ADF4-609A022DD173}" name="Proposed Volumetric Delivery Charge" dataDxfId="128" dataCellStyle="Comma">
      <calculatedColumnFormula>Table12[[#This Row],[Volume]]*VLOOKUP(Table12[[#This Row],[newrate]],rates,3,0)/100</calculatedColumnFormula>
    </tableColumn>
    <tableColumn id="26" xr3:uid="{5690D505-C89D-4FEA-813A-FF078184FB76}" name="Proposed Demand Delivery Charge" dataDxfId="127" dataCellStyle="Comma">
      <calculatedColumnFormula>12*Table12[[#This Row],[CD]]*VLOOKUP(Table12[[#This Row],[newrate]],rates,4,0)/100</calculatedColumnFormula>
    </tableColumn>
    <tableColumn id="13" xr3:uid="{D675FF14-ECE6-4795-A873-7200E9653B8D}" name="Proposed Gas Supply Transportation Charge" dataDxfId="126" dataCellStyle="Comma">
      <calculatedColumnFormula>Table12[[#This Row],[Volume]]*VLOOKUP(Table12[[#This Row],[newrate]],rates,7,0)/100</calculatedColumnFormula>
    </tableColumn>
    <tableColumn id="14" xr3:uid="{7E0A282A-879C-485D-9186-E1B6AF5D06D2}" name="Proposed Gas Supply Commodity Charge" dataDxfId="125" dataCellStyle="Comma">
      <calculatedColumnFormula>Table12[[#This Row],[Volume]]*VLOOKUP(Table12[[#This Row],[newrate]],rates,8,0)/100</calculatedColumnFormula>
    </tableColumn>
    <tableColumn id="38" xr3:uid="{E6C9EF1F-31BA-4B58-AE4C-AA7A2856C702}" name="Proposed Total Bill ($)" dataDxfId="124" dataCellStyle="Comma">
      <calculatedColumnFormula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calculatedColumnFormula>
    </tableColumn>
    <tableColumn id="2" xr3:uid="{6D85D147-856D-4211-A632-5F8DD27FF67F}" name="Current Customer Charge" dataDxfId="123" dataCellStyle="Comma"/>
    <tableColumn id="22" xr3:uid="{A862FB2B-F736-416B-8132-27CBCE480AE7}" name="Current Demand Delivery Charge" dataDxfId="122" dataCellStyle="Comma"/>
    <tableColumn id="3" xr3:uid="{2F037504-3A86-49FC-BF70-65FC2E408C1A}" name="Current Volumetric Delivery Charge" dataDxfId="121" dataCellStyle="Comma"/>
    <tableColumn id="16" xr3:uid="{2F5AF7C1-AAE2-48A7-B952-5B6B4CC5D7EE}" name="Current Gas Supply Transportation Charge" dataDxfId="120" dataCellStyle="Comma"/>
    <tableColumn id="31" xr3:uid="{27456FF0-250C-41E5-8144-A7A07D17FA80}" name="Current Gas Supply Commodity Charge" dataDxfId="119" dataCellStyle="Comma"/>
    <tableColumn id="42" xr3:uid="{BDE4E8F1-B155-4DBC-BA59-6C3255642D30}" name="Current Total Bill ($)" dataDxfId="118" dataCellStyle="Comma">
      <calculatedColumnFormula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calculatedColumnFormula>
    </tableColumn>
    <tableColumn id="43" xr3:uid="{64DFA58D-C468-4F07-8D41-B6AC6DD5F377}" name="Customer Charge Impact" dataDxfId="117" dataCellStyle="Comma">
      <calculatedColumnFormula>Table12[[#This Row],[Proposed Customer Charge]]-Table12[[#This Row],[Current Customer Charge]]</calculatedColumnFormula>
    </tableColumn>
    <tableColumn id="44" xr3:uid="{6A5B2BA2-436E-40D8-A01B-4EA58A063C42}" name="Demand Charge Impact" dataDxfId="116" dataCellStyle="Comma">
      <calculatedColumnFormula>Table12[[#This Row],[Proposed Demand Delivery Charge]]-Table12[[#This Row],[Current Demand Delivery Charge]]</calculatedColumnFormula>
    </tableColumn>
    <tableColumn id="45" xr3:uid="{F0A5F9F3-19FE-456A-891A-18486DCB0ED5}" name="Volumetric Charge Impact" dataDxfId="115" dataCellStyle="Comma">
      <calculatedColumnFormula>Table12[[#This Row],[Proposed Volumetric Delivery Charge]]-Table12[[#This Row],[Current Volumetric Delivery Charge]]</calculatedColumnFormula>
    </tableColumn>
    <tableColumn id="17" xr3:uid="{75E0425A-E53E-4E8C-95FD-AB6B38CF8D30}" name="Gas Supply Transportation Charge Impact" dataDxfId="114" dataCellStyle="Comma">
      <calculatedColumnFormula>Table12[[#This Row],[Proposed Gas Supply Transportation Charge]]-Table12[[#This Row],[Current Gas Supply Transportation Charge]]</calculatedColumnFormula>
    </tableColumn>
    <tableColumn id="4" xr3:uid="{4A8880B1-F2AB-49FC-B45E-FB65EB8DC658}" name="Gas Supply Commodity Charge Impact" dataDxfId="113" dataCellStyle="Comma">
      <calculatedColumnFormula>Table12[[#This Row],[Proposed Gas Supply Commodity Charge]]-Table12[[#This Row],[Current Gas Supply Commodity Charge]]</calculatedColumnFormula>
    </tableColumn>
    <tableColumn id="46" xr3:uid="{6F00CE14-2F81-42EF-9E2D-F46AD9539326}" name="Total Bill Impact ($)" dataDxfId="112" dataCellStyle="Comma">
      <calculatedColumnFormula>Table12[[#This Row],[Proposed Total Bill ($)]]-Table12[[#This Row],[Current Total Bill ($)]]</calculatedColumnFormula>
    </tableColumn>
    <tableColumn id="9" xr3:uid="{02C8C6F9-A1A9-4C01-B9B0-D25F3D2DC42D}" name="Total Bill Impact (%)" dataDxfId="111">
      <calculatedColumnFormula>Table12[[#This Row],[Total Bill Impact ($)]]/Table12[[#This Row],[Current Total Bill ($)]]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B9761C6-3AFD-4CEE-B9F3-CE5E97D6D214}" name="Table124" displayName="Table124" ref="A1:Z8" totalsRowShown="0" headerRowDxfId="110" dataDxfId="109">
  <tableColumns count="26">
    <tableColumn id="36" xr3:uid="{AD18DBEC-7F24-4894-8DE8-E21913656CF4}" name="newrate" dataDxfId="108"/>
    <tableColumn id="11" xr3:uid="{6156894E-1688-4856-968D-6ACDC668250D}" name="Rate Zone" dataDxfId="107"/>
    <tableColumn id="12" xr3:uid="{2341061B-FBBE-4F88-AB7B-DAB6E9411701}" name="Rate Class" dataDxfId="106"/>
    <tableColumn id="15" xr3:uid="{8FBEEDBC-FA08-4CB1-8540-8A6AB5115D4C}" name="Profile" dataDxfId="105"/>
    <tableColumn id="7" xr3:uid="{8F52C522-F968-46F2-8BB4-521FB5A47A87}" name="CD" dataDxfId="104"/>
    <tableColumn id="8" xr3:uid="{26872587-C5EC-4B67-A0DB-6110C232E263}" name="Volume" dataDxfId="103"/>
    <tableColumn id="10" xr3:uid="{59DB9945-5B3F-4241-9B0A-ADA3C7928718}" name="Load Factor" dataDxfId="102" dataCellStyle="Percent">
      <calculatedColumnFormula>IFERROR(Table124[[#This Row],[Volume]]/(Table124[[#This Row],[CD]]*366),0)</calculatedColumnFormula>
    </tableColumn>
    <tableColumn id="20" xr3:uid="{0584D541-196C-478D-AA26-2D4563C6D791}" name="Proposed Customer Charge" dataDxfId="101" dataCellStyle="Comma">
      <calculatedColumnFormula>12*VLOOKUP(Table124[[#This Row],[newrate]],rates,2,0)</calculatedColumnFormula>
    </tableColumn>
    <tableColumn id="25" xr3:uid="{BB5EAA8D-4F64-4EF6-A6B9-14B091BF571D}" name="Proposed Volumetric Delivery Charge" dataDxfId="100" dataCellStyle="Comma">
      <calculatedColumnFormula>Table124[[#This Row],[Volume]]*VLOOKUP(Table124[[#This Row],[newrate]],rates,3,0)/100</calculatedColumnFormula>
    </tableColumn>
    <tableColumn id="26" xr3:uid="{FACA9A51-1E2D-4B12-AE37-D59323645C1E}" name="Proposed Demand Delivery Charge" dataDxfId="99" dataCellStyle="Comma">
      <calculatedColumnFormula>12*Table124[[#This Row],[CD]]*VLOOKUP(Table124[[#This Row],[newrate]],rates,4,0)/100</calculatedColumnFormula>
    </tableColumn>
    <tableColumn id="13" xr3:uid="{8B85752E-10F0-4BD8-B06C-E4DE8BCC08CB}" name="Proposed Gas Supply Transportation Charge" dataDxfId="98" dataCellStyle="Comma">
      <calculatedColumnFormula>Table124[[#This Row],[Volume]]*VLOOKUP(Table124[[#This Row],[newrate]],rates,7,0)/100</calculatedColumnFormula>
    </tableColumn>
    <tableColumn id="14" xr3:uid="{39926063-5F30-427D-A4EE-98595C4C109E}" name="Proposed Gas Supply Commodity Charge" dataDxfId="97" dataCellStyle="Comma">
      <calculatedColumnFormula>Table124[[#This Row],[Volume]]*VLOOKUP(Table124[[#This Row],[newrate]],rates,8,0)/100</calculatedColumnFormula>
    </tableColumn>
    <tableColumn id="38" xr3:uid="{320E1C67-6B23-41D6-A559-6AADC135CDCB}" name="Proposed Total Bill ($)" dataDxfId="96" dataCellStyle="Comma">
      <calculatedColumnFormula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calculatedColumnFormula>
    </tableColumn>
    <tableColumn id="2" xr3:uid="{D8A7C828-EDA6-4FF5-9712-C9F9198DA295}" name="Current Customer Charge" dataDxfId="95" dataCellStyle="Comma"/>
    <tableColumn id="22" xr3:uid="{599D7F15-6858-4823-BCF9-C950803D07CB}" name="Current Demand Delivery Charge" dataDxfId="94" dataCellStyle="Comma"/>
    <tableColumn id="3" xr3:uid="{F1DB64DF-6AC9-493E-9C16-97BFDFB9F3AD}" name="Current Volumetric Delivery Charge" dataDxfId="93" dataCellStyle="Comma"/>
    <tableColumn id="16" xr3:uid="{AE180998-88EE-41D6-9FF5-1FACEED0CD26}" name="Current Gas Supply Transportation Charge" dataDxfId="92" dataCellStyle="Comma"/>
    <tableColumn id="31" xr3:uid="{DEBD54B0-DD26-4465-B095-B008F7AEB984}" name="Current Gas Supply Commodity Charge" dataDxfId="91" dataCellStyle="Comma"/>
    <tableColumn id="42" xr3:uid="{6E33F1A7-9307-47B1-A1A9-8A76D6876806}" name="Current Total Bill ($)" dataDxfId="90" dataCellStyle="Comma">
      <calculatedColumnFormula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calculatedColumnFormula>
    </tableColumn>
    <tableColumn id="43" xr3:uid="{8FA8B694-DDC4-4D0C-800D-1872DEC13DE4}" name="Customer Charge Impact" dataDxfId="89" dataCellStyle="Comma">
      <calculatedColumnFormula>Table124[[#This Row],[Proposed Customer Charge]]-Table124[[#This Row],[Current Customer Charge]]</calculatedColumnFormula>
    </tableColumn>
    <tableColumn id="44" xr3:uid="{4ED3F358-D7F5-4D24-9778-6F4FD4507479}" name="Demand Charge Impact" dataDxfId="88" dataCellStyle="Comma">
      <calculatedColumnFormula>Table124[[#This Row],[Proposed Demand Delivery Charge]]-Table124[[#This Row],[Current Demand Delivery Charge]]</calculatedColumnFormula>
    </tableColumn>
    <tableColumn id="45" xr3:uid="{C278D7D6-B3B9-42EE-A1FB-6875EA717C80}" name="Volumetric Charge Impact" dataDxfId="87" dataCellStyle="Comma">
      <calculatedColumnFormula>Table124[[#This Row],[Proposed Volumetric Delivery Charge]]-Table124[[#This Row],[Current Volumetric Delivery Charge]]</calculatedColumnFormula>
    </tableColumn>
    <tableColumn id="17" xr3:uid="{24ED3F05-035C-4D07-92B2-6433819530EA}" name="Gas Supply Transportation Charge Impact" dataDxfId="86" dataCellStyle="Comma">
      <calculatedColumnFormula>Table124[[#This Row],[Proposed Gas Supply Transportation Charge]]-Table124[[#This Row],[Current Gas Supply Transportation Charge]]</calculatedColumnFormula>
    </tableColumn>
    <tableColumn id="4" xr3:uid="{7BC72A89-680A-4640-A75B-954E3D844573}" name="Gas Supply Commodity Charge Impact" dataDxfId="85" dataCellStyle="Comma">
      <calculatedColumnFormula>Table124[[#This Row],[Proposed Gas Supply Commodity Charge]]-Table124[[#This Row],[Current Gas Supply Commodity Charge]]</calculatedColumnFormula>
    </tableColumn>
    <tableColumn id="46" xr3:uid="{3DACC20A-96AD-4B0C-A650-B3CB2C956441}" name="Total Bill Impact ($)" dataDxfId="84" dataCellStyle="Comma">
      <calculatedColumnFormula>Table124[[#This Row],[Proposed Total Bill ($)]]-Table124[[#This Row],[Current Total Bill ($)]]</calculatedColumnFormula>
    </tableColumn>
    <tableColumn id="9" xr3:uid="{ADF99B78-99AF-4DB9-8FDC-6E71D5A82785}" name="Total Bill Impact (%)" dataDxfId="83">
      <calculatedColumnFormula>Table124[[#This Row],[Total Bill Impact ($)]]/Table124[[#This Row],[Current Total Bill ($)]]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7B1928-EDD8-495C-A32C-95FE724FB11E}" name="Table16" displayName="Table16" ref="A1:AB13" totalsRowShown="0" headerRowDxfId="82" dataDxfId="81">
  <tableColumns count="28">
    <tableColumn id="36" xr3:uid="{739A2E57-C609-4E38-8303-EE54A66148F3}" name="newrate" dataDxfId="80"/>
    <tableColumn id="19" xr3:uid="{5A9901DC-2B38-44D2-8B5F-E0336B7C5D27}" name="Rate Zone" dataDxfId="79"/>
    <tableColumn id="21" xr3:uid="{FE1BDC42-390C-4CD9-A0C3-E01C3D406534}" name="Rate Class" dataDxfId="78"/>
    <tableColumn id="23" xr3:uid="{BCBE27DC-D7AD-4E07-A83C-9B026F06D888}" name="Profile" dataDxfId="77"/>
    <tableColumn id="7" xr3:uid="{18FAE1F7-14D3-4AA8-A585-31EF880F0556}" name="CD" dataDxfId="76"/>
    <tableColumn id="8" xr3:uid="{B43011DA-140C-4B66-ADEB-B1F9A216FB41}" name="Volume" dataDxfId="75"/>
    <tableColumn id="10" xr3:uid="{BA21F231-3FF8-45C4-9C1E-985BCE35D759}" name="Load Factor" dataDxfId="74" dataCellStyle="Percent">
      <calculatedColumnFormula>IFERROR(Table16[[#This Row],[Volume]]/(Table16[[#This Row],[CD]]*366),0)</calculatedColumnFormula>
    </tableColumn>
    <tableColumn id="15" xr3:uid="{379465EA-F769-4956-82BE-6CA2D1DCA9E5}" name="CD  -Tier 1" dataDxfId="73">
      <calculatedColumnFormula>MIN(Table16[[#This Row],[CD]],inputs!$P$11)</calculatedColumnFormula>
    </tableColumn>
    <tableColumn id="16" xr3:uid="{C645E31F-7A8D-48E1-BEEA-0B49FFC88AC1}" name="CD  -Tier 2" dataDxfId="72">
      <calculatedColumnFormula>MIN(Table16[[#This Row],[CD]]-Table16[[#This Row],[CD  -Tier 1]],inputs!$Q$11)</calculatedColumnFormula>
    </tableColumn>
    <tableColumn id="11" xr3:uid="{83395682-F90F-4AFE-8CE5-4777D6D1C290}" name="CD  -Tier 3" dataDxfId="71">
      <calculatedColumnFormula>MAX(0,Table16[[#This Row],[CD]]-inputs!$P$11-inputs!$Q$11)</calculatedColumnFormula>
    </tableColumn>
    <tableColumn id="20" xr3:uid="{0419ED61-1589-4667-81EB-B599E882468A}" name="Proposed Customer Charge" dataDxfId="70" dataCellStyle="Comma">
      <calculatedColumnFormula>12*VLOOKUP(Table16[[#This Row],[newrate]],rates,2,0)</calculatedColumnFormula>
    </tableColumn>
    <tableColumn id="25" xr3:uid="{E0C41133-B151-4A0F-BBD0-8A089418CAC6}" name="Proposed Volumetric Delivery Charge" dataDxfId="69" dataCellStyle="Comma">
      <calculatedColumnFormula>Table16[[#This Row],[Volume]]*(VLOOKUP(Table16[[#This Row],[newrate]],rates,3,0))/100</calculatedColumnFormula>
    </tableColumn>
    <tableColumn id="26" xr3:uid="{86E0F74B-89E7-4AD9-BB46-2EDB5C83BE1F}" name="Proposed Demand Delivery Charge - Tier 1" dataDxfId="68" dataCellStyle="Comma">
      <calculatedColumnFormula>12*Table16[[#This Row],[CD  -Tier 1]]*VLOOKUP(Table16[[#This Row],[newrate]],rates,4,0)/100</calculatedColumnFormula>
    </tableColumn>
    <tableColumn id="27" xr3:uid="{0AFD1C4B-1865-4C77-A568-217195C8156B}" name="Proposed Demand Delivery Charge - Tier 2" dataDxfId="67" dataCellStyle="Comma">
      <calculatedColumnFormula>12*Table16[[#This Row],[CD  -Tier 2]]*VLOOKUP(Table16[[#This Row],[newrate]],rates,5,0)/100</calculatedColumnFormula>
    </tableColumn>
    <tableColumn id="17" xr3:uid="{9FB50EFD-71E1-45A3-9C66-D2ABE9EB8CD5}" name="Proposed Demand Delivery Charge - Tier 3" dataDxfId="66" dataCellStyle="Comma">
      <calculatedColumnFormula>12*Table16[[#This Row],[CD  -Tier 3]]*VLOOKUP(Table16[[#This Row],[newrate]],rates,6,0)/100</calculatedColumnFormula>
    </tableColumn>
    <tableColumn id="14" xr3:uid="{9C062059-BBA0-4EC3-A01C-A6E13ACDD8AB}" name="Proposed Gas Supply Commodity Charge" dataDxfId="65" dataCellStyle="Comma">
      <calculatedColumnFormula>Table16[[#This Row],[Volume]]*VLOOKUP(Table16[[#This Row],[newrate]],rates,8,0)/100</calculatedColumnFormula>
    </tableColumn>
    <tableColumn id="38" xr3:uid="{27B4079F-A663-4932-B206-7E5EA9CF4554}" name="Proposed Total Bill ($)" dataDxfId="64" dataCellStyle="Comma">
      <calculatedColumnFormula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calculatedColumnFormula>
    </tableColumn>
    <tableColumn id="2" xr3:uid="{A435ADAE-1FD7-4246-B9C4-7118337E231C}" name="Current Customer Charge" dataDxfId="63" dataCellStyle="Comma"/>
    <tableColumn id="22" xr3:uid="{B81A41F1-D4E3-4286-B34E-4CD595A609A7}" name="Current Demand Delivery Charge" dataDxfId="62" dataCellStyle="Comma"/>
    <tableColumn id="3" xr3:uid="{F6B199FA-B61F-41EF-AD66-A286BA174934}" name="Current Volumetric Delivery Charge" dataDxfId="61" dataCellStyle="Comma"/>
    <tableColumn id="31" xr3:uid="{2C71E122-D095-4F17-818A-F708E6FEC3D3}" name="Current Gas Supply Commodity Charge" dataDxfId="60" dataCellStyle="Comma"/>
    <tableColumn id="42" xr3:uid="{2F81D935-A7E2-47E3-BD6F-D1423B7EFC4A}" name="Current Total Bill ($)" dataDxfId="59" dataCellStyle="Comma">
      <calculatedColumnFormula>Table16[[#This Row],[Current Customer Charge]]+Table16[[#This Row],[Current Demand Delivery Charge]]+Table16[[#This Row],[Current Volumetric Delivery Charge]]+Table16[[#This Row],[Current Gas Supply Commodity Charge]]</calculatedColumnFormula>
    </tableColumn>
    <tableColumn id="43" xr3:uid="{72FF9769-5BD2-4840-9D86-8E9380FEE020}" name="Customer Charge Impact" dataDxfId="58" dataCellStyle="Comma">
      <calculatedColumnFormula>Table16[[#This Row],[Proposed Customer Charge]]-Table16[[#This Row],[Current Customer Charge]]</calculatedColumnFormula>
    </tableColumn>
    <tableColumn id="44" xr3:uid="{30BA01CE-DFE0-47D9-BBA2-F8FABDC3C676}" name="Demand Charge Impact" dataDxfId="57" dataCellStyle="Comma">
      <calculatedColumnFormula>Table16[[#This Row],[Proposed Demand Delivery Charge - Tier 1]]+Table16[[#This Row],[Proposed Demand Delivery Charge - Tier 2]]+Table16[[#This Row],[Proposed Demand Delivery Charge - Tier 3]]-Table16[[#This Row],[Current Demand Delivery Charge]]</calculatedColumnFormula>
    </tableColumn>
    <tableColumn id="45" xr3:uid="{50922D6E-E437-4E36-86B8-BE6706F699AF}" name="Volumetric Charge Impact" dataDxfId="56" dataCellStyle="Comma">
      <calculatedColumnFormula>Table16[[#This Row],[Proposed Volumetric Delivery Charge]]-Table16[[#This Row],[Current Volumetric Delivery Charge]]</calculatedColumnFormula>
    </tableColumn>
    <tableColumn id="4" xr3:uid="{48159967-DEA0-41BD-B23D-3AF664C41163}" name="Gas Supply Charge Impact" dataDxfId="55" dataCellStyle="Comma">
      <calculatedColumnFormula>Table16[[#This Row],[Proposed Gas Supply Commodity Charge]]-Table16[[#This Row],[Current Gas Supply Commodity Charge]]</calculatedColumnFormula>
    </tableColumn>
    <tableColumn id="46" xr3:uid="{369B9098-570B-4B0F-85AC-425644D6F103}" name="Total Bill Impact ($)" dataDxfId="54" dataCellStyle="Comma">
      <calculatedColumnFormula>Table16[[#This Row],[Proposed Total Bill ($)]]-Table16[[#This Row],[Current Total Bill ($)]]</calculatedColumnFormula>
    </tableColumn>
    <tableColumn id="9" xr3:uid="{4A3CF37C-5CE4-4719-8381-8C9D586682CF}" name="Total Bill Impact (%)" dataDxfId="53">
      <calculatedColumnFormula>Table16[[#This Row],[Total Bill Impact ($)]]/Table16[[#This Row],[Current Total Bill ($)]]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D009A2-8C23-4015-A08D-267FD40C36C0}" name="Table17" displayName="Table17" ref="A1:Z12" totalsRowShown="0" headerRowDxfId="52" dataDxfId="51">
  <tableColumns count="26">
    <tableColumn id="36" xr3:uid="{5FD551D5-0CBA-4CA9-9477-CBB6DE27519D}" name="newrate" dataDxfId="50"/>
    <tableColumn id="12" xr3:uid="{13669BF4-D10C-4E8D-95EF-D624A08B9AF9}" name="Rate Zone" dataDxfId="49"/>
    <tableColumn id="13" xr3:uid="{C256B57D-F5A3-4B3B-A6E0-0179FC8B7B90}" name="Rate Class" dataDxfId="48"/>
    <tableColumn id="17" xr3:uid="{8E855193-D417-4C37-AC54-41463670E9E8}" name="Profile" dataDxfId="47"/>
    <tableColumn id="7" xr3:uid="{0D57A39D-3B2B-46C8-8A3A-D2DA06A4A11B}" name="CD" dataDxfId="46"/>
    <tableColumn id="8" xr3:uid="{988F556F-2E35-4ECA-8CF7-79747C3C08B6}" name="Volume" dataDxfId="45"/>
    <tableColumn id="10" xr3:uid="{286B4136-6554-4757-9833-BCCB2BD2F611}" name="Load Factor" dataDxfId="44" dataCellStyle="Percent">
      <calculatedColumnFormula>IFERROR(Table17[[#This Row],[Volume]]/(Table17[[#This Row],[CD]]*366),0)</calculatedColumnFormula>
    </tableColumn>
    <tableColumn id="15" xr3:uid="{782B0D9F-F6C2-41CD-9316-6EC832C23C8D}" name="CD - Tier 1" dataDxfId="43">
      <calculatedColumnFormula>MIN(Table17[[#This Row],[CD]],inputs!$P$12)</calculatedColumnFormula>
    </tableColumn>
    <tableColumn id="16" xr3:uid="{1D0B02EB-EA46-4D19-A2FA-1AA9C80A528E}" name="CD - Tier 2" dataDxfId="42">
      <calculatedColumnFormula>MAX(0,Table17[[#This Row],[CD]]-inputs!$P$12)</calculatedColumnFormula>
    </tableColumn>
    <tableColumn id="20" xr3:uid="{47BD46FF-A888-4AD4-8434-8303FB5C9678}" name="Proposed Customer Charge" dataDxfId="41" dataCellStyle="Comma">
      <calculatedColumnFormula>12*VLOOKUP(Table17[[#This Row],[newrate]],rates,2,0)</calculatedColumnFormula>
    </tableColumn>
    <tableColumn id="25" xr3:uid="{91056CAF-7B16-4988-9C82-CD234D9DFF01}" name="Proposed Volumetric Delivery Charge" dataDxfId="40" dataCellStyle="Comma">
      <calculatedColumnFormula>Table17[[#This Row],[Volume]]*(VLOOKUP(Table17[[#This Row],[newrate]],rates,3,0))/100</calculatedColumnFormula>
    </tableColumn>
    <tableColumn id="26" xr3:uid="{32D6B7FC-AEC7-45B6-8E9A-DA7C90CF465F}" name="Proposed Demand Delivery Charge - Tier 1" dataDxfId="39" dataCellStyle="Comma">
      <calculatedColumnFormula>12*Table17[[#This Row],[CD - Tier 1]]*VLOOKUP(Table17[[#This Row],[newrate]],rates,4,0)/100</calculatedColumnFormula>
    </tableColumn>
    <tableColumn id="27" xr3:uid="{D21EB94A-81E3-4563-B75B-BDC02E8C0B0E}" name="Proposed Demand Delivery Charge - Tier 2" dataDxfId="38" dataCellStyle="Comma">
      <calculatedColumnFormula>12*Table17[[#This Row],[CD - Tier 2]]*VLOOKUP(Table17[[#This Row],[newrate]],rates,5,0)/100</calculatedColumnFormula>
    </tableColumn>
    <tableColumn id="14" xr3:uid="{99DA96C3-C9E2-4F6C-910E-066A7C78F04D}" name="Proposed Gas Supply Commodity Charge" dataDxfId="37" dataCellStyle="Comma">
      <calculatedColumnFormula>Table17[[#This Row],[Volume]]*VLOOKUP(Table17[[#This Row],[newrate]],rates,8,0)/100</calculatedColumnFormula>
    </tableColumn>
    <tableColumn id="38" xr3:uid="{F087BDDE-16C0-4A98-A64F-0015295A0B28}" name="Proposed Total Bill ($)" dataDxfId="36" dataCellStyle="Comma">
      <calculatedColumnFormula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calculatedColumnFormula>
    </tableColumn>
    <tableColumn id="2" xr3:uid="{718864B9-9D13-4140-8A78-4339EAAFA890}" name="Current Customer Charge" dataDxfId="35" dataCellStyle="Comma"/>
    <tableColumn id="22" xr3:uid="{75546145-82CC-46A5-8790-AE6EFCED3284}" name="Current Demand Delivery Charge" dataDxfId="34" dataCellStyle="Comma"/>
    <tableColumn id="3" xr3:uid="{5AEF873C-482E-40E6-9B66-0562C00D257D}" name="Current Volumetric Delivery Charge" dataDxfId="33" dataCellStyle="Comma"/>
    <tableColumn id="31" xr3:uid="{35310306-CA52-4288-9C16-082CCB57DC2A}" name="Current Gas Supply Commodity Charge" dataDxfId="32" dataCellStyle="Comma"/>
    <tableColumn id="42" xr3:uid="{532D08D0-8690-4420-B4E1-B8271B86F4EF}" name="Current Total Bill ($)" dataDxfId="31" dataCellStyle="Comma">
      <calculatedColumnFormula>Table17[[#This Row],[Current Customer Charge]]+Table17[[#This Row],[Current Demand Delivery Charge]]+Table17[[#This Row],[Current Volumetric Delivery Charge]]+Table17[[#This Row],[Current Gas Supply Commodity Charge]]</calculatedColumnFormula>
    </tableColumn>
    <tableColumn id="43" xr3:uid="{B07B480D-9EB4-445B-8D9E-49B2B7B3FE8D}" name="Customer Charge Impact" dataDxfId="30" dataCellStyle="Comma">
      <calculatedColumnFormula>Table17[[#This Row],[Proposed Customer Charge]]-Table17[[#This Row],[Current Customer Charge]]</calculatedColumnFormula>
    </tableColumn>
    <tableColumn id="44" xr3:uid="{7EB9DFD2-7BEB-44FD-A51E-6F60FDF7F1D9}" name="Demand Charge Impact" dataDxfId="29" dataCellStyle="Comma">
      <calculatedColumnFormula>Table17[[#This Row],[Proposed Demand Delivery Charge - Tier 1]]+Table17[[#This Row],[Proposed Demand Delivery Charge - Tier 2]]-Table17[[#This Row],[Current Demand Delivery Charge]]</calculatedColumnFormula>
    </tableColumn>
    <tableColumn id="45" xr3:uid="{75570B5E-DFDE-4751-9A2A-2EA048DB29A2}" name="Volumetric Charge Impact" dataDxfId="28" dataCellStyle="Comma">
      <calculatedColumnFormula>Table17[[#This Row],[Proposed Volumetric Delivery Charge]]-Table17[[#This Row],[Current Volumetric Delivery Charge]]</calculatedColumnFormula>
    </tableColumn>
    <tableColumn id="4" xr3:uid="{F5049335-44D9-48CE-873C-316E06D392AF}" name="Gas Supply Charge Impact" dataDxfId="27" dataCellStyle="Comma">
      <calculatedColumnFormula>Table17[[#This Row],[Proposed Gas Supply Commodity Charge]]-Table17[[#This Row],[Current Gas Supply Commodity Charge]]</calculatedColumnFormula>
    </tableColumn>
    <tableColumn id="46" xr3:uid="{C0F6D5B1-5AED-4FA1-AED7-A2B19969F854}" name="Total Bill Impact ($)" dataDxfId="26" dataCellStyle="Comma">
      <calculatedColumnFormula>Table17[[#This Row],[Proposed Total Bill ($)]]-Table17[[#This Row],[Current Total Bill ($)]]</calculatedColumnFormula>
    </tableColumn>
    <tableColumn id="9" xr3:uid="{FA1AE326-DE1D-41AE-94CB-DBC4B94DE3DF}" name="Total Bill Impact (%)" dataDxfId="25">
      <calculatedColumnFormula>Table17[[#This Row],[Total Bill Impact ($)]]/Table17[[#This Row],[Current Total Bill ($)]]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99D856-89D7-43F7-886F-B4D791660503}" name="Table128" displayName="Table128" ref="A1:W8" totalsRowShown="0" headerRowDxfId="24" dataDxfId="23">
  <tableColumns count="23">
    <tableColumn id="36" xr3:uid="{BC725006-6F7B-48A5-BF88-C753004D2671}" name="newrate" dataDxfId="22"/>
    <tableColumn id="11" xr3:uid="{5FC69A46-55D8-4124-9CE4-84567B5619CE}" name="Rate Zone" dataDxfId="21"/>
    <tableColumn id="12" xr3:uid="{301FAC41-3F55-446B-824D-6D19E12A3617}" name="Rate Class" dataDxfId="20"/>
    <tableColumn id="13" xr3:uid="{0A0A5DB1-E974-4F76-8B0A-CEEB88A2A2EC}" name="Profile" dataDxfId="19"/>
    <tableColumn id="7" xr3:uid="{86DC6492-71F3-4D95-A297-E2D6EE589878}" name="CD" dataDxfId="18"/>
    <tableColumn id="8" xr3:uid="{47B89E22-749B-4E0B-AD17-56DB46595240}" name="Volume" dataDxfId="17"/>
    <tableColumn id="10" xr3:uid="{8F72E64B-A88E-400A-9096-DA664A15D23A}" name="Load Factor" dataDxfId="16" dataCellStyle="Percent">
      <calculatedColumnFormula>IFERROR(Table128[[#This Row],[Volume]]/(Table128[[#This Row],[CD]]*366),0)</calculatedColumnFormula>
    </tableColumn>
    <tableColumn id="20" xr3:uid="{B3F92C59-F5E5-4465-BF58-D18F707698CB}" name="Proposed Customer Charge" dataDxfId="15" dataCellStyle="Comma">
      <calculatedColumnFormula>12*VLOOKUP(Table128[[#This Row],[newrate]],rates,2,0)</calculatedColumnFormula>
    </tableColumn>
    <tableColumn id="25" xr3:uid="{381EB8E2-2A16-497F-9DF6-DC1474473496}" name="Proposed Volumetric Delivery Charge" dataDxfId="14" dataCellStyle="Comma">
      <calculatedColumnFormula>Table128[[#This Row],[Volume]]*(VLOOKUP(Table128[[#This Row],[newrate]],rates,3,0))/100</calculatedColumnFormula>
    </tableColumn>
    <tableColumn id="26" xr3:uid="{EC4349C1-26C6-4A4D-BDC9-A203921042C6}" name="Proposed Demand Delivery Charge" dataDxfId="13" dataCellStyle="Comma">
      <calculatedColumnFormula>12*Table128[[#This Row],[CD]]*VLOOKUP(Table128[[#This Row],[newrate]],rates,4,0)/100</calculatedColumnFormula>
    </tableColumn>
    <tableColumn id="14" xr3:uid="{913282A7-10B0-4589-A432-AA072471F760}" name="Proposed Gas Supply Commodity Charge" dataDxfId="12" dataCellStyle="Comma">
      <calculatedColumnFormula>Table128[[#This Row],[Volume]]*VLOOKUP(Table128[[#This Row],[newrate]],rates,8,0)/100</calculatedColumnFormula>
    </tableColumn>
    <tableColumn id="38" xr3:uid="{BE2857C7-D8AD-48AF-BE05-3B6E2B9BEEC9}" name="Proposed Total Bill ($)" dataDxfId="11" dataCellStyle="Comma">
      <calculatedColumnFormula>Table128[[#This Row],[Proposed Customer Charge]]+Table128[[#This Row],[Proposed Volumetric Delivery Charge]]+Table128[[#This Row],[Proposed Demand Delivery Charge]]+Table128[[#This Row],[Proposed Gas Supply Commodity Charge]]</calculatedColumnFormula>
    </tableColumn>
    <tableColumn id="2" xr3:uid="{A7F342C5-E98A-4D08-A3D2-8E5010CB1458}" name="Current Customer Charge" dataDxfId="10" dataCellStyle="Comma"/>
    <tableColumn id="22" xr3:uid="{4820BB71-61AA-4EE2-A19E-DB862E1AC3EC}" name="Current Demand Delivery Charge" dataDxfId="9" dataCellStyle="Comma"/>
    <tableColumn id="3" xr3:uid="{B8C37BFA-7804-487A-99F4-39BCD9DAD6F3}" name="Current Volumetric Delivery Charge" dataDxfId="8" dataCellStyle="Comma"/>
    <tableColumn id="31" xr3:uid="{05C4833F-769B-4AC9-ABB7-A704702F7C5F}" name="Current Gas Supply Commodity Charge" dataDxfId="7" dataCellStyle="Comma"/>
    <tableColumn id="42" xr3:uid="{BEDA7D8C-6EC7-494B-A416-39242C5D91D2}" name="Current Total Bill ($)" dataDxfId="6" dataCellStyle="Comma">
      <calculatedColumnFormula>Table128[[#This Row],[Current Customer Charge]]+Table128[[#This Row],[Current Demand Delivery Charge]]+Table128[[#This Row],[Current Volumetric Delivery Charge]]+Table128[[#This Row],[Current Gas Supply Commodity Charge]]</calculatedColumnFormula>
    </tableColumn>
    <tableColumn id="43" xr3:uid="{65D012C9-D14E-4734-B047-5FB042D8CF50}" name="Customer Charge Impact" dataDxfId="5" dataCellStyle="Comma">
      <calculatedColumnFormula>Table128[[#This Row],[Proposed Customer Charge]]-Table128[[#This Row],[Current Customer Charge]]</calculatedColumnFormula>
    </tableColumn>
    <tableColumn id="44" xr3:uid="{A73E14E4-3499-4542-8CDB-738FBE846ADB}" name="Demand Charge Impact" dataDxfId="4" dataCellStyle="Comma">
      <calculatedColumnFormula>Table128[[#This Row],[Proposed Demand Delivery Charge]]-Table128[[#This Row],[Current Demand Delivery Charge]]</calculatedColumnFormula>
    </tableColumn>
    <tableColumn id="45" xr3:uid="{4566ECC5-C3B9-4AFA-8EF9-58E5B70F14B1}" name="Volumetric Charge Impact" dataDxfId="3" dataCellStyle="Comma">
      <calculatedColumnFormula>Table128[[#This Row],[Proposed Volumetric Delivery Charge]]-Table128[[#This Row],[Current Volumetric Delivery Charge]]</calculatedColumnFormula>
    </tableColumn>
    <tableColumn id="4" xr3:uid="{9B6CD255-E841-4414-837C-584396F6EF01}" name="Gas Supply Charge Impact" dataDxfId="2" dataCellStyle="Comma">
      <calculatedColumnFormula>Table128[[#This Row],[Proposed Gas Supply Commodity Charge]]-Table128[[#This Row],[Current Gas Supply Commodity Charge]]</calculatedColumnFormula>
    </tableColumn>
    <tableColumn id="46" xr3:uid="{BA597548-3A68-4875-9979-9E4041B39996}" name="Total Bill Impact ($)" dataDxfId="1" dataCellStyle="Comma">
      <calculatedColumnFormula>Table128[[#This Row],[Proposed Total Bill ($)]]-Table128[[#This Row],[Current Total Bill ($)]]</calculatedColumnFormula>
    </tableColumn>
    <tableColumn id="9" xr3:uid="{969B9D9A-3940-4FCF-8BA0-6DF61AA7B83A}" name="Total Bill Impact (%)" dataDxfId="0">
      <calculatedColumnFormula>Table128[[#This Row],[Total Bill Impact ($)]]/Table128[[#This Row],[Current Total Bill ($)]]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2D60-6C3B-40CB-A3B1-F48D7B17F8A3}">
  <dimension ref="C1:Q15"/>
  <sheetViews>
    <sheetView showGridLines="0" zoomScale="80" zoomScaleNormal="80" workbookViewId="0"/>
  </sheetViews>
  <sheetFormatPr defaultColWidth="8.85546875" defaultRowHeight="13.15"/>
  <cols>
    <col min="1" max="2" width="1.7109375" style="2" customWidth="1"/>
    <col min="3" max="3" width="12.7109375" style="2" customWidth="1"/>
    <col min="4" max="10" width="13.28515625" style="2" customWidth="1"/>
    <col min="11" max="11" width="7.85546875" style="2" customWidth="1"/>
    <col min="12" max="14" width="13.28515625" style="2" customWidth="1"/>
    <col min="15" max="15" width="8.85546875" style="2"/>
    <col min="16" max="16" width="11.7109375" style="2" bestFit="1" customWidth="1"/>
    <col min="17" max="17" width="16.42578125" style="2" bestFit="1" customWidth="1"/>
    <col min="18" max="16384" width="8.85546875" style="2"/>
  </cols>
  <sheetData>
    <row r="1" spans="3:17">
      <c r="C1" s="1"/>
      <c r="D1" s="1"/>
      <c r="E1" s="1"/>
      <c r="F1" s="1"/>
      <c r="G1" s="1"/>
      <c r="H1" s="1"/>
      <c r="I1" s="1"/>
      <c r="J1" s="1"/>
      <c r="L1" s="1"/>
    </row>
    <row r="2" spans="3:17">
      <c r="C2" s="1"/>
      <c r="D2" s="1"/>
      <c r="E2" s="1"/>
      <c r="F2" s="1"/>
      <c r="G2" s="1"/>
      <c r="H2" s="1"/>
      <c r="I2" s="1"/>
    </row>
    <row r="3" spans="3:17" ht="39.6">
      <c r="D3" s="3" t="s">
        <v>0</v>
      </c>
      <c r="E3" s="3" t="s">
        <v>1</v>
      </c>
      <c r="F3" s="3" t="s">
        <v>2</v>
      </c>
      <c r="G3" s="3" t="s">
        <v>2</v>
      </c>
      <c r="H3" s="3" t="s">
        <v>2</v>
      </c>
      <c r="I3" s="3" t="s">
        <v>3</v>
      </c>
      <c r="J3" s="3" t="s">
        <v>4</v>
      </c>
      <c r="K3" s="3"/>
      <c r="L3" s="3" t="s">
        <v>5</v>
      </c>
      <c r="M3" s="2" t="s">
        <v>6</v>
      </c>
      <c r="N3" s="2" t="s">
        <v>7</v>
      </c>
      <c r="P3" s="2" t="s">
        <v>8</v>
      </c>
    </row>
    <row r="4" spans="3:17" s="3" customFormat="1">
      <c r="E4" s="4" t="s">
        <v>9</v>
      </c>
      <c r="F4" s="4" t="s">
        <v>10</v>
      </c>
      <c r="G4" s="4" t="s">
        <v>11</v>
      </c>
      <c r="H4" s="4" t="s">
        <v>12</v>
      </c>
      <c r="I4" s="4"/>
      <c r="J4" s="4"/>
      <c r="P4" s="4" t="s">
        <v>10</v>
      </c>
      <c r="Q4" s="4" t="s">
        <v>11</v>
      </c>
    </row>
    <row r="5" spans="3:17" s="3" customFormat="1" ht="15.6">
      <c r="D5" s="5" t="s">
        <v>13</v>
      </c>
      <c r="E5" s="5" t="s">
        <v>14</v>
      </c>
      <c r="F5" s="5" t="s">
        <v>15</v>
      </c>
      <c r="G5" s="5" t="s">
        <v>15</v>
      </c>
      <c r="H5" s="5" t="s">
        <v>15</v>
      </c>
      <c r="I5" s="5" t="s">
        <v>14</v>
      </c>
      <c r="J5" s="5" t="s">
        <v>14</v>
      </c>
      <c r="L5" s="3" t="s">
        <v>16</v>
      </c>
      <c r="M5" s="5" t="s">
        <v>14</v>
      </c>
      <c r="N5" s="5" t="s">
        <v>14</v>
      </c>
      <c r="P5" s="5" t="s">
        <v>17</v>
      </c>
      <c r="Q5" s="5" t="s">
        <v>17</v>
      </c>
    </row>
    <row r="6" spans="3:17">
      <c r="C6" s="6" t="s">
        <v>18</v>
      </c>
      <c r="D6" s="26">
        <v>29.1</v>
      </c>
      <c r="E6" s="27">
        <v>0.39179999999999998</v>
      </c>
      <c r="F6" s="27">
        <v>61.424999999999997</v>
      </c>
      <c r="G6" s="7"/>
      <c r="H6" s="7"/>
      <c r="I6" s="27">
        <v>1.8031999999999999</v>
      </c>
      <c r="J6" s="27">
        <v>14.401899999999999</v>
      </c>
      <c r="P6" s="7"/>
      <c r="Q6" s="7"/>
    </row>
    <row r="7" spans="3:17">
      <c r="C7" s="6" t="s">
        <v>19</v>
      </c>
      <c r="D7" s="26">
        <v>29.1</v>
      </c>
      <c r="E7" s="27">
        <v>0.38690000000000002</v>
      </c>
      <c r="F7" s="27">
        <v>63.535499999999999</v>
      </c>
      <c r="G7" s="7"/>
      <c r="H7" s="7"/>
      <c r="I7" s="27">
        <v>1.6258999999999999</v>
      </c>
      <c r="J7" s="27">
        <v>14.401899999999999</v>
      </c>
      <c r="P7" s="7"/>
      <c r="Q7" s="7"/>
    </row>
    <row r="8" spans="3:17">
      <c r="C8" s="6" t="s">
        <v>20</v>
      </c>
      <c r="D8" s="26">
        <v>500</v>
      </c>
      <c r="E8" s="27">
        <v>0.27050000000000002</v>
      </c>
      <c r="F8" s="27">
        <v>59.171999999999997</v>
      </c>
      <c r="G8" s="27">
        <v>40.2532</v>
      </c>
      <c r="H8" s="7"/>
      <c r="I8" s="27">
        <v>0.80779999999999996</v>
      </c>
      <c r="J8" s="27">
        <v>14.401899999999999</v>
      </c>
      <c r="P8" s="29">
        <v>20000</v>
      </c>
      <c r="Q8" s="7"/>
    </row>
    <row r="9" spans="3:17">
      <c r="C9" s="6" t="s">
        <v>21</v>
      </c>
      <c r="D9" s="26">
        <v>500</v>
      </c>
      <c r="E9" s="27">
        <v>0.1666</v>
      </c>
      <c r="F9" s="27">
        <v>8.1158000000000001</v>
      </c>
      <c r="G9" s="7"/>
      <c r="H9" s="7"/>
      <c r="I9" s="27">
        <v>0.63959999999999995</v>
      </c>
      <c r="J9" s="27">
        <v>14.401899999999999</v>
      </c>
      <c r="P9" s="7"/>
      <c r="Q9" s="7"/>
    </row>
    <row r="10" spans="3:17">
      <c r="C10" s="6" t="s">
        <v>22</v>
      </c>
      <c r="D10" s="26">
        <v>500</v>
      </c>
      <c r="E10" s="27">
        <v>0.16389999999999999</v>
      </c>
      <c r="F10" s="27">
        <v>11.5604</v>
      </c>
      <c r="G10" s="7"/>
      <c r="H10" s="7"/>
      <c r="I10" s="27">
        <v>1.0061</v>
      </c>
      <c r="J10" s="27">
        <v>14.401899999999999</v>
      </c>
      <c r="P10" s="7"/>
      <c r="Q10" s="7"/>
    </row>
    <row r="11" spans="3:17">
      <c r="C11" s="6" t="s">
        <v>23</v>
      </c>
      <c r="D11" s="26">
        <v>3000</v>
      </c>
      <c r="E11" s="27">
        <f>0+N11</f>
        <v>0.1075</v>
      </c>
      <c r="F11" s="27">
        <v>52.707799999999999</v>
      </c>
      <c r="G11" s="27">
        <v>30.089300000000001</v>
      </c>
      <c r="H11" s="27">
        <v>20.011600000000001</v>
      </c>
      <c r="I11" s="7"/>
      <c r="J11" s="27">
        <f>ROUND($J$6,4)</f>
        <v>14.401899999999999</v>
      </c>
      <c r="L11" s="28">
        <v>7.5399999999999998E-3</v>
      </c>
      <c r="M11" s="27">
        <v>14.2614</v>
      </c>
      <c r="N11" s="8">
        <f>ROUND(L11*M11,4)</f>
        <v>0.1075</v>
      </c>
      <c r="P11" s="29">
        <v>30000</v>
      </c>
      <c r="Q11" s="29">
        <v>120000</v>
      </c>
    </row>
    <row r="12" spans="3:17">
      <c r="C12" s="6" t="s">
        <v>24</v>
      </c>
      <c r="D12" s="26">
        <v>1500</v>
      </c>
      <c r="E12" s="27">
        <v>6.6799999999999998E-2</v>
      </c>
      <c r="F12" s="27">
        <v>25.8797</v>
      </c>
      <c r="G12" s="27">
        <v>13.149100000000001</v>
      </c>
      <c r="H12" s="7"/>
      <c r="I12" s="7"/>
      <c r="J12" s="27">
        <f>ROUND($J$6,4)</f>
        <v>14.401899999999999</v>
      </c>
      <c r="P12" s="29">
        <v>30000</v>
      </c>
      <c r="Q12" s="7"/>
    </row>
    <row r="13" spans="3:17">
      <c r="C13" s="6" t="s">
        <v>25</v>
      </c>
      <c r="D13" s="26">
        <v>13878.48</v>
      </c>
      <c r="E13" s="27">
        <v>5.3E-3</v>
      </c>
      <c r="F13" s="27">
        <v>11.659700000000001</v>
      </c>
      <c r="G13" s="7"/>
      <c r="H13" s="7"/>
      <c r="I13" s="7"/>
      <c r="J13" s="27">
        <f>ROUND($J$6,4)</f>
        <v>14.401899999999999</v>
      </c>
      <c r="P13" s="7"/>
      <c r="Q13" s="7"/>
    </row>
    <row r="14" spans="3:17">
      <c r="C14" s="6" t="s">
        <v>26</v>
      </c>
      <c r="D14" s="26">
        <v>13878.48</v>
      </c>
      <c r="E14" s="27">
        <f>0.0053+N14</f>
        <v>6.59E-2</v>
      </c>
      <c r="F14" s="27">
        <v>11.659700000000001</v>
      </c>
      <c r="G14" s="7"/>
      <c r="H14" s="7"/>
      <c r="I14" s="7"/>
      <c r="J14" s="27">
        <f>ROUND($J$6,4)</f>
        <v>14.401899999999999</v>
      </c>
      <c r="L14" s="28">
        <v>4.2500000000000003E-3</v>
      </c>
      <c r="M14" s="27">
        <v>14.2614</v>
      </c>
      <c r="N14" s="8">
        <f>ROUND(L14*M14,4)</f>
        <v>6.0600000000000001E-2</v>
      </c>
      <c r="P14" s="7"/>
      <c r="Q14" s="7"/>
    </row>
    <row r="15" spans="3:17">
      <c r="C15" s="6" t="s">
        <v>27</v>
      </c>
      <c r="D15" s="26">
        <v>13878.48</v>
      </c>
      <c r="E15" s="27">
        <f>0.0053+N15</f>
        <v>0.1066</v>
      </c>
      <c r="F15" s="27">
        <v>22.222200000000001</v>
      </c>
      <c r="G15" s="7"/>
      <c r="H15" s="7"/>
      <c r="I15" s="7"/>
      <c r="J15" s="27">
        <f>ROUND($J$6,4)</f>
        <v>14.401899999999999</v>
      </c>
      <c r="L15" s="28">
        <v>7.1000000000000004E-3</v>
      </c>
      <c r="M15" s="27">
        <v>14.2614</v>
      </c>
      <c r="N15" s="8">
        <f>ROUND(L15*M15,4)</f>
        <v>0.1013</v>
      </c>
      <c r="P15" s="7"/>
      <c r="Q15" s="7"/>
    </row>
  </sheetData>
  <sheetProtection algorithmName="SHA-512" hashValue="abzSmDL7skuX9miCyx3aaWH2O6cv3JW0joRj0iAi8YNMe9loHdL23q1e6qYZZPNv9rrO6ae/UR1B5ThEEwsmBw==" saltValue="dHusKP0qAJT5X5s0/2MdA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46D0-95B5-4272-9B26-A78979C945AC}">
  <dimension ref="A1:Z15"/>
  <sheetViews>
    <sheetView showGridLines="0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54" width="13.28515625" style="2" customWidth="1"/>
    <col min="55" max="16384" width="9.140625" style="2"/>
  </cols>
  <sheetData>
    <row r="1" spans="1:26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10" t="s">
        <v>35</v>
      </c>
      <c r="I1" s="10" t="s">
        <v>36</v>
      </c>
      <c r="J1" s="10" t="s">
        <v>37</v>
      </c>
      <c r="K1" s="10" t="s">
        <v>38</v>
      </c>
      <c r="L1" s="10" t="s">
        <v>39</v>
      </c>
      <c r="M1" s="10" t="s">
        <v>40</v>
      </c>
      <c r="N1" s="11" t="s">
        <v>41</v>
      </c>
      <c r="O1" s="11" t="s">
        <v>42</v>
      </c>
      <c r="P1" s="11" t="s">
        <v>43</v>
      </c>
      <c r="Q1" s="11" t="s">
        <v>44</v>
      </c>
      <c r="R1" s="11" t="s">
        <v>45</v>
      </c>
      <c r="S1" s="11" t="s">
        <v>46</v>
      </c>
      <c r="T1" s="3" t="s">
        <v>47</v>
      </c>
      <c r="U1" s="3" t="s">
        <v>48</v>
      </c>
      <c r="V1" s="3" t="s">
        <v>49</v>
      </c>
      <c r="W1" s="3" t="s">
        <v>50</v>
      </c>
      <c r="X1" s="3" t="s">
        <v>51</v>
      </c>
      <c r="Y1" s="3" t="s">
        <v>52</v>
      </c>
      <c r="Z1" s="3" t="s">
        <v>53</v>
      </c>
    </row>
    <row r="2" spans="1:26">
      <c r="A2" s="2" t="s">
        <v>18</v>
      </c>
      <c r="B2" s="2" t="s">
        <v>54</v>
      </c>
      <c r="C2" s="2" t="s">
        <v>55</v>
      </c>
      <c r="D2" s="2" t="s">
        <v>56</v>
      </c>
      <c r="E2" s="12">
        <v>16.791471481323242</v>
      </c>
      <c r="F2" s="12">
        <v>1584.5045166015625</v>
      </c>
      <c r="G2" s="13">
        <f>IFERROR(Table19[[#This Row],[Volume]]/(Table19[[#This Row],[Design Demand]]*366),0)</f>
        <v>0.25782417687064191</v>
      </c>
      <c r="H2" s="19">
        <f>12*VLOOKUP(Table19[[#This Row],[newrate]],rates,2,0)</f>
        <v>349.20000000000005</v>
      </c>
      <c r="I2" s="19">
        <f>Table19[[#This Row],[Volume]]*(VLOOKUP(Table19[[#This Row],[newrate]],rates,3,0))/100</f>
        <v>6.2080886960449222</v>
      </c>
      <c r="J2" s="19">
        <f>12*Table19[[#This Row],[Design Demand]]*VLOOKUP(Table19[[#This Row],[newrate]],rates,4,0)/100</f>
        <v>123.76993628883362</v>
      </c>
      <c r="K2" s="19">
        <f>Table19[[#This Row],[Volume]]*VLOOKUP(Table19[[#This Row],[newrate]],rates,7,0)/100</f>
        <v>28.571785443359371</v>
      </c>
      <c r="L2" s="19">
        <f>Table19[[#This Row],[Volume]]*VLOOKUP(Table19[[#This Row],[newrate]],rates,8,0)/100</f>
        <v>228.1987559764404</v>
      </c>
      <c r="M2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735.94856640467833</v>
      </c>
      <c r="N2" s="21">
        <v>296.64</v>
      </c>
      <c r="O2" s="21">
        <v>0</v>
      </c>
      <c r="P2" s="21">
        <v>171.34291286138324</v>
      </c>
      <c r="Q2" s="21">
        <v>77.333328035338397</v>
      </c>
      <c r="R2" s="21">
        <v>166.09727174184283</v>
      </c>
      <c r="S2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711.4135126385645</v>
      </c>
      <c r="T2" s="23">
        <f>Table19[[#This Row],[Proposed Customer Charge]]-Table19[[#This Row],[Current Customer Charge]]</f>
        <v>52.560000000000059</v>
      </c>
      <c r="U2" s="23">
        <f>Table19[[#This Row],[Proposed Demand Delivery Charge]]-Table19[[#This Row],[Current Demand Delivery Charge]]</f>
        <v>123.76993628883362</v>
      </c>
      <c r="V2" s="23">
        <f>Table19[[#This Row],[Proposed Volumetric Delivery Charge]]-Table19[[#This Row],[Current Volumetric Delivery Charge]]</f>
        <v>-165.13482416533833</v>
      </c>
      <c r="W2" s="23">
        <f>Table19[[#This Row],[Proposed Gas Supply Transportation Charge]]-Table19[[#This Row],[Current Gas Supply Transportation Charge]]</f>
        <v>-48.761542591979023</v>
      </c>
      <c r="X2" s="23">
        <f>Table19[[#This Row],[Proposed Gas Supply Commodity Charge]]-Table19[[#This Row],[Current Gas Supply Commodity Charge]]</f>
        <v>62.101484234597564</v>
      </c>
      <c r="Y2" s="24">
        <f>Table19[[#This Row],[Proposed Total Bill ($)]]-Table19[[#This Row],[Current Total Bill ($)]]</f>
        <v>24.535053766113833</v>
      </c>
      <c r="Z2" s="18">
        <f>Table19[[#This Row],[Total Bill Impact ($)]]/Table19[[#This Row],[Current Total Bill ($)]]</f>
        <v>3.4487753367399045E-2</v>
      </c>
    </row>
    <row r="3" spans="1:26">
      <c r="A3" s="2" t="s">
        <v>18</v>
      </c>
      <c r="B3" s="2" t="s">
        <v>54</v>
      </c>
      <c r="C3" s="2" t="s">
        <v>55</v>
      </c>
      <c r="D3" s="2" t="s">
        <v>57</v>
      </c>
      <c r="E3" s="12">
        <v>23.983848571777344</v>
      </c>
      <c r="F3" s="12">
        <v>2340.872802734375</v>
      </c>
      <c r="G3" s="13">
        <f>IFERROR(Table19[[#This Row],[Volume]]/(Table19[[#This Row],[Design Demand]]*366),0)</f>
        <v>0.26667226949562806</v>
      </c>
      <c r="H3" s="19">
        <f>12*VLOOKUP(Table19[[#This Row],[newrate]],rates,2,0)</f>
        <v>349.20000000000005</v>
      </c>
      <c r="I3" s="19">
        <f>Table19[[#This Row],[Volume]]*(VLOOKUP(Table19[[#This Row],[newrate]],rates,3,0))/100</f>
        <v>9.1715396411132808</v>
      </c>
      <c r="J3" s="19">
        <f>12*Table19[[#This Row],[Design Demand]]*VLOOKUP(Table19[[#This Row],[newrate]],rates,4,0)/100</f>
        <v>176.78494782257079</v>
      </c>
      <c r="K3" s="19">
        <f>Table19[[#This Row],[Volume]]*VLOOKUP(Table19[[#This Row],[newrate]],rates,7,0)/100</f>
        <v>42.210618378906247</v>
      </c>
      <c r="L3" s="19">
        <f>Table19[[#This Row],[Volume]]*VLOOKUP(Table19[[#This Row],[newrate]],rates,8,0)/100</f>
        <v>337.13016017700198</v>
      </c>
      <c r="M3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914.49726601959242</v>
      </c>
      <c r="N3" s="21">
        <v>296.64</v>
      </c>
      <c r="O3" s="21">
        <v>0</v>
      </c>
      <c r="P3" s="21">
        <v>248.71885575894589</v>
      </c>
      <c r="Q3" s="21">
        <v>114.24863349208724</v>
      </c>
      <c r="R3" s="21">
        <v>245.3843227152714</v>
      </c>
      <c r="S3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904.99181196630457</v>
      </c>
      <c r="T3" s="23">
        <f>Table19[[#This Row],[Proposed Customer Charge]]-Table19[[#This Row],[Current Customer Charge]]</f>
        <v>52.560000000000059</v>
      </c>
      <c r="U3" s="23">
        <f>Table19[[#This Row],[Proposed Demand Delivery Charge]]-Table19[[#This Row],[Current Demand Delivery Charge]]</f>
        <v>176.78494782257079</v>
      </c>
      <c r="V3" s="23">
        <f>Table19[[#This Row],[Proposed Volumetric Delivery Charge]]-Table19[[#This Row],[Current Volumetric Delivery Charge]]</f>
        <v>-239.54731611783262</v>
      </c>
      <c r="W3" s="23">
        <f>Table19[[#This Row],[Proposed Gas Supply Transportation Charge]]-Table19[[#This Row],[Current Gas Supply Transportation Charge]]</f>
        <v>-72.03801511318099</v>
      </c>
      <c r="X3" s="23">
        <f>Table19[[#This Row],[Proposed Gas Supply Commodity Charge]]-Table19[[#This Row],[Current Gas Supply Commodity Charge]]</f>
        <v>91.745837461730588</v>
      </c>
      <c r="Y3" s="24">
        <f>Table19[[#This Row],[Proposed Total Bill ($)]]-Table19[[#This Row],[Current Total Bill ($)]]</f>
        <v>9.5054540532878491</v>
      </c>
      <c r="Z3" s="18">
        <f>Table19[[#This Row],[Total Bill Impact ($)]]/Table19[[#This Row],[Current Total Bill ($)]]</f>
        <v>1.0503359176957685E-2</v>
      </c>
    </row>
    <row r="4" spans="1:26">
      <c r="A4" s="2" t="s">
        <v>18</v>
      </c>
      <c r="B4" s="2" t="s">
        <v>54</v>
      </c>
      <c r="C4" s="2" t="s">
        <v>55</v>
      </c>
      <c r="D4" s="2" t="s">
        <v>58</v>
      </c>
      <c r="E4" s="12">
        <v>31.555578231811523</v>
      </c>
      <c r="F4" s="12">
        <v>3153.28564453125</v>
      </c>
      <c r="G4" s="13">
        <f>IFERROR(Table19[[#This Row],[Volume]]/(Table19[[#This Row],[Design Demand]]*366),0)</f>
        <v>0.27302730707733236</v>
      </c>
      <c r="H4" s="19">
        <f>12*VLOOKUP(Table19[[#This Row],[newrate]],rates,2,0)</f>
        <v>349.20000000000005</v>
      </c>
      <c r="I4" s="19">
        <f>Table19[[#This Row],[Volume]]*(VLOOKUP(Table19[[#This Row],[newrate]],rates,3,0))/100</f>
        <v>12.354573155273437</v>
      </c>
      <c r="J4" s="19">
        <f>12*Table19[[#This Row],[Design Demand]]*VLOOKUP(Table19[[#This Row],[newrate]],rates,4,0)/100</f>
        <v>232.59616714668275</v>
      </c>
      <c r="K4" s="19">
        <f>Table19[[#This Row],[Volume]]*VLOOKUP(Table19[[#This Row],[newrate]],rates,7,0)/100</f>
        <v>56.8600467421875</v>
      </c>
      <c r="L4" s="19">
        <f>Table19[[#This Row],[Volume]]*VLOOKUP(Table19[[#This Row],[newrate]],rates,8,0)/100</f>
        <v>454.13304523974608</v>
      </c>
      <c r="M4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1105.1438322838899</v>
      </c>
      <c r="N4" s="21">
        <v>296.64</v>
      </c>
      <c r="O4" s="21">
        <v>0</v>
      </c>
      <c r="P4" s="21">
        <v>331.46628151989904</v>
      </c>
      <c r="Q4" s="21">
        <v>153.89926945456725</v>
      </c>
      <c r="R4" s="21">
        <v>330.54634306938624</v>
      </c>
      <c r="S4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1112.5518940438526</v>
      </c>
      <c r="T4" s="23">
        <f>Table19[[#This Row],[Proposed Customer Charge]]-Table19[[#This Row],[Current Customer Charge]]</f>
        <v>52.560000000000059</v>
      </c>
      <c r="U4" s="23">
        <f>Table19[[#This Row],[Proposed Demand Delivery Charge]]-Table19[[#This Row],[Current Demand Delivery Charge]]</f>
        <v>232.59616714668275</v>
      </c>
      <c r="V4" s="23">
        <f>Table19[[#This Row],[Proposed Volumetric Delivery Charge]]-Table19[[#This Row],[Current Volumetric Delivery Charge]]</f>
        <v>-319.1117083646256</v>
      </c>
      <c r="W4" s="23">
        <f>Table19[[#This Row],[Proposed Gas Supply Transportation Charge]]-Table19[[#This Row],[Current Gas Supply Transportation Charge]]</f>
        <v>-97.03922271237974</v>
      </c>
      <c r="X4" s="23">
        <f>Table19[[#This Row],[Proposed Gas Supply Commodity Charge]]-Table19[[#This Row],[Current Gas Supply Commodity Charge]]</f>
        <v>123.58670217035984</v>
      </c>
      <c r="Y4" s="24">
        <f>Table19[[#This Row],[Proposed Total Bill ($)]]-Table19[[#This Row],[Current Total Bill ($)]]</f>
        <v>-7.4080617599627203</v>
      </c>
      <c r="Z4" s="18">
        <f>Table19[[#This Row],[Total Bill Impact ($)]]/Table19[[#This Row],[Current Total Bill ($)]]</f>
        <v>-6.6586213188098917E-3</v>
      </c>
    </row>
    <row r="5" spans="1:26">
      <c r="A5" s="2" t="s">
        <v>18</v>
      </c>
      <c r="B5" s="2" t="s">
        <v>59</v>
      </c>
      <c r="C5" s="2" t="s">
        <v>60</v>
      </c>
      <c r="D5" s="2" t="s">
        <v>56</v>
      </c>
      <c r="E5" s="12">
        <v>14.100281715393066</v>
      </c>
      <c r="F5" s="12">
        <v>1450.54541015625</v>
      </c>
      <c r="G5" s="14">
        <f>IFERROR(Table19[[#This Row],[Volume]]/(Table19[[#This Row],[Design Demand]]*366),0)</f>
        <v>0.28107515194089466</v>
      </c>
      <c r="H5" s="19">
        <f>12*VLOOKUP(Table19[[#This Row],[newrate]],rates,2,0)</f>
        <v>349.20000000000005</v>
      </c>
      <c r="I5" s="19">
        <f>Table19[[#This Row],[Volume]]*(VLOOKUP(Table19[[#This Row],[newrate]],rates,3,0))/100</f>
        <v>5.683236916992187</v>
      </c>
      <c r="J5" s="19">
        <f>12*Table19[[#This Row],[Design Demand]]*VLOOKUP(Table19[[#This Row],[newrate]],rates,4,0)/100</f>
        <v>103.93317652416228</v>
      </c>
      <c r="K5" s="19">
        <f>Table19[[#This Row],[Volume]]*VLOOKUP(Table19[[#This Row],[newrate]],rates,7,0)/100</f>
        <v>26.156234835937497</v>
      </c>
      <c r="L5" s="19">
        <f>Table19[[#This Row],[Volume]]*VLOOKUP(Table19[[#This Row],[newrate]],rates,8,0)/100</f>
        <v>208.90609942529295</v>
      </c>
      <c r="M5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693.878747702385</v>
      </c>
      <c r="N5" s="21">
        <v>310.20000000000005</v>
      </c>
      <c r="O5" s="21">
        <v>0</v>
      </c>
      <c r="P5" s="21">
        <v>187.43922711656575</v>
      </c>
      <c r="Q5" s="21">
        <v>47.852042472722999</v>
      </c>
      <c r="R5" s="21">
        <v>159.48891818237496</v>
      </c>
      <c r="S5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704.98018777166374</v>
      </c>
      <c r="T5" s="23">
        <f>Table19[[#This Row],[Proposed Customer Charge]]-Table19[[#This Row],[Current Customer Charge]]</f>
        <v>39</v>
      </c>
      <c r="U5" s="23">
        <f>Table19[[#This Row],[Proposed Demand Delivery Charge]]-Table19[[#This Row],[Current Demand Delivery Charge]]</f>
        <v>103.93317652416228</v>
      </c>
      <c r="V5" s="23">
        <f>Table19[[#This Row],[Proposed Volumetric Delivery Charge]]-Table19[[#This Row],[Current Volumetric Delivery Charge]]</f>
        <v>-181.75599019957355</v>
      </c>
      <c r="W5" s="23">
        <f>Table19[[#This Row],[Proposed Gas Supply Transportation Charge]]-Table19[[#This Row],[Current Gas Supply Transportation Charge]]</f>
        <v>-21.695807636785503</v>
      </c>
      <c r="X5" s="23">
        <f>Table19[[#This Row],[Proposed Gas Supply Commodity Charge]]-Table19[[#This Row],[Current Gas Supply Commodity Charge]]</f>
        <v>49.417181242917991</v>
      </c>
      <c r="Y5" s="24">
        <f>Table19[[#This Row],[Proposed Total Bill ($)]]-Table19[[#This Row],[Current Total Bill ($)]]</f>
        <v>-11.101440069278738</v>
      </c>
      <c r="Z5" s="18">
        <f>Table19[[#This Row],[Total Bill Impact ($)]]/Table19[[#This Row],[Current Total Bill ($)]]</f>
        <v>-1.5747166036493478E-2</v>
      </c>
    </row>
    <row r="6" spans="1:26">
      <c r="A6" s="2" t="s">
        <v>18</v>
      </c>
      <c r="B6" s="2" t="s">
        <v>59</v>
      </c>
      <c r="C6" s="2" t="s">
        <v>60</v>
      </c>
      <c r="D6" s="2" t="s">
        <v>57</v>
      </c>
      <c r="E6" s="12">
        <v>20.268386840820313</v>
      </c>
      <c r="F6" s="12">
        <v>2184.635986328125</v>
      </c>
      <c r="G6" s="14">
        <f>IFERROR(Table19[[#This Row],[Volume]]/(Table19[[#This Row],[Design Demand]]*366),0)</f>
        <v>0.29449560190433505</v>
      </c>
      <c r="H6" s="19">
        <f>12*VLOOKUP(Table19[[#This Row],[newrate]],rates,2,0)</f>
        <v>349.20000000000005</v>
      </c>
      <c r="I6" s="19">
        <f>Table19[[#This Row],[Volume]]*(VLOOKUP(Table19[[#This Row],[newrate]],rates,3,0))/100</f>
        <v>8.5594037944335941</v>
      </c>
      <c r="J6" s="19">
        <f>12*Table19[[#This Row],[Design Demand]]*VLOOKUP(Table19[[#This Row],[newrate]],rates,4,0)/100</f>
        <v>149.39827940368653</v>
      </c>
      <c r="K6" s="19">
        <f>Table19[[#This Row],[Volume]]*VLOOKUP(Table19[[#This Row],[newrate]],rates,7,0)/100</f>
        <v>39.393356105468747</v>
      </c>
      <c r="L6" s="19">
        <f>Table19[[#This Row],[Volume]]*VLOOKUP(Table19[[#This Row],[newrate]],rates,8,0)/100</f>
        <v>314.62909011499022</v>
      </c>
      <c r="M6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861.1801294185791</v>
      </c>
      <c r="N6" s="21">
        <v>310.20000000000005</v>
      </c>
      <c r="O6" s="21">
        <v>0</v>
      </c>
      <c r="P6" s="21">
        <v>280.837388150734</v>
      </c>
      <c r="Q6" s="21">
        <v>72.068959950740805</v>
      </c>
      <c r="R6" s="21">
        <v>240.20292265736771</v>
      </c>
      <c r="S6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903.30927075884256</v>
      </c>
      <c r="T6" s="23">
        <f>Table19[[#This Row],[Proposed Customer Charge]]-Table19[[#This Row],[Current Customer Charge]]</f>
        <v>39</v>
      </c>
      <c r="U6" s="23">
        <f>Table19[[#This Row],[Proposed Demand Delivery Charge]]-Table19[[#This Row],[Current Demand Delivery Charge]]</f>
        <v>149.39827940368653</v>
      </c>
      <c r="V6" s="23">
        <f>Table19[[#This Row],[Proposed Volumetric Delivery Charge]]-Table19[[#This Row],[Current Volumetric Delivery Charge]]</f>
        <v>-272.27798435630041</v>
      </c>
      <c r="W6" s="23">
        <f>Table19[[#This Row],[Proposed Gas Supply Transportation Charge]]-Table19[[#This Row],[Current Gas Supply Transportation Charge]]</f>
        <v>-32.675603845272057</v>
      </c>
      <c r="X6" s="23">
        <f>Table19[[#This Row],[Proposed Gas Supply Commodity Charge]]-Table19[[#This Row],[Current Gas Supply Commodity Charge]]</f>
        <v>74.426167457622512</v>
      </c>
      <c r="Y6" s="24">
        <f>Table19[[#This Row],[Proposed Total Bill ($)]]-Table19[[#This Row],[Current Total Bill ($)]]</f>
        <v>-42.129141340263459</v>
      </c>
      <c r="Z6" s="18">
        <f>Table19[[#This Row],[Total Bill Impact ($)]]/Table19[[#This Row],[Current Total Bill ($)]]</f>
        <v>-4.663866817714829E-2</v>
      </c>
    </row>
    <row r="7" spans="1:26">
      <c r="A7" s="2" t="s">
        <v>18</v>
      </c>
      <c r="B7" s="2" t="s">
        <v>59</v>
      </c>
      <c r="C7" s="2" t="s">
        <v>60</v>
      </c>
      <c r="D7" s="2" t="s">
        <v>58</v>
      </c>
      <c r="E7" s="12">
        <v>27.663732528686523</v>
      </c>
      <c r="F7" s="12">
        <v>3064.28125</v>
      </c>
      <c r="G7" s="14">
        <f>IFERROR(Table19[[#This Row],[Volume]]/(Table19[[#This Row],[Design Demand]]*366),0)</f>
        <v>0.30264727051545215</v>
      </c>
      <c r="H7" s="19">
        <f>12*VLOOKUP(Table19[[#This Row],[newrate]],rates,2,0)</f>
        <v>349.20000000000005</v>
      </c>
      <c r="I7" s="19">
        <f>Table19[[#This Row],[Volume]]*(VLOOKUP(Table19[[#This Row],[newrate]],rates,3,0))/100</f>
        <v>12.0058539375</v>
      </c>
      <c r="J7" s="19">
        <f>12*Table19[[#This Row],[Design Demand]]*VLOOKUP(Table19[[#This Row],[newrate]],rates,4,0)/100</f>
        <v>203.90937246894836</v>
      </c>
      <c r="K7" s="19">
        <f>Table19[[#This Row],[Volume]]*VLOOKUP(Table19[[#This Row],[newrate]],rates,7,0)/100</f>
        <v>55.255119499999999</v>
      </c>
      <c r="L7" s="19">
        <f>Table19[[#This Row],[Volume]]*VLOOKUP(Table19[[#This Row],[newrate]],rates,8,0)/100</f>
        <v>441.31472134374997</v>
      </c>
      <c r="M7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1061.6850672501982</v>
      </c>
      <c r="N7" s="21">
        <v>310.20000000000005</v>
      </c>
      <c r="O7" s="21">
        <v>0</v>
      </c>
      <c r="P7" s="21">
        <v>390.98584811154939</v>
      </c>
      <c r="Q7" s="21">
        <v>101.08756861915586</v>
      </c>
      <c r="R7" s="21">
        <v>336.9207692638397</v>
      </c>
      <c r="S7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1139.194185994545</v>
      </c>
      <c r="T7" s="23">
        <f>Table19[[#This Row],[Proposed Customer Charge]]-Table19[[#This Row],[Current Customer Charge]]</f>
        <v>39</v>
      </c>
      <c r="U7" s="23">
        <f>Table19[[#This Row],[Proposed Demand Delivery Charge]]-Table19[[#This Row],[Current Demand Delivery Charge]]</f>
        <v>203.90937246894836</v>
      </c>
      <c r="V7" s="23">
        <f>Table19[[#This Row],[Proposed Volumetric Delivery Charge]]-Table19[[#This Row],[Current Volumetric Delivery Charge]]</f>
        <v>-378.97999417404941</v>
      </c>
      <c r="W7" s="23">
        <f>Table19[[#This Row],[Proposed Gas Supply Transportation Charge]]-Table19[[#This Row],[Current Gas Supply Transportation Charge]]</f>
        <v>-45.832449119155861</v>
      </c>
      <c r="X7" s="23">
        <f>Table19[[#This Row],[Proposed Gas Supply Commodity Charge]]-Table19[[#This Row],[Current Gas Supply Commodity Charge]]</f>
        <v>104.39395207991026</v>
      </c>
      <c r="Y7" s="24">
        <f>Table19[[#This Row],[Proposed Total Bill ($)]]-Table19[[#This Row],[Current Total Bill ($)]]</f>
        <v>-77.509118744346779</v>
      </c>
      <c r="Z7" s="18">
        <f>Table19[[#This Row],[Total Bill Impact ($)]]/Table19[[#This Row],[Current Total Bill ($)]]</f>
        <v>-6.8038548385567277E-2</v>
      </c>
    </row>
    <row r="8" spans="1:26">
      <c r="A8" s="2" t="s">
        <v>18</v>
      </c>
      <c r="B8" s="2" t="s">
        <v>61</v>
      </c>
      <c r="C8" s="2" t="s">
        <v>60</v>
      </c>
      <c r="D8" s="2" t="s">
        <v>56</v>
      </c>
      <c r="E8" s="12">
        <v>14.100281715393066</v>
      </c>
      <c r="F8" s="12">
        <v>1450.54541015625</v>
      </c>
      <c r="G8" s="14">
        <f>IFERROR(Table19[[#This Row],[Volume]]/(Table19[[#This Row],[Design Demand]]*366),0)</f>
        <v>0.28107515194089466</v>
      </c>
      <c r="H8" s="19">
        <f>12*VLOOKUP(Table19[[#This Row],[newrate]],rates,2,0)</f>
        <v>349.20000000000005</v>
      </c>
      <c r="I8" s="19">
        <f>Table19[[#This Row],[Volume]]*(VLOOKUP(Table19[[#This Row],[newrate]],rates,3,0))/100</f>
        <v>5.683236916992187</v>
      </c>
      <c r="J8" s="19">
        <f>12*Table19[[#This Row],[Design Demand]]*VLOOKUP(Table19[[#This Row],[newrate]],rates,4,0)/100</f>
        <v>103.93317652416228</v>
      </c>
      <c r="K8" s="19">
        <f>Table19[[#This Row],[Volume]]*VLOOKUP(Table19[[#This Row],[newrate]],rates,7,0)/100</f>
        <v>26.156234835937497</v>
      </c>
      <c r="L8" s="19">
        <f>Table19[[#This Row],[Volume]]*VLOOKUP(Table19[[#This Row],[newrate]],rates,8,0)/100</f>
        <v>208.90609942529295</v>
      </c>
      <c r="M8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693.878747702385</v>
      </c>
      <c r="N8" s="21">
        <v>310.20000000000005</v>
      </c>
      <c r="O8" s="21">
        <v>0</v>
      </c>
      <c r="P8" s="21">
        <v>240.97305595339969</v>
      </c>
      <c r="Q8" s="21">
        <v>28.044844923084256</v>
      </c>
      <c r="R8" s="21">
        <v>234.0400835334471</v>
      </c>
      <c r="S8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813.25798440993117</v>
      </c>
      <c r="T8" s="23">
        <f>Table19[[#This Row],[Proposed Customer Charge]]-Table19[[#This Row],[Current Customer Charge]]</f>
        <v>39</v>
      </c>
      <c r="U8" s="23">
        <f>Table19[[#This Row],[Proposed Demand Delivery Charge]]-Table19[[#This Row],[Current Demand Delivery Charge]]</f>
        <v>103.93317652416228</v>
      </c>
      <c r="V8" s="23">
        <f>Table19[[#This Row],[Proposed Volumetric Delivery Charge]]-Table19[[#This Row],[Current Volumetric Delivery Charge]]</f>
        <v>-235.28981903640749</v>
      </c>
      <c r="W8" s="23">
        <f>Table19[[#This Row],[Proposed Gas Supply Transportation Charge]]-Table19[[#This Row],[Current Gas Supply Transportation Charge]]</f>
        <v>-1.888610087146759</v>
      </c>
      <c r="X8" s="23">
        <f>Table19[[#This Row],[Proposed Gas Supply Commodity Charge]]-Table19[[#This Row],[Current Gas Supply Commodity Charge]]</f>
        <v>-25.133984108154152</v>
      </c>
      <c r="Y8" s="24">
        <f>Table19[[#This Row],[Proposed Total Bill ($)]]-Table19[[#This Row],[Current Total Bill ($)]]</f>
        <v>-119.37923670754617</v>
      </c>
      <c r="Z8" s="18">
        <f>Table19[[#This Row],[Total Bill Impact ($)]]/Table19[[#This Row],[Current Total Bill ($)]]</f>
        <v>-0.14679134911188504</v>
      </c>
    </row>
    <row r="9" spans="1:26">
      <c r="A9" s="2" t="s">
        <v>18</v>
      </c>
      <c r="B9" s="2" t="s">
        <v>61</v>
      </c>
      <c r="C9" s="2" t="s">
        <v>60</v>
      </c>
      <c r="D9" s="2" t="s">
        <v>57</v>
      </c>
      <c r="E9" s="12">
        <v>20.268386840820313</v>
      </c>
      <c r="F9" s="12">
        <v>2184.635986328125</v>
      </c>
      <c r="G9" s="14">
        <f>IFERROR(Table19[[#This Row],[Volume]]/(Table19[[#This Row],[Design Demand]]*366),0)</f>
        <v>0.29449560190433505</v>
      </c>
      <c r="H9" s="19">
        <f>12*VLOOKUP(Table19[[#This Row],[newrate]],rates,2,0)</f>
        <v>349.20000000000005</v>
      </c>
      <c r="I9" s="19">
        <f>Table19[[#This Row],[Volume]]*(VLOOKUP(Table19[[#This Row],[newrate]],rates,3,0))/100</f>
        <v>8.5594037944335941</v>
      </c>
      <c r="J9" s="19">
        <f>12*Table19[[#This Row],[Design Demand]]*VLOOKUP(Table19[[#This Row],[newrate]],rates,4,0)/100</f>
        <v>149.39827940368653</v>
      </c>
      <c r="K9" s="19">
        <f>Table19[[#This Row],[Volume]]*VLOOKUP(Table19[[#This Row],[newrate]],rates,7,0)/100</f>
        <v>39.393356105468747</v>
      </c>
      <c r="L9" s="19">
        <f>Table19[[#This Row],[Volume]]*VLOOKUP(Table19[[#This Row],[newrate]],rates,8,0)/100</f>
        <v>314.62909011499022</v>
      </c>
      <c r="M9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861.1801294185791</v>
      </c>
      <c r="N9" s="21">
        <v>310.20000000000005</v>
      </c>
      <c r="O9" s="21">
        <v>0</v>
      </c>
      <c r="P9" s="21">
        <v>361.46356766336061</v>
      </c>
      <c r="Q9" s="21">
        <v>42.237754151008602</v>
      </c>
      <c r="R9" s="21">
        <v>352.48287294434101</v>
      </c>
      <c r="S9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1066.3841947587102</v>
      </c>
      <c r="T9" s="23">
        <f>Table19[[#This Row],[Proposed Customer Charge]]-Table19[[#This Row],[Current Customer Charge]]</f>
        <v>39</v>
      </c>
      <c r="U9" s="23">
        <f>Table19[[#This Row],[Proposed Demand Delivery Charge]]-Table19[[#This Row],[Current Demand Delivery Charge]]</f>
        <v>149.39827940368653</v>
      </c>
      <c r="V9" s="23">
        <f>Table19[[#This Row],[Proposed Volumetric Delivery Charge]]-Table19[[#This Row],[Current Volumetric Delivery Charge]]</f>
        <v>-352.90416386892701</v>
      </c>
      <c r="W9" s="23">
        <f>Table19[[#This Row],[Proposed Gas Supply Transportation Charge]]-Table19[[#This Row],[Current Gas Supply Transportation Charge]]</f>
        <v>-2.8443980455398545</v>
      </c>
      <c r="X9" s="23">
        <f>Table19[[#This Row],[Proposed Gas Supply Commodity Charge]]-Table19[[#This Row],[Current Gas Supply Commodity Charge]]</f>
        <v>-37.853782829350791</v>
      </c>
      <c r="Y9" s="24">
        <f>Table19[[#This Row],[Proposed Total Bill ($)]]-Table19[[#This Row],[Current Total Bill ($)]]</f>
        <v>-205.20406534013114</v>
      </c>
      <c r="Z9" s="18">
        <f>Table19[[#This Row],[Total Bill Impact ($)]]/Table19[[#This Row],[Current Total Bill ($)]]</f>
        <v>-0.19242977001038775</v>
      </c>
    </row>
    <row r="10" spans="1:26">
      <c r="A10" s="2" t="s">
        <v>18</v>
      </c>
      <c r="B10" s="2" t="s">
        <v>61</v>
      </c>
      <c r="C10" s="2" t="s">
        <v>60</v>
      </c>
      <c r="D10" s="2" t="s">
        <v>58</v>
      </c>
      <c r="E10" s="12">
        <v>27.663732528686523</v>
      </c>
      <c r="F10" s="12">
        <v>3064.28125</v>
      </c>
      <c r="G10" s="14">
        <f>IFERROR(Table19[[#This Row],[Volume]]/(Table19[[#This Row],[Design Demand]]*366),0)</f>
        <v>0.30264727051545215</v>
      </c>
      <c r="H10" s="19">
        <f>12*VLOOKUP(Table19[[#This Row],[newrate]],rates,2,0)</f>
        <v>349.20000000000005</v>
      </c>
      <c r="I10" s="19">
        <f>Table19[[#This Row],[Volume]]*(VLOOKUP(Table19[[#This Row],[newrate]],rates,3,0))/100</f>
        <v>12.0058539375</v>
      </c>
      <c r="J10" s="19">
        <f>12*Table19[[#This Row],[Design Demand]]*VLOOKUP(Table19[[#This Row],[newrate]],rates,4,0)/100</f>
        <v>203.90937246894836</v>
      </c>
      <c r="K10" s="19">
        <f>Table19[[#This Row],[Volume]]*VLOOKUP(Table19[[#This Row],[newrate]],rates,7,0)/100</f>
        <v>55.255119499999999</v>
      </c>
      <c r="L10" s="19">
        <f>Table19[[#This Row],[Volume]]*VLOOKUP(Table19[[#This Row],[newrate]],rates,8,0)/100</f>
        <v>441.31472134374997</v>
      </c>
      <c r="M10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1061.6850672501982</v>
      </c>
      <c r="N10" s="21">
        <v>310.20000000000005</v>
      </c>
      <c r="O10" s="21">
        <v>0</v>
      </c>
      <c r="P10" s="21">
        <v>504.0762057294998</v>
      </c>
      <c r="Q10" s="21">
        <v>59.244810442352282</v>
      </c>
      <c r="R10" s="21">
        <v>494.41030688097243</v>
      </c>
      <c r="S10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1367.9313230528246</v>
      </c>
      <c r="T10" s="23">
        <f>Table19[[#This Row],[Proposed Customer Charge]]-Table19[[#This Row],[Current Customer Charge]]</f>
        <v>39</v>
      </c>
      <c r="U10" s="23">
        <f>Table19[[#This Row],[Proposed Demand Delivery Charge]]-Table19[[#This Row],[Current Demand Delivery Charge]]</f>
        <v>203.90937246894836</v>
      </c>
      <c r="V10" s="23">
        <f>Table19[[#This Row],[Proposed Volumetric Delivery Charge]]-Table19[[#This Row],[Current Volumetric Delivery Charge]]</f>
        <v>-492.07035179199983</v>
      </c>
      <c r="W10" s="23">
        <f>Table19[[#This Row],[Proposed Gas Supply Transportation Charge]]-Table19[[#This Row],[Current Gas Supply Transportation Charge]]</f>
        <v>-3.9896909423522828</v>
      </c>
      <c r="X10" s="23">
        <f>Table19[[#This Row],[Proposed Gas Supply Commodity Charge]]-Table19[[#This Row],[Current Gas Supply Commodity Charge]]</f>
        <v>-53.095585537222462</v>
      </c>
      <c r="Y10" s="24">
        <f>Table19[[#This Row],[Proposed Total Bill ($)]]-Table19[[#This Row],[Current Total Bill ($)]]</f>
        <v>-306.24625580262637</v>
      </c>
      <c r="Z10" s="18">
        <f>Table19[[#This Row],[Total Bill Impact ($)]]/Table19[[#This Row],[Current Total Bill ($)]]</f>
        <v>-0.22387546117386498</v>
      </c>
    </row>
    <row r="11" spans="1:26">
      <c r="A11" s="2" t="s">
        <v>18</v>
      </c>
      <c r="B11" s="2" t="s">
        <v>62</v>
      </c>
      <c r="C11" s="2" t="s">
        <v>63</v>
      </c>
      <c r="D11" s="2" t="s">
        <v>56</v>
      </c>
      <c r="E11" s="12">
        <v>13.783249855041504</v>
      </c>
      <c r="F11" s="12">
        <v>1380.10302734375</v>
      </c>
      <c r="G11" s="14">
        <f>IFERROR(Table19[[#This Row],[Volume]]/(Table19[[#This Row],[Design Demand]]*366),0)</f>
        <v>0.27357650324928112</v>
      </c>
      <c r="H11" s="19">
        <f>12*VLOOKUP(Table19[[#This Row],[newrate]],rates,2,0)</f>
        <v>349.20000000000005</v>
      </c>
      <c r="I11" s="19">
        <f>Table19[[#This Row],[Volume]]*(VLOOKUP(Table19[[#This Row],[newrate]],rates,3,0))/100</f>
        <v>5.4072436611328127</v>
      </c>
      <c r="J11" s="19">
        <f>12*Table19[[#This Row],[Design Demand]]*VLOOKUP(Table19[[#This Row],[newrate]],rates,4,0)/100</f>
        <v>101.59633468151092</v>
      </c>
      <c r="K11" s="19">
        <f>Table19[[#This Row],[Volume]]*VLOOKUP(Table19[[#This Row],[newrate]],rates,7,0)/100</f>
        <v>24.8860177890625</v>
      </c>
      <c r="L11" s="19">
        <f>Table19[[#This Row],[Volume]]*VLOOKUP(Table19[[#This Row],[newrate]],rates,8,0)/100</f>
        <v>198.76105789501952</v>
      </c>
      <c r="M11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679.85065402672581</v>
      </c>
      <c r="N11" s="21">
        <v>310.20000000000005</v>
      </c>
      <c r="O11" s="21">
        <v>0</v>
      </c>
      <c r="P11" s="21">
        <v>91.887078841789247</v>
      </c>
      <c r="Q11" s="21">
        <v>0</v>
      </c>
      <c r="R11" s="21">
        <v>224.17360019675269</v>
      </c>
      <c r="S11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626.26067903854198</v>
      </c>
      <c r="T11" s="23">
        <f>Table19[[#This Row],[Proposed Customer Charge]]-Table19[[#This Row],[Current Customer Charge]]</f>
        <v>39</v>
      </c>
      <c r="U11" s="23">
        <f>Table19[[#This Row],[Proposed Demand Delivery Charge]]-Table19[[#This Row],[Current Demand Delivery Charge]]</f>
        <v>101.59633468151092</v>
      </c>
      <c r="V11" s="23">
        <f>Table19[[#This Row],[Proposed Volumetric Delivery Charge]]-Table19[[#This Row],[Current Volumetric Delivery Charge]]</f>
        <v>-86.479835180656437</v>
      </c>
      <c r="W11" s="23">
        <f>Table19[[#This Row],[Proposed Gas Supply Transportation Charge]]-Table19[[#This Row],[Current Gas Supply Transportation Charge]]</f>
        <v>24.8860177890625</v>
      </c>
      <c r="X11" s="23">
        <f>Table19[[#This Row],[Proposed Gas Supply Commodity Charge]]-Table19[[#This Row],[Current Gas Supply Commodity Charge]]</f>
        <v>-25.412542301733168</v>
      </c>
      <c r="Y11" s="24">
        <f>Table19[[#This Row],[Proposed Total Bill ($)]]-Table19[[#This Row],[Current Total Bill ($)]]</f>
        <v>53.589974988183826</v>
      </c>
      <c r="Z11" s="18">
        <f>Table19[[#This Row],[Total Bill Impact ($)]]/Table19[[#This Row],[Current Total Bill ($)]]</f>
        <v>8.5571355159096196E-2</v>
      </c>
    </row>
    <row r="12" spans="1:26">
      <c r="A12" s="2" t="s">
        <v>18</v>
      </c>
      <c r="B12" s="2" t="s">
        <v>62</v>
      </c>
      <c r="C12" s="2" t="s">
        <v>63</v>
      </c>
      <c r="D12" s="2" t="s">
        <v>57</v>
      </c>
      <c r="E12" s="12">
        <v>20.699472427368164</v>
      </c>
      <c r="F12" s="12">
        <v>2092.650634765625</v>
      </c>
      <c r="G12" s="14">
        <f>IFERROR(Table19[[#This Row],[Volume]]/(Table19[[#This Row],[Design Demand]]*366),0)</f>
        <v>0.27622079283490941</v>
      </c>
      <c r="H12" s="19">
        <f>12*VLOOKUP(Table19[[#This Row],[newrate]],rates,2,0)</f>
        <v>349.20000000000005</v>
      </c>
      <c r="I12" s="19">
        <f>Table19[[#This Row],[Volume]]*(VLOOKUP(Table19[[#This Row],[newrate]],rates,3,0))/100</f>
        <v>8.1990051870117178</v>
      </c>
      <c r="J12" s="19">
        <f>12*Table19[[#This Row],[Design Demand]]*VLOOKUP(Table19[[#This Row],[newrate]],rates,4,0)/100</f>
        <v>152.57581126213074</v>
      </c>
      <c r="K12" s="19">
        <f>Table19[[#This Row],[Volume]]*VLOOKUP(Table19[[#This Row],[newrate]],rates,7,0)/100</f>
        <v>37.734676246093748</v>
      </c>
      <c r="L12" s="19">
        <f>Table19[[#This Row],[Volume]]*VLOOKUP(Table19[[#This Row],[newrate]],rates,8,0)/100</f>
        <v>301.38145176831057</v>
      </c>
      <c r="M12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849.09094446354675</v>
      </c>
      <c r="N12" s="21">
        <v>310.20000000000005</v>
      </c>
      <c r="O12" s="21">
        <v>0</v>
      </c>
      <c r="P12" s="21">
        <v>136.56320161993028</v>
      </c>
      <c r="Q12" s="21">
        <v>0</v>
      </c>
      <c r="R12" s="21">
        <v>339.91450586489668</v>
      </c>
      <c r="S12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786.67770748482701</v>
      </c>
      <c r="T12" s="23">
        <f>Table19[[#This Row],[Proposed Customer Charge]]-Table19[[#This Row],[Current Customer Charge]]</f>
        <v>39</v>
      </c>
      <c r="U12" s="23">
        <f>Table19[[#This Row],[Proposed Demand Delivery Charge]]-Table19[[#This Row],[Current Demand Delivery Charge]]</f>
        <v>152.57581126213074</v>
      </c>
      <c r="V12" s="23">
        <f>Table19[[#This Row],[Proposed Volumetric Delivery Charge]]-Table19[[#This Row],[Current Volumetric Delivery Charge]]</f>
        <v>-128.36419643291856</v>
      </c>
      <c r="W12" s="23">
        <f>Table19[[#This Row],[Proposed Gas Supply Transportation Charge]]-Table19[[#This Row],[Current Gas Supply Transportation Charge]]</f>
        <v>37.734676246093748</v>
      </c>
      <c r="X12" s="23">
        <f>Table19[[#This Row],[Proposed Gas Supply Commodity Charge]]-Table19[[#This Row],[Current Gas Supply Commodity Charge]]</f>
        <v>-38.533054096586113</v>
      </c>
      <c r="Y12" s="24">
        <f>Table19[[#This Row],[Proposed Total Bill ($)]]-Table19[[#This Row],[Current Total Bill ($)]]</f>
        <v>62.413236978719738</v>
      </c>
      <c r="Z12" s="18">
        <f>Table19[[#This Row],[Total Bill Impact ($)]]/Table19[[#This Row],[Current Total Bill ($)]]</f>
        <v>7.9337747065781103E-2</v>
      </c>
    </row>
    <row r="13" spans="1:26">
      <c r="A13" s="2" t="s">
        <v>18</v>
      </c>
      <c r="B13" s="2" t="s">
        <v>62</v>
      </c>
      <c r="C13" s="2" t="s">
        <v>63</v>
      </c>
      <c r="D13" s="2" t="s">
        <v>58</v>
      </c>
      <c r="E13" s="12">
        <v>28.398054122924805</v>
      </c>
      <c r="F13" s="12">
        <v>2920.32421875</v>
      </c>
      <c r="G13" s="14">
        <f>IFERROR(Table19[[#This Row],[Volume]]/(Table19[[#This Row],[Design Demand]]*366),0)</f>
        <v>0.28097093855598942</v>
      </c>
      <c r="H13" s="19">
        <f>12*VLOOKUP(Table19[[#This Row],[newrate]],rates,2,0)</f>
        <v>349.20000000000005</v>
      </c>
      <c r="I13" s="19">
        <f>Table19[[#This Row],[Volume]]*(VLOOKUP(Table19[[#This Row],[newrate]],rates,3,0))/100</f>
        <v>11.4418302890625</v>
      </c>
      <c r="J13" s="19">
        <f>12*Table19[[#This Row],[Design Demand]]*VLOOKUP(Table19[[#This Row],[newrate]],rates,4,0)/100</f>
        <v>209.32205694007874</v>
      </c>
      <c r="K13" s="19">
        <f>Table19[[#This Row],[Volume]]*VLOOKUP(Table19[[#This Row],[newrate]],rates,7,0)/100</f>
        <v>52.659286312500001</v>
      </c>
      <c r="L13" s="19">
        <f>Table19[[#This Row],[Volume]]*VLOOKUP(Table19[[#This Row],[newrate]],rates,8,0)/100</f>
        <v>420.58217366015629</v>
      </c>
      <c r="M13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1043.2053472017976</v>
      </c>
      <c r="N13" s="21">
        <v>310.20000000000005</v>
      </c>
      <c r="O13" s="21">
        <v>0</v>
      </c>
      <c r="P13" s="21">
        <v>186.72943103700638</v>
      </c>
      <c r="Q13" s="21">
        <v>0</v>
      </c>
      <c r="R13" s="21">
        <v>474.35562424573391</v>
      </c>
      <c r="S13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971.28505528274036</v>
      </c>
      <c r="T13" s="23">
        <f>Table19[[#This Row],[Proposed Customer Charge]]-Table19[[#This Row],[Current Customer Charge]]</f>
        <v>39</v>
      </c>
      <c r="U13" s="23">
        <f>Table19[[#This Row],[Proposed Demand Delivery Charge]]-Table19[[#This Row],[Current Demand Delivery Charge]]</f>
        <v>209.32205694007874</v>
      </c>
      <c r="V13" s="23">
        <f>Table19[[#This Row],[Proposed Volumetric Delivery Charge]]-Table19[[#This Row],[Current Volumetric Delivery Charge]]</f>
        <v>-175.28760074794388</v>
      </c>
      <c r="W13" s="23">
        <f>Table19[[#This Row],[Proposed Gas Supply Transportation Charge]]-Table19[[#This Row],[Current Gas Supply Transportation Charge]]</f>
        <v>52.659286312500001</v>
      </c>
      <c r="X13" s="23">
        <f>Table19[[#This Row],[Proposed Gas Supply Commodity Charge]]-Table19[[#This Row],[Current Gas Supply Commodity Charge]]</f>
        <v>-53.773450585577621</v>
      </c>
      <c r="Y13" s="24">
        <f>Table19[[#This Row],[Proposed Total Bill ($)]]-Table19[[#This Row],[Current Total Bill ($)]]</f>
        <v>71.920291919057263</v>
      </c>
      <c r="Z13" s="18">
        <f>Table19[[#This Row],[Total Bill Impact ($)]]/Table19[[#This Row],[Current Total Bill ($)]]</f>
        <v>7.4046534050831572E-2</v>
      </c>
    </row>
    <row r="14" spans="1:26">
      <c r="A14" s="2" t="s">
        <v>18</v>
      </c>
      <c r="B14" s="2" t="s">
        <v>54</v>
      </c>
      <c r="C14" s="2" t="s">
        <v>64</v>
      </c>
      <c r="D14" s="2" t="s">
        <v>56</v>
      </c>
      <c r="E14" s="12">
        <v>23.229484558105469</v>
      </c>
      <c r="F14" s="12">
        <v>1678.1585693359375</v>
      </c>
      <c r="G14" s="14">
        <f>IFERROR(Table19[[#This Row],[Volume]]/(Table19[[#This Row],[Design Demand]]*366),0)</f>
        <v>0.19738417749367423</v>
      </c>
      <c r="H14" s="19">
        <f>12*VLOOKUP(Table19[[#This Row],[newrate]],rates,2,0)</f>
        <v>349.20000000000005</v>
      </c>
      <c r="I14" s="19">
        <f>Table19[[#This Row],[Volume]]*(VLOOKUP(Table19[[#This Row],[newrate]],rates,3,0))/100</f>
        <v>6.575025274658203</v>
      </c>
      <c r="J14" s="19">
        <f>12*Table19[[#This Row],[Design Demand]]*VLOOKUP(Table19[[#This Row],[newrate]],rates,4,0)/100</f>
        <v>171.2245306777954</v>
      </c>
      <c r="K14" s="19">
        <f>Table19[[#This Row],[Volume]]*VLOOKUP(Table19[[#This Row],[newrate]],rates,7,0)/100</f>
        <v>30.260555322265624</v>
      </c>
      <c r="L14" s="19">
        <f>Table19[[#This Row],[Volume]]*VLOOKUP(Table19[[#This Row],[newrate]],rates,8,0)/100</f>
        <v>241.68671899719237</v>
      </c>
      <c r="M14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798.94683027191172</v>
      </c>
      <c r="N14" s="21">
        <v>943.68</v>
      </c>
      <c r="O14" s="21">
        <v>0</v>
      </c>
      <c r="P14" s="21">
        <v>196.91345528593348</v>
      </c>
      <c r="Q14" s="21">
        <v>81.904210012743178</v>
      </c>
      <c r="R14" s="21">
        <v>176.3157362821961</v>
      </c>
      <c r="S14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1398.8134015808728</v>
      </c>
      <c r="T14" s="23">
        <f>Table19[[#This Row],[Proposed Customer Charge]]-Table19[[#This Row],[Current Customer Charge]]</f>
        <v>-594.4799999999999</v>
      </c>
      <c r="U14" s="23">
        <f>Table19[[#This Row],[Proposed Demand Delivery Charge]]-Table19[[#This Row],[Current Demand Delivery Charge]]</f>
        <v>171.2245306777954</v>
      </c>
      <c r="V14" s="23">
        <f>Table19[[#This Row],[Proposed Volumetric Delivery Charge]]-Table19[[#This Row],[Current Volumetric Delivery Charge]]</f>
        <v>-190.33843001127528</v>
      </c>
      <c r="W14" s="23">
        <f>Table19[[#This Row],[Proposed Gas Supply Transportation Charge]]-Table19[[#This Row],[Current Gas Supply Transportation Charge]]</f>
        <v>-51.643654690477554</v>
      </c>
      <c r="X14" s="23">
        <f>Table19[[#This Row],[Proposed Gas Supply Commodity Charge]]-Table19[[#This Row],[Current Gas Supply Commodity Charge]]</f>
        <v>65.370982714996273</v>
      </c>
      <c r="Y14" s="24">
        <f>Table19[[#This Row],[Proposed Total Bill ($)]]-Table19[[#This Row],[Current Total Bill ($)]]</f>
        <v>-599.86657130896106</v>
      </c>
      <c r="Z14" s="18">
        <f>Table19[[#This Row],[Total Bill Impact ($)]]/Table19[[#This Row],[Current Total Bill ($)]]</f>
        <v>-0.42883959406667121</v>
      </c>
    </row>
    <row r="15" spans="1:26">
      <c r="A15" s="2" t="s">
        <v>18</v>
      </c>
      <c r="B15" s="2" t="s">
        <v>54</v>
      </c>
      <c r="C15" s="2" t="s">
        <v>64</v>
      </c>
      <c r="D15" s="2" t="s">
        <v>57</v>
      </c>
      <c r="E15" s="12">
        <v>70.283851623535156</v>
      </c>
      <c r="F15" s="12">
        <v>5876.33544921875</v>
      </c>
      <c r="G15" s="14">
        <f>IFERROR(Table19[[#This Row],[Volume]]/(Table19[[#This Row],[Design Demand]]*366),0)</f>
        <v>0.2284388371693464</v>
      </c>
      <c r="H15" s="19">
        <f>12*VLOOKUP(Table19[[#This Row],[newrate]],rates,2,0)</f>
        <v>349.20000000000005</v>
      </c>
      <c r="I15" s="19">
        <f>Table19[[#This Row],[Volume]]*(VLOOKUP(Table19[[#This Row],[newrate]],rates,3,0))/100</f>
        <v>23.023482290039059</v>
      </c>
      <c r="J15" s="19">
        <f>12*Table19[[#This Row],[Design Demand]]*VLOOKUP(Table19[[#This Row],[newrate]],rates,4,0)/100</f>
        <v>518.0622703170776</v>
      </c>
      <c r="K15" s="19">
        <f>Table19[[#This Row],[Volume]]*VLOOKUP(Table19[[#This Row],[newrate]],rates,7,0)/100</f>
        <v>105.96208082031249</v>
      </c>
      <c r="L15" s="19">
        <f>Table19[[#This Row],[Volume]]*VLOOKUP(Table19[[#This Row],[newrate]],rates,8,0)/100</f>
        <v>846.30395506103514</v>
      </c>
      <c r="M15" s="20">
        <f>Table19[[#This Row],[Proposed Customer Charge]]+Table19[[#This Row],[Proposed Volumetric Delivery Charge]]+Table19[[#This Row],[Proposed Demand Delivery Charge]]+Table19[[#This Row],[Proposed Gas Supply Transportation Charge]]+Table19[[#This Row],[Proposed Gas Supply Commodity Charge]]</f>
        <v>1842.5517884884644</v>
      </c>
      <c r="N15" s="21">
        <v>943.68</v>
      </c>
      <c r="O15" s="21">
        <v>0</v>
      </c>
      <c r="P15" s="21">
        <v>641.01934291773989</v>
      </c>
      <c r="Q15" s="21">
        <v>286.80042547830237</v>
      </c>
      <c r="R15" s="21">
        <v>617.39717868454375</v>
      </c>
      <c r="S15" s="22">
        <f>Table19[[#This Row],[Current Customer Charge]]+Table19[[#This Row],[Current Demand Delivery Charge]]+Table19[[#This Row],[Current Volumetric Delivery Charge]]+Table19[[#This Row],[Current Gas Supply Transportation Charge]]+Table19[[#This Row],[Current Gas Supply Commodity Charge]]</f>
        <v>2488.896947080586</v>
      </c>
      <c r="T15" s="23">
        <f>Table19[[#This Row],[Proposed Customer Charge]]-Table19[[#This Row],[Current Customer Charge]]</f>
        <v>-594.4799999999999</v>
      </c>
      <c r="U15" s="23">
        <f>Table19[[#This Row],[Proposed Demand Delivery Charge]]-Table19[[#This Row],[Current Demand Delivery Charge]]</f>
        <v>518.0622703170776</v>
      </c>
      <c r="V15" s="23">
        <f>Table19[[#This Row],[Proposed Volumetric Delivery Charge]]-Table19[[#This Row],[Current Volumetric Delivery Charge]]</f>
        <v>-617.99586062770084</v>
      </c>
      <c r="W15" s="23">
        <f>Table19[[#This Row],[Proposed Gas Supply Transportation Charge]]-Table19[[#This Row],[Current Gas Supply Transportation Charge]]</f>
        <v>-180.83834465798986</v>
      </c>
      <c r="X15" s="23">
        <f>Table19[[#This Row],[Proposed Gas Supply Commodity Charge]]-Table19[[#This Row],[Current Gas Supply Commodity Charge]]</f>
        <v>228.90677637649139</v>
      </c>
      <c r="Y15" s="24">
        <f>Table19[[#This Row],[Proposed Total Bill ($)]]-Table19[[#This Row],[Current Total Bill ($)]]</f>
        <v>-646.34515859212161</v>
      </c>
      <c r="Z15" s="18">
        <f>Table19[[#This Row],[Total Bill Impact ($)]]/Table19[[#This Row],[Current Total Bill ($)]]</f>
        <v>-0.25969141042591914</v>
      </c>
    </row>
  </sheetData>
  <sheetProtection algorithmName="SHA-512" hashValue="+2gLh3y0To7gagP3IxxVPGuuJXhpTvt9yEMBamBPQ7TYwOwj/Hh8WTcd2BrOhagxqgA6bBoPdqE/RmfHqlso9w==" saltValue="4HKeYGIAgb4RzD7B1x9LaA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2F19-882B-490E-AC7B-E2CD8993702B}">
  <dimension ref="A1:Z11"/>
  <sheetViews>
    <sheetView showGridLines="0" tabSelected="1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9"/>
  <cols>
    <col min="1" max="1" width="9.5703125" style="9" hidden="1" customWidth="1"/>
    <col min="2" max="2" width="20" style="9" customWidth="1"/>
    <col min="3" max="3" width="18.85546875" style="9" customWidth="1"/>
    <col min="4" max="4" width="21.140625" style="9" customWidth="1"/>
    <col min="5" max="7" width="13.85546875" style="9" customWidth="1"/>
    <col min="8" max="54" width="13.28515625" style="9" customWidth="1"/>
    <col min="55" max="16384" width="9.140625" style="9"/>
  </cols>
  <sheetData>
    <row r="1" spans="1:26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10" t="s">
        <v>65</v>
      </c>
      <c r="I1" s="10" t="s">
        <v>36</v>
      </c>
      <c r="J1" s="10" t="s">
        <v>37</v>
      </c>
      <c r="K1" s="10" t="s">
        <v>38</v>
      </c>
      <c r="L1" s="10" t="s">
        <v>39</v>
      </c>
      <c r="M1" s="10" t="s">
        <v>40</v>
      </c>
      <c r="N1" s="11" t="s">
        <v>41</v>
      </c>
      <c r="O1" s="11" t="s">
        <v>42</v>
      </c>
      <c r="P1" s="11" t="s">
        <v>43</v>
      </c>
      <c r="Q1" s="11" t="s">
        <v>44</v>
      </c>
      <c r="R1" s="11" t="s">
        <v>45</v>
      </c>
      <c r="S1" s="11" t="s">
        <v>46</v>
      </c>
      <c r="T1" s="3" t="s">
        <v>47</v>
      </c>
      <c r="U1" s="3" t="s">
        <v>48</v>
      </c>
      <c r="V1" s="3" t="s">
        <v>49</v>
      </c>
      <c r="W1" s="3" t="s">
        <v>50</v>
      </c>
      <c r="X1" s="3" t="s">
        <v>51</v>
      </c>
      <c r="Y1" s="3" t="s">
        <v>52</v>
      </c>
      <c r="Z1" s="3" t="s">
        <v>53</v>
      </c>
    </row>
    <row r="2" spans="1:26">
      <c r="A2" s="2" t="s">
        <v>19</v>
      </c>
      <c r="B2" s="2" t="s">
        <v>54</v>
      </c>
      <c r="C2" s="2" t="s">
        <v>64</v>
      </c>
      <c r="D2" s="2" t="s">
        <v>58</v>
      </c>
      <c r="E2" s="12">
        <v>240.64138793945313</v>
      </c>
      <c r="F2" s="12">
        <v>23041.21484375</v>
      </c>
      <c r="G2" s="13">
        <f>IFERROR(Table1910[[#This Row],[Volume]]/(Table1910[[#This Row],[Design Demand]]*366),0)</f>
        <v>0.26160977318327877</v>
      </c>
      <c r="H2" s="19">
        <f>12*VLOOKUP(Table1910[[#This Row],[newrate]],rates,2,0)</f>
        <v>349.20000000000005</v>
      </c>
      <c r="I2" s="19">
        <f>Table1910[[#This Row],[Volume]]*(VLOOKUP(Table1910[[#This Row],[newrate]],rates,3,0))/100</f>
        <v>89.146460230468747</v>
      </c>
      <c r="J2" s="19">
        <f>12*Table1910[[#This Row],[Design Demand]]*VLOOKUP(Table1910[[#This Row],[newrate]],rates,4,0)/100</f>
        <v>1834.7125084112549</v>
      </c>
      <c r="K2" s="19">
        <f>Table1910[[#This Row],[Volume]]*VLOOKUP(Table1910[[#This Row],[newrate]],rates,7,0)/100</f>
        <v>374.62711214453122</v>
      </c>
      <c r="L2" s="19">
        <f>Table1910[[#This Row],[Volume]]*VLOOKUP(Table1910[[#This Row],[newrate]],rates,8,0)/100</f>
        <v>3318.372720582031</v>
      </c>
      <c r="M2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5966.0588013682864</v>
      </c>
      <c r="N2" s="21">
        <v>943.68</v>
      </c>
      <c r="O2" s="21">
        <v>0</v>
      </c>
      <c r="P2" s="21">
        <v>2145.5515117833465</v>
      </c>
      <c r="Q2" s="21">
        <v>1124.5495369501127</v>
      </c>
      <c r="R2" s="21">
        <v>2420.8252489379088</v>
      </c>
      <c r="S2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6634.6062976713674</v>
      </c>
      <c r="T2" s="23">
        <f>Table1910[[#This Row],[Proposed Customer Charge ]]-Table1910[[#This Row],[Current Customer Charge]]</f>
        <v>-594.4799999999999</v>
      </c>
      <c r="U2" s="23">
        <f>Table1910[[#This Row],[Proposed Demand Delivery Charge]]-Table1910[[#This Row],[Current Demand Delivery Charge]]</f>
        <v>1834.7125084112549</v>
      </c>
      <c r="V2" s="23">
        <f>Table1910[[#This Row],[Proposed Volumetric Delivery Charge]]-Table1910[[#This Row],[Current Volumetric Delivery Charge]]</f>
        <v>-2056.4050515528779</v>
      </c>
      <c r="W2" s="23">
        <f>Table1910[[#This Row],[Proposed Gas Supply Transportation Charge]]-Table1910[[#This Row],[Current Gas Supply Transportation Charge]]</f>
        <v>-749.9224248055815</v>
      </c>
      <c r="X2" s="23">
        <f>Table1910[[#This Row],[Proposed Gas Supply Commodity Charge]]-Table1910[[#This Row],[Current Gas Supply Commodity Charge]]</f>
        <v>897.5474716441222</v>
      </c>
      <c r="Y2" s="24">
        <f>Table1910[[#This Row],[Proposed Total Bill ($)]]-Table1910[[#This Row],[Current Total Bill ($)]]</f>
        <v>-668.54749630308106</v>
      </c>
      <c r="Z2" s="18">
        <f>Table1910[[#This Row],[Total Bill Impact ($)]]/Table1910[[#This Row],[Current Total Bill ($)]]</f>
        <v>-0.10076671716567866</v>
      </c>
    </row>
    <row r="3" spans="1:26">
      <c r="A3" s="2" t="s">
        <v>19</v>
      </c>
      <c r="B3" s="2" t="s">
        <v>59</v>
      </c>
      <c r="C3" s="2" t="s">
        <v>66</v>
      </c>
      <c r="D3" s="2" t="s">
        <v>56</v>
      </c>
      <c r="E3" s="12">
        <v>488.60983276367188</v>
      </c>
      <c r="F3" s="12">
        <v>55147.72265625</v>
      </c>
      <c r="G3" s="14">
        <f>IFERROR(Table1910[[#This Row],[Volume]]/(Table1910[[#This Row],[Design Demand]]*366),0)</f>
        <v>0.30837864438042351</v>
      </c>
      <c r="H3" s="19">
        <f>12*VLOOKUP(Table1910[[#This Row],[newrate]],rates,2,0)</f>
        <v>349.20000000000005</v>
      </c>
      <c r="I3" s="19">
        <f>Table1910[[#This Row],[Volume]]*(VLOOKUP(Table1910[[#This Row],[newrate]],rates,3,0))/100</f>
        <v>213.36653895703125</v>
      </c>
      <c r="J3" s="19">
        <f>12*Table1910[[#This Row],[Design Demand]]*VLOOKUP(Table1910[[#This Row],[newrate]],rates,4,0)/100</f>
        <v>3725.2884035467532</v>
      </c>
      <c r="K3" s="19">
        <f>Table1910[[#This Row],[Volume]]*VLOOKUP(Table1910[[#This Row],[newrate]],rates,7,0)/100</f>
        <v>896.64682266796865</v>
      </c>
      <c r="L3" s="19">
        <f>Table1910[[#This Row],[Volume]]*VLOOKUP(Table1910[[#This Row],[newrate]],rates,8,0)/100</f>
        <v>7942.3198692304686</v>
      </c>
      <c r="M3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13126.821634402222</v>
      </c>
      <c r="N3" s="21">
        <v>943.79999999999984</v>
      </c>
      <c r="O3" s="21">
        <v>0</v>
      </c>
      <c r="P3" s="21">
        <v>5509.898493256348</v>
      </c>
      <c r="Q3" s="21">
        <v>1588.2545707031254</v>
      </c>
      <c r="R3" s="21">
        <v>6063.5478577562235</v>
      </c>
      <c r="S3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14105.500921715698</v>
      </c>
      <c r="T3" s="23">
        <f>Table1910[[#This Row],[Proposed Customer Charge ]]-Table1910[[#This Row],[Current Customer Charge]]</f>
        <v>-594.5999999999998</v>
      </c>
      <c r="U3" s="23">
        <f>Table1910[[#This Row],[Proposed Demand Delivery Charge]]-Table1910[[#This Row],[Current Demand Delivery Charge]]</f>
        <v>3725.2884035467532</v>
      </c>
      <c r="V3" s="23">
        <f>Table1910[[#This Row],[Proposed Volumetric Delivery Charge]]-Table1910[[#This Row],[Current Volumetric Delivery Charge]]</f>
        <v>-5296.5319542993166</v>
      </c>
      <c r="W3" s="23">
        <f>Table1910[[#This Row],[Proposed Gas Supply Transportation Charge]]-Table1910[[#This Row],[Current Gas Supply Transportation Charge]]</f>
        <v>-691.60774803515676</v>
      </c>
      <c r="X3" s="23">
        <f>Table1910[[#This Row],[Proposed Gas Supply Commodity Charge]]-Table1910[[#This Row],[Current Gas Supply Commodity Charge]]</f>
        <v>1878.7720114742451</v>
      </c>
      <c r="Y3" s="24">
        <f>Table1910[[#This Row],[Proposed Total Bill ($)]]-Table1910[[#This Row],[Current Total Bill ($)]]</f>
        <v>-978.67928731347638</v>
      </c>
      <c r="Z3" s="18">
        <f>Table1910[[#This Row],[Total Bill Impact ($)]]/Table1910[[#This Row],[Current Total Bill ($)]]</f>
        <v>-6.9382809780741656E-2</v>
      </c>
    </row>
    <row r="4" spans="1:26">
      <c r="A4" s="2" t="s">
        <v>19</v>
      </c>
      <c r="B4" s="2" t="s">
        <v>59</v>
      </c>
      <c r="C4" s="2" t="s">
        <v>66</v>
      </c>
      <c r="D4" s="2" t="s">
        <v>57</v>
      </c>
      <c r="E4" s="12">
        <v>686.05218505859375</v>
      </c>
      <c r="F4" s="12">
        <v>80275.3046875</v>
      </c>
      <c r="G4" s="14">
        <f>IFERROR(Table1910[[#This Row],[Volume]]/(Table1910[[#This Row],[Design Demand]]*366),0)</f>
        <v>0.31970080170165466</v>
      </c>
      <c r="H4" s="19">
        <f>12*VLOOKUP(Table1910[[#This Row],[newrate]],rates,2,0)</f>
        <v>349.20000000000005</v>
      </c>
      <c r="I4" s="19">
        <f>Table1910[[#This Row],[Volume]]*(VLOOKUP(Table1910[[#This Row],[newrate]],rates,3,0))/100</f>
        <v>310.58515383593755</v>
      </c>
      <c r="J4" s="19">
        <f>12*Table1910[[#This Row],[Design Demand]]*VLOOKUP(Table1910[[#This Row],[newrate]],rates,4,0)/100</f>
        <v>5230.6402324548344</v>
      </c>
      <c r="K4" s="19">
        <f>Table1910[[#This Row],[Volume]]*VLOOKUP(Table1910[[#This Row],[newrate]],rates,7,0)/100</f>
        <v>1305.1961789140626</v>
      </c>
      <c r="L4" s="19">
        <f>Table1910[[#This Row],[Volume]]*VLOOKUP(Table1910[[#This Row],[newrate]],rates,8,0)/100</f>
        <v>11561.169105789064</v>
      </c>
      <c r="M4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18756.790670993898</v>
      </c>
      <c r="N4" s="21">
        <v>943.79999999999984</v>
      </c>
      <c r="O4" s="21">
        <v>0</v>
      </c>
      <c r="P4" s="21">
        <v>7855.9492823110349</v>
      </c>
      <c r="Q4" s="21">
        <v>2311.9288136718751</v>
      </c>
      <c r="R4" s="21">
        <v>8826.3501733345929</v>
      </c>
      <c r="S4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19938.028269317503</v>
      </c>
      <c r="T4" s="23">
        <f>Table1910[[#This Row],[Proposed Customer Charge ]]-Table1910[[#This Row],[Current Customer Charge]]</f>
        <v>-594.5999999999998</v>
      </c>
      <c r="U4" s="23">
        <f>Table1910[[#This Row],[Proposed Demand Delivery Charge]]-Table1910[[#This Row],[Current Demand Delivery Charge]]</f>
        <v>5230.6402324548344</v>
      </c>
      <c r="V4" s="23">
        <f>Table1910[[#This Row],[Proposed Volumetric Delivery Charge]]-Table1910[[#This Row],[Current Volumetric Delivery Charge]]</f>
        <v>-7545.3641284750975</v>
      </c>
      <c r="W4" s="23">
        <f>Table1910[[#This Row],[Proposed Gas Supply Transportation Charge]]-Table1910[[#This Row],[Current Gas Supply Transportation Charge]]</f>
        <v>-1006.7326347578125</v>
      </c>
      <c r="X4" s="23">
        <f>Table1910[[#This Row],[Proposed Gas Supply Commodity Charge]]-Table1910[[#This Row],[Current Gas Supply Commodity Charge]]</f>
        <v>2734.818932454471</v>
      </c>
      <c r="Y4" s="24">
        <f>Table1910[[#This Row],[Proposed Total Bill ($)]]-Table1910[[#This Row],[Current Total Bill ($)]]</f>
        <v>-1181.2375983236052</v>
      </c>
      <c r="Z4" s="18">
        <f>Table1910[[#This Row],[Total Bill Impact ($)]]/Table1910[[#This Row],[Current Total Bill ($)]]</f>
        <v>-5.9245457091732776E-2</v>
      </c>
    </row>
    <row r="5" spans="1:26">
      <c r="A5" s="2" t="s">
        <v>19</v>
      </c>
      <c r="B5" s="2" t="s">
        <v>59</v>
      </c>
      <c r="C5" s="2" t="s">
        <v>66</v>
      </c>
      <c r="D5" s="2" t="s">
        <v>58</v>
      </c>
      <c r="E5" s="12">
        <v>1240.232421875</v>
      </c>
      <c r="F5" s="12">
        <v>146251.234375</v>
      </c>
      <c r="G5" s="14">
        <f>IFERROR(Table1910[[#This Row],[Volume]]/(Table1910[[#This Row],[Design Demand]]*366),0)</f>
        <v>0.32219246126432088</v>
      </c>
      <c r="H5" s="19">
        <f>12*VLOOKUP(Table1910[[#This Row],[newrate]],rates,2,0)</f>
        <v>349.20000000000005</v>
      </c>
      <c r="I5" s="19">
        <f>Table1910[[#This Row],[Volume]]*(VLOOKUP(Table1910[[#This Row],[newrate]],rates,3,0))/100</f>
        <v>565.84602579687498</v>
      </c>
      <c r="J5" s="19">
        <f>12*Table1910[[#This Row],[Design Demand]]*VLOOKUP(Table1910[[#This Row],[newrate]],rates,4,0)/100</f>
        <v>9455.8544448046869</v>
      </c>
      <c r="K5" s="19">
        <f>Table1910[[#This Row],[Volume]]*VLOOKUP(Table1910[[#This Row],[newrate]],rates,7,0)/100</f>
        <v>2377.8988197031249</v>
      </c>
      <c r="L5" s="19">
        <f>Table1910[[#This Row],[Volume]]*VLOOKUP(Table1910[[#This Row],[newrate]],rates,8,0)/100</f>
        <v>21062.956523453122</v>
      </c>
      <c r="M5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33811.755813757809</v>
      </c>
      <c r="N5" s="21">
        <v>943.79999999999984</v>
      </c>
      <c r="O5" s="21">
        <v>0</v>
      </c>
      <c r="P5" s="21">
        <v>13693.249831101566</v>
      </c>
      <c r="Q5" s="21">
        <v>4212.0353249999998</v>
      </c>
      <c r="R5" s="21">
        <v>16080.468611773435</v>
      </c>
      <c r="S5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34929.553767874997</v>
      </c>
      <c r="T5" s="23">
        <f>Table1910[[#This Row],[Proposed Customer Charge ]]-Table1910[[#This Row],[Current Customer Charge]]</f>
        <v>-594.5999999999998</v>
      </c>
      <c r="U5" s="23">
        <f>Table1910[[#This Row],[Proposed Demand Delivery Charge]]-Table1910[[#This Row],[Current Demand Delivery Charge]]</f>
        <v>9455.8544448046869</v>
      </c>
      <c r="V5" s="23">
        <f>Table1910[[#This Row],[Proposed Volumetric Delivery Charge]]-Table1910[[#This Row],[Current Volumetric Delivery Charge]]</f>
        <v>-13127.403805304692</v>
      </c>
      <c r="W5" s="23">
        <f>Table1910[[#This Row],[Proposed Gas Supply Transportation Charge]]-Table1910[[#This Row],[Current Gas Supply Transportation Charge]]</f>
        <v>-1834.1365052968749</v>
      </c>
      <c r="X5" s="23">
        <f>Table1910[[#This Row],[Proposed Gas Supply Commodity Charge]]-Table1910[[#This Row],[Current Gas Supply Commodity Charge]]</f>
        <v>4982.4879116796874</v>
      </c>
      <c r="Y5" s="24">
        <f>Table1910[[#This Row],[Proposed Total Bill ($)]]-Table1910[[#This Row],[Current Total Bill ($)]]</f>
        <v>-1117.7979541171881</v>
      </c>
      <c r="Z5" s="18">
        <f>Table1910[[#This Row],[Total Bill Impact ($)]]/Table1910[[#This Row],[Current Total Bill ($)]]</f>
        <v>-3.200149539686465E-2</v>
      </c>
    </row>
    <row r="6" spans="1:26">
      <c r="A6" s="2" t="s">
        <v>19</v>
      </c>
      <c r="B6" s="2" t="s">
        <v>61</v>
      </c>
      <c r="C6" s="2" t="s">
        <v>66</v>
      </c>
      <c r="D6" s="2" t="s">
        <v>56</v>
      </c>
      <c r="E6" s="12">
        <v>488.60983276367188</v>
      </c>
      <c r="F6" s="12">
        <v>55147.72265625</v>
      </c>
      <c r="G6" s="14">
        <f>IFERROR(Table1910[[#This Row],[Volume]]/(Table1910[[#This Row],[Design Demand]]*366),0)</f>
        <v>0.30837864438042351</v>
      </c>
      <c r="H6" s="19">
        <f>12*VLOOKUP(Table1910[[#This Row],[newrate]],rates,2,0)</f>
        <v>349.20000000000005</v>
      </c>
      <c r="I6" s="19">
        <f>Table1910[[#This Row],[Volume]]*(VLOOKUP(Table1910[[#This Row],[newrate]],rates,3,0))/100</f>
        <v>213.36653895703125</v>
      </c>
      <c r="J6" s="19">
        <f>12*Table1910[[#This Row],[Design Demand]]*VLOOKUP(Table1910[[#This Row],[newrate]],rates,4,0)/100</f>
        <v>3725.2884035467532</v>
      </c>
      <c r="K6" s="19">
        <f>Table1910[[#This Row],[Volume]]*VLOOKUP(Table1910[[#This Row],[newrate]],rates,7,0)/100</f>
        <v>896.64682266796865</v>
      </c>
      <c r="L6" s="19">
        <f>Table1910[[#This Row],[Volume]]*VLOOKUP(Table1910[[#This Row],[newrate]],rates,8,0)/100</f>
        <v>7942.3198692304686</v>
      </c>
      <c r="M6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13126.821634402222</v>
      </c>
      <c r="N6" s="21">
        <v>943.79999999999984</v>
      </c>
      <c r="O6" s="21">
        <v>0</v>
      </c>
      <c r="P6" s="21">
        <v>6979.0891188848891</v>
      </c>
      <c r="Q6" s="21">
        <v>977.98981100170886</v>
      </c>
      <c r="R6" s="21">
        <v>8897.8799487220222</v>
      </c>
      <c r="S6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17798.75887860862</v>
      </c>
      <c r="T6" s="23">
        <f>Table1910[[#This Row],[Proposed Customer Charge ]]-Table1910[[#This Row],[Current Customer Charge]]</f>
        <v>-594.5999999999998</v>
      </c>
      <c r="U6" s="23">
        <f>Table1910[[#This Row],[Proposed Demand Delivery Charge]]-Table1910[[#This Row],[Current Demand Delivery Charge]]</f>
        <v>3725.2884035467532</v>
      </c>
      <c r="V6" s="23">
        <f>Table1910[[#This Row],[Proposed Volumetric Delivery Charge]]-Table1910[[#This Row],[Current Volumetric Delivery Charge]]</f>
        <v>-6765.7225799278576</v>
      </c>
      <c r="W6" s="23">
        <f>Table1910[[#This Row],[Proposed Gas Supply Transportation Charge]]-Table1910[[#This Row],[Current Gas Supply Transportation Charge]]</f>
        <v>-81.342988333740209</v>
      </c>
      <c r="X6" s="23">
        <f>Table1910[[#This Row],[Proposed Gas Supply Commodity Charge]]-Table1910[[#This Row],[Current Gas Supply Commodity Charge]]</f>
        <v>-955.56007949155355</v>
      </c>
      <c r="Y6" s="24">
        <f>Table1910[[#This Row],[Proposed Total Bill ($)]]-Table1910[[#This Row],[Current Total Bill ($)]]</f>
        <v>-4671.9372442063977</v>
      </c>
      <c r="Z6" s="18">
        <f>Table1910[[#This Row],[Total Bill Impact ($)]]/Table1910[[#This Row],[Current Total Bill ($)]]</f>
        <v>-0.26248668663191738</v>
      </c>
    </row>
    <row r="7" spans="1:26">
      <c r="A7" s="2" t="s">
        <v>19</v>
      </c>
      <c r="B7" s="2" t="s">
        <v>61</v>
      </c>
      <c r="C7" s="2" t="s">
        <v>66</v>
      </c>
      <c r="D7" s="2" t="s">
        <v>57</v>
      </c>
      <c r="E7" s="12">
        <v>686.05218505859375</v>
      </c>
      <c r="F7" s="12">
        <v>80275.3046875</v>
      </c>
      <c r="G7" s="14">
        <f>IFERROR(Table1910[[#This Row],[Volume]]/(Table1910[[#This Row],[Design Demand]]*366),0)</f>
        <v>0.31970080170165466</v>
      </c>
      <c r="H7" s="19">
        <f>12*VLOOKUP(Table1910[[#This Row],[newrate]],rates,2,0)</f>
        <v>349.20000000000005</v>
      </c>
      <c r="I7" s="19">
        <f>Table1910[[#This Row],[Volume]]*(VLOOKUP(Table1910[[#This Row],[newrate]],rates,3,0))/100</f>
        <v>310.58515383593755</v>
      </c>
      <c r="J7" s="19">
        <f>12*Table1910[[#This Row],[Design Demand]]*VLOOKUP(Table1910[[#This Row],[newrate]],rates,4,0)/100</f>
        <v>5230.6402324548344</v>
      </c>
      <c r="K7" s="19">
        <f>Table1910[[#This Row],[Volume]]*VLOOKUP(Table1910[[#This Row],[newrate]],rates,7,0)/100</f>
        <v>1305.1961789140626</v>
      </c>
      <c r="L7" s="19">
        <f>Table1910[[#This Row],[Volume]]*VLOOKUP(Table1910[[#This Row],[newrate]],rates,8,0)/100</f>
        <v>11561.169105789064</v>
      </c>
      <c r="M7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18756.790670993898</v>
      </c>
      <c r="N7" s="21">
        <v>943.79999999999984</v>
      </c>
      <c r="O7" s="21">
        <v>0</v>
      </c>
      <c r="P7" s="21">
        <v>9994.5637102635501</v>
      </c>
      <c r="Q7" s="21">
        <v>1423.6022771408689</v>
      </c>
      <c r="R7" s="21">
        <v>12952.120783091284</v>
      </c>
      <c r="S7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25314.086770495705</v>
      </c>
      <c r="T7" s="23">
        <f>Table1910[[#This Row],[Proposed Customer Charge ]]-Table1910[[#This Row],[Current Customer Charge]]</f>
        <v>-594.5999999999998</v>
      </c>
      <c r="U7" s="23">
        <f>Table1910[[#This Row],[Proposed Demand Delivery Charge]]-Table1910[[#This Row],[Current Demand Delivery Charge]]</f>
        <v>5230.6402324548344</v>
      </c>
      <c r="V7" s="23">
        <f>Table1910[[#This Row],[Proposed Volumetric Delivery Charge]]-Table1910[[#This Row],[Current Volumetric Delivery Charge]]</f>
        <v>-9683.9785564276117</v>
      </c>
      <c r="W7" s="23">
        <f>Table1910[[#This Row],[Proposed Gas Supply Transportation Charge]]-Table1910[[#This Row],[Current Gas Supply Transportation Charge]]</f>
        <v>-118.40609822680631</v>
      </c>
      <c r="X7" s="23">
        <f>Table1910[[#This Row],[Proposed Gas Supply Commodity Charge]]-Table1910[[#This Row],[Current Gas Supply Commodity Charge]]</f>
        <v>-1390.9516773022206</v>
      </c>
      <c r="Y7" s="24">
        <f>Table1910[[#This Row],[Proposed Total Bill ($)]]-Table1910[[#This Row],[Current Total Bill ($)]]</f>
        <v>-6557.2960995018075</v>
      </c>
      <c r="Z7" s="18">
        <f>Table1910[[#This Row],[Total Bill Impact ($)]]/Table1910[[#This Row],[Current Total Bill ($)]]</f>
        <v>-0.25903743472762858</v>
      </c>
    </row>
    <row r="8" spans="1:26">
      <c r="A8" s="2" t="s">
        <v>19</v>
      </c>
      <c r="B8" s="2" t="s">
        <v>61</v>
      </c>
      <c r="C8" s="2" t="s">
        <v>66</v>
      </c>
      <c r="D8" s="2" t="s">
        <v>58</v>
      </c>
      <c r="E8" s="12">
        <v>1240.232421875</v>
      </c>
      <c r="F8" s="12">
        <v>146251.234375</v>
      </c>
      <c r="G8" s="14">
        <f>IFERROR(Table1910[[#This Row],[Volume]]/(Table1910[[#This Row],[Design Demand]]*366),0)</f>
        <v>0.32219246126432088</v>
      </c>
      <c r="H8" s="19">
        <f>12*VLOOKUP(Table1910[[#This Row],[newrate]],rates,2,0)</f>
        <v>349.20000000000005</v>
      </c>
      <c r="I8" s="19">
        <f>Table1910[[#This Row],[Volume]]*(VLOOKUP(Table1910[[#This Row],[newrate]],rates,3,0))/100</f>
        <v>565.84602579687498</v>
      </c>
      <c r="J8" s="19">
        <f>12*Table1910[[#This Row],[Design Demand]]*VLOOKUP(Table1910[[#This Row],[newrate]],rates,4,0)/100</f>
        <v>9455.8544448046869</v>
      </c>
      <c r="K8" s="19">
        <f>Table1910[[#This Row],[Volume]]*VLOOKUP(Table1910[[#This Row],[newrate]],rates,7,0)/100</f>
        <v>2377.8988197031249</v>
      </c>
      <c r="L8" s="19">
        <f>Table1910[[#This Row],[Volume]]*VLOOKUP(Table1910[[#This Row],[newrate]],rates,8,0)/100</f>
        <v>21062.956523453122</v>
      </c>
      <c r="M8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33811.755813757809</v>
      </c>
      <c r="N8" s="21">
        <v>943.79999999999984</v>
      </c>
      <c r="O8" s="21">
        <v>0</v>
      </c>
      <c r="P8" s="21">
        <v>17589.528757953129</v>
      </c>
      <c r="Q8" s="21">
        <v>2593.6192518593748</v>
      </c>
      <c r="R8" s="21">
        <v>23597.089127238996</v>
      </c>
      <c r="S8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44724.037137051499</v>
      </c>
      <c r="T8" s="23">
        <f>Table1910[[#This Row],[Proposed Customer Charge ]]-Table1910[[#This Row],[Current Customer Charge]]</f>
        <v>-594.5999999999998</v>
      </c>
      <c r="U8" s="23">
        <f>Table1910[[#This Row],[Proposed Demand Delivery Charge]]-Table1910[[#This Row],[Current Demand Delivery Charge]]</f>
        <v>9455.8544448046869</v>
      </c>
      <c r="V8" s="23">
        <f>Table1910[[#This Row],[Proposed Volumetric Delivery Charge]]-Table1910[[#This Row],[Current Volumetric Delivery Charge]]</f>
        <v>-17023.682732156252</v>
      </c>
      <c r="W8" s="23">
        <f>Table1910[[#This Row],[Proposed Gas Supply Transportation Charge]]-Table1910[[#This Row],[Current Gas Supply Transportation Charge]]</f>
        <v>-215.7204321562499</v>
      </c>
      <c r="X8" s="23">
        <f>Table1910[[#This Row],[Proposed Gas Supply Commodity Charge]]-Table1910[[#This Row],[Current Gas Supply Commodity Charge]]</f>
        <v>-2534.1326037858744</v>
      </c>
      <c r="Y8" s="24">
        <f>Table1910[[#This Row],[Proposed Total Bill ($)]]-Table1910[[#This Row],[Current Total Bill ($)]]</f>
        <v>-10912.28132329369</v>
      </c>
      <c r="Z8" s="18">
        <f>Table1910[[#This Row],[Total Bill Impact ($)]]/Table1910[[#This Row],[Current Total Bill ($)]]</f>
        <v>-0.24399141986789563</v>
      </c>
    </row>
    <row r="9" spans="1:26">
      <c r="A9" s="2" t="s">
        <v>19</v>
      </c>
      <c r="B9" s="2" t="s">
        <v>62</v>
      </c>
      <c r="C9" s="2" t="s">
        <v>67</v>
      </c>
      <c r="D9" s="2" t="s">
        <v>56</v>
      </c>
      <c r="E9" s="12">
        <v>555.03582763671875</v>
      </c>
      <c r="F9" s="12">
        <v>56219.86328125</v>
      </c>
      <c r="G9" s="14">
        <f>IFERROR(Table1910[[#This Row],[Volume]]/(Table1910[[#This Row],[Design Demand]]*366),0)</f>
        <v>0.27675003338539439</v>
      </c>
      <c r="H9" s="19">
        <f>12*VLOOKUP(Table1910[[#This Row],[newrate]],rates,2,0)</f>
        <v>349.20000000000005</v>
      </c>
      <c r="I9" s="19">
        <f>Table1910[[#This Row],[Volume]]*(VLOOKUP(Table1910[[#This Row],[newrate]],rates,3,0))/100</f>
        <v>217.51465103515628</v>
      </c>
      <c r="J9" s="19">
        <f>12*Table1910[[#This Row],[Design Demand]]*VLOOKUP(Table1910[[#This Row],[newrate]],rates,4,0)/100</f>
        <v>4231.7374592175292</v>
      </c>
      <c r="K9" s="19">
        <f>Table1910[[#This Row],[Volume]]*VLOOKUP(Table1910[[#This Row],[newrate]],rates,7,0)/100</f>
        <v>914.07875708984375</v>
      </c>
      <c r="L9" s="19">
        <f>Table1910[[#This Row],[Volume]]*VLOOKUP(Table1910[[#This Row],[newrate]],rates,8,0)/100</f>
        <v>8096.7284899023434</v>
      </c>
      <c r="M9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13809.259357244871</v>
      </c>
      <c r="N9" s="21">
        <v>943.79999999999984</v>
      </c>
      <c r="O9" s="21">
        <v>0</v>
      </c>
      <c r="P9" s="21">
        <v>3744.0176795178227</v>
      </c>
      <c r="Q9" s="21">
        <v>0</v>
      </c>
      <c r="R9" s="21">
        <v>9131.9333491775615</v>
      </c>
      <c r="S9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13819.751028695384</v>
      </c>
      <c r="T9" s="23">
        <f>Table1910[[#This Row],[Proposed Customer Charge ]]-Table1910[[#This Row],[Current Customer Charge]]</f>
        <v>-594.5999999999998</v>
      </c>
      <c r="U9" s="23">
        <f>Table1910[[#This Row],[Proposed Demand Delivery Charge]]-Table1910[[#This Row],[Current Demand Delivery Charge]]</f>
        <v>4231.7374592175292</v>
      </c>
      <c r="V9" s="23">
        <f>Table1910[[#This Row],[Proposed Volumetric Delivery Charge]]-Table1910[[#This Row],[Current Volumetric Delivery Charge]]</f>
        <v>-3526.5030284826662</v>
      </c>
      <c r="W9" s="23">
        <f>Table1910[[#This Row],[Proposed Gas Supply Transportation Charge]]-Table1910[[#This Row],[Current Gas Supply Transportation Charge]]</f>
        <v>914.07875708984375</v>
      </c>
      <c r="X9" s="23">
        <f>Table1910[[#This Row],[Proposed Gas Supply Commodity Charge]]-Table1910[[#This Row],[Current Gas Supply Commodity Charge]]</f>
        <v>-1035.204859275218</v>
      </c>
      <c r="Y9" s="24">
        <f>Table1910[[#This Row],[Proposed Total Bill ($)]]-Table1910[[#This Row],[Current Total Bill ($)]]</f>
        <v>-10.491671450512513</v>
      </c>
      <c r="Z9" s="18">
        <f>Table1910[[#This Row],[Total Bill Impact ($)]]/Table1910[[#This Row],[Current Total Bill ($)]]</f>
        <v>-7.5917948367720703E-4</v>
      </c>
    </row>
    <row r="10" spans="1:26">
      <c r="A10" s="2" t="s">
        <v>19</v>
      </c>
      <c r="B10" s="2" t="s">
        <v>62</v>
      </c>
      <c r="C10" s="2" t="s">
        <v>67</v>
      </c>
      <c r="D10" s="2" t="s">
        <v>57</v>
      </c>
      <c r="E10" s="12">
        <v>815.2298583984375</v>
      </c>
      <c r="F10" s="12">
        <v>86306.2109375</v>
      </c>
      <c r="G10" s="14">
        <f>IFERROR(Table1910[[#This Row],[Volume]]/(Table1910[[#This Row],[Design Demand]]*366),0)</f>
        <v>0.28925500835387224</v>
      </c>
      <c r="H10" s="19">
        <f>12*VLOOKUP(Table1910[[#This Row],[newrate]],rates,2,0)</f>
        <v>349.20000000000005</v>
      </c>
      <c r="I10" s="19">
        <f>Table1910[[#This Row],[Volume]]*(VLOOKUP(Table1910[[#This Row],[newrate]],rates,3,0))/100</f>
        <v>333.91873011718752</v>
      </c>
      <c r="J10" s="19">
        <f>12*Table1910[[#This Row],[Design Demand]]*VLOOKUP(Table1910[[#This Row],[newrate]],rates,4,0)/100</f>
        <v>6215.5244001928704</v>
      </c>
      <c r="K10" s="19">
        <f>Table1910[[#This Row],[Volume]]*VLOOKUP(Table1910[[#This Row],[newrate]],rates,7,0)/100</f>
        <v>1403.2526836328125</v>
      </c>
      <c r="L10" s="19">
        <f>Table1910[[#This Row],[Volume]]*VLOOKUP(Table1910[[#This Row],[newrate]],rates,8,0)/100</f>
        <v>12429.734193007811</v>
      </c>
      <c r="M10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20731.630006950683</v>
      </c>
      <c r="N10" s="21">
        <v>943.79999999999984</v>
      </c>
      <c r="O10" s="21">
        <v>0</v>
      </c>
      <c r="P10" s="21">
        <v>5677.4774714949945</v>
      </c>
      <c r="Q10" s="21">
        <v>0</v>
      </c>
      <c r="R10" s="21">
        <v>14018.933200063713</v>
      </c>
      <c r="S10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20640.210671558707</v>
      </c>
      <c r="T10" s="23">
        <f>Table1910[[#This Row],[Proposed Customer Charge ]]-Table1910[[#This Row],[Current Customer Charge]]</f>
        <v>-594.5999999999998</v>
      </c>
      <c r="U10" s="23">
        <f>Table1910[[#This Row],[Proposed Demand Delivery Charge]]-Table1910[[#This Row],[Current Demand Delivery Charge]]</f>
        <v>6215.5244001928704</v>
      </c>
      <c r="V10" s="23">
        <f>Table1910[[#This Row],[Proposed Volumetric Delivery Charge]]-Table1910[[#This Row],[Current Volumetric Delivery Charge]]</f>
        <v>-5343.5587413778067</v>
      </c>
      <c r="W10" s="23">
        <f>Table1910[[#This Row],[Proposed Gas Supply Transportation Charge]]-Table1910[[#This Row],[Current Gas Supply Transportation Charge]]</f>
        <v>1403.2526836328125</v>
      </c>
      <c r="X10" s="23">
        <f>Table1910[[#This Row],[Proposed Gas Supply Commodity Charge]]-Table1910[[#This Row],[Current Gas Supply Commodity Charge]]</f>
        <v>-1589.1990070559023</v>
      </c>
      <c r="Y10" s="24">
        <f>Table1910[[#This Row],[Proposed Total Bill ($)]]-Table1910[[#This Row],[Current Total Bill ($)]]</f>
        <v>91.419335391976347</v>
      </c>
      <c r="Z10" s="18">
        <f>Table1910[[#This Row],[Total Bill Impact ($)]]/Table1910[[#This Row],[Current Total Bill ($)]]</f>
        <v>4.429186157384921E-3</v>
      </c>
    </row>
    <row r="11" spans="1:26">
      <c r="A11" s="2" t="s">
        <v>19</v>
      </c>
      <c r="B11" s="2" t="s">
        <v>62</v>
      </c>
      <c r="C11" s="2" t="s">
        <v>67</v>
      </c>
      <c r="D11" s="2" t="s">
        <v>58</v>
      </c>
      <c r="E11" s="12">
        <v>1580.603759765625</v>
      </c>
      <c r="F11" s="12">
        <v>169817.0625</v>
      </c>
      <c r="G11" s="14">
        <f>IFERROR(Table1910[[#This Row],[Volume]]/(Table1910[[#This Row],[Design Demand]]*366),0)</f>
        <v>0.29354671733209542</v>
      </c>
      <c r="H11" s="19">
        <f>12*VLOOKUP(Table1910[[#This Row],[newrate]],rates,2,0)</f>
        <v>349.20000000000005</v>
      </c>
      <c r="I11" s="19">
        <f>Table1910[[#This Row],[Volume]]*(VLOOKUP(Table1910[[#This Row],[newrate]],rates,3,0))/100</f>
        <v>657.02221481250001</v>
      </c>
      <c r="J11" s="19">
        <f>12*Table1910[[#This Row],[Design Demand]]*VLOOKUP(Table1910[[#This Row],[newrate]],rates,4,0)/100</f>
        <v>12050.934021430663</v>
      </c>
      <c r="K11" s="19">
        <f>Table1910[[#This Row],[Volume]]*VLOOKUP(Table1910[[#This Row],[newrate]],rates,7,0)/100</f>
        <v>2761.0556191874998</v>
      </c>
      <c r="L11" s="19">
        <f>Table1910[[#This Row],[Volume]]*VLOOKUP(Table1910[[#This Row],[newrate]],rates,8,0)/100</f>
        <v>24456.883524187502</v>
      </c>
      <c r="M11" s="20">
        <f>Table1910[[#This Row],[Proposed Customer Charge ]]+Table1910[[#This Row],[Proposed Volumetric Delivery Charge]]+Table1910[[#This Row],[Proposed Demand Delivery Charge]]+Table1910[[#This Row],[Proposed Gas Supply Transportation Charge]]+Table1910[[#This Row],[Proposed Gas Supply Commodity Charge]]</f>
        <v>40275.095379618164</v>
      </c>
      <c r="N11" s="21">
        <v>943.79999999999984</v>
      </c>
      <c r="O11" s="21">
        <v>0</v>
      </c>
      <c r="P11" s="21">
        <v>10933.537741895751</v>
      </c>
      <c r="Q11" s="21">
        <v>0</v>
      </c>
      <c r="R11" s="21">
        <v>27583.811628890515</v>
      </c>
      <c r="S11" s="22">
        <f>Table1910[[#This Row],[Current Customer Charge]]+Table1910[[#This Row],[Current Demand Delivery Charge]]+Table1910[[#This Row],[Current Volumetric Delivery Charge]]+Table1910[[#This Row],[Current Gas Supply Transportation Charge]]+Table1910[[#This Row],[Current Gas Supply Commodity Charge]]</f>
        <v>39461.149370786268</v>
      </c>
      <c r="T11" s="23">
        <f>Table1910[[#This Row],[Proposed Customer Charge ]]-Table1910[[#This Row],[Current Customer Charge]]</f>
        <v>-594.5999999999998</v>
      </c>
      <c r="U11" s="23">
        <f>Table1910[[#This Row],[Proposed Demand Delivery Charge]]-Table1910[[#This Row],[Current Demand Delivery Charge]]</f>
        <v>12050.934021430663</v>
      </c>
      <c r="V11" s="23">
        <f>Table1910[[#This Row],[Proposed Volumetric Delivery Charge]]-Table1910[[#This Row],[Current Volumetric Delivery Charge]]</f>
        <v>-10276.515527083251</v>
      </c>
      <c r="W11" s="23">
        <f>Table1910[[#This Row],[Proposed Gas Supply Transportation Charge]]-Table1910[[#This Row],[Current Gas Supply Transportation Charge]]</f>
        <v>2761.0556191874998</v>
      </c>
      <c r="X11" s="23">
        <f>Table1910[[#This Row],[Proposed Gas Supply Commodity Charge]]-Table1910[[#This Row],[Current Gas Supply Commodity Charge]]</f>
        <v>-3126.9281047030127</v>
      </c>
      <c r="Y11" s="24">
        <f>Table1910[[#This Row],[Proposed Total Bill ($)]]-Table1910[[#This Row],[Current Total Bill ($)]]</f>
        <v>813.9460088318956</v>
      </c>
      <c r="Z11" s="18">
        <f>Table1910[[#This Row],[Total Bill Impact ($)]]/Table1910[[#This Row],[Current Total Bill ($)]]</f>
        <v>2.0626515492082272E-2</v>
      </c>
    </row>
  </sheetData>
  <sheetProtection algorithmName="SHA-512" hashValue="qSDYIkMNROxB2g2VFUU0A/AOFNc+Q19BIFmQQXahP0r5zlPNXwwwZciMAenmoPXeeBEoj+DQ4TE2OZvcim90BQ==" saltValue="TMxYezfXOrY0moHhTIR6Mw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DB3D-8A4A-491C-8D93-DAAA44684EE0}">
  <dimension ref="A1:AC42"/>
  <sheetViews>
    <sheetView showGridLines="0" topLeftCell="B1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9" width="13.28515625" style="2" hidden="1" customWidth="1"/>
    <col min="10" max="54" width="13.28515625" style="2" customWidth="1"/>
    <col min="55" max="16384" width="9.140625" style="2"/>
  </cols>
  <sheetData>
    <row r="1" spans="1:29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68</v>
      </c>
      <c r="F1" s="3" t="s">
        <v>33</v>
      </c>
      <c r="G1" s="3" t="s">
        <v>34</v>
      </c>
      <c r="H1" s="15" t="s">
        <v>69</v>
      </c>
      <c r="I1" s="15" t="s">
        <v>70</v>
      </c>
      <c r="J1" s="10" t="s">
        <v>35</v>
      </c>
      <c r="K1" s="10" t="s">
        <v>36</v>
      </c>
      <c r="L1" s="10" t="s">
        <v>71</v>
      </c>
      <c r="M1" s="10" t="s">
        <v>72</v>
      </c>
      <c r="N1" s="10" t="s">
        <v>38</v>
      </c>
      <c r="O1" s="10" t="s">
        <v>39</v>
      </c>
      <c r="P1" s="10" t="s">
        <v>40</v>
      </c>
      <c r="Q1" s="11" t="s">
        <v>41</v>
      </c>
      <c r="R1" s="11" t="s">
        <v>42</v>
      </c>
      <c r="S1" s="11" t="s">
        <v>43</v>
      </c>
      <c r="T1" s="11" t="s">
        <v>44</v>
      </c>
      <c r="U1" s="11" t="s">
        <v>45</v>
      </c>
      <c r="V1" s="11" t="s">
        <v>46</v>
      </c>
      <c r="W1" s="3" t="s">
        <v>47</v>
      </c>
      <c r="X1" s="3" t="s">
        <v>48</v>
      </c>
      <c r="Y1" s="3" t="s">
        <v>49</v>
      </c>
      <c r="Z1" s="3" t="s">
        <v>50</v>
      </c>
      <c r="AA1" s="3" t="s">
        <v>51</v>
      </c>
      <c r="AB1" s="3" t="s">
        <v>52</v>
      </c>
      <c r="AC1" s="3" t="s">
        <v>53</v>
      </c>
    </row>
    <row r="2" spans="1:29">
      <c r="A2" s="2" t="s">
        <v>20</v>
      </c>
      <c r="B2" s="2" t="s">
        <v>54</v>
      </c>
      <c r="C2" s="2" t="s">
        <v>73</v>
      </c>
      <c r="D2" s="2" t="s">
        <v>74</v>
      </c>
      <c r="E2" s="12">
        <v>10000</v>
      </c>
      <c r="F2" s="12">
        <v>2082614</v>
      </c>
      <c r="G2" s="13">
        <f>IFERROR(Table1[[#This Row],[Volume]]/(Table1[[#This Row],[CD]]*366),0)</f>
        <v>0.56902021857923502</v>
      </c>
      <c r="H2" s="16">
        <f>MIN(Table1[[#This Row],[CD]],inputs!$P$8)</f>
        <v>10000</v>
      </c>
      <c r="I2" s="16">
        <f>MAX(0,Table1[[#This Row],[CD]]-inputs!$P$8)</f>
        <v>0</v>
      </c>
      <c r="J2" s="19">
        <f>12*VLOOKUP(Table1[[#This Row],[newrate]],rates,2,0)</f>
        <v>6000</v>
      </c>
      <c r="K2" s="19">
        <f>Table1[[#This Row],[Volume]]*VLOOKUP(Table1[[#This Row],[newrate]],rates,3,0)/100</f>
        <v>5633.470870000001</v>
      </c>
      <c r="L2" s="19">
        <f>12*Table1[[#This Row],[CD - Tier 1]]*VLOOKUP(Table1[[#This Row],[newrate]],rates,4,0)/100</f>
        <v>71006.399999999994</v>
      </c>
      <c r="M2" s="19">
        <f>12*Table1[[#This Row],[CD - Tier 2]]*VLOOKUP(Table1[[#This Row],[newrate]],rates,5,0)/100</f>
        <v>0</v>
      </c>
      <c r="N2" s="19">
        <f>Table1[[#This Row],[Volume]]*VLOOKUP(Table1[[#This Row],[newrate]],rates,7,0)/100</f>
        <v>16823.355892</v>
      </c>
      <c r="O2" s="19">
        <f>Table1[[#This Row],[Volume]]*VLOOKUP(Table1[[#This Row],[newrate]],rates,8,0)/100</f>
        <v>299935.98566599999</v>
      </c>
      <c r="P2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399399.212428</v>
      </c>
      <c r="Q2" s="21">
        <v>1644.84</v>
      </c>
      <c r="R2" s="21">
        <v>48817.32</v>
      </c>
      <c r="S2" s="21">
        <v>56940.749373999992</v>
      </c>
      <c r="T2" s="21">
        <v>101644.05888400001</v>
      </c>
      <c r="U2" s="21">
        <v>218809.83991000001</v>
      </c>
      <c r="V2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427856.80816799996</v>
      </c>
      <c r="W2" s="23">
        <f>Table1[[#This Row],[Proposed Customer Charge]]-Table1[[#This Row],[Current Customer Charge]]</f>
        <v>4355.16</v>
      </c>
      <c r="X2" s="23">
        <f>Table1[[#This Row],[Proposed Demand Delivery Charge - Tier 1]]+Table1[[#This Row],[Proposed Demand Delivery Charge - Tier 2]]-Table1[[#This Row],[Current Demand Delivery Charge]]</f>
        <v>22189.079999999994</v>
      </c>
      <c r="Y2" s="23">
        <f>Table1[[#This Row],[Proposed Volumetric Delivery Charge]]-Table1[[#This Row],[Current Volumetric Delivery Charge]]</f>
        <v>-51307.278503999987</v>
      </c>
      <c r="Z2" s="23">
        <f>Table1[[#This Row],[Proposed Gas Supply Transportation Charge]]-Table1[[#This Row],[Current Gas Supply Transportation Charge]]</f>
        <v>-84820.702992000006</v>
      </c>
      <c r="AA2" s="23">
        <f>Table1[[#This Row],[Proposed Gas Supply Commodity Charge]]-Table1[[#This Row],[Current Gas Supply Commodity Charge]]</f>
        <v>81126.145755999984</v>
      </c>
      <c r="AB2" s="24">
        <f>Table1[[#This Row],[Proposed Total Bill ($)]]-Table1[[#This Row],[Current Total Bill ($)]]</f>
        <v>-28457.595739999961</v>
      </c>
      <c r="AC2" s="18">
        <f>Table1[[#This Row],[Total Bill Impact ($)]]/Table1[[#This Row],[Current Total Bill ($)]]</f>
        <v>-6.6511961938504324E-2</v>
      </c>
    </row>
    <row r="3" spans="1:29">
      <c r="A3" s="2" t="s">
        <v>20</v>
      </c>
      <c r="B3" s="2" t="s">
        <v>54</v>
      </c>
      <c r="C3" s="2" t="s">
        <v>73</v>
      </c>
      <c r="D3" s="2" t="s">
        <v>75</v>
      </c>
      <c r="E3" s="12">
        <v>10980</v>
      </c>
      <c r="F3" s="12">
        <v>1329377</v>
      </c>
      <c r="G3" s="13">
        <f>IFERROR(Table1[[#This Row],[Volume]]/(Table1[[#This Row],[CD]]*366),0)</f>
        <v>0.3307994167238994</v>
      </c>
      <c r="H3" s="16">
        <f>MIN(Table1[[#This Row],[CD]],inputs!$P$8)</f>
        <v>10980</v>
      </c>
      <c r="I3" s="16">
        <f>MAX(0,Table1[[#This Row],[CD]]-inputs!$P$8)</f>
        <v>0</v>
      </c>
      <c r="J3" s="19">
        <f>12*VLOOKUP(Table1[[#This Row],[newrate]],rates,2,0)</f>
        <v>6000</v>
      </c>
      <c r="K3" s="19">
        <f>Table1[[#This Row],[Volume]]*VLOOKUP(Table1[[#This Row],[newrate]],rates,3,0)/100</f>
        <v>3595.9647850000001</v>
      </c>
      <c r="L3" s="19">
        <f>12*Table1[[#This Row],[CD - Tier 1]]*VLOOKUP(Table1[[#This Row],[newrate]],rates,4,0)/100</f>
        <v>77965.027199999997</v>
      </c>
      <c r="M3" s="19">
        <f>12*Table1[[#This Row],[CD - Tier 2]]*VLOOKUP(Table1[[#This Row],[newrate]],rates,5,0)/100</f>
        <v>0</v>
      </c>
      <c r="N3" s="19">
        <f>Table1[[#This Row],[Volume]]*VLOOKUP(Table1[[#This Row],[newrate]],rates,7,0)/100</f>
        <v>10738.707406</v>
      </c>
      <c r="O3" s="19">
        <f>Table1[[#This Row],[Volume]]*VLOOKUP(Table1[[#This Row],[newrate]],rates,8,0)/100</f>
        <v>191455.54616299999</v>
      </c>
      <c r="P3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289755.24555400002</v>
      </c>
      <c r="Q3" s="21">
        <v>1644.84</v>
      </c>
      <c r="R3" s="21">
        <v>53601.417360000007</v>
      </c>
      <c r="S3" s="21">
        <v>36346.496556999999</v>
      </c>
      <c r="T3" s="21">
        <v>64881.573862000005</v>
      </c>
      <c r="U3" s="21">
        <v>139670.99450500001</v>
      </c>
      <c r="V3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296145.32228399999</v>
      </c>
      <c r="W3" s="23">
        <f>Table1[[#This Row],[Proposed Customer Charge]]-Table1[[#This Row],[Current Customer Charge]]</f>
        <v>4355.16</v>
      </c>
      <c r="X3" s="23">
        <f>Table1[[#This Row],[Proposed Demand Delivery Charge - Tier 1]]+Table1[[#This Row],[Proposed Demand Delivery Charge - Tier 2]]-Table1[[#This Row],[Current Demand Delivery Charge]]</f>
        <v>24363.60983999999</v>
      </c>
      <c r="Y3" s="23">
        <f>Table1[[#This Row],[Proposed Volumetric Delivery Charge]]-Table1[[#This Row],[Current Volumetric Delivery Charge]]</f>
        <v>-32750.531771999998</v>
      </c>
      <c r="Z3" s="23">
        <f>Table1[[#This Row],[Proposed Gas Supply Transportation Charge]]-Table1[[#This Row],[Current Gas Supply Transportation Charge]]</f>
        <v>-54142.866456000003</v>
      </c>
      <c r="AA3" s="23">
        <f>Table1[[#This Row],[Proposed Gas Supply Commodity Charge]]-Table1[[#This Row],[Current Gas Supply Commodity Charge]]</f>
        <v>51784.551657999982</v>
      </c>
      <c r="AB3" s="24">
        <f>Table1[[#This Row],[Proposed Total Bill ($)]]-Table1[[#This Row],[Current Total Bill ($)]]</f>
        <v>-6390.0767299999716</v>
      </c>
      <c r="AC3" s="18">
        <f>Table1[[#This Row],[Total Bill Impact ($)]]/Table1[[#This Row],[Current Total Bill ($)]]</f>
        <v>-2.1577503506443909E-2</v>
      </c>
    </row>
    <row r="4" spans="1:29">
      <c r="A4" s="2" t="s">
        <v>20</v>
      </c>
      <c r="B4" s="2" t="s">
        <v>54</v>
      </c>
      <c r="C4" s="2" t="s">
        <v>73</v>
      </c>
      <c r="D4" s="2" t="s">
        <v>76</v>
      </c>
      <c r="E4" s="12">
        <v>15500</v>
      </c>
      <c r="F4" s="12">
        <v>2091019</v>
      </c>
      <c r="G4" s="13">
        <f>IFERROR(Table1[[#This Row],[Volume]]/(Table1[[#This Row],[CD]]*366),0)</f>
        <v>0.36859139784946238</v>
      </c>
      <c r="H4" s="16">
        <f>MIN(Table1[[#This Row],[CD]],inputs!$P$8)</f>
        <v>15500</v>
      </c>
      <c r="I4" s="16">
        <f>MAX(0,Table1[[#This Row],[CD]]-inputs!$P$8)</f>
        <v>0</v>
      </c>
      <c r="J4" s="19">
        <f>12*VLOOKUP(Table1[[#This Row],[newrate]],rates,2,0)</f>
        <v>6000</v>
      </c>
      <c r="K4" s="19">
        <f>Table1[[#This Row],[Volume]]*VLOOKUP(Table1[[#This Row],[newrate]],rates,3,0)/100</f>
        <v>5656.2063950000002</v>
      </c>
      <c r="L4" s="19">
        <f>12*Table1[[#This Row],[CD - Tier 1]]*VLOOKUP(Table1[[#This Row],[newrate]],rates,4,0)/100</f>
        <v>110059.92</v>
      </c>
      <c r="M4" s="19">
        <f>12*Table1[[#This Row],[CD - Tier 2]]*VLOOKUP(Table1[[#This Row],[newrate]],rates,5,0)/100</f>
        <v>0</v>
      </c>
      <c r="N4" s="19">
        <f>Table1[[#This Row],[Volume]]*VLOOKUP(Table1[[#This Row],[newrate]],rates,7,0)/100</f>
        <v>16891.251482</v>
      </c>
      <c r="O4" s="19">
        <f>Table1[[#This Row],[Volume]]*VLOOKUP(Table1[[#This Row],[newrate]],rates,8,0)/100</f>
        <v>301146.46536099998</v>
      </c>
      <c r="P4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439753.84323799994</v>
      </c>
      <c r="Q4" s="21">
        <v>1644.84</v>
      </c>
      <c r="R4" s="21">
        <v>75666.846000000005</v>
      </c>
      <c r="S4" s="21">
        <v>57170.550478999998</v>
      </c>
      <c r="T4" s="21">
        <v>102054.27331400002</v>
      </c>
      <c r="U4" s="21">
        <v>219692.91123500001</v>
      </c>
      <c r="V4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456229.42102800007</v>
      </c>
      <c r="W4" s="23">
        <f>Table1[[#This Row],[Proposed Customer Charge]]-Table1[[#This Row],[Current Customer Charge]]</f>
        <v>4355.16</v>
      </c>
      <c r="X4" s="23">
        <f>Table1[[#This Row],[Proposed Demand Delivery Charge - Tier 1]]+Table1[[#This Row],[Proposed Demand Delivery Charge - Tier 2]]-Table1[[#This Row],[Current Demand Delivery Charge]]</f>
        <v>34393.073999999993</v>
      </c>
      <c r="Y4" s="23">
        <f>Table1[[#This Row],[Proposed Volumetric Delivery Charge]]-Table1[[#This Row],[Current Volumetric Delivery Charge]]</f>
        <v>-51514.344083999997</v>
      </c>
      <c r="Z4" s="23">
        <f>Table1[[#This Row],[Proposed Gas Supply Transportation Charge]]-Table1[[#This Row],[Current Gas Supply Transportation Charge]]</f>
        <v>-85163.021832000028</v>
      </c>
      <c r="AA4" s="23">
        <f>Table1[[#This Row],[Proposed Gas Supply Commodity Charge]]-Table1[[#This Row],[Current Gas Supply Commodity Charge]]</f>
        <v>81453.554125999974</v>
      </c>
      <c r="AB4" s="24">
        <f>Table1[[#This Row],[Proposed Total Bill ($)]]-Table1[[#This Row],[Current Total Bill ($)]]</f>
        <v>-16475.577790000127</v>
      </c>
      <c r="AC4" s="18">
        <f>Table1[[#This Row],[Total Bill Impact ($)]]/Table1[[#This Row],[Current Total Bill ($)]]</f>
        <v>-3.6112484269156711E-2</v>
      </c>
    </row>
    <row r="5" spans="1:29">
      <c r="A5" s="2" t="s">
        <v>20</v>
      </c>
      <c r="B5" s="2" t="s">
        <v>54</v>
      </c>
      <c r="C5" s="2" t="s">
        <v>73</v>
      </c>
      <c r="D5" s="2" t="s">
        <v>77</v>
      </c>
      <c r="E5" s="12">
        <v>17800</v>
      </c>
      <c r="F5" s="12">
        <v>2069591</v>
      </c>
      <c r="G5" s="13">
        <f>IFERROR(Table1[[#This Row],[Volume]]/(Table1[[#This Row],[CD]]*366),0)</f>
        <v>0.31767529317860871</v>
      </c>
      <c r="H5" s="16">
        <f>MIN(Table1[[#This Row],[CD]],inputs!$P$8)</f>
        <v>17800</v>
      </c>
      <c r="I5" s="16">
        <f>MAX(0,Table1[[#This Row],[CD]]-inputs!$P$8)</f>
        <v>0</v>
      </c>
      <c r="J5" s="19">
        <f>12*VLOOKUP(Table1[[#This Row],[newrate]],rates,2,0)</f>
        <v>6000</v>
      </c>
      <c r="K5" s="19">
        <f>Table1[[#This Row],[Volume]]*VLOOKUP(Table1[[#This Row],[newrate]],rates,3,0)/100</f>
        <v>5598.2436550000011</v>
      </c>
      <c r="L5" s="19">
        <f>12*Table1[[#This Row],[CD - Tier 1]]*VLOOKUP(Table1[[#This Row],[newrate]],rates,4,0)/100</f>
        <v>126391.39199999999</v>
      </c>
      <c r="M5" s="19">
        <f>12*Table1[[#This Row],[CD - Tier 2]]*VLOOKUP(Table1[[#This Row],[newrate]],rates,5,0)/100</f>
        <v>0</v>
      </c>
      <c r="N5" s="19">
        <f>Table1[[#This Row],[Volume]]*VLOOKUP(Table1[[#This Row],[newrate]],rates,7,0)/100</f>
        <v>16718.156097999999</v>
      </c>
      <c r="O5" s="19">
        <f>Table1[[#This Row],[Volume]]*VLOOKUP(Table1[[#This Row],[newrate]],rates,8,0)/100</f>
        <v>298060.42622899998</v>
      </c>
      <c r="P5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452768.21798199997</v>
      </c>
      <c r="Q5" s="21">
        <v>1644.84</v>
      </c>
      <c r="R5" s="21">
        <v>86894.829600000012</v>
      </c>
      <c r="S5" s="21">
        <v>56584.687530999996</v>
      </c>
      <c r="T5" s="21">
        <v>101008.458346</v>
      </c>
      <c r="U5" s="21">
        <v>217441.57841500003</v>
      </c>
      <c r="V5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463574.39389200002</v>
      </c>
      <c r="W5" s="23">
        <f>Table1[[#This Row],[Proposed Customer Charge]]-Table1[[#This Row],[Current Customer Charge]]</f>
        <v>4355.16</v>
      </c>
      <c r="X5" s="23">
        <f>Table1[[#This Row],[Proposed Demand Delivery Charge - Tier 1]]+Table1[[#This Row],[Proposed Demand Delivery Charge - Tier 2]]-Table1[[#This Row],[Current Demand Delivery Charge]]</f>
        <v>39496.562399999981</v>
      </c>
      <c r="Y5" s="23">
        <f>Table1[[#This Row],[Proposed Volumetric Delivery Charge]]-Table1[[#This Row],[Current Volumetric Delivery Charge]]</f>
        <v>-50986.443875999998</v>
      </c>
      <c r="Z5" s="23">
        <f>Table1[[#This Row],[Proposed Gas Supply Transportation Charge]]-Table1[[#This Row],[Current Gas Supply Transportation Charge]]</f>
        <v>-84290.302247999993</v>
      </c>
      <c r="AA5" s="23">
        <f>Table1[[#This Row],[Proposed Gas Supply Commodity Charge]]-Table1[[#This Row],[Current Gas Supply Commodity Charge]]</f>
        <v>80618.84781399995</v>
      </c>
      <c r="AB5" s="24">
        <f>Table1[[#This Row],[Proposed Total Bill ($)]]-Table1[[#This Row],[Current Total Bill ($)]]</f>
        <v>-10806.175910000049</v>
      </c>
      <c r="AC5" s="18">
        <f>Table1[[#This Row],[Total Bill Impact ($)]]/Table1[[#This Row],[Current Total Bill ($)]]</f>
        <v>-2.3310553931323454E-2</v>
      </c>
    </row>
    <row r="6" spans="1:29">
      <c r="A6" s="2" t="s">
        <v>20</v>
      </c>
      <c r="B6" s="2" t="s">
        <v>54</v>
      </c>
      <c r="C6" s="2" t="s">
        <v>73</v>
      </c>
      <c r="D6" s="2" t="s">
        <v>78</v>
      </c>
      <c r="E6" s="12">
        <v>38600</v>
      </c>
      <c r="F6" s="12">
        <v>1787111</v>
      </c>
      <c r="G6" s="13">
        <f>IFERROR(Table1[[#This Row],[Volume]]/(Table1[[#This Row],[CD]]*366),0)</f>
        <v>0.12649784818369716</v>
      </c>
      <c r="H6" s="16">
        <f>MIN(Table1[[#This Row],[CD]],inputs!$P$8)</f>
        <v>20000</v>
      </c>
      <c r="I6" s="16">
        <f>MAX(0,Table1[[#This Row],[CD]]-inputs!$P$8)</f>
        <v>18600</v>
      </c>
      <c r="J6" s="19">
        <f>12*VLOOKUP(Table1[[#This Row],[newrate]],rates,2,0)</f>
        <v>6000</v>
      </c>
      <c r="K6" s="19">
        <f>Table1[[#This Row],[Volume]]*VLOOKUP(Table1[[#This Row],[newrate]],rates,3,0)/100</f>
        <v>4834.1352550000001</v>
      </c>
      <c r="L6" s="19">
        <f>12*Table1[[#This Row],[CD - Tier 1]]*VLOOKUP(Table1[[#This Row],[newrate]],rates,4,0)/100</f>
        <v>142012.79999999999</v>
      </c>
      <c r="M6" s="19">
        <f>12*Table1[[#This Row],[CD - Tier 2]]*VLOOKUP(Table1[[#This Row],[newrate]],rates,5,0)/100</f>
        <v>89845.142399999997</v>
      </c>
      <c r="N6" s="19">
        <f>Table1[[#This Row],[Volume]]*VLOOKUP(Table1[[#This Row],[newrate]],rates,7,0)/100</f>
        <v>14436.282658</v>
      </c>
      <c r="O6" s="19">
        <f>Table1[[#This Row],[Volume]]*VLOOKUP(Table1[[#This Row],[newrate]],rates,8,0)/100</f>
        <v>257377.939109</v>
      </c>
      <c r="P6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514506.29942199995</v>
      </c>
      <c r="Q6" s="21">
        <v>1644.84</v>
      </c>
      <c r="R6" s="21">
        <v>188434.85519999999</v>
      </c>
      <c r="S6" s="21">
        <v>48861.401850999995</v>
      </c>
      <c r="T6" s="21">
        <v>87221.739466000014</v>
      </c>
      <c r="U6" s="21">
        <v>187762.81721500002</v>
      </c>
      <c r="V6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513925.65373200004</v>
      </c>
      <c r="W6" s="23">
        <f>Table1[[#This Row],[Proposed Customer Charge]]-Table1[[#This Row],[Current Customer Charge]]</f>
        <v>4355.16</v>
      </c>
      <c r="X6" s="23">
        <f>Table1[[#This Row],[Proposed Demand Delivery Charge - Tier 1]]+Table1[[#This Row],[Proposed Demand Delivery Charge - Tier 2]]-Table1[[#This Row],[Current Demand Delivery Charge]]</f>
        <v>43423.087200000009</v>
      </c>
      <c r="Y6" s="23">
        <f>Table1[[#This Row],[Proposed Volumetric Delivery Charge]]-Table1[[#This Row],[Current Volumetric Delivery Charge]]</f>
        <v>-44027.266595999994</v>
      </c>
      <c r="Z6" s="23">
        <f>Table1[[#This Row],[Proposed Gas Supply Transportation Charge]]-Table1[[#This Row],[Current Gas Supply Transportation Charge]]</f>
        <v>-72785.456808000017</v>
      </c>
      <c r="AA6" s="23">
        <f>Table1[[#This Row],[Proposed Gas Supply Commodity Charge]]-Table1[[#This Row],[Current Gas Supply Commodity Charge]]</f>
        <v>69615.121893999982</v>
      </c>
      <c r="AB6" s="24">
        <f>Table1[[#This Row],[Proposed Total Bill ($)]]-Table1[[#This Row],[Current Total Bill ($)]]</f>
        <v>580.64568999991752</v>
      </c>
      <c r="AC6" s="18">
        <f>Table1[[#This Row],[Total Bill Impact ($)]]/Table1[[#This Row],[Current Total Bill ($)]]</f>
        <v>1.1298242961475327E-3</v>
      </c>
    </row>
    <row r="7" spans="1:29">
      <c r="A7" s="2" t="s">
        <v>20</v>
      </c>
      <c r="B7" s="2" t="s">
        <v>54</v>
      </c>
      <c r="C7" s="2" t="s">
        <v>73</v>
      </c>
      <c r="D7" s="2" t="s">
        <v>79</v>
      </c>
      <c r="E7" s="12">
        <v>106200</v>
      </c>
      <c r="F7" s="12">
        <v>9720819</v>
      </c>
      <c r="G7" s="14">
        <f>IFERROR(Table1[[#This Row],[Volume]]/(Table1[[#This Row],[CD]]*366),0)</f>
        <v>0.25009053440770584</v>
      </c>
      <c r="H7" s="16">
        <f>MIN(Table1[[#This Row],[CD]],inputs!$P$8)</f>
        <v>20000</v>
      </c>
      <c r="I7" s="16">
        <f>MAX(0,Table1[[#This Row],[CD]]-inputs!$P$8)</f>
        <v>86200</v>
      </c>
      <c r="J7" s="19">
        <f>12*VLOOKUP(Table1[[#This Row],[newrate]],rates,2,0)</f>
        <v>6000</v>
      </c>
      <c r="K7" s="19">
        <f>Table1[[#This Row],[Volume]]*VLOOKUP(Table1[[#This Row],[newrate]],rates,3,0)/100</f>
        <v>26294.815394999998</v>
      </c>
      <c r="L7" s="19">
        <f>12*Table1[[#This Row],[CD - Tier 1]]*VLOOKUP(Table1[[#This Row],[newrate]],rates,4,0)/100</f>
        <v>142012.79999999999</v>
      </c>
      <c r="M7" s="19">
        <f>12*Table1[[#This Row],[CD - Tier 2]]*VLOOKUP(Table1[[#This Row],[newrate]],rates,5,0)/100</f>
        <v>416379.10079999996</v>
      </c>
      <c r="N7" s="19">
        <f>Table1[[#This Row],[Volume]]*VLOOKUP(Table1[[#This Row],[newrate]],rates,7,0)/100</f>
        <v>78524.775881999987</v>
      </c>
      <c r="O7" s="19">
        <f>Table1[[#This Row],[Volume]]*VLOOKUP(Table1[[#This Row],[newrate]],rates,8,0)/100</f>
        <v>1399982.6315610001</v>
      </c>
      <c r="P7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2069194.1236379999</v>
      </c>
      <c r="Q7" s="21">
        <v>1644.84</v>
      </c>
      <c r="R7" s="21">
        <v>518439.93840000004</v>
      </c>
      <c r="S7" s="21">
        <v>265776.91227899998</v>
      </c>
      <c r="T7" s="21">
        <v>474434.29211400001</v>
      </c>
      <c r="U7" s="21">
        <v>1021317.848235</v>
      </c>
      <c r="V7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2281613.831028</v>
      </c>
      <c r="W7" s="23">
        <f>Table1[[#This Row],[Proposed Customer Charge]]-Table1[[#This Row],[Current Customer Charge]]</f>
        <v>4355.16</v>
      </c>
      <c r="X7" s="23">
        <f>Table1[[#This Row],[Proposed Demand Delivery Charge - Tier 1]]+Table1[[#This Row],[Proposed Demand Delivery Charge - Tier 2]]-Table1[[#This Row],[Current Demand Delivery Charge]]</f>
        <v>39951.962399999902</v>
      </c>
      <c r="Y7" s="23">
        <f>Table1[[#This Row],[Proposed Volumetric Delivery Charge]]-Table1[[#This Row],[Current Volumetric Delivery Charge]]</f>
        <v>-239482.096884</v>
      </c>
      <c r="Z7" s="23">
        <f>Table1[[#This Row],[Proposed Gas Supply Transportation Charge]]-Table1[[#This Row],[Current Gas Supply Transportation Charge]]</f>
        <v>-395909.51623200002</v>
      </c>
      <c r="AA7" s="23">
        <f>Table1[[#This Row],[Proposed Gas Supply Commodity Charge]]-Table1[[#This Row],[Current Gas Supply Commodity Charge]]</f>
        <v>378664.78332600009</v>
      </c>
      <c r="AB7" s="24">
        <f>Table1[[#This Row],[Proposed Total Bill ($)]]-Table1[[#This Row],[Current Total Bill ($)]]</f>
        <v>-212419.70739000011</v>
      </c>
      <c r="AC7" s="18">
        <f>Table1[[#This Row],[Total Bill Impact ($)]]/Table1[[#This Row],[Current Total Bill ($)]]</f>
        <v>-9.3100639775790917E-2</v>
      </c>
    </row>
    <row r="8" spans="1:29">
      <c r="A8" s="2" t="s">
        <v>20</v>
      </c>
      <c r="B8" s="2" t="s">
        <v>54</v>
      </c>
      <c r="C8" s="2" t="s">
        <v>80</v>
      </c>
      <c r="D8" s="2" t="s">
        <v>74</v>
      </c>
      <c r="E8" s="12">
        <v>1865</v>
      </c>
      <c r="F8" s="12">
        <v>303717</v>
      </c>
      <c r="G8" s="14">
        <f>IFERROR(Table1[[#This Row],[Volume]]/(Table1[[#This Row],[CD]]*366),0)</f>
        <v>0.44494791895574209</v>
      </c>
      <c r="H8" s="16">
        <f>MIN(Table1[[#This Row],[CD]],inputs!$P$8)</f>
        <v>1865</v>
      </c>
      <c r="I8" s="16">
        <f>MAX(0,Table1[[#This Row],[CD]]-inputs!$P$8)</f>
        <v>0</v>
      </c>
      <c r="J8" s="19">
        <f>12*VLOOKUP(Table1[[#This Row],[newrate]],rates,2,0)</f>
        <v>6000</v>
      </c>
      <c r="K8" s="19">
        <f>Table1[[#This Row],[Volume]]*VLOOKUP(Table1[[#This Row],[newrate]],rates,3,0)/100</f>
        <v>821.554485</v>
      </c>
      <c r="L8" s="19">
        <f>12*Table1[[#This Row],[CD - Tier 1]]*VLOOKUP(Table1[[#This Row],[newrate]],rates,4,0)/100</f>
        <v>13242.693599999999</v>
      </c>
      <c r="M8" s="19">
        <f>12*Table1[[#This Row],[CD - Tier 2]]*VLOOKUP(Table1[[#This Row],[newrate]],rates,5,0)/100</f>
        <v>0</v>
      </c>
      <c r="N8" s="19">
        <f>Table1[[#This Row],[Volume]]*VLOOKUP(Table1[[#This Row],[newrate]],rates,7,0)/100</f>
        <v>2453.4259259999999</v>
      </c>
      <c r="O8" s="19">
        <f>Table1[[#This Row],[Volume]]*VLOOKUP(Table1[[#This Row],[newrate]],rates,8,0)/100</f>
        <v>43741.018623000004</v>
      </c>
      <c r="P8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66258.692634000006</v>
      </c>
      <c r="Q8" s="21">
        <v>7918.4400000000005</v>
      </c>
      <c r="R8" s="21">
        <v>5836.4130599999999</v>
      </c>
      <c r="S8" s="21">
        <v>3822.2784450000008</v>
      </c>
      <c r="T8" s="21">
        <v>14823.211902000001</v>
      </c>
      <c r="U8" s="21">
        <v>31718.684895000002</v>
      </c>
      <c r="V8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64119.028302000006</v>
      </c>
      <c r="W8" s="23">
        <f>Table1[[#This Row],[Proposed Customer Charge]]-Table1[[#This Row],[Current Customer Charge]]</f>
        <v>-1918.4400000000005</v>
      </c>
      <c r="X8" s="23">
        <f>Table1[[#This Row],[Proposed Demand Delivery Charge - Tier 1]]+Table1[[#This Row],[Proposed Demand Delivery Charge - Tier 2]]-Table1[[#This Row],[Current Demand Delivery Charge]]</f>
        <v>7406.2805399999988</v>
      </c>
      <c r="Y8" s="23">
        <f>Table1[[#This Row],[Proposed Volumetric Delivery Charge]]-Table1[[#This Row],[Current Volumetric Delivery Charge]]</f>
        <v>-3000.7239600000007</v>
      </c>
      <c r="Z8" s="23">
        <f>Table1[[#This Row],[Proposed Gas Supply Transportation Charge]]-Table1[[#This Row],[Current Gas Supply Transportation Charge]]</f>
        <v>-12369.785976000001</v>
      </c>
      <c r="AA8" s="23">
        <f>Table1[[#This Row],[Proposed Gas Supply Commodity Charge]]-Table1[[#This Row],[Current Gas Supply Commodity Charge]]</f>
        <v>12022.333728000001</v>
      </c>
      <c r="AB8" s="24">
        <f>Table1[[#This Row],[Proposed Total Bill ($)]]-Table1[[#This Row],[Current Total Bill ($)]]</f>
        <v>2139.6643320000003</v>
      </c>
      <c r="AC8" s="18">
        <f>Table1[[#This Row],[Total Bill Impact ($)]]/Table1[[#This Row],[Current Total Bill ($)]]</f>
        <v>3.3370192728470582E-2</v>
      </c>
    </row>
    <row r="9" spans="1:29">
      <c r="A9" s="2" t="s">
        <v>20</v>
      </c>
      <c r="B9" s="2" t="s">
        <v>54</v>
      </c>
      <c r="C9" s="2" t="s">
        <v>80</v>
      </c>
      <c r="D9" s="2" t="s">
        <v>75</v>
      </c>
      <c r="E9" s="12">
        <v>3550</v>
      </c>
      <c r="F9" s="12">
        <v>606260</v>
      </c>
      <c r="G9" s="14">
        <f>IFERROR(Table1[[#This Row],[Volume]]/(Table1[[#This Row],[CD]]*366),0)</f>
        <v>0.46660509505118142</v>
      </c>
      <c r="H9" s="16">
        <f>MIN(Table1[[#This Row],[CD]],inputs!$P$8)</f>
        <v>3550</v>
      </c>
      <c r="I9" s="16">
        <f>MAX(0,Table1[[#This Row],[CD]]-inputs!$P$8)</f>
        <v>0</v>
      </c>
      <c r="J9" s="19">
        <f>12*VLOOKUP(Table1[[#This Row],[newrate]],rates,2,0)</f>
        <v>6000</v>
      </c>
      <c r="K9" s="19">
        <f>Table1[[#This Row],[Volume]]*VLOOKUP(Table1[[#This Row],[newrate]],rates,3,0)/100</f>
        <v>1639.9333000000001</v>
      </c>
      <c r="L9" s="19">
        <f>12*Table1[[#This Row],[CD - Tier 1]]*VLOOKUP(Table1[[#This Row],[newrate]],rates,4,0)/100</f>
        <v>25207.271999999997</v>
      </c>
      <c r="M9" s="19">
        <f>12*Table1[[#This Row],[CD - Tier 2]]*VLOOKUP(Table1[[#This Row],[newrate]],rates,5,0)/100</f>
        <v>0</v>
      </c>
      <c r="N9" s="19">
        <f>Table1[[#This Row],[Volume]]*VLOOKUP(Table1[[#This Row],[newrate]],rates,7,0)/100</f>
        <v>4897.3682799999997</v>
      </c>
      <c r="O9" s="19">
        <f>Table1[[#This Row],[Volume]]*VLOOKUP(Table1[[#This Row],[newrate]],rates,8,0)/100</f>
        <v>87312.958939999997</v>
      </c>
      <c r="P9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125057.53252000001</v>
      </c>
      <c r="Q9" s="21">
        <v>7918.4400000000005</v>
      </c>
      <c r="R9" s="21">
        <v>11109.5262</v>
      </c>
      <c r="S9" s="21">
        <v>7629.7821000000004</v>
      </c>
      <c r="T9" s="21">
        <v>29589.125560000004</v>
      </c>
      <c r="U9" s="21">
        <v>63314.763100000004</v>
      </c>
      <c r="V9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119561.63696</v>
      </c>
      <c r="W9" s="23">
        <f>Table1[[#This Row],[Proposed Customer Charge]]-Table1[[#This Row],[Current Customer Charge]]</f>
        <v>-1918.4400000000005</v>
      </c>
      <c r="X9" s="23">
        <f>Table1[[#This Row],[Proposed Demand Delivery Charge - Tier 1]]+Table1[[#This Row],[Proposed Demand Delivery Charge - Tier 2]]-Table1[[#This Row],[Current Demand Delivery Charge]]</f>
        <v>14097.745799999997</v>
      </c>
      <c r="Y9" s="23">
        <f>Table1[[#This Row],[Proposed Volumetric Delivery Charge]]-Table1[[#This Row],[Current Volumetric Delivery Charge]]</f>
        <v>-5989.8487999999998</v>
      </c>
      <c r="Z9" s="23">
        <f>Table1[[#This Row],[Proposed Gas Supply Transportation Charge]]-Table1[[#This Row],[Current Gas Supply Transportation Charge]]</f>
        <v>-24691.757280000005</v>
      </c>
      <c r="AA9" s="23">
        <f>Table1[[#This Row],[Proposed Gas Supply Commodity Charge]]-Table1[[#This Row],[Current Gas Supply Commodity Charge]]</f>
        <v>23998.195839999993</v>
      </c>
      <c r="AB9" s="24">
        <f>Table1[[#This Row],[Proposed Total Bill ($)]]-Table1[[#This Row],[Current Total Bill ($)]]</f>
        <v>5495.8955600000045</v>
      </c>
      <c r="AC9" s="18">
        <f>Table1[[#This Row],[Total Bill Impact ($)]]/Table1[[#This Row],[Current Total Bill ($)]]</f>
        <v>4.5967048459186671E-2</v>
      </c>
    </row>
    <row r="10" spans="1:29">
      <c r="A10" s="2" t="s">
        <v>20</v>
      </c>
      <c r="B10" s="2" t="s">
        <v>54</v>
      </c>
      <c r="C10" s="2" t="s">
        <v>80</v>
      </c>
      <c r="D10" s="2" t="s">
        <v>76</v>
      </c>
      <c r="E10" s="12">
        <v>5450</v>
      </c>
      <c r="F10" s="12">
        <v>795700</v>
      </c>
      <c r="G10" s="14">
        <f>IFERROR(Table1[[#This Row],[Volume]]/(Table1[[#This Row],[CD]]*366),0)</f>
        <v>0.39890710382513661</v>
      </c>
      <c r="H10" s="16">
        <f>MIN(Table1[[#This Row],[CD]],inputs!$P$8)</f>
        <v>5450</v>
      </c>
      <c r="I10" s="16">
        <f>MAX(0,Table1[[#This Row],[CD]]-inputs!$P$8)</f>
        <v>0</v>
      </c>
      <c r="J10" s="19">
        <f>12*VLOOKUP(Table1[[#This Row],[newrate]],rates,2,0)</f>
        <v>6000</v>
      </c>
      <c r="K10" s="19">
        <f>Table1[[#This Row],[Volume]]*VLOOKUP(Table1[[#This Row],[newrate]],rates,3,0)/100</f>
        <v>2152.3685</v>
      </c>
      <c r="L10" s="19">
        <f>12*Table1[[#This Row],[CD - Tier 1]]*VLOOKUP(Table1[[#This Row],[newrate]],rates,4,0)/100</f>
        <v>38698.487999999998</v>
      </c>
      <c r="M10" s="19">
        <f>12*Table1[[#This Row],[CD - Tier 2]]*VLOOKUP(Table1[[#This Row],[newrate]],rates,5,0)/100</f>
        <v>0</v>
      </c>
      <c r="N10" s="19">
        <f>Table1[[#This Row],[Volume]]*VLOOKUP(Table1[[#This Row],[newrate]],rates,7,0)/100</f>
        <v>6427.6646000000001</v>
      </c>
      <c r="O10" s="19">
        <f>Table1[[#This Row],[Volume]]*VLOOKUP(Table1[[#This Row],[newrate]],rates,8,0)/100</f>
        <v>114595.9183</v>
      </c>
      <c r="P10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167874.4394</v>
      </c>
      <c r="Q10" s="21">
        <v>7918.4400000000005</v>
      </c>
      <c r="R10" s="21">
        <v>17055.469799999999</v>
      </c>
      <c r="S10" s="21">
        <v>10013.884500000002</v>
      </c>
      <c r="T10" s="21">
        <v>38834.934200000003</v>
      </c>
      <c r="U10" s="21">
        <v>83098.929499999998</v>
      </c>
      <c r="V10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156921.658</v>
      </c>
      <c r="W10" s="23">
        <f>Table1[[#This Row],[Proposed Customer Charge]]-Table1[[#This Row],[Current Customer Charge]]</f>
        <v>-1918.4400000000005</v>
      </c>
      <c r="X10" s="23">
        <f>Table1[[#This Row],[Proposed Demand Delivery Charge - Tier 1]]+Table1[[#This Row],[Proposed Demand Delivery Charge - Tier 2]]-Table1[[#This Row],[Current Demand Delivery Charge]]</f>
        <v>21643.018199999999</v>
      </c>
      <c r="Y10" s="23">
        <f>Table1[[#This Row],[Proposed Volumetric Delivery Charge]]-Table1[[#This Row],[Current Volumetric Delivery Charge]]</f>
        <v>-7861.5160000000014</v>
      </c>
      <c r="Z10" s="23">
        <f>Table1[[#This Row],[Proposed Gas Supply Transportation Charge]]-Table1[[#This Row],[Current Gas Supply Transportation Charge]]</f>
        <v>-32407.269600000003</v>
      </c>
      <c r="AA10" s="23">
        <f>Table1[[#This Row],[Proposed Gas Supply Commodity Charge]]-Table1[[#This Row],[Current Gas Supply Commodity Charge]]</f>
        <v>31496.988800000006</v>
      </c>
      <c r="AB10" s="24">
        <f>Table1[[#This Row],[Proposed Total Bill ($)]]-Table1[[#This Row],[Current Total Bill ($)]]</f>
        <v>10952.781400000007</v>
      </c>
      <c r="AC10" s="18">
        <f>Table1[[#This Row],[Total Bill Impact ($)]]/Table1[[#This Row],[Current Total Bill ($)]]</f>
        <v>6.9797767494911428E-2</v>
      </c>
    </row>
    <row r="11" spans="1:29">
      <c r="A11" s="2" t="s">
        <v>20</v>
      </c>
      <c r="B11" s="2" t="s">
        <v>54</v>
      </c>
      <c r="C11" s="2" t="s">
        <v>80</v>
      </c>
      <c r="D11" s="2" t="s">
        <v>77</v>
      </c>
      <c r="E11" s="12">
        <v>9054</v>
      </c>
      <c r="F11" s="12">
        <v>1875661</v>
      </c>
      <c r="G11" s="14">
        <f>IFERROR(Table1[[#This Row],[Volume]]/(Table1[[#This Row],[CD]]*366),0)</f>
        <v>0.56602129783533162</v>
      </c>
      <c r="H11" s="16">
        <f>MIN(Table1[[#This Row],[CD]],inputs!$P$8)</f>
        <v>9054</v>
      </c>
      <c r="I11" s="16">
        <f>MAX(0,Table1[[#This Row],[CD]]-inputs!$P$8)</f>
        <v>0</v>
      </c>
      <c r="J11" s="19">
        <f>12*VLOOKUP(Table1[[#This Row],[newrate]],rates,2,0)</f>
        <v>6000</v>
      </c>
      <c r="K11" s="19">
        <f>Table1[[#This Row],[Volume]]*VLOOKUP(Table1[[#This Row],[newrate]],rates,3,0)/100</f>
        <v>5073.6630050000003</v>
      </c>
      <c r="L11" s="19">
        <f>12*Table1[[#This Row],[CD - Tier 1]]*VLOOKUP(Table1[[#This Row],[newrate]],rates,4,0)/100</f>
        <v>64289.194559999996</v>
      </c>
      <c r="M11" s="19">
        <f>12*Table1[[#This Row],[CD - Tier 2]]*VLOOKUP(Table1[[#This Row],[newrate]],rates,5,0)/100</f>
        <v>0</v>
      </c>
      <c r="N11" s="19">
        <f>Table1[[#This Row],[Volume]]*VLOOKUP(Table1[[#This Row],[newrate]],rates,7,0)/100</f>
        <v>15151.589558</v>
      </c>
      <c r="O11" s="19">
        <f>Table1[[#This Row],[Volume]]*VLOOKUP(Table1[[#This Row],[newrate]],rates,8,0)/100</f>
        <v>270130.821559</v>
      </c>
      <c r="P11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360645.26868199999</v>
      </c>
      <c r="Q11" s="21">
        <v>7918.4400000000005</v>
      </c>
      <c r="R11" s="21">
        <v>28333.985976</v>
      </c>
      <c r="S11" s="21">
        <v>23605.193685000002</v>
      </c>
      <c r="T11" s="21">
        <v>91543.510766000007</v>
      </c>
      <c r="U11" s="21">
        <v>195884.65653500002</v>
      </c>
      <c r="V11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347285.78696200001</v>
      </c>
      <c r="W11" s="23">
        <f>Table1[[#This Row],[Proposed Customer Charge]]-Table1[[#This Row],[Current Customer Charge]]</f>
        <v>-1918.4400000000005</v>
      </c>
      <c r="X11" s="23">
        <f>Table1[[#This Row],[Proposed Demand Delivery Charge - Tier 1]]+Table1[[#This Row],[Proposed Demand Delivery Charge - Tier 2]]-Table1[[#This Row],[Current Demand Delivery Charge]]</f>
        <v>35955.208583999993</v>
      </c>
      <c r="Y11" s="23">
        <f>Table1[[#This Row],[Proposed Volumetric Delivery Charge]]-Table1[[#This Row],[Current Volumetric Delivery Charge]]</f>
        <v>-18531.530680000003</v>
      </c>
      <c r="Z11" s="23">
        <f>Table1[[#This Row],[Proposed Gas Supply Transportation Charge]]-Table1[[#This Row],[Current Gas Supply Transportation Charge]]</f>
        <v>-76391.921208000014</v>
      </c>
      <c r="AA11" s="23">
        <f>Table1[[#This Row],[Proposed Gas Supply Commodity Charge]]-Table1[[#This Row],[Current Gas Supply Commodity Charge]]</f>
        <v>74246.165023999987</v>
      </c>
      <c r="AB11" s="24">
        <f>Table1[[#This Row],[Proposed Total Bill ($)]]-Table1[[#This Row],[Current Total Bill ($)]]</f>
        <v>13359.481719999982</v>
      </c>
      <c r="AC11" s="18">
        <f>Table1[[#This Row],[Total Bill Impact ($)]]/Table1[[#This Row],[Current Total Bill ($)]]</f>
        <v>3.8468265104848E-2</v>
      </c>
    </row>
    <row r="12" spans="1:29">
      <c r="A12" s="2" t="s">
        <v>20</v>
      </c>
      <c r="B12" s="2" t="s">
        <v>54</v>
      </c>
      <c r="C12" s="2" t="s">
        <v>80</v>
      </c>
      <c r="D12" s="2" t="s">
        <v>78</v>
      </c>
      <c r="E12" s="12">
        <v>17000</v>
      </c>
      <c r="F12" s="12">
        <v>3091207</v>
      </c>
      <c r="G12" s="14">
        <f>IFERROR(Table1[[#This Row],[Volume]]/(Table1[[#This Row],[CD]]*366),0)</f>
        <v>0.49681886853101898</v>
      </c>
      <c r="H12" s="16">
        <f>MIN(Table1[[#This Row],[CD]],inputs!$P$8)</f>
        <v>17000</v>
      </c>
      <c r="I12" s="16">
        <f>MAX(0,Table1[[#This Row],[CD]]-inputs!$P$8)</f>
        <v>0</v>
      </c>
      <c r="J12" s="19">
        <f>12*VLOOKUP(Table1[[#This Row],[newrate]],rates,2,0)</f>
        <v>6000</v>
      </c>
      <c r="K12" s="19">
        <f>Table1[[#This Row],[Volume]]*VLOOKUP(Table1[[#This Row],[newrate]],rates,3,0)/100</f>
        <v>8361.7149350000018</v>
      </c>
      <c r="L12" s="19">
        <f>12*Table1[[#This Row],[CD - Tier 1]]*VLOOKUP(Table1[[#This Row],[newrate]],rates,4,0)/100</f>
        <v>120710.88</v>
      </c>
      <c r="M12" s="19">
        <f>12*Table1[[#This Row],[CD - Tier 2]]*VLOOKUP(Table1[[#This Row],[newrate]],rates,5,0)/100</f>
        <v>0</v>
      </c>
      <c r="N12" s="19">
        <f>Table1[[#This Row],[Volume]]*VLOOKUP(Table1[[#This Row],[newrate]],rates,7,0)/100</f>
        <v>24970.770145999999</v>
      </c>
      <c r="O12" s="19">
        <f>Table1[[#This Row],[Volume]]*VLOOKUP(Table1[[#This Row],[newrate]],rates,8,0)/100</f>
        <v>445192.54093299998</v>
      </c>
      <c r="P12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605235.90601399995</v>
      </c>
      <c r="Q12" s="21">
        <v>7918.4400000000005</v>
      </c>
      <c r="R12" s="21">
        <v>53200.547999999995</v>
      </c>
      <c r="S12" s="21">
        <v>38902.840095000007</v>
      </c>
      <c r="T12" s="21">
        <v>150869.44884200001</v>
      </c>
      <c r="U12" s="21">
        <v>322830.20304500003</v>
      </c>
      <c r="V12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573721.47998200008</v>
      </c>
      <c r="W12" s="23">
        <f>Table1[[#This Row],[Proposed Customer Charge]]-Table1[[#This Row],[Current Customer Charge]]</f>
        <v>-1918.4400000000005</v>
      </c>
      <c r="X12" s="23">
        <f>Table1[[#This Row],[Proposed Demand Delivery Charge - Tier 1]]+Table1[[#This Row],[Proposed Demand Delivery Charge - Tier 2]]-Table1[[#This Row],[Current Demand Delivery Charge]]</f>
        <v>67510.332000000009</v>
      </c>
      <c r="Y12" s="23">
        <f>Table1[[#This Row],[Proposed Volumetric Delivery Charge]]-Table1[[#This Row],[Current Volumetric Delivery Charge]]</f>
        <v>-30541.125160000003</v>
      </c>
      <c r="Z12" s="23">
        <f>Table1[[#This Row],[Proposed Gas Supply Transportation Charge]]-Table1[[#This Row],[Current Gas Supply Transportation Charge]]</f>
        <v>-125898.67869600002</v>
      </c>
      <c r="AA12" s="23">
        <f>Table1[[#This Row],[Proposed Gas Supply Commodity Charge]]-Table1[[#This Row],[Current Gas Supply Commodity Charge]]</f>
        <v>122362.33788799995</v>
      </c>
      <c r="AB12" s="24">
        <f>Table1[[#This Row],[Proposed Total Bill ($)]]-Table1[[#This Row],[Current Total Bill ($)]]</f>
        <v>31514.426031999872</v>
      </c>
      <c r="AC12" s="18">
        <f>Table1[[#This Row],[Total Bill Impact ($)]]/Table1[[#This Row],[Current Total Bill ($)]]</f>
        <v>5.4929834652501779E-2</v>
      </c>
    </row>
    <row r="13" spans="1:29">
      <c r="A13" s="2" t="s">
        <v>20</v>
      </c>
      <c r="B13" s="2" t="s">
        <v>54</v>
      </c>
      <c r="C13" s="2" t="s">
        <v>80</v>
      </c>
      <c r="D13" s="2" t="s">
        <v>79</v>
      </c>
      <c r="E13" s="12">
        <v>290000</v>
      </c>
      <c r="F13" s="12">
        <v>42453586</v>
      </c>
      <c r="G13" s="14">
        <f>IFERROR(Table1[[#This Row],[Volume]]/(Table1[[#This Row],[CD]]*366),0)</f>
        <v>0.39997725645374033</v>
      </c>
      <c r="H13" s="16">
        <f>MIN(Table1[[#This Row],[CD]],inputs!$P$8)</f>
        <v>20000</v>
      </c>
      <c r="I13" s="16">
        <f>MAX(0,Table1[[#This Row],[CD]]-inputs!$P$8)</f>
        <v>270000</v>
      </c>
      <c r="J13" s="19">
        <f>12*VLOOKUP(Table1[[#This Row],[newrate]],rates,2,0)</f>
        <v>6000</v>
      </c>
      <c r="K13" s="19">
        <f>Table1[[#This Row],[Volume]]*VLOOKUP(Table1[[#This Row],[newrate]],rates,3,0)/100</f>
        <v>114836.95013</v>
      </c>
      <c r="L13" s="19">
        <f>12*Table1[[#This Row],[CD - Tier 1]]*VLOOKUP(Table1[[#This Row],[newrate]],rates,4,0)/100</f>
        <v>142012.79999999999</v>
      </c>
      <c r="M13" s="19">
        <f>12*Table1[[#This Row],[CD - Tier 2]]*VLOOKUP(Table1[[#This Row],[newrate]],rates,5,0)/100</f>
        <v>1304203.68</v>
      </c>
      <c r="N13" s="19">
        <f>Table1[[#This Row],[Volume]]*VLOOKUP(Table1[[#This Row],[newrate]],rates,7,0)/100</f>
        <v>342940.06770800002</v>
      </c>
      <c r="O13" s="19">
        <f>Table1[[#This Row],[Volume]]*VLOOKUP(Table1[[#This Row],[newrate]],rates,8,0)/100</f>
        <v>6114123.002134</v>
      </c>
      <c r="P13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8024116.4999719998</v>
      </c>
      <c r="Q13" s="21">
        <v>7918.4400000000005</v>
      </c>
      <c r="R13" s="21">
        <v>907538.76</v>
      </c>
      <c r="S13" s="21">
        <v>476612.21113499993</v>
      </c>
      <c r="T13" s="21">
        <v>2071989.7183160002</v>
      </c>
      <c r="U13" s="21">
        <v>4433640.2539100004</v>
      </c>
      <c r="V13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7897699.3833610006</v>
      </c>
      <c r="W13" s="23">
        <f>Table1[[#This Row],[Proposed Customer Charge]]-Table1[[#This Row],[Current Customer Charge]]</f>
        <v>-1918.4400000000005</v>
      </c>
      <c r="X13" s="23">
        <f>Table1[[#This Row],[Proposed Demand Delivery Charge - Tier 1]]+Table1[[#This Row],[Proposed Demand Delivery Charge - Tier 2]]-Table1[[#This Row],[Current Demand Delivery Charge]]</f>
        <v>538677.72</v>
      </c>
      <c r="Y13" s="23">
        <f>Table1[[#This Row],[Proposed Volumetric Delivery Charge]]-Table1[[#This Row],[Current Volumetric Delivery Charge]]</f>
        <v>-361775.26100499992</v>
      </c>
      <c r="Z13" s="23">
        <f>Table1[[#This Row],[Proposed Gas Supply Transportation Charge]]-Table1[[#This Row],[Current Gas Supply Transportation Charge]]</f>
        <v>-1729049.6506080001</v>
      </c>
      <c r="AA13" s="23">
        <f>Table1[[#This Row],[Proposed Gas Supply Commodity Charge]]-Table1[[#This Row],[Current Gas Supply Commodity Charge]]</f>
        <v>1680482.7482239995</v>
      </c>
      <c r="AB13" s="24">
        <f>Table1[[#This Row],[Proposed Total Bill ($)]]-Table1[[#This Row],[Current Total Bill ($)]]</f>
        <v>126417.11661099922</v>
      </c>
      <c r="AC13" s="18">
        <f>Table1[[#This Row],[Total Bill Impact ($)]]/Table1[[#This Row],[Current Total Bill ($)]]</f>
        <v>1.6006828124825418E-2</v>
      </c>
    </row>
    <row r="14" spans="1:29">
      <c r="A14" s="2" t="s">
        <v>20</v>
      </c>
      <c r="B14" s="2" t="s">
        <v>54</v>
      </c>
      <c r="C14" s="2" t="s">
        <v>81</v>
      </c>
      <c r="D14" s="2" t="s">
        <v>74</v>
      </c>
      <c r="E14" s="12">
        <v>2000</v>
      </c>
      <c r="F14" s="12">
        <v>617921</v>
      </c>
      <c r="G14" s="14">
        <f>IFERROR(Table1[[#This Row],[Volume]]/(Table1[[#This Row],[CD]]*366),0)</f>
        <v>0.84415437158469941</v>
      </c>
      <c r="H14" s="16">
        <f>MIN(Table1[[#This Row],[CD]],inputs!$P$8)</f>
        <v>2000</v>
      </c>
      <c r="I14" s="16">
        <f>MAX(0,Table1[[#This Row],[CD]]-inputs!$P$8)</f>
        <v>0</v>
      </c>
      <c r="J14" s="19">
        <f>12*VLOOKUP(Table1[[#This Row],[newrate]],rates,2,0)</f>
        <v>6000</v>
      </c>
      <c r="K14" s="19">
        <f>Table1[[#This Row],[Volume]]*VLOOKUP(Table1[[#This Row],[newrate]],rates,3,0)/100</f>
        <v>1671.4763049999999</v>
      </c>
      <c r="L14" s="19">
        <f>12*Table1[[#This Row],[CD - Tier 1]]*VLOOKUP(Table1[[#This Row],[newrate]],rates,4,0)/100</f>
        <v>14201.28</v>
      </c>
      <c r="M14" s="19">
        <f>12*Table1[[#This Row],[CD - Tier 2]]*VLOOKUP(Table1[[#This Row],[newrate]],rates,5,0)/100</f>
        <v>0</v>
      </c>
      <c r="N14" s="19">
        <f>Table1[[#This Row],[Volume]]*VLOOKUP(Table1[[#This Row],[newrate]],rates,7,0)/100</f>
        <v>4991.5658379999995</v>
      </c>
      <c r="O14" s="19">
        <f>Table1[[#This Row],[Volume]]*VLOOKUP(Table1[[#This Row],[newrate]],rates,8,0)/100</f>
        <v>88992.364498999988</v>
      </c>
      <c r="P14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115856.68664199999</v>
      </c>
      <c r="Q14" s="21">
        <v>8393.64</v>
      </c>
      <c r="R14" s="21">
        <v>6685.3679999999995</v>
      </c>
      <c r="S14" s="21">
        <v>3650.0593469999999</v>
      </c>
      <c r="T14" s="21">
        <v>30158.252326000002</v>
      </c>
      <c r="U14" s="21">
        <v>64532.579635000002</v>
      </c>
      <c r="V14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113419.89930799999</v>
      </c>
      <c r="W14" s="23">
        <f>Table1[[#This Row],[Proposed Customer Charge]]-Table1[[#This Row],[Current Customer Charge]]</f>
        <v>-2393.6399999999994</v>
      </c>
      <c r="X14" s="23">
        <f>Table1[[#This Row],[Proposed Demand Delivery Charge - Tier 1]]+Table1[[#This Row],[Proposed Demand Delivery Charge - Tier 2]]-Table1[[#This Row],[Current Demand Delivery Charge]]</f>
        <v>7515.9120000000012</v>
      </c>
      <c r="Y14" s="23">
        <f>Table1[[#This Row],[Proposed Volumetric Delivery Charge]]-Table1[[#This Row],[Current Volumetric Delivery Charge]]</f>
        <v>-1978.583042</v>
      </c>
      <c r="Z14" s="23">
        <f>Table1[[#This Row],[Proposed Gas Supply Transportation Charge]]-Table1[[#This Row],[Current Gas Supply Transportation Charge]]</f>
        <v>-25166.686488000003</v>
      </c>
      <c r="AA14" s="23">
        <f>Table1[[#This Row],[Proposed Gas Supply Commodity Charge]]-Table1[[#This Row],[Current Gas Supply Commodity Charge]]</f>
        <v>24459.784863999987</v>
      </c>
      <c r="AB14" s="24">
        <f>Table1[[#This Row],[Proposed Total Bill ($)]]-Table1[[#This Row],[Current Total Bill ($)]]</f>
        <v>2436.7873339999933</v>
      </c>
      <c r="AC14" s="18">
        <f>Table1[[#This Row],[Total Bill Impact ($)]]/Table1[[#This Row],[Current Total Bill ($)]]</f>
        <v>2.1484654358427176E-2</v>
      </c>
    </row>
    <row r="15" spans="1:29">
      <c r="A15" s="2" t="s">
        <v>20</v>
      </c>
      <c r="B15" s="2" t="s">
        <v>54</v>
      </c>
      <c r="C15" s="2" t="s">
        <v>81</v>
      </c>
      <c r="D15" s="2" t="s">
        <v>75</v>
      </c>
      <c r="E15" s="12">
        <v>4000</v>
      </c>
      <c r="F15" s="12">
        <v>1172005</v>
      </c>
      <c r="G15" s="14">
        <f>IFERROR(Table1[[#This Row],[Volume]]/(Table1[[#This Row],[CD]]*366),0)</f>
        <v>0.80054986338797818</v>
      </c>
      <c r="H15" s="16">
        <f>MIN(Table1[[#This Row],[CD]],inputs!$P$8)</f>
        <v>4000</v>
      </c>
      <c r="I15" s="16">
        <f>MAX(0,Table1[[#This Row],[CD]]-inputs!$P$8)</f>
        <v>0</v>
      </c>
      <c r="J15" s="19">
        <f>12*VLOOKUP(Table1[[#This Row],[newrate]],rates,2,0)</f>
        <v>6000</v>
      </c>
      <c r="K15" s="19">
        <f>Table1[[#This Row],[Volume]]*VLOOKUP(Table1[[#This Row],[newrate]],rates,3,0)/100</f>
        <v>3170.2735250000005</v>
      </c>
      <c r="L15" s="19">
        <f>12*Table1[[#This Row],[CD - Tier 1]]*VLOOKUP(Table1[[#This Row],[newrate]],rates,4,0)/100</f>
        <v>28402.560000000001</v>
      </c>
      <c r="M15" s="19">
        <f>12*Table1[[#This Row],[CD - Tier 2]]*VLOOKUP(Table1[[#This Row],[newrate]],rates,5,0)/100</f>
        <v>0</v>
      </c>
      <c r="N15" s="19">
        <f>Table1[[#This Row],[Volume]]*VLOOKUP(Table1[[#This Row],[newrate]],rates,7,0)/100</f>
        <v>9467.4563899999994</v>
      </c>
      <c r="O15" s="19">
        <f>Table1[[#This Row],[Volume]]*VLOOKUP(Table1[[#This Row],[newrate]],rates,8,0)/100</f>
        <v>168790.98809499998</v>
      </c>
      <c r="P15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215831.27800999998</v>
      </c>
      <c r="Q15" s="21">
        <v>8393.64</v>
      </c>
      <c r="R15" s="21">
        <v>13370.735999999999</v>
      </c>
      <c r="S15" s="21">
        <v>6923.0335349999996</v>
      </c>
      <c r="T15" s="21">
        <v>57200.876029999999</v>
      </c>
      <c r="U15" s="21">
        <v>122398.34217500001</v>
      </c>
      <c r="V15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208286.62774000003</v>
      </c>
      <c r="W15" s="23">
        <f>Table1[[#This Row],[Proposed Customer Charge]]-Table1[[#This Row],[Current Customer Charge]]</f>
        <v>-2393.6399999999994</v>
      </c>
      <c r="X15" s="23">
        <f>Table1[[#This Row],[Proposed Demand Delivery Charge - Tier 1]]+Table1[[#This Row],[Proposed Demand Delivery Charge - Tier 2]]-Table1[[#This Row],[Current Demand Delivery Charge]]</f>
        <v>15031.824000000002</v>
      </c>
      <c r="Y15" s="23">
        <f>Table1[[#This Row],[Proposed Volumetric Delivery Charge]]-Table1[[#This Row],[Current Volumetric Delivery Charge]]</f>
        <v>-3752.7600099999991</v>
      </c>
      <c r="Z15" s="23">
        <f>Table1[[#This Row],[Proposed Gas Supply Transportation Charge]]-Table1[[#This Row],[Current Gas Supply Transportation Charge]]</f>
        <v>-47733.41964</v>
      </c>
      <c r="AA15" s="23">
        <f>Table1[[#This Row],[Proposed Gas Supply Commodity Charge]]-Table1[[#This Row],[Current Gas Supply Commodity Charge]]</f>
        <v>46392.645919999966</v>
      </c>
      <c r="AB15" s="24">
        <f>Table1[[#This Row],[Proposed Total Bill ($)]]-Table1[[#This Row],[Current Total Bill ($)]]</f>
        <v>7544.6502699999546</v>
      </c>
      <c r="AC15" s="18">
        <f>Table1[[#This Row],[Total Bill Impact ($)]]/Table1[[#This Row],[Current Total Bill ($)]]</f>
        <v>3.6222441891074202E-2</v>
      </c>
    </row>
    <row r="16" spans="1:29">
      <c r="A16" s="2" t="s">
        <v>20</v>
      </c>
      <c r="B16" s="2" t="s">
        <v>54</v>
      </c>
      <c r="C16" s="2" t="s">
        <v>81</v>
      </c>
      <c r="D16" s="2" t="s">
        <v>76</v>
      </c>
      <c r="E16" s="12">
        <v>16450</v>
      </c>
      <c r="F16" s="12">
        <v>4807484</v>
      </c>
      <c r="G16" s="14">
        <f>IFERROR(Table1[[#This Row],[Volume]]/(Table1[[#This Row],[CD]]*366),0)</f>
        <v>0.7984925340907203</v>
      </c>
      <c r="H16" s="16">
        <f>MIN(Table1[[#This Row],[CD]],inputs!$P$8)</f>
        <v>16450</v>
      </c>
      <c r="I16" s="16">
        <f>MAX(0,Table1[[#This Row],[CD]]-inputs!$P$8)</f>
        <v>0</v>
      </c>
      <c r="J16" s="19">
        <f>12*VLOOKUP(Table1[[#This Row],[newrate]],rates,2,0)</f>
        <v>6000</v>
      </c>
      <c r="K16" s="19">
        <f>Table1[[#This Row],[Volume]]*VLOOKUP(Table1[[#This Row],[newrate]],rates,3,0)/100</f>
        <v>13004.24422</v>
      </c>
      <c r="L16" s="19">
        <f>12*Table1[[#This Row],[CD - Tier 1]]*VLOOKUP(Table1[[#This Row],[newrate]],rates,4,0)/100</f>
        <v>116805.52799999999</v>
      </c>
      <c r="M16" s="19">
        <f>12*Table1[[#This Row],[CD - Tier 2]]*VLOOKUP(Table1[[#This Row],[newrate]],rates,5,0)/100</f>
        <v>0</v>
      </c>
      <c r="N16" s="19">
        <f>Table1[[#This Row],[Volume]]*VLOOKUP(Table1[[#This Row],[newrate]],rates,7,0)/100</f>
        <v>38834.855751999996</v>
      </c>
      <c r="O16" s="19">
        <f>Table1[[#This Row],[Volume]]*VLOOKUP(Table1[[#This Row],[newrate]],rates,8,0)/100</f>
        <v>692369.03819600004</v>
      </c>
      <c r="P16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867013.66616800008</v>
      </c>
      <c r="Q16" s="21">
        <v>8393.64</v>
      </c>
      <c r="R16" s="21">
        <v>54987.1518</v>
      </c>
      <c r="S16" s="21">
        <v>28397.807988</v>
      </c>
      <c r="T16" s="21">
        <v>234634.06410399999</v>
      </c>
      <c r="U16" s="21">
        <v>502069.59153999999</v>
      </c>
      <c r="V16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828482.25543199992</v>
      </c>
      <c r="W16" s="23">
        <f>Table1[[#This Row],[Proposed Customer Charge]]-Table1[[#This Row],[Current Customer Charge]]</f>
        <v>-2393.6399999999994</v>
      </c>
      <c r="X16" s="23">
        <f>Table1[[#This Row],[Proposed Demand Delivery Charge - Tier 1]]+Table1[[#This Row],[Proposed Demand Delivery Charge - Tier 2]]-Table1[[#This Row],[Current Demand Delivery Charge]]</f>
        <v>61818.376199999992</v>
      </c>
      <c r="Y16" s="23">
        <f>Table1[[#This Row],[Proposed Volumetric Delivery Charge]]-Table1[[#This Row],[Current Volumetric Delivery Charge]]</f>
        <v>-15393.563768</v>
      </c>
      <c r="Z16" s="23">
        <f>Table1[[#This Row],[Proposed Gas Supply Transportation Charge]]-Table1[[#This Row],[Current Gas Supply Transportation Charge]]</f>
        <v>-195799.20835199999</v>
      </c>
      <c r="AA16" s="23">
        <f>Table1[[#This Row],[Proposed Gas Supply Commodity Charge]]-Table1[[#This Row],[Current Gas Supply Commodity Charge]]</f>
        <v>190299.44665600004</v>
      </c>
      <c r="AB16" s="24">
        <f>Table1[[#This Row],[Proposed Total Bill ($)]]-Table1[[#This Row],[Current Total Bill ($)]]</f>
        <v>38531.410736000165</v>
      </c>
      <c r="AC16" s="18">
        <f>Table1[[#This Row],[Total Bill Impact ($)]]/Table1[[#This Row],[Current Total Bill ($)]]</f>
        <v>4.6508432115916022E-2</v>
      </c>
    </row>
    <row r="17" spans="1:29">
      <c r="A17" s="2" t="s">
        <v>20</v>
      </c>
      <c r="B17" s="2" t="s">
        <v>54</v>
      </c>
      <c r="C17" s="2" t="s">
        <v>81</v>
      </c>
      <c r="D17" s="2" t="s">
        <v>77</v>
      </c>
      <c r="E17" s="12">
        <v>35000</v>
      </c>
      <c r="F17" s="12">
        <v>11137608</v>
      </c>
      <c r="G17" s="14">
        <f>IFERROR(Table1[[#This Row],[Volume]]/(Table1[[#This Row],[CD]]*366),0)</f>
        <v>0.86944637002341918</v>
      </c>
      <c r="H17" s="16">
        <f>MIN(Table1[[#This Row],[CD]],inputs!$P$8)</f>
        <v>20000</v>
      </c>
      <c r="I17" s="16">
        <f>MAX(0,Table1[[#This Row],[CD]]-inputs!$P$8)</f>
        <v>15000</v>
      </c>
      <c r="J17" s="19">
        <f>12*VLOOKUP(Table1[[#This Row],[newrate]],rates,2,0)</f>
        <v>6000</v>
      </c>
      <c r="K17" s="19">
        <f>Table1[[#This Row],[Volume]]*VLOOKUP(Table1[[#This Row],[newrate]],rates,3,0)/100</f>
        <v>30127.229640000001</v>
      </c>
      <c r="L17" s="19">
        <f>12*Table1[[#This Row],[CD - Tier 1]]*VLOOKUP(Table1[[#This Row],[newrate]],rates,4,0)/100</f>
        <v>142012.79999999999</v>
      </c>
      <c r="M17" s="19">
        <f>12*Table1[[#This Row],[CD - Tier 2]]*VLOOKUP(Table1[[#This Row],[newrate]],rates,5,0)/100</f>
        <v>72455.759999999995</v>
      </c>
      <c r="N17" s="19">
        <f>Table1[[#This Row],[Volume]]*VLOOKUP(Table1[[#This Row],[newrate]],rates,7,0)/100</f>
        <v>89969.597423999992</v>
      </c>
      <c r="O17" s="19">
        <f>Table1[[#This Row],[Volume]]*VLOOKUP(Table1[[#This Row],[newrate]],rates,8,0)/100</f>
        <v>1604027.166552</v>
      </c>
      <c r="P17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1944592.5536159999</v>
      </c>
      <c r="Q17" s="21">
        <v>8393.64</v>
      </c>
      <c r="R17" s="21">
        <v>116993.94</v>
      </c>
      <c r="S17" s="21">
        <v>64907.292939999999</v>
      </c>
      <c r="T17" s="21">
        <v>543582.09604800004</v>
      </c>
      <c r="U17" s="21">
        <v>1163156.0914799999</v>
      </c>
      <c r="V17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1897033.0604679999</v>
      </c>
      <c r="W17" s="23">
        <f>Table1[[#This Row],[Proposed Customer Charge]]-Table1[[#This Row],[Current Customer Charge]]</f>
        <v>-2393.6399999999994</v>
      </c>
      <c r="X17" s="23">
        <f>Table1[[#This Row],[Proposed Demand Delivery Charge - Tier 1]]+Table1[[#This Row],[Proposed Demand Delivery Charge - Tier 2]]-Table1[[#This Row],[Current Demand Delivery Charge]]</f>
        <v>97474.62</v>
      </c>
      <c r="Y17" s="23">
        <f>Table1[[#This Row],[Proposed Volumetric Delivery Charge]]-Table1[[#This Row],[Current Volumetric Delivery Charge]]</f>
        <v>-34780.063299999994</v>
      </c>
      <c r="Z17" s="23">
        <f>Table1[[#This Row],[Proposed Gas Supply Transportation Charge]]-Table1[[#This Row],[Current Gas Supply Transportation Charge]]</f>
        <v>-453612.49862400006</v>
      </c>
      <c r="AA17" s="23">
        <f>Table1[[#This Row],[Proposed Gas Supply Commodity Charge]]-Table1[[#This Row],[Current Gas Supply Commodity Charge]]</f>
        <v>440871.07507200004</v>
      </c>
      <c r="AB17" s="24">
        <f>Table1[[#This Row],[Proposed Total Bill ($)]]-Table1[[#This Row],[Current Total Bill ($)]]</f>
        <v>47559.49314799998</v>
      </c>
      <c r="AC17" s="18">
        <f>Table1[[#This Row],[Total Bill Impact ($)]]/Table1[[#This Row],[Current Total Bill ($)]]</f>
        <v>2.5070460889209282E-2</v>
      </c>
    </row>
    <row r="18" spans="1:29">
      <c r="A18" s="2" t="s">
        <v>20</v>
      </c>
      <c r="B18" s="2" t="s">
        <v>54</v>
      </c>
      <c r="C18" s="2" t="s">
        <v>81</v>
      </c>
      <c r="D18" s="2" t="s">
        <v>78</v>
      </c>
      <c r="E18" s="12">
        <v>95000</v>
      </c>
      <c r="F18" s="12">
        <v>29903402</v>
      </c>
      <c r="G18" s="14">
        <f>IFERROR(Table1[[#This Row],[Volume]]/(Table1[[#This Row],[CD]]*366),0)</f>
        <v>0.86003457003163641</v>
      </c>
      <c r="H18" s="16">
        <f>MIN(Table1[[#This Row],[CD]],inputs!$P$8)</f>
        <v>20000</v>
      </c>
      <c r="I18" s="16">
        <f>MAX(0,Table1[[#This Row],[CD]]-inputs!$P$8)</f>
        <v>75000</v>
      </c>
      <c r="J18" s="19">
        <f>12*VLOOKUP(Table1[[#This Row],[newrate]],rates,2,0)</f>
        <v>6000</v>
      </c>
      <c r="K18" s="19">
        <f>Table1[[#This Row],[Volume]]*VLOOKUP(Table1[[#This Row],[newrate]],rates,3,0)/100</f>
        <v>80888.702409999998</v>
      </c>
      <c r="L18" s="19">
        <f>12*Table1[[#This Row],[CD - Tier 1]]*VLOOKUP(Table1[[#This Row],[newrate]],rates,4,0)/100</f>
        <v>142012.79999999999</v>
      </c>
      <c r="M18" s="19">
        <f>12*Table1[[#This Row],[CD - Tier 2]]*VLOOKUP(Table1[[#This Row],[newrate]],rates,5,0)/100</f>
        <v>362278.8</v>
      </c>
      <c r="N18" s="19">
        <f>Table1[[#This Row],[Volume]]*VLOOKUP(Table1[[#This Row],[newrate]],rates,7,0)/100</f>
        <v>241559.68135600002</v>
      </c>
      <c r="O18" s="19">
        <f>Table1[[#This Row],[Volume]]*VLOOKUP(Table1[[#This Row],[newrate]],rates,8,0)/100</f>
        <v>4306658.0526379999</v>
      </c>
      <c r="P18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5139398.0364039997</v>
      </c>
      <c r="Q18" s="21">
        <v>8393.64</v>
      </c>
      <c r="R18" s="21">
        <v>317554.98</v>
      </c>
      <c r="S18" s="21">
        <v>157805.01671</v>
      </c>
      <c r="T18" s="21">
        <v>1459465.4380119999</v>
      </c>
      <c r="U18" s="21">
        <v>3122961.7878700001</v>
      </c>
      <c r="V18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5066180.8625920005</v>
      </c>
      <c r="W18" s="23">
        <f>Table1[[#This Row],[Proposed Customer Charge]]-Table1[[#This Row],[Current Customer Charge]]</f>
        <v>-2393.6399999999994</v>
      </c>
      <c r="X18" s="23">
        <f>Table1[[#This Row],[Proposed Demand Delivery Charge - Tier 1]]+Table1[[#This Row],[Proposed Demand Delivery Charge - Tier 2]]-Table1[[#This Row],[Current Demand Delivery Charge]]</f>
        <v>186736.62</v>
      </c>
      <c r="Y18" s="23">
        <f>Table1[[#This Row],[Proposed Volumetric Delivery Charge]]-Table1[[#This Row],[Current Volumetric Delivery Charge]]</f>
        <v>-76916.314299999998</v>
      </c>
      <c r="Z18" s="23">
        <f>Table1[[#This Row],[Proposed Gas Supply Transportation Charge]]-Table1[[#This Row],[Current Gas Supply Transportation Charge]]</f>
        <v>-1217905.7566559999</v>
      </c>
      <c r="AA18" s="23">
        <f>Table1[[#This Row],[Proposed Gas Supply Commodity Charge]]-Table1[[#This Row],[Current Gas Supply Commodity Charge]]</f>
        <v>1183696.2647679998</v>
      </c>
      <c r="AB18" s="24">
        <f>Table1[[#This Row],[Proposed Total Bill ($)]]-Table1[[#This Row],[Current Total Bill ($)]]</f>
        <v>73217.17381199915</v>
      </c>
      <c r="AC18" s="18">
        <f>Table1[[#This Row],[Total Bill Impact ($)]]/Table1[[#This Row],[Current Total Bill ($)]]</f>
        <v>1.4452143695189592E-2</v>
      </c>
    </row>
    <row r="19" spans="1:29">
      <c r="A19" s="2" t="s">
        <v>20</v>
      </c>
      <c r="B19" s="2" t="s">
        <v>54</v>
      </c>
      <c r="C19" s="2" t="s">
        <v>81</v>
      </c>
      <c r="D19" s="2" t="s">
        <v>79</v>
      </c>
      <c r="E19" s="12">
        <v>450000</v>
      </c>
      <c r="F19" s="12">
        <v>155114268</v>
      </c>
      <c r="G19" s="14">
        <f>IFERROR(Table1[[#This Row],[Volume]]/(Table1[[#This Row],[CD]]*366),0)</f>
        <v>0.94179883424408017</v>
      </c>
      <c r="H19" s="16">
        <f>MIN(Table1[[#This Row],[CD]],inputs!$P$8)</f>
        <v>20000</v>
      </c>
      <c r="I19" s="16">
        <f>MAX(0,Table1[[#This Row],[CD]]-inputs!$P$8)</f>
        <v>430000</v>
      </c>
      <c r="J19" s="19">
        <f>12*VLOOKUP(Table1[[#This Row],[newrate]],rates,2,0)</f>
        <v>6000</v>
      </c>
      <c r="K19" s="19">
        <f>Table1[[#This Row],[Volume]]*VLOOKUP(Table1[[#This Row],[newrate]],rates,3,0)/100</f>
        <v>419584.09494000004</v>
      </c>
      <c r="L19" s="19">
        <f>12*Table1[[#This Row],[CD - Tier 1]]*VLOOKUP(Table1[[#This Row],[newrate]],rates,4,0)/100</f>
        <v>142012.79999999999</v>
      </c>
      <c r="M19" s="19">
        <f>12*Table1[[#This Row],[CD - Tier 2]]*VLOOKUP(Table1[[#This Row],[newrate]],rates,5,0)/100</f>
        <v>2077065.12</v>
      </c>
      <c r="N19" s="19">
        <f>Table1[[#This Row],[Volume]]*VLOOKUP(Table1[[#This Row],[newrate]],rates,7,0)/100</f>
        <v>1253013.056904</v>
      </c>
      <c r="O19" s="19">
        <f>Table1[[#This Row],[Volume]]*VLOOKUP(Table1[[#This Row],[newrate]],rates,8,0)/100</f>
        <v>22339401.763091996</v>
      </c>
      <c r="P19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26237076.834935997</v>
      </c>
      <c r="Q19" s="21">
        <v>8393.64</v>
      </c>
      <c r="R19" s="21">
        <v>1504207.8</v>
      </c>
      <c r="S19" s="21">
        <v>765703.77114000008</v>
      </c>
      <c r="T19" s="21">
        <v>7570506.9640079997</v>
      </c>
      <c r="U19" s="21">
        <v>16199358.57858</v>
      </c>
      <c r="V19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26048170.753727999</v>
      </c>
      <c r="W19" s="23">
        <f>Table1[[#This Row],[Proposed Customer Charge]]-Table1[[#This Row],[Current Customer Charge]]</f>
        <v>-2393.6399999999994</v>
      </c>
      <c r="X19" s="23">
        <f>Table1[[#This Row],[Proposed Demand Delivery Charge - Tier 1]]+Table1[[#This Row],[Proposed Demand Delivery Charge - Tier 2]]-Table1[[#This Row],[Current Demand Delivery Charge]]</f>
        <v>714870.11999999988</v>
      </c>
      <c r="Y19" s="23">
        <f>Table1[[#This Row],[Proposed Volumetric Delivery Charge]]-Table1[[#This Row],[Current Volumetric Delivery Charge]]</f>
        <v>-346119.67620000005</v>
      </c>
      <c r="Z19" s="23">
        <f>Table1[[#This Row],[Proposed Gas Supply Transportation Charge]]-Table1[[#This Row],[Current Gas Supply Transportation Charge]]</f>
        <v>-6317493.9071039995</v>
      </c>
      <c r="AA19" s="23">
        <f>Table1[[#This Row],[Proposed Gas Supply Commodity Charge]]-Table1[[#This Row],[Current Gas Supply Commodity Charge]]</f>
        <v>6140043.1845119968</v>
      </c>
      <c r="AB19" s="24">
        <f>Table1[[#This Row],[Proposed Total Bill ($)]]-Table1[[#This Row],[Current Total Bill ($)]]</f>
        <v>188906.0812079981</v>
      </c>
      <c r="AC19" s="18">
        <f>Table1[[#This Row],[Total Bill Impact ($)]]/Table1[[#This Row],[Current Total Bill ($)]]</f>
        <v>7.2521822355207793E-3</v>
      </c>
    </row>
    <row r="20" spans="1:29">
      <c r="A20" s="2" t="s">
        <v>20</v>
      </c>
      <c r="B20" s="2" t="s">
        <v>61</v>
      </c>
      <c r="C20" s="2" t="s">
        <v>82</v>
      </c>
      <c r="D20" s="2" t="s">
        <v>74</v>
      </c>
      <c r="E20" s="12">
        <v>8000</v>
      </c>
      <c r="F20" s="12">
        <v>2916108.6145000001</v>
      </c>
      <c r="G20" s="14">
        <f>IFERROR(Table1[[#This Row],[Volume]]/(Table1[[#This Row],[CD]]*366),0)</f>
        <v>0.99593873446038261</v>
      </c>
      <c r="H20" s="16">
        <f>MIN(Table1[[#This Row],[CD]],inputs!$P$8)</f>
        <v>8000</v>
      </c>
      <c r="I20" s="16">
        <f>MAX(0,Table1[[#This Row],[CD]]-inputs!$P$8)</f>
        <v>0</v>
      </c>
      <c r="J20" s="19">
        <f>12*VLOOKUP(Table1[[#This Row],[newrate]],rates,2,0)</f>
        <v>6000</v>
      </c>
      <c r="K20" s="19">
        <f>Table1[[#This Row],[Volume]]*VLOOKUP(Table1[[#This Row],[newrate]],rates,3,0)/100</f>
        <v>7888.0738022225014</v>
      </c>
      <c r="L20" s="19">
        <f>12*Table1[[#This Row],[CD - Tier 1]]*VLOOKUP(Table1[[#This Row],[newrate]],rates,4,0)/100</f>
        <v>56805.120000000003</v>
      </c>
      <c r="M20" s="19">
        <f>12*Table1[[#This Row],[CD - Tier 2]]*VLOOKUP(Table1[[#This Row],[newrate]],rates,5,0)/100</f>
        <v>0</v>
      </c>
      <c r="N20" s="19">
        <f>Table1[[#This Row],[Volume]]*VLOOKUP(Table1[[#This Row],[newrate]],rates,7,0)/100</f>
        <v>23556.325387931</v>
      </c>
      <c r="O20" s="19">
        <f>Table1[[#This Row],[Volume]]*VLOOKUP(Table1[[#This Row],[newrate]],rates,8,0)/100</f>
        <v>419975.04655167548</v>
      </c>
      <c r="P20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514224.56574182899</v>
      </c>
      <c r="Q20" s="21">
        <v>13442.04</v>
      </c>
      <c r="R20" s="21">
        <v>33736.896000000001</v>
      </c>
      <c r="S20" s="21">
        <v>21141.787455124999</v>
      </c>
      <c r="T20" s="21">
        <v>53794.041599999997</v>
      </c>
      <c r="U20" s="21">
        <v>457905.64346532302</v>
      </c>
      <c r="V20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580020.40852044802</v>
      </c>
      <c r="W20" s="23">
        <f>Table1[[#This Row],[Proposed Customer Charge]]-Table1[[#This Row],[Current Customer Charge]]</f>
        <v>-7442.0400000000009</v>
      </c>
      <c r="X20" s="23">
        <f>Table1[[#This Row],[Proposed Demand Delivery Charge - Tier 1]]+Table1[[#This Row],[Proposed Demand Delivery Charge - Tier 2]]-Table1[[#This Row],[Current Demand Delivery Charge]]</f>
        <v>23068.224000000002</v>
      </c>
      <c r="Y20" s="23">
        <f>Table1[[#This Row],[Proposed Volumetric Delivery Charge]]-Table1[[#This Row],[Current Volumetric Delivery Charge]]</f>
        <v>-13253.713652902497</v>
      </c>
      <c r="Z20" s="23">
        <f>Table1[[#This Row],[Proposed Gas Supply Transportation Charge]]-Table1[[#This Row],[Current Gas Supply Transportation Charge]]</f>
        <v>-30237.716212068997</v>
      </c>
      <c r="AA20" s="23">
        <f>Table1[[#This Row],[Proposed Gas Supply Commodity Charge]]-Table1[[#This Row],[Current Gas Supply Commodity Charge]]</f>
        <v>-37930.596913647547</v>
      </c>
      <c r="AB20" s="24">
        <f>Table1[[#This Row],[Proposed Total Bill ($)]]-Table1[[#This Row],[Current Total Bill ($)]]</f>
        <v>-65795.84277861903</v>
      </c>
      <c r="AC20" s="18">
        <f>Table1[[#This Row],[Total Bill Impact ($)]]/Table1[[#This Row],[Current Total Bill ($)]]</f>
        <v>-0.11343711671534996</v>
      </c>
    </row>
    <row r="21" spans="1:29">
      <c r="A21" s="2" t="s">
        <v>20</v>
      </c>
      <c r="B21" s="2" t="s">
        <v>61</v>
      </c>
      <c r="C21" s="2" t="s">
        <v>82</v>
      </c>
      <c r="D21" s="2" t="s">
        <v>75</v>
      </c>
      <c r="E21" s="12">
        <v>14000</v>
      </c>
      <c r="F21" s="12">
        <v>4649999.9976000004</v>
      </c>
      <c r="G21" s="14">
        <f>IFERROR(Table1[[#This Row],[Volume]]/(Table1[[#This Row],[CD]]*366),0)</f>
        <v>0.90749414473067924</v>
      </c>
      <c r="H21" s="16">
        <f>MIN(Table1[[#This Row],[CD]],inputs!$P$8)</f>
        <v>14000</v>
      </c>
      <c r="I21" s="16">
        <f>MAX(0,Table1[[#This Row],[CD]]-inputs!$P$8)</f>
        <v>0</v>
      </c>
      <c r="J21" s="19">
        <f>12*VLOOKUP(Table1[[#This Row],[newrate]],rates,2,0)</f>
        <v>6000</v>
      </c>
      <c r="K21" s="19">
        <f>Table1[[#This Row],[Volume]]*VLOOKUP(Table1[[#This Row],[newrate]],rates,3,0)/100</f>
        <v>12578.249993508001</v>
      </c>
      <c r="L21" s="19">
        <f>12*Table1[[#This Row],[CD - Tier 1]]*VLOOKUP(Table1[[#This Row],[newrate]],rates,4,0)/100</f>
        <v>99408.960000000006</v>
      </c>
      <c r="M21" s="19">
        <f>12*Table1[[#This Row],[CD - Tier 2]]*VLOOKUP(Table1[[#This Row],[newrate]],rates,5,0)/100</f>
        <v>0</v>
      </c>
      <c r="N21" s="19">
        <f>Table1[[#This Row],[Volume]]*VLOOKUP(Table1[[#This Row],[newrate]],rates,7,0)/100</f>
        <v>37562.699980612801</v>
      </c>
      <c r="O21" s="19">
        <f>Table1[[#This Row],[Volume]]*VLOOKUP(Table1[[#This Row],[newrate]],rates,8,0)/100</f>
        <v>669688.3496543545</v>
      </c>
      <c r="P21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825238.25962847529</v>
      </c>
      <c r="Q21" s="21">
        <v>13442.04</v>
      </c>
      <c r="R21" s="21">
        <v>59039.567999999999</v>
      </c>
      <c r="S21" s="21">
        <v>33712.499982599998</v>
      </c>
      <c r="T21" s="21">
        <v>93758.462350439993</v>
      </c>
      <c r="U21" s="21">
        <v>730172.13091010484</v>
      </c>
      <c r="V21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930124.70124314481</v>
      </c>
      <c r="W21" s="23">
        <f>Table1[[#This Row],[Proposed Customer Charge]]-Table1[[#This Row],[Current Customer Charge]]</f>
        <v>-7442.0400000000009</v>
      </c>
      <c r="X21" s="23">
        <f>Table1[[#This Row],[Proposed Demand Delivery Charge - Tier 1]]+Table1[[#This Row],[Proposed Demand Delivery Charge - Tier 2]]-Table1[[#This Row],[Current Demand Delivery Charge]]</f>
        <v>40369.392000000007</v>
      </c>
      <c r="Y21" s="23">
        <f>Table1[[#This Row],[Proposed Volumetric Delivery Charge]]-Table1[[#This Row],[Current Volumetric Delivery Charge]]</f>
        <v>-21134.249989091997</v>
      </c>
      <c r="Z21" s="23">
        <f>Table1[[#This Row],[Proposed Gas Supply Transportation Charge]]-Table1[[#This Row],[Current Gas Supply Transportation Charge]]</f>
        <v>-56195.762369827193</v>
      </c>
      <c r="AA21" s="23">
        <f>Table1[[#This Row],[Proposed Gas Supply Commodity Charge]]-Table1[[#This Row],[Current Gas Supply Commodity Charge]]</f>
        <v>-60483.781255750335</v>
      </c>
      <c r="AB21" s="24">
        <f>Table1[[#This Row],[Proposed Total Bill ($)]]-Table1[[#This Row],[Current Total Bill ($)]]</f>
        <v>-104886.44161466951</v>
      </c>
      <c r="AC21" s="18">
        <f>Table1[[#This Row],[Total Bill Impact ($)]]/Table1[[#This Row],[Current Total Bill ($)]]</f>
        <v>-0.11276599952080087</v>
      </c>
    </row>
    <row r="22" spans="1:29">
      <c r="A22" s="2" t="s">
        <v>20</v>
      </c>
      <c r="B22" s="2" t="s">
        <v>61</v>
      </c>
      <c r="C22" s="2" t="s">
        <v>82</v>
      </c>
      <c r="D22" s="2" t="s">
        <v>76</v>
      </c>
      <c r="E22" s="12">
        <v>20000</v>
      </c>
      <c r="F22" s="12">
        <v>4988761.2922</v>
      </c>
      <c r="G22" s="14">
        <f>IFERROR(Table1[[#This Row],[Volume]]/(Table1[[#This Row],[CD]]*366),0)</f>
        <v>0.68152476669398909</v>
      </c>
      <c r="H22" s="16">
        <f>MIN(Table1[[#This Row],[CD]],inputs!$P$8)</f>
        <v>20000</v>
      </c>
      <c r="I22" s="16">
        <f>MAX(0,Table1[[#This Row],[CD]]-inputs!$P$8)</f>
        <v>0</v>
      </c>
      <c r="J22" s="19">
        <f>12*VLOOKUP(Table1[[#This Row],[newrate]],rates,2,0)</f>
        <v>6000</v>
      </c>
      <c r="K22" s="19">
        <f>Table1[[#This Row],[Volume]]*VLOOKUP(Table1[[#This Row],[newrate]],rates,3,0)/100</f>
        <v>13494.599295401</v>
      </c>
      <c r="L22" s="19">
        <f>12*Table1[[#This Row],[CD - Tier 1]]*VLOOKUP(Table1[[#This Row],[newrate]],rates,4,0)/100</f>
        <v>142012.79999999999</v>
      </c>
      <c r="M22" s="19">
        <f>12*Table1[[#This Row],[CD - Tier 2]]*VLOOKUP(Table1[[#This Row],[newrate]],rates,5,0)/100</f>
        <v>0</v>
      </c>
      <c r="N22" s="19">
        <f>Table1[[#This Row],[Volume]]*VLOOKUP(Table1[[#This Row],[newrate]],rates,7,0)/100</f>
        <v>40299.213718391598</v>
      </c>
      <c r="O22" s="19">
        <f>Table1[[#This Row],[Volume]]*VLOOKUP(Table1[[#This Row],[newrate]],rates,8,0)/100</f>
        <v>718476.41254135175</v>
      </c>
      <c r="P22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920283.0255551443</v>
      </c>
      <c r="Q22" s="21">
        <v>13442.04</v>
      </c>
      <c r="R22" s="21">
        <v>84342.24</v>
      </c>
      <c r="S22" s="21">
        <v>36168.519368449997</v>
      </c>
      <c r="T22" s="21">
        <v>129469.35421783998</v>
      </c>
      <c r="U22" s="21">
        <v>783366.55165754864</v>
      </c>
      <c r="V22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1046788.7052438386</v>
      </c>
      <c r="W22" s="23">
        <f>Table1[[#This Row],[Proposed Customer Charge]]-Table1[[#This Row],[Current Customer Charge]]</f>
        <v>-7442.0400000000009</v>
      </c>
      <c r="X22" s="23">
        <f>Table1[[#This Row],[Proposed Demand Delivery Charge - Tier 1]]+Table1[[#This Row],[Proposed Demand Delivery Charge - Tier 2]]-Table1[[#This Row],[Current Demand Delivery Charge]]</f>
        <v>57670.559999999983</v>
      </c>
      <c r="Y22" s="23">
        <f>Table1[[#This Row],[Proposed Volumetric Delivery Charge]]-Table1[[#This Row],[Current Volumetric Delivery Charge]]</f>
        <v>-22673.920073048997</v>
      </c>
      <c r="Z22" s="23">
        <f>Table1[[#This Row],[Proposed Gas Supply Transportation Charge]]-Table1[[#This Row],[Current Gas Supply Transportation Charge]]</f>
        <v>-89170.140499448375</v>
      </c>
      <c r="AA22" s="23">
        <f>Table1[[#This Row],[Proposed Gas Supply Commodity Charge]]-Table1[[#This Row],[Current Gas Supply Commodity Charge]]</f>
        <v>-64890.139116196893</v>
      </c>
      <c r="AB22" s="24">
        <f>Table1[[#This Row],[Proposed Total Bill ($)]]-Table1[[#This Row],[Current Total Bill ($)]]</f>
        <v>-126505.6796886943</v>
      </c>
      <c r="AC22" s="18">
        <f>Table1[[#This Row],[Total Bill Impact ($)]]/Table1[[#This Row],[Current Total Bill ($)]]</f>
        <v>-0.12085120813299768</v>
      </c>
    </row>
    <row r="23" spans="1:29">
      <c r="A23" s="2" t="s">
        <v>20</v>
      </c>
      <c r="B23" s="2" t="s">
        <v>61</v>
      </c>
      <c r="C23" s="2" t="s">
        <v>82</v>
      </c>
      <c r="D23" s="2" t="s">
        <v>77</v>
      </c>
      <c r="E23" s="12">
        <v>30000</v>
      </c>
      <c r="F23" s="12">
        <v>4600000</v>
      </c>
      <c r="G23" s="14">
        <f>IFERROR(Table1[[#This Row],[Volume]]/(Table1[[#This Row],[CD]]*366),0)</f>
        <v>0.41894353369763204</v>
      </c>
      <c r="H23" s="16">
        <f>MIN(Table1[[#This Row],[CD]],inputs!$P$8)</f>
        <v>20000</v>
      </c>
      <c r="I23" s="16">
        <f>MAX(0,Table1[[#This Row],[CD]]-inputs!$P$8)</f>
        <v>10000</v>
      </c>
      <c r="J23" s="19">
        <f>12*VLOOKUP(Table1[[#This Row],[newrate]],rates,2,0)</f>
        <v>6000</v>
      </c>
      <c r="K23" s="19">
        <f>Table1[[#This Row],[Volume]]*VLOOKUP(Table1[[#This Row],[newrate]],rates,3,0)/100</f>
        <v>12443</v>
      </c>
      <c r="L23" s="19">
        <f>12*Table1[[#This Row],[CD - Tier 1]]*VLOOKUP(Table1[[#This Row],[newrate]],rates,4,0)/100</f>
        <v>142012.79999999999</v>
      </c>
      <c r="M23" s="19">
        <f>12*Table1[[#This Row],[CD - Tier 2]]*VLOOKUP(Table1[[#This Row],[newrate]],rates,5,0)/100</f>
        <v>48303.839999999997</v>
      </c>
      <c r="N23" s="19">
        <f>Table1[[#This Row],[Volume]]*VLOOKUP(Table1[[#This Row],[newrate]],rates,7,0)/100</f>
        <v>37158.800000000003</v>
      </c>
      <c r="O23" s="19">
        <f>Table1[[#This Row],[Volume]]*VLOOKUP(Table1[[#This Row],[newrate]],rates,8,0)/100</f>
        <v>662487.4</v>
      </c>
      <c r="P23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908405.84000000008</v>
      </c>
      <c r="Q23" s="21">
        <v>13442.04</v>
      </c>
      <c r="R23" s="21">
        <v>126513.36</v>
      </c>
      <c r="S23" s="21">
        <v>33349.999999999993</v>
      </c>
      <c r="T23" s="21">
        <v>188504.46799999996</v>
      </c>
      <c r="U23" s="21">
        <v>722320.81804732303</v>
      </c>
      <c r="V23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1084130.686047323</v>
      </c>
      <c r="W23" s="23">
        <f>Table1[[#This Row],[Proposed Customer Charge]]-Table1[[#This Row],[Current Customer Charge]]</f>
        <v>-7442.0400000000009</v>
      </c>
      <c r="X23" s="23">
        <f>Table1[[#This Row],[Proposed Demand Delivery Charge - Tier 1]]+Table1[[#This Row],[Proposed Demand Delivery Charge - Tier 2]]-Table1[[#This Row],[Current Demand Delivery Charge]]</f>
        <v>63803.279999999984</v>
      </c>
      <c r="Y23" s="23">
        <f>Table1[[#This Row],[Proposed Volumetric Delivery Charge]]-Table1[[#This Row],[Current Volumetric Delivery Charge]]</f>
        <v>-20906.999999999993</v>
      </c>
      <c r="Z23" s="23">
        <f>Table1[[#This Row],[Proposed Gas Supply Transportation Charge]]-Table1[[#This Row],[Current Gas Supply Transportation Charge]]</f>
        <v>-151345.66799999995</v>
      </c>
      <c r="AA23" s="23">
        <f>Table1[[#This Row],[Proposed Gas Supply Commodity Charge]]-Table1[[#This Row],[Current Gas Supply Commodity Charge]]</f>
        <v>-59833.418047323008</v>
      </c>
      <c r="AB23" s="24">
        <f>Table1[[#This Row],[Proposed Total Bill ($)]]-Table1[[#This Row],[Current Total Bill ($)]]</f>
        <v>-175724.84604732296</v>
      </c>
      <c r="AC23" s="18">
        <f>Table1[[#This Row],[Total Bill Impact ($)]]/Table1[[#This Row],[Current Total Bill ($)]]</f>
        <v>-0.16208825034554225</v>
      </c>
    </row>
    <row r="24" spans="1:29">
      <c r="A24" s="2" t="s">
        <v>20</v>
      </c>
      <c r="B24" s="2" t="s">
        <v>61</v>
      </c>
      <c r="C24" s="2" t="s">
        <v>82</v>
      </c>
      <c r="D24" s="2" t="s">
        <v>78</v>
      </c>
      <c r="E24" s="12">
        <v>36400</v>
      </c>
      <c r="F24" s="12">
        <v>10367698.346414</v>
      </c>
      <c r="G24" s="14">
        <f>IFERROR(Table1[[#This Row],[Volume]]/(Table1[[#This Row],[CD]]*366),0)</f>
        <v>0.77821551270146516</v>
      </c>
      <c r="H24" s="16">
        <f>MIN(Table1[[#This Row],[CD]],inputs!$P$8)</f>
        <v>20000</v>
      </c>
      <c r="I24" s="16">
        <f>MAX(0,Table1[[#This Row],[CD]]-inputs!$P$8)</f>
        <v>16400</v>
      </c>
      <c r="J24" s="19">
        <f>12*VLOOKUP(Table1[[#This Row],[newrate]],rates,2,0)</f>
        <v>6000</v>
      </c>
      <c r="K24" s="19">
        <f>Table1[[#This Row],[Volume]]*VLOOKUP(Table1[[#This Row],[newrate]],rates,3,0)/100</f>
        <v>28044.624027049871</v>
      </c>
      <c r="L24" s="19">
        <f>12*Table1[[#This Row],[CD - Tier 1]]*VLOOKUP(Table1[[#This Row],[newrate]],rates,4,0)/100</f>
        <v>142012.79999999999</v>
      </c>
      <c r="M24" s="19">
        <f>12*Table1[[#This Row],[CD - Tier 2]]*VLOOKUP(Table1[[#This Row],[newrate]],rates,5,0)/100</f>
        <v>79218.297599999991</v>
      </c>
      <c r="N24" s="19">
        <f>Table1[[#This Row],[Volume]]*VLOOKUP(Table1[[#This Row],[newrate]],rates,7,0)/100</f>
        <v>83750.26724233228</v>
      </c>
      <c r="O24" s="19">
        <f>Table1[[#This Row],[Volume]]*VLOOKUP(Table1[[#This Row],[newrate]],rates,8,0)/100</f>
        <v>1493145.5481521979</v>
      </c>
      <c r="P24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1832171.5370215799</v>
      </c>
      <c r="Q24" s="21">
        <v>13442.04</v>
      </c>
      <c r="R24" s="21">
        <v>153502.87680000003</v>
      </c>
      <c r="S24" s="21">
        <v>72440.12577139998</v>
      </c>
      <c r="T24" s="21">
        <v>244555.76691027998</v>
      </c>
      <c r="U24" s="21">
        <v>1628000.9458368779</v>
      </c>
      <c r="V24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2111941.7553185578</v>
      </c>
      <c r="W24" s="23">
        <f>Table1[[#This Row],[Proposed Customer Charge]]-Table1[[#This Row],[Current Customer Charge]]</f>
        <v>-7442.0400000000009</v>
      </c>
      <c r="X24" s="23">
        <f>Table1[[#This Row],[Proposed Demand Delivery Charge - Tier 1]]+Table1[[#This Row],[Proposed Demand Delivery Charge - Tier 2]]-Table1[[#This Row],[Current Demand Delivery Charge]]</f>
        <v>67728.220799999952</v>
      </c>
      <c r="Y24" s="23">
        <f>Table1[[#This Row],[Proposed Volumetric Delivery Charge]]-Table1[[#This Row],[Current Volumetric Delivery Charge]]</f>
        <v>-44395.501744350113</v>
      </c>
      <c r="Z24" s="23">
        <f>Table1[[#This Row],[Proposed Gas Supply Transportation Charge]]-Table1[[#This Row],[Current Gas Supply Transportation Charge]]</f>
        <v>-160805.4996679477</v>
      </c>
      <c r="AA24" s="23">
        <f>Table1[[#This Row],[Proposed Gas Supply Commodity Charge]]-Table1[[#This Row],[Current Gas Supply Commodity Charge]]</f>
        <v>-134855.39768468007</v>
      </c>
      <c r="AB24" s="24">
        <f>Table1[[#This Row],[Proposed Total Bill ($)]]-Table1[[#This Row],[Current Total Bill ($)]]</f>
        <v>-279770.21829697792</v>
      </c>
      <c r="AC24" s="18">
        <f>Table1[[#This Row],[Total Bill Impact ($)]]/Table1[[#This Row],[Current Total Bill ($)]]</f>
        <v>-0.13247061269205238</v>
      </c>
    </row>
    <row r="25" spans="1:29">
      <c r="A25" s="2" t="s">
        <v>20</v>
      </c>
      <c r="B25" s="2" t="s">
        <v>61</v>
      </c>
      <c r="C25" s="2" t="s">
        <v>82</v>
      </c>
      <c r="D25" s="2" t="s">
        <v>79</v>
      </c>
      <c r="E25" s="12">
        <v>100000</v>
      </c>
      <c r="F25" s="12">
        <v>2888423.06</v>
      </c>
      <c r="G25" s="14">
        <f>IFERROR(Table1[[#This Row],[Volume]]/(Table1[[#This Row],[CD]]*366),0)</f>
        <v>7.8918662841530055E-2</v>
      </c>
      <c r="H25" s="16">
        <f>MIN(Table1[[#This Row],[CD]],inputs!$P$8)</f>
        <v>20000</v>
      </c>
      <c r="I25" s="16">
        <f>MAX(0,Table1[[#This Row],[CD]]-inputs!$P$8)</f>
        <v>80000</v>
      </c>
      <c r="J25" s="19">
        <f>12*VLOOKUP(Table1[[#This Row],[newrate]],rates,2,0)</f>
        <v>6000</v>
      </c>
      <c r="K25" s="19">
        <f>Table1[[#This Row],[Volume]]*VLOOKUP(Table1[[#This Row],[newrate]],rates,3,0)/100</f>
        <v>7813.184377300001</v>
      </c>
      <c r="L25" s="19">
        <f>12*Table1[[#This Row],[CD - Tier 1]]*VLOOKUP(Table1[[#This Row],[newrate]],rates,4,0)/100</f>
        <v>142012.79999999999</v>
      </c>
      <c r="M25" s="19">
        <f>12*Table1[[#This Row],[CD - Tier 2]]*VLOOKUP(Table1[[#This Row],[newrate]],rates,5,0)/100</f>
        <v>386430.71999999997</v>
      </c>
      <c r="N25" s="19">
        <f>Table1[[#This Row],[Volume]]*VLOOKUP(Table1[[#This Row],[newrate]],rates,7,0)/100</f>
        <v>23332.681478679999</v>
      </c>
      <c r="O25" s="19">
        <f>Table1[[#This Row],[Volume]]*VLOOKUP(Table1[[#This Row],[newrate]],rates,8,0)/100</f>
        <v>415987.80067814002</v>
      </c>
      <c r="P25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981577.18653412</v>
      </c>
      <c r="Q25" s="21">
        <v>13442.04</v>
      </c>
      <c r="R25" s="21">
        <v>369594</v>
      </c>
      <c r="S25" s="21">
        <v>30437.212798759996</v>
      </c>
      <c r="T25" s="21">
        <v>507988.58212003991</v>
      </c>
      <c r="U25" s="21">
        <v>453558.28425346786</v>
      </c>
      <c r="V25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1375020.1191722676</v>
      </c>
      <c r="W25" s="23">
        <f>Table1[[#This Row],[Proposed Customer Charge]]-Table1[[#This Row],[Current Customer Charge]]</f>
        <v>-7442.0400000000009</v>
      </c>
      <c r="X25" s="23">
        <f>Table1[[#This Row],[Proposed Demand Delivery Charge - Tier 1]]+Table1[[#This Row],[Proposed Demand Delivery Charge - Tier 2]]-Table1[[#This Row],[Current Demand Delivery Charge]]</f>
        <v>158849.52000000002</v>
      </c>
      <c r="Y25" s="23">
        <f>Table1[[#This Row],[Proposed Volumetric Delivery Charge]]-Table1[[#This Row],[Current Volumetric Delivery Charge]]</f>
        <v>-22624.028421459996</v>
      </c>
      <c r="Z25" s="23">
        <f>Table1[[#This Row],[Proposed Gas Supply Transportation Charge]]-Table1[[#This Row],[Current Gas Supply Transportation Charge]]</f>
        <v>-484655.90064135991</v>
      </c>
      <c r="AA25" s="23">
        <f>Table1[[#This Row],[Proposed Gas Supply Commodity Charge]]-Table1[[#This Row],[Current Gas Supply Commodity Charge]]</f>
        <v>-37570.483575327846</v>
      </c>
      <c r="AB25" s="24">
        <f>Table1[[#This Row],[Proposed Total Bill ($)]]-Table1[[#This Row],[Current Total Bill ($)]]</f>
        <v>-393442.93263814761</v>
      </c>
      <c r="AC25" s="18">
        <f>Table1[[#This Row],[Total Bill Impact ($)]]/Table1[[#This Row],[Current Total Bill ($)]]</f>
        <v>-0.28613612786625386</v>
      </c>
    </row>
    <row r="26" spans="1:29">
      <c r="A26" s="2" t="s">
        <v>20</v>
      </c>
      <c r="B26" s="2" t="s">
        <v>59</v>
      </c>
      <c r="C26" s="2" t="s">
        <v>82</v>
      </c>
      <c r="D26" s="2" t="s">
        <v>74</v>
      </c>
      <c r="E26" s="12">
        <v>10000</v>
      </c>
      <c r="F26" s="12">
        <v>3166416.3887</v>
      </c>
      <c r="G26" s="14">
        <f>IFERROR(Table1[[#This Row],[Volume]]/(Table1[[#This Row],[CD]]*366),0)</f>
        <v>0.86514108980874316</v>
      </c>
      <c r="H26" s="16">
        <f>MIN(Table1[[#This Row],[CD]],inputs!$P$8)</f>
        <v>10000</v>
      </c>
      <c r="I26" s="16">
        <f>MAX(0,Table1[[#This Row],[CD]]-inputs!$P$8)</f>
        <v>0</v>
      </c>
      <c r="J26" s="19">
        <f>12*VLOOKUP(Table1[[#This Row],[newrate]],rates,2,0)</f>
        <v>6000</v>
      </c>
      <c r="K26" s="19">
        <f>Table1[[#This Row],[Volume]]*VLOOKUP(Table1[[#This Row],[newrate]],rates,3,0)/100</f>
        <v>8565.1563314334999</v>
      </c>
      <c r="L26" s="19">
        <f>12*Table1[[#This Row],[CD - Tier 1]]*VLOOKUP(Table1[[#This Row],[newrate]],rates,4,0)/100</f>
        <v>71006.399999999994</v>
      </c>
      <c r="M26" s="19">
        <f>12*Table1[[#This Row],[CD - Tier 2]]*VLOOKUP(Table1[[#This Row],[newrate]],rates,5,0)/100</f>
        <v>0</v>
      </c>
      <c r="N26" s="19">
        <f>Table1[[#This Row],[Volume]]*VLOOKUP(Table1[[#This Row],[newrate]],rates,7,0)/100</f>
        <v>25578.311587918601</v>
      </c>
      <c r="O26" s="19">
        <f>Table1[[#This Row],[Volume]]*VLOOKUP(Table1[[#This Row],[newrate]],rates,8,0)/100</f>
        <v>456024.1218841853</v>
      </c>
      <c r="P26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567173.98980353738</v>
      </c>
      <c r="Q26" s="21">
        <v>13442.04</v>
      </c>
      <c r="R26" s="21">
        <v>42171.12</v>
      </c>
      <c r="S26" s="21">
        <v>22956.518818074997</v>
      </c>
      <c r="T26" s="21">
        <v>67801.584000000003</v>
      </c>
      <c r="U26" s="21">
        <v>337672.97652374551</v>
      </c>
      <c r="V26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484044.23934182053</v>
      </c>
      <c r="W26" s="23">
        <f>Table1[[#This Row],[Proposed Customer Charge]]-Table1[[#This Row],[Current Customer Charge]]</f>
        <v>-7442.0400000000009</v>
      </c>
      <c r="X26" s="23">
        <f>Table1[[#This Row],[Proposed Demand Delivery Charge - Tier 1]]+Table1[[#This Row],[Proposed Demand Delivery Charge - Tier 2]]-Table1[[#This Row],[Current Demand Delivery Charge]]</f>
        <v>28835.279999999992</v>
      </c>
      <c r="Y26" s="23">
        <f>Table1[[#This Row],[Proposed Volumetric Delivery Charge]]-Table1[[#This Row],[Current Volumetric Delivery Charge]]</f>
        <v>-14391.362486641498</v>
      </c>
      <c r="Z26" s="23">
        <f>Table1[[#This Row],[Proposed Gas Supply Transportation Charge]]-Table1[[#This Row],[Current Gas Supply Transportation Charge]]</f>
        <v>-42223.272412081402</v>
      </c>
      <c r="AA26" s="23">
        <f>Table1[[#This Row],[Proposed Gas Supply Commodity Charge]]-Table1[[#This Row],[Current Gas Supply Commodity Charge]]</f>
        <v>118351.14536043978</v>
      </c>
      <c r="AB26" s="24">
        <f>Table1[[#This Row],[Proposed Total Bill ($)]]-Table1[[#This Row],[Current Total Bill ($)]]</f>
        <v>83129.750461716845</v>
      </c>
      <c r="AC26" s="18">
        <f>Table1[[#This Row],[Total Bill Impact ($)]]/Table1[[#This Row],[Current Total Bill ($)]]</f>
        <v>0.17173998511944399</v>
      </c>
    </row>
    <row r="27" spans="1:29">
      <c r="A27" s="2" t="s">
        <v>20</v>
      </c>
      <c r="B27" s="2" t="s">
        <v>59</v>
      </c>
      <c r="C27" s="2" t="s">
        <v>82</v>
      </c>
      <c r="D27" s="2" t="s">
        <v>75</v>
      </c>
      <c r="E27" s="12">
        <v>20000</v>
      </c>
      <c r="F27" s="12">
        <v>2372003.5040799999</v>
      </c>
      <c r="G27" s="14">
        <f>IFERROR(Table1[[#This Row],[Volume]]/(Table1[[#This Row],[CD]]*366),0)</f>
        <v>0.32404419454644806</v>
      </c>
      <c r="H27" s="16">
        <f>MIN(Table1[[#This Row],[CD]],inputs!$P$8)</f>
        <v>20000</v>
      </c>
      <c r="I27" s="16">
        <f>MAX(0,Table1[[#This Row],[CD]]-inputs!$P$8)</f>
        <v>0</v>
      </c>
      <c r="J27" s="19">
        <f>12*VLOOKUP(Table1[[#This Row],[newrate]],rates,2,0)</f>
        <v>6000</v>
      </c>
      <c r="K27" s="19">
        <f>Table1[[#This Row],[Volume]]*VLOOKUP(Table1[[#This Row],[newrate]],rates,3,0)/100</f>
        <v>6416.2694785363992</v>
      </c>
      <c r="L27" s="19">
        <f>12*Table1[[#This Row],[CD - Tier 1]]*VLOOKUP(Table1[[#This Row],[newrate]],rates,4,0)/100</f>
        <v>142012.79999999999</v>
      </c>
      <c r="M27" s="19">
        <f>12*Table1[[#This Row],[CD - Tier 2]]*VLOOKUP(Table1[[#This Row],[newrate]],rates,5,0)/100</f>
        <v>0</v>
      </c>
      <c r="N27" s="19">
        <f>Table1[[#This Row],[Volume]]*VLOOKUP(Table1[[#This Row],[newrate]],rates,7,0)/100</f>
        <v>19161.044305958239</v>
      </c>
      <c r="O27" s="19">
        <f>Table1[[#This Row],[Volume]]*VLOOKUP(Table1[[#This Row],[newrate]],rates,8,0)/100</f>
        <v>341613.57265409746</v>
      </c>
      <c r="P27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515203.68643859203</v>
      </c>
      <c r="Q27" s="21">
        <v>13442.04</v>
      </c>
      <c r="R27" s="21">
        <v>84342.24</v>
      </c>
      <c r="S27" s="21">
        <v>17197.025404579996</v>
      </c>
      <c r="T27" s="21">
        <v>114544.10015746002</v>
      </c>
      <c r="U27" s="21">
        <v>252955.19768209942</v>
      </c>
      <c r="V27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482480.60324413946</v>
      </c>
      <c r="W27" s="23">
        <f>Table1[[#This Row],[Proposed Customer Charge]]-Table1[[#This Row],[Current Customer Charge]]</f>
        <v>-7442.0400000000009</v>
      </c>
      <c r="X27" s="23">
        <f>Table1[[#This Row],[Proposed Demand Delivery Charge - Tier 1]]+Table1[[#This Row],[Proposed Demand Delivery Charge - Tier 2]]-Table1[[#This Row],[Current Demand Delivery Charge]]</f>
        <v>57670.559999999983</v>
      </c>
      <c r="Y27" s="23">
        <f>Table1[[#This Row],[Proposed Volumetric Delivery Charge]]-Table1[[#This Row],[Current Volumetric Delivery Charge]]</f>
        <v>-10780.755926043596</v>
      </c>
      <c r="Z27" s="23">
        <f>Table1[[#This Row],[Proposed Gas Supply Transportation Charge]]-Table1[[#This Row],[Current Gas Supply Transportation Charge]]</f>
        <v>-95383.055851501791</v>
      </c>
      <c r="AA27" s="23">
        <f>Table1[[#This Row],[Proposed Gas Supply Commodity Charge]]-Table1[[#This Row],[Current Gas Supply Commodity Charge]]</f>
        <v>88658.374971998041</v>
      </c>
      <c r="AB27" s="24">
        <f>Table1[[#This Row],[Proposed Total Bill ($)]]-Table1[[#This Row],[Current Total Bill ($)]]</f>
        <v>32723.083194452571</v>
      </c>
      <c r="AC27" s="18">
        <f>Table1[[#This Row],[Total Bill Impact ($)]]/Table1[[#This Row],[Current Total Bill ($)]]</f>
        <v>6.7822588046911395E-2</v>
      </c>
    </row>
    <row r="28" spans="1:29">
      <c r="A28" s="2" t="s">
        <v>20</v>
      </c>
      <c r="B28" s="2" t="s">
        <v>59</v>
      </c>
      <c r="C28" s="2" t="s">
        <v>82</v>
      </c>
      <c r="D28" s="2" t="s">
        <v>76</v>
      </c>
      <c r="E28" s="12">
        <v>26000</v>
      </c>
      <c r="F28" s="12">
        <v>6940493.2028599996</v>
      </c>
      <c r="G28" s="14">
        <f>IFERROR(Table1[[#This Row],[Volume]]/(Table1[[#This Row],[CD]]*366),0)</f>
        <v>0.72934985317990753</v>
      </c>
      <c r="H28" s="16">
        <f>MIN(Table1[[#This Row],[CD]],inputs!$P$8)</f>
        <v>20000</v>
      </c>
      <c r="I28" s="16">
        <f>MAX(0,Table1[[#This Row],[CD]]-inputs!$P$8)</f>
        <v>6000</v>
      </c>
      <c r="J28" s="19">
        <f>12*VLOOKUP(Table1[[#This Row],[newrate]],rates,2,0)</f>
        <v>6000</v>
      </c>
      <c r="K28" s="19">
        <f>Table1[[#This Row],[Volume]]*VLOOKUP(Table1[[#This Row],[newrate]],rates,3,0)/100</f>
        <v>18774.034113736299</v>
      </c>
      <c r="L28" s="19">
        <f>12*Table1[[#This Row],[CD - Tier 1]]*VLOOKUP(Table1[[#This Row],[newrate]],rates,4,0)/100</f>
        <v>142012.79999999999</v>
      </c>
      <c r="M28" s="19">
        <f>12*Table1[[#This Row],[CD - Tier 2]]*VLOOKUP(Table1[[#This Row],[newrate]],rates,5,0)/100</f>
        <v>28982.304</v>
      </c>
      <c r="N28" s="19">
        <f>Table1[[#This Row],[Volume]]*VLOOKUP(Table1[[#This Row],[newrate]],rates,7,0)/100</f>
        <v>56065.304092703067</v>
      </c>
      <c r="O28" s="19">
        <f>Table1[[#This Row],[Volume]]*VLOOKUP(Table1[[#This Row],[newrate]],rates,8,0)/100</f>
        <v>999562.89058269421</v>
      </c>
      <c r="P28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1251397.3327891335</v>
      </c>
      <c r="Q28" s="21">
        <v>13442.04</v>
      </c>
      <c r="R28" s="21">
        <v>109644.91200000001</v>
      </c>
      <c r="S28" s="21">
        <v>50318.575720734989</v>
      </c>
      <c r="T28" s="21">
        <v>169029.69906394003</v>
      </c>
      <c r="U28" s="21">
        <v>740148.07613939629</v>
      </c>
      <c r="V28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1082583.3029240714</v>
      </c>
      <c r="W28" s="23">
        <f>Table1[[#This Row],[Proposed Customer Charge]]-Table1[[#This Row],[Current Customer Charge]]</f>
        <v>-7442.0400000000009</v>
      </c>
      <c r="X28" s="23">
        <f>Table1[[#This Row],[Proposed Demand Delivery Charge - Tier 1]]+Table1[[#This Row],[Proposed Demand Delivery Charge - Tier 2]]-Table1[[#This Row],[Current Demand Delivery Charge]]</f>
        <v>61350.191999999981</v>
      </c>
      <c r="Y28" s="23">
        <f>Table1[[#This Row],[Proposed Volumetric Delivery Charge]]-Table1[[#This Row],[Current Volumetric Delivery Charge]]</f>
        <v>-31544.54160699869</v>
      </c>
      <c r="Z28" s="23">
        <f>Table1[[#This Row],[Proposed Gas Supply Transportation Charge]]-Table1[[#This Row],[Current Gas Supply Transportation Charge]]</f>
        <v>-112964.39497123696</v>
      </c>
      <c r="AA28" s="23">
        <f>Table1[[#This Row],[Proposed Gas Supply Commodity Charge]]-Table1[[#This Row],[Current Gas Supply Commodity Charge]]</f>
        <v>259414.81444329792</v>
      </c>
      <c r="AB28" s="24">
        <f>Table1[[#This Row],[Proposed Total Bill ($)]]-Table1[[#This Row],[Current Total Bill ($)]]</f>
        <v>168814.0298650621</v>
      </c>
      <c r="AC28" s="18">
        <f>Table1[[#This Row],[Total Bill Impact ($)]]/Table1[[#This Row],[Current Total Bill ($)]]</f>
        <v>0.15593629553411106</v>
      </c>
    </row>
    <row r="29" spans="1:29">
      <c r="A29" s="2" t="s">
        <v>20</v>
      </c>
      <c r="B29" s="2" t="s">
        <v>59</v>
      </c>
      <c r="C29" s="2" t="s">
        <v>82</v>
      </c>
      <c r="D29" s="2" t="s">
        <v>78</v>
      </c>
      <c r="E29" s="12">
        <v>28000</v>
      </c>
      <c r="F29" s="12">
        <v>5777011.0000200002</v>
      </c>
      <c r="G29" s="14">
        <f>IFERROR(Table1[[#This Row],[Volume]]/(Table1[[#This Row],[CD]]*366),0)</f>
        <v>0.56372082357728337</v>
      </c>
      <c r="H29" s="16">
        <f>MIN(Table1[[#This Row],[CD]],inputs!$P$8)</f>
        <v>20000</v>
      </c>
      <c r="I29" s="16">
        <f>MAX(0,Table1[[#This Row],[CD]]-inputs!$P$8)</f>
        <v>8000</v>
      </c>
      <c r="J29" s="19">
        <f>12*VLOOKUP(Table1[[#This Row],[newrate]],rates,2,0)</f>
        <v>6000</v>
      </c>
      <c r="K29" s="19">
        <f>Table1[[#This Row],[Volume]]*VLOOKUP(Table1[[#This Row],[newrate]],rates,3,0)/100</f>
        <v>15626.814755054102</v>
      </c>
      <c r="L29" s="19">
        <f>12*Table1[[#This Row],[CD - Tier 1]]*VLOOKUP(Table1[[#This Row],[newrate]],rates,4,0)/100</f>
        <v>142012.79999999999</v>
      </c>
      <c r="M29" s="19">
        <f>12*Table1[[#This Row],[CD - Tier 2]]*VLOOKUP(Table1[[#This Row],[newrate]],rates,5,0)/100</f>
        <v>38643.072</v>
      </c>
      <c r="N29" s="19">
        <f>Table1[[#This Row],[Volume]]*VLOOKUP(Table1[[#This Row],[newrate]],rates,7,0)/100</f>
        <v>46666.694858161558</v>
      </c>
      <c r="O29" s="19">
        <f>Table1[[#This Row],[Volume]]*VLOOKUP(Table1[[#This Row],[newrate]],rates,8,0)/100</f>
        <v>831999.34721188038</v>
      </c>
      <c r="P29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1080948.728825096</v>
      </c>
      <c r="Q29" s="21">
        <v>13442.04</v>
      </c>
      <c r="R29" s="21">
        <v>118079.136</v>
      </c>
      <c r="S29" s="21">
        <v>41883.329750144992</v>
      </c>
      <c r="T29" s="21">
        <v>184147.11035276001</v>
      </c>
      <c r="U29" s="21">
        <v>616072.00706413295</v>
      </c>
      <c r="V29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973623.62316703796</v>
      </c>
      <c r="W29" s="23">
        <f>Table1[[#This Row],[Proposed Customer Charge]]-Table1[[#This Row],[Current Customer Charge]]</f>
        <v>-7442.0400000000009</v>
      </c>
      <c r="X29" s="23">
        <f>Table1[[#This Row],[Proposed Demand Delivery Charge - Tier 1]]+Table1[[#This Row],[Proposed Demand Delivery Charge - Tier 2]]-Table1[[#This Row],[Current Demand Delivery Charge]]</f>
        <v>62576.735999999975</v>
      </c>
      <c r="Y29" s="23">
        <f>Table1[[#This Row],[Proposed Volumetric Delivery Charge]]-Table1[[#This Row],[Current Volumetric Delivery Charge]]</f>
        <v>-26256.514995090889</v>
      </c>
      <c r="Z29" s="23">
        <f>Table1[[#This Row],[Proposed Gas Supply Transportation Charge]]-Table1[[#This Row],[Current Gas Supply Transportation Charge]]</f>
        <v>-137480.41549459845</v>
      </c>
      <c r="AA29" s="23">
        <f>Table1[[#This Row],[Proposed Gas Supply Commodity Charge]]-Table1[[#This Row],[Current Gas Supply Commodity Charge]]</f>
        <v>215927.34014774743</v>
      </c>
      <c r="AB29" s="24">
        <f>Table1[[#This Row],[Proposed Total Bill ($)]]-Table1[[#This Row],[Current Total Bill ($)]]</f>
        <v>107325.10565805808</v>
      </c>
      <c r="AC29" s="18">
        <f>Table1[[#This Row],[Total Bill Impact ($)]]/Table1[[#This Row],[Current Total Bill ($)]]</f>
        <v>0.11023264339966106</v>
      </c>
    </row>
    <row r="30" spans="1:29">
      <c r="A30" s="2" t="s">
        <v>20</v>
      </c>
      <c r="B30" s="2" t="s">
        <v>59</v>
      </c>
      <c r="C30" s="2" t="s">
        <v>82</v>
      </c>
      <c r="D30" s="2" t="s">
        <v>79</v>
      </c>
      <c r="E30" s="12">
        <v>37000</v>
      </c>
      <c r="F30" s="12">
        <v>10391415.999999998</v>
      </c>
      <c r="G30" s="14">
        <f>IFERROR(Table1[[#This Row],[Volume]]/(Table1[[#This Row],[CD]]*366),0)</f>
        <v>0.7673472160685274</v>
      </c>
      <c r="H30" s="16">
        <f>MIN(Table1[[#This Row],[CD]],inputs!$P$8)</f>
        <v>20000</v>
      </c>
      <c r="I30" s="16">
        <f>MAX(0,Table1[[#This Row],[CD]]-inputs!$P$8)</f>
        <v>17000</v>
      </c>
      <c r="J30" s="19">
        <f>12*VLOOKUP(Table1[[#This Row],[newrate]],rates,2,0)</f>
        <v>6000</v>
      </c>
      <c r="K30" s="19">
        <f>Table1[[#This Row],[Volume]]*VLOOKUP(Table1[[#This Row],[newrate]],rates,3,0)/100</f>
        <v>28108.780279999995</v>
      </c>
      <c r="L30" s="19">
        <f>12*Table1[[#This Row],[CD - Tier 1]]*VLOOKUP(Table1[[#This Row],[newrate]],rates,4,0)/100</f>
        <v>142012.79999999999</v>
      </c>
      <c r="M30" s="19">
        <f>12*Table1[[#This Row],[CD - Tier 2]]*VLOOKUP(Table1[[#This Row],[newrate]],rates,5,0)/100</f>
        <v>82116.527999999991</v>
      </c>
      <c r="N30" s="19">
        <f>Table1[[#This Row],[Volume]]*VLOOKUP(Table1[[#This Row],[newrate]],rates,7,0)/100</f>
        <v>83941.85844799997</v>
      </c>
      <c r="O30" s="19">
        <f>Table1[[#This Row],[Volume]]*VLOOKUP(Table1[[#This Row],[newrate]],rates,8,0)/100</f>
        <v>1496561.3409039997</v>
      </c>
      <c r="P30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1838741.3076319997</v>
      </c>
      <c r="Q30" s="21">
        <v>13442.04</v>
      </c>
      <c r="R30" s="21">
        <v>156033.144</v>
      </c>
      <c r="S30" s="21">
        <v>74421.673686399969</v>
      </c>
      <c r="T30" s="21">
        <v>250865.86080000002</v>
      </c>
      <c r="U30" s="21">
        <v>1108161.3850720001</v>
      </c>
      <c r="V30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1602924.1035584002</v>
      </c>
      <c r="W30" s="23">
        <f>Table1[[#This Row],[Proposed Customer Charge]]-Table1[[#This Row],[Current Customer Charge]]</f>
        <v>-7442.0400000000009</v>
      </c>
      <c r="X30" s="23">
        <f>Table1[[#This Row],[Proposed Demand Delivery Charge - Tier 1]]+Table1[[#This Row],[Proposed Demand Delivery Charge - Tier 2]]-Table1[[#This Row],[Current Demand Delivery Charge]]</f>
        <v>68096.183999999979</v>
      </c>
      <c r="Y30" s="23">
        <f>Table1[[#This Row],[Proposed Volumetric Delivery Charge]]-Table1[[#This Row],[Current Volumetric Delivery Charge]]</f>
        <v>-46312.893406399977</v>
      </c>
      <c r="Z30" s="23">
        <f>Table1[[#This Row],[Proposed Gas Supply Transportation Charge]]-Table1[[#This Row],[Current Gas Supply Transportation Charge]]</f>
        <v>-166924.00235200004</v>
      </c>
      <c r="AA30" s="23">
        <f>Table1[[#This Row],[Proposed Gas Supply Commodity Charge]]-Table1[[#This Row],[Current Gas Supply Commodity Charge]]</f>
        <v>388399.95583199966</v>
      </c>
      <c r="AB30" s="24">
        <f>Table1[[#This Row],[Proposed Total Bill ($)]]-Table1[[#This Row],[Current Total Bill ($)]]</f>
        <v>235817.20407359954</v>
      </c>
      <c r="AC30" s="18">
        <f>Table1[[#This Row],[Total Bill Impact ($)]]/Table1[[#This Row],[Current Total Bill ($)]]</f>
        <v>0.14711688691317248</v>
      </c>
    </row>
    <row r="31" spans="1:29">
      <c r="A31" s="2" t="s">
        <v>20</v>
      </c>
      <c r="B31" s="2" t="s">
        <v>62</v>
      </c>
      <c r="C31" s="2" t="s">
        <v>83</v>
      </c>
      <c r="D31" s="2" t="s">
        <v>74</v>
      </c>
      <c r="E31" s="12">
        <v>2400</v>
      </c>
      <c r="F31" s="12">
        <v>430188.39999999997</v>
      </c>
      <c r="G31" s="14">
        <f>IFERROR(Table1[[#This Row],[Volume]]/(Table1[[#This Row],[CD]]*366),0)</f>
        <v>0.48974089253187608</v>
      </c>
      <c r="H31" s="16">
        <f>MIN(Table1[[#This Row],[CD]],inputs!$P$8)</f>
        <v>2400</v>
      </c>
      <c r="I31" s="16">
        <f>MAX(0,Table1[[#This Row],[CD]]-inputs!$P$8)</f>
        <v>0</v>
      </c>
      <c r="J31" s="19">
        <f>12*VLOOKUP(Table1[[#This Row],[newrate]],rates,2,0)</f>
        <v>6000</v>
      </c>
      <c r="K31" s="19">
        <f>Table1[[#This Row],[Volume]]*VLOOKUP(Table1[[#This Row],[newrate]],rates,3,0)/100</f>
        <v>1163.6596219999999</v>
      </c>
      <c r="L31" s="19">
        <f>12*Table1[[#This Row],[CD - Tier 1]]*VLOOKUP(Table1[[#This Row],[newrate]],rates,4,0)/100</f>
        <v>17041.536</v>
      </c>
      <c r="M31" s="19">
        <f>12*Table1[[#This Row],[CD - Tier 2]]*VLOOKUP(Table1[[#This Row],[newrate]],rates,5,0)/100</f>
        <v>0</v>
      </c>
      <c r="N31" s="19">
        <f>Table1[[#This Row],[Volume]]*VLOOKUP(Table1[[#This Row],[newrate]],rates,7,0)/100</f>
        <v>3475.0618951999995</v>
      </c>
      <c r="O31" s="19">
        <f>Table1[[#This Row],[Volume]]*VLOOKUP(Table1[[#This Row],[newrate]],rates,8,0)/100</f>
        <v>61955.3031796</v>
      </c>
      <c r="P31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89635.560696800007</v>
      </c>
      <c r="Q31" s="21">
        <v>0</v>
      </c>
      <c r="R31" s="21">
        <v>20701.555199999999</v>
      </c>
      <c r="S31" s="21">
        <v>8567.2019859999982</v>
      </c>
      <c r="T31" s="21">
        <v>0</v>
      </c>
      <c r="U31" s="21">
        <v>69876.580091930082</v>
      </c>
      <c r="V31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99145.337277930084</v>
      </c>
      <c r="W31" s="23">
        <f>Table1[[#This Row],[Proposed Customer Charge]]-Table1[[#This Row],[Current Customer Charge]]</f>
        <v>6000</v>
      </c>
      <c r="X31" s="23">
        <f>Table1[[#This Row],[Proposed Demand Delivery Charge - Tier 1]]+Table1[[#This Row],[Proposed Demand Delivery Charge - Tier 2]]-Table1[[#This Row],[Current Demand Delivery Charge]]</f>
        <v>-3660.0191999999988</v>
      </c>
      <c r="Y31" s="23">
        <f>Table1[[#This Row],[Proposed Volumetric Delivery Charge]]-Table1[[#This Row],[Current Volumetric Delivery Charge]]</f>
        <v>-7403.5423639999981</v>
      </c>
      <c r="Z31" s="23">
        <f>Table1[[#This Row],[Proposed Gas Supply Transportation Charge]]-Table1[[#This Row],[Current Gas Supply Transportation Charge]]</f>
        <v>3475.0618951999995</v>
      </c>
      <c r="AA31" s="23">
        <f>Table1[[#This Row],[Proposed Gas Supply Commodity Charge]]-Table1[[#This Row],[Current Gas Supply Commodity Charge]]</f>
        <v>-7921.2769123300823</v>
      </c>
      <c r="AB31" s="24">
        <f>Table1[[#This Row],[Proposed Total Bill ($)]]-Table1[[#This Row],[Current Total Bill ($)]]</f>
        <v>-9509.7765811300778</v>
      </c>
      <c r="AC31" s="18">
        <f>Table1[[#This Row],[Total Bill Impact ($)]]/Table1[[#This Row],[Current Total Bill ($)]]</f>
        <v>-9.5917537246070467E-2</v>
      </c>
    </row>
    <row r="32" spans="1:29">
      <c r="A32" s="2" t="s">
        <v>20</v>
      </c>
      <c r="B32" s="2" t="s">
        <v>62</v>
      </c>
      <c r="C32" s="2" t="s">
        <v>83</v>
      </c>
      <c r="D32" s="2" t="s">
        <v>75</v>
      </c>
      <c r="E32" s="12">
        <v>6850</v>
      </c>
      <c r="F32" s="12">
        <v>1400000.0100000002</v>
      </c>
      <c r="G32" s="14">
        <f>IFERROR(Table1[[#This Row],[Volume]]/(Table1[[#This Row],[CD]]*366),0)</f>
        <v>0.55841410793346902</v>
      </c>
      <c r="H32" s="16">
        <f>MIN(Table1[[#This Row],[CD]],inputs!$P$8)</f>
        <v>6850</v>
      </c>
      <c r="I32" s="16">
        <f>MAX(0,Table1[[#This Row],[CD]]-inputs!$P$8)</f>
        <v>0</v>
      </c>
      <c r="J32" s="19">
        <f>12*VLOOKUP(Table1[[#This Row],[newrate]],rates,2,0)</f>
        <v>6000</v>
      </c>
      <c r="K32" s="19">
        <f>Table1[[#This Row],[Volume]]*VLOOKUP(Table1[[#This Row],[newrate]],rates,3,0)/100</f>
        <v>3787.0000270500009</v>
      </c>
      <c r="L32" s="19">
        <f>12*Table1[[#This Row],[CD - Tier 1]]*VLOOKUP(Table1[[#This Row],[newrate]],rates,4,0)/100</f>
        <v>48639.383999999991</v>
      </c>
      <c r="M32" s="19">
        <f>12*Table1[[#This Row],[CD - Tier 2]]*VLOOKUP(Table1[[#This Row],[newrate]],rates,5,0)/100</f>
        <v>0</v>
      </c>
      <c r="N32" s="19">
        <f>Table1[[#This Row],[Volume]]*VLOOKUP(Table1[[#This Row],[newrate]],rates,7,0)/100</f>
        <v>11309.20008078</v>
      </c>
      <c r="O32" s="19">
        <f>Table1[[#This Row],[Volume]]*VLOOKUP(Table1[[#This Row],[newrate]],rates,8,0)/100</f>
        <v>201626.60144019005</v>
      </c>
      <c r="P32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271362.18554802006</v>
      </c>
      <c r="Q32" s="21">
        <v>0</v>
      </c>
      <c r="R32" s="21">
        <v>59085.688799999996</v>
      </c>
      <c r="S32" s="21">
        <v>27881.000199149999</v>
      </c>
      <c r="T32" s="21">
        <v>0</v>
      </c>
      <c r="U32" s="21">
        <v>227405.51076567371</v>
      </c>
      <c r="V32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314372.19976482372</v>
      </c>
      <c r="W32" s="23">
        <f>Table1[[#This Row],[Proposed Customer Charge]]-Table1[[#This Row],[Current Customer Charge]]</f>
        <v>6000</v>
      </c>
      <c r="X32" s="23">
        <f>Table1[[#This Row],[Proposed Demand Delivery Charge - Tier 1]]+Table1[[#This Row],[Proposed Demand Delivery Charge - Tier 2]]-Table1[[#This Row],[Current Demand Delivery Charge]]</f>
        <v>-10446.304800000005</v>
      </c>
      <c r="Y32" s="23">
        <f>Table1[[#This Row],[Proposed Volumetric Delivery Charge]]-Table1[[#This Row],[Current Volumetric Delivery Charge]]</f>
        <v>-24094.000172099997</v>
      </c>
      <c r="Z32" s="23">
        <f>Table1[[#This Row],[Proposed Gas Supply Transportation Charge]]-Table1[[#This Row],[Current Gas Supply Transportation Charge]]</f>
        <v>11309.20008078</v>
      </c>
      <c r="AA32" s="23">
        <f>Table1[[#This Row],[Proposed Gas Supply Commodity Charge]]-Table1[[#This Row],[Current Gas Supply Commodity Charge]]</f>
        <v>-25778.909325483663</v>
      </c>
      <c r="AB32" s="24">
        <f>Table1[[#This Row],[Proposed Total Bill ($)]]-Table1[[#This Row],[Current Total Bill ($)]]</f>
        <v>-43010.014216803655</v>
      </c>
      <c r="AC32" s="18">
        <f>Table1[[#This Row],[Total Bill Impact ($)]]/Table1[[#This Row],[Current Total Bill ($)]]</f>
        <v>-0.13681239705348847</v>
      </c>
    </row>
    <row r="33" spans="1:29">
      <c r="A33" s="2" t="s">
        <v>20</v>
      </c>
      <c r="B33" s="2" t="s">
        <v>62</v>
      </c>
      <c r="C33" s="2" t="s">
        <v>83</v>
      </c>
      <c r="D33" s="2" t="s">
        <v>76</v>
      </c>
      <c r="E33" s="12">
        <v>11270</v>
      </c>
      <c r="F33" s="12">
        <v>1900645.9</v>
      </c>
      <c r="G33" s="14">
        <f>IFERROR(Table1[[#This Row],[Volume]]/(Table1[[#This Row],[CD]]*366),0)</f>
        <v>0.46078274930784857</v>
      </c>
      <c r="H33" s="16">
        <f>MIN(Table1[[#This Row],[CD]],inputs!$P$8)</f>
        <v>11270</v>
      </c>
      <c r="I33" s="16">
        <f>MAX(0,Table1[[#This Row],[CD]]-inputs!$P$8)</f>
        <v>0</v>
      </c>
      <c r="J33" s="19">
        <f>12*VLOOKUP(Table1[[#This Row],[newrate]],rates,2,0)</f>
        <v>6000</v>
      </c>
      <c r="K33" s="19">
        <f>Table1[[#This Row],[Volume]]*VLOOKUP(Table1[[#This Row],[newrate]],rates,3,0)/100</f>
        <v>5141.2471594999997</v>
      </c>
      <c r="L33" s="19">
        <f>12*Table1[[#This Row],[CD - Tier 1]]*VLOOKUP(Table1[[#This Row],[newrate]],rates,4,0)/100</f>
        <v>80024.212799999994</v>
      </c>
      <c r="M33" s="19">
        <f>12*Table1[[#This Row],[CD - Tier 2]]*VLOOKUP(Table1[[#This Row],[newrate]],rates,5,0)/100</f>
        <v>0</v>
      </c>
      <c r="N33" s="19">
        <f>Table1[[#This Row],[Volume]]*VLOOKUP(Table1[[#This Row],[newrate]],rates,7,0)/100</f>
        <v>15353.417580199999</v>
      </c>
      <c r="O33" s="19">
        <f>Table1[[#This Row],[Volume]]*VLOOKUP(Table1[[#This Row],[newrate]],rates,8,0)/100</f>
        <v>273729.12187209999</v>
      </c>
      <c r="P33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380247.99941179994</v>
      </c>
      <c r="Q33" s="21">
        <v>0</v>
      </c>
      <c r="R33" s="21">
        <v>84563.860559999986</v>
      </c>
      <c r="S33" s="21">
        <v>37851.363098499991</v>
      </c>
      <c r="T33" s="21">
        <v>0</v>
      </c>
      <c r="U33" s="21">
        <v>308726.67756208335</v>
      </c>
      <c r="V33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431141.90122058336</v>
      </c>
      <c r="W33" s="23">
        <f>Table1[[#This Row],[Proposed Customer Charge]]-Table1[[#This Row],[Current Customer Charge]]</f>
        <v>6000</v>
      </c>
      <c r="X33" s="23">
        <f>Table1[[#This Row],[Proposed Demand Delivery Charge - Tier 1]]+Table1[[#This Row],[Proposed Demand Delivery Charge - Tier 2]]-Table1[[#This Row],[Current Demand Delivery Charge]]</f>
        <v>-4539.6477599999926</v>
      </c>
      <c r="Y33" s="23">
        <f>Table1[[#This Row],[Proposed Volumetric Delivery Charge]]-Table1[[#This Row],[Current Volumetric Delivery Charge]]</f>
        <v>-32710.115938999992</v>
      </c>
      <c r="Z33" s="23">
        <f>Table1[[#This Row],[Proposed Gas Supply Transportation Charge]]-Table1[[#This Row],[Current Gas Supply Transportation Charge]]</f>
        <v>15353.417580199999</v>
      </c>
      <c r="AA33" s="23">
        <f>Table1[[#This Row],[Proposed Gas Supply Commodity Charge]]-Table1[[#This Row],[Current Gas Supply Commodity Charge]]</f>
        <v>-34997.555689983361</v>
      </c>
      <c r="AB33" s="24">
        <f>Table1[[#This Row],[Proposed Total Bill ($)]]-Table1[[#This Row],[Current Total Bill ($)]]</f>
        <v>-50893.901808783412</v>
      </c>
      <c r="AC33" s="18">
        <f>Table1[[#This Row],[Total Bill Impact ($)]]/Table1[[#This Row],[Current Total Bill ($)]]</f>
        <v>-0.11804443424473553</v>
      </c>
    </row>
    <row r="34" spans="1:29">
      <c r="A34" s="2" t="s">
        <v>20</v>
      </c>
      <c r="B34" s="2" t="s">
        <v>62</v>
      </c>
      <c r="C34" s="2" t="s">
        <v>83</v>
      </c>
      <c r="D34" s="2" t="s">
        <v>77</v>
      </c>
      <c r="E34" s="12">
        <v>16116</v>
      </c>
      <c r="F34" s="12">
        <v>2391325.5</v>
      </c>
      <c r="G34" s="14">
        <f>IFERROR(Table1[[#This Row],[Volume]]/(Table1[[#This Row],[CD]]*366),0)</f>
        <v>0.40541550195508791</v>
      </c>
      <c r="H34" s="16">
        <f>MIN(Table1[[#This Row],[CD]],inputs!$P$8)</f>
        <v>16116</v>
      </c>
      <c r="I34" s="16">
        <f>MAX(0,Table1[[#This Row],[CD]]-inputs!$P$8)</f>
        <v>0</v>
      </c>
      <c r="J34" s="19">
        <f>12*VLOOKUP(Table1[[#This Row],[newrate]],rates,2,0)</f>
        <v>6000</v>
      </c>
      <c r="K34" s="19">
        <f>Table1[[#This Row],[Volume]]*VLOOKUP(Table1[[#This Row],[newrate]],rates,3,0)/100</f>
        <v>6468.5354775000005</v>
      </c>
      <c r="L34" s="19">
        <f>12*Table1[[#This Row],[CD - Tier 1]]*VLOOKUP(Table1[[#This Row],[newrate]],rates,4,0)/100</f>
        <v>114433.91423999998</v>
      </c>
      <c r="M34" s="19">
        <f>12*Table1[[#This Row],[CD - Tier 2]]*VLOOKUP(Table1[[#This Row],[newrate]],rates,5,0)/100</f>
        <v>0</v>
      </c>
      <c r="N34" s="19">
        <f>Table1[[#This Row],[Volume]]*VLOOKUP(Table1[[#This Row],[newrate]],rates,7,0)/100</f>
        <v>19317.127389000001</v>
      </c>
      <c r="O34" s="19">
        <f>Table1[[#This Row],[Volume]]*VLOOKUP(Table1[[#This Row],[newrate]],rates,8,0)/100</f>
        <v>344396.30718450004</v>
      </c>
      <c r="P34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490615.88429100002</v>
      </c>
      <c r="Q34" s="21">
        <v>0</v>
      </c>
      <c r="R34" s="21">
        <v>104630.31304799998</v>
      </c>
      <c r="S34" s="21">
        <v>47623.247332499996</v>
      </c>
      <c r="T34" s="21">
        <v>0</v>
      </c>
      <c r="U34" s="21">
        <v>388428.99489299284</v>
      </c>
      <c r="V34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540682.55527349282</v>
      </c>
      <c r="W34" s="23">
        <f>Table1[[#This Row],[Proposed Customer Charge]]-Table1[[#This Row],[Current Customer Charge]]</f>
        <v>6000</v>
      </c>
      <c r="X34" s="23">
        <f>Table1[[#This Row],[Proposed Demand Delivery Charge - Tier 1]]+Table1[[#This Row],[Proposed Demand Delivery Charge - Tier 2]]-Table1[[#This Row],[Current Demand Delivery Charge]]</f>
        <v>9803.6011920000019</v>
      </c>
      <c r="Y34" s="23">
        <f>Table1[[#This Row],[Proposed Volumetric Delivery Charge]]-Table1[[#This Row],[Current Volumetric Delivery Charge]]</f>
        <v>-41154.711854999994</v>
      </c>
      <c r="Z34" s="23">
        <f>Table1[[#This Row],[Proposed Gas Supply Transportation Charge]]-Table1[[#This Row],[Current Gas Supply Transportation Charge]]</f>
        <v>19317.127389000001</v>
      </c>
      <c r="AA34" s="23">
        <f>Table1[[#This Row],[Proposed Gas Supply Commodity Charge]]-Table1[[#This Row],[Current Gas Supply Commodity Charge]]</f>
        <v>-44032.687708492798</v>
      </c>
      <c r="AB34" s="24">
        <f>Table1[[#This Row],[Proposed Total Bill ($)]]-Table1[[#This Row],[Current Total Bill ($)]]</f>
        <v>-50066.670982492797</v>
      </c>
      <c r="AC34" s="18">
        <f>Table1[[#This Row],[Total Bill Impact ($)]]/Table1[[#This Row],[Current Total Bill ($)]]</f>
        <v>-9.2599013033012753E-2</v>
      </c>
    </row>
    <row r="35" spans="1:29">
      <c r="A35" s="2" t="s">
        <v>20</v>
      </c>
      <c r="B35" s="2" t="s">
        <v>62</v>
      </c>
      <c r="C35" s="2" t="s">
        <v>83</v>
      </c>
      <c r="D35" s="2" t="s">
        <v>78</v>
      </c>
      <c r="E35" s="12">
        <v>25000</v>
      </c>
      <c r="F35" s="12">
        <v>5060866.5999999996</v>
      </c>
      <c r="G35" s="14">
        <f>IFERROR(Table1[[#This Row],[Volume]]/(Table1[[#This Row],[CD]]*366),0)</f>
        <v>0.55310017486338792</v>
      </c>
      <c r="H35" s="16">
        <f>MIN(Table1[[#This Row],[CD]],inputs!$P$8)</f>
        <v>20000</v>
      </c>
      <c r="I35" s="16">
        <f>MAX(0,Table1[[#This Row],[CD]]-inputs!$P$8)</f>
        <v>5000</v>
      </c>
      <c r="J35" s="19">
        <f>12*VLOOKUP(Table1[[#This Row],[newrate]],rates,2,0)</f>
        <v>6000</v>
      </c>
      <c r="K35" s="19">
        <f>Table1[[#This Row],[Volume]]*VLOOKUP(Table1[[#This Row],[newrate]],rates,3,0)/100</f>
        <v>13689.644152999999</v>
      </c>
      <c r="L35" s="19">
        <f>12*Table1[[#This Row],[CD - Tier 1]]*VLOOKUP(Table1[[#This Row],[newrate]],rates,4,0)/100</f>
        <v>142012.79999999999</v>
      </c>
      <c r="M35" s="19">
        <f>12*Table1[[#This Row],[CD - Tier 2]]*VLOOKUP(Table1[[#This Row],[newrate]],rates,5,0)/100</f>
        <v>24151.919999999998</v>
      </c>
      <c r="N35" s="19">
        <f>Table1[[#This Row],[Volume]]*VLOOKUP(Table1[[#This Row],[newrate]],rates,7,0)/100</f>
        <v>40881.680394799994</v>
      </c>
      <c r="O35" s="19">
        <f>Table1[[#This Row],[Volume]]*VLOOKUP(Table1[[#This Row],[newrate]],rates,8,0)/100</f>
        <v>728860.94686539995</v>
      </c>
      <c r="P35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955596.99141319992</v>
      </c>
      <c r="Q35" s="21">
        <v>0</v>
      </c>
      <c r="R35" s="21">
        <v>141417.429</v>
      </c>
      <c r="S35" s="21">
        <v>100787.15833899999</v>
      </c>
      <c r="T35" s="21">
        <v>0</v>
      </c>
      <c r="U35" s="21">
        <v>822049.24704960408</v>
      </c>
      <c r="V35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1064253.8343886042</v>
      </c>
      <c r="W35" s="23">
        <f>Table1[[#This Row],[Proposed Customer Charge]]-Table1[[#This Row],[Current Customer Charge]]</f>
        <v>6000</v>
      </c>
      <c r="X35" s="23">
        <f>Table1[[#This Row],[Proposed Demand Delivery Charge - Tier 1]]+Table1[[#This Row],[Proposed Demand Delivery Charge - Tier 2]]-Table1[[#This Row],[Current Demand Delivery Charge]]</f>
        <v>24747.290999999968</v>
      </c>
      <c r="Y35" s="23">
        <f>Table1[[#This Row],[Proposed Volumetric Delivery Charge]]-Table1[[#This Row],[Current Volumetric Delivery Charge]]</f>
        <v>-87097.514185999986</v>
      </c>
      <c r="Z35" s="23">
        <f>Table1[[#This Row],[Proposed Gas Supply Transportation Charge]]-Table1[[#This Row],[Current Gas Supply Transportation Charge]]</f>
        <v>40881.680394799994</v>
      </c>
      <c r="AA35" s="23">
        <f>Table1[[#This Row],[Proposed Gas Supply Commodity Charge]]-Table1[[#This Row],[Current Gas Supply Commodity Charge]]</f>
        <v>-93188.300184204127</v>
      </c>
      <c r="AB35" s="24">
        <f>Table1[[#This Row],[Proposed Total Bill ($)]]-Table1[[#This Row],[Current Total Bill ($)]]</f>
        <v>-108656.84297540423</v>
      </c>
      <c r="AC35" s="18">
        <f>Table1[[#This Row],[Total Bill Impact ($)]]/Table1[[#This Row],[Current Total Bill ($)]]</f>
        <v>-0.10209673619623438</v>
      </c>
    </row>
    <row r="36" spans="1:29">
      <c r="A36" s="2" t="s">
        <v>20</v>
      </c>
      <c r="B36" s="2" t="s">
        <v>62</v>
      </c>
      <c r="C36" s="2" t="s">
        <v>83</v>
      </c>
      <c r="D36" s="2" t="s">
        <v>79</v>
      </c>
      <c r="E36" s="12">
        <v>84500</v>
      </c>
      <c r="F36" s="12">
        <v>8132642.6000000006</v>
      </c>
      <c r="G36" s="14">
        <f>IFERROR(Table1[[#This Row],[Volume]]/(Table1[[#This Row],[CD]]*366),0)</f>
        <v>0.26296254405535618</v>
      </c>
      <c r="H36" s="16">
        <f>MIN(Table1[[#This Row],[CD]],inputs!$P$8)</f>
        <v>20000</v>
      </c>
      <c r="I36" s="16">
        <f>MAX(0,Table1[[#This Row],[CD]]-inputs!$P$8)</f>
        <v>64500</v>
      </c>
      <c r="J36" s="19">
        <f>12*VLOOKUP(Table1[[#This Row],[newrate]],rates,2,0)</f>
        <v>6000</v>
      </c>
      <c r="K36" s="19">
        <f>Table1[[#This Row],[Volume]]*VLOOKUP(Table1[[#This Row],[newrate]],rates,3,0)/100</f>
        <v>21998.798233000001</v>
      </c>
      <c r="L36" s="19">
        <f>12*Table1[[#This Row],[CD - Tier 1]]*VLOOKUP(Table1[[#This Row],[newrate]],rates,4,0)/100</f>
        <v>142012.79999999999</v>
      </c>
      <c r="M36" s="19">
        <f>12*Table1[[#This Row],[CD - Tier 2]]*VLOOKUP(Table1[[#This Row],[newrate]],rates,5,0)/100</f>
        <v>311559.76799999998</v>
      </c>
      <c r="N36" s="19">
        <f>Table1[[#This Row],[Volume]]*VLOOKUP(Table1[[#This Row],[newrate]],rates,7,0)/100</f>
        <v>65695.486922800003</v>
      </c>
      <c r="O36" s="19">
        <f>Table1[[#This Row],[Volume]]*VLOOKUP(Table1[[#This Row],[newrate]],rates,8,0)/100</f>
        <v>1171255.0546094</v>
      </c>
      <c r="P36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1718521.9077651999</v>
      </c>
      <c r="Q36" s="21">
        <v>0</v>
      </c>
      <c r="R36" s="21">
        <v>354959.07059999998</v>
      </c>
      <c r="S36" s="21">
        <v>254692.875371</v>
      </c>
      <c r="T36" s="21">
        <v>0</v>
      </c>
      <c r="U36" s="21">
        <v>1321005.5222268722</v>
      </c>
      <c r="V36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1930657.4681978722</v>
      </c>
      <c r="W36" s="23">
        <f>Table1[[#This Row],[Proposed Customer Charge]]-Table1[[#This Row],[Current Customer Charge]]</f>
        <v>6000</v>
      </c>
      <c r="X36" s="23">
        <f>Table1[[#This Row],[Proposed Demand Delivery Charge - Tier 1]]+Table1[[#This Row],[Proposed Demand Delivery Charge - Tier 2]]-Table1[[#This Row],[Current Demand Delivery Charge]]</f>
        <v>98613.497399999993</v>
      </c>
      <c r="Y36" s="23">
        <f>Table1[[#This Row],[Proposed Volumetric Delivery Charge]]-Table1[[#This Row],[Current Volumetric Delivery Charge]]</f>
        <v>-232694.07713799999</v>
      </c>
      <c r="Z36" s="23">
        <f>Table1[[#This Row],[Proposed Gas Supply Transportation Charge]]-Table1[[#This Row],[Current Gas Supply Transportation Charge]]</f>
        <v>65695.486922800003</v>
      </c>
      <c r="AA36" s="23">
        <f>Table1[[#This Row],[Proposed Gas Supply Commodity Charge]]-Table1[[#This Row],[Current Gas Supply Commodity Charge]]</f>
        <v>-149750.46761747217</v>
      </c>
      <c r="AB36" s="24">
        <f>Table1[[#This Row],[Proposed Total Bill ($)]]-Table1[[#This Row],[Current Total Bill ($)]]</f>
        <v>-212135.56043267227</v>
      </c>
      <c r="AC36" s="18">
        <f>Table1[[#This Row],[Total Bill Impact ($)]]/Table1[[#This Row],[Current Total Bill ($)]]</f>
        <v>-0.1098773676465175</v>
      </c>
    </row>
    <row r="37" spans="1:29">
      <c r="A37" s="2" t="s">
        <v>20</v>
      </c>
      <c r="B37" s="2" t="s">
        <v>62</v>
      </c>
      <c r="C37" s="2" t="s">
        <v>84</v>
      </c>
      <c r="D37" s="2" t="s">
        <v>74</v>
      </c>
      <c r="E37" s="12">
        <v>13500</v>
      </c>
      <c r="F37" s="12">
        <v>2771703.8</v>
      </c>
      <c r="G37" s="14">
        <f>IFERROR(Table1[[#This Row],[Volume]]/(Table1[[#This Row],[CD]]*366),0)</f>
        <v>0.56096008905079942</v>
      </c>
      <c r="H37" s="16">
        <f>MIN(Table1[[#This Row],[CD]],inputs!$P$8)</f>
        <v>13500</v>
      </c>
      <c r="I37" s="16">
        <f>MAX(0,Table1[[#This Row],[CD]]-inputs!$P$8)</f>
        <v>0</v>
      </c>
      <c r="J37" s="19">
        <f>12*VLOOKUP(Table1[[#This Row],[newrate]],rates,2,0)</f>
        <v>6000</v>
      </c>
      <c r="K37" s="19">
        <f>Table1[[#This Row],[Volume]]*VLOOKUP(Table1[[#This Row],[newrate]],rates,3,0)/100</f>
        <v>7497.4587789999996</v>
      </c>
      <c r="L37" s="19">
        <f>12*Table1[[#This Row],[CD - Tier 1]]*VLOOKUP(Table1[[#This Row],[newrate]],rates,4,0)/100</f>
        <v>95858.64</v>
      </c>
      <c r="M37" s="19">
        <f>12*Table1[[#This Row],[CD - Tier 2]]*VLOOKUP(Table1[[#This Row],[newrate]],rates,5,0)/100</f>
        <v>0</v>
      </c>
      <c r="N37" s="19">
        <f>Table1[[#This Row],[Volume]]*VLOOKUP(Table1[[#This Row],[newrate]],rates,7,0)/100</f>
        <v>22389.823296399998</v>
      </c>
      <c r="O37" s="19">
        <f>Table1[[#This Row],[Volume]]*VLOOKUP(Table1[[#This Row],[newrate]],rates,8,0)/100</f>
        <v>399178.00957219995</v>
      </c>
      <c r="P37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530923.93164759991</v>
      </c>
      <c r="Q37" s="21">
        <v>0</v>
      </c>
      <c r="R37" s="21">
        <v>59903.064000000006</v>
      </c>
      <c r="S37" s="21">
        <v>10349.541989199999</v>
      </c>
      <c r="T37" s="21">
        <v>0</v>
      </c>
      <c r="U37" s="21">
        <v>450214.79559143609</v>
      </c>
      <c r="V37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520467.4015806361</v>
      </c>
      <c r="W37" s="23">
        <f>Table1[[#This Row],[Proposed Customer Charge]]-Table1[[#This Row],[Current Customer Charge]]</f>
        <v>6000</v>
      </c>
      <c r="X37" s="23">
        <f>Table1[[#This Row],[Proposed Demand Delivery Charge - Tier 1]]+Table1[[#This Row],[Proposed Demand Delivery Charge - Tier 2]]-Table1[[#This Row],[Current Demand Delivery Charge]]</f>
        <v>35955.575999999994</v>
      </c>
      <c r="Y37" s="23">
        <f>Table1[[#This Row],[Proposed Volumetric Delivery Charge]]-Table1[[#This Row],[Current Volumetric Delivery Charge]]</f>
        <v>-2852.0832101999995</v>
      </c>
      <c r="Z37" s="23">
        <f>Table1[[#This Row],[Proposed Gas Supply Transportation Charge]]-Table1[[#This Row],[Current Gas Supply Transportation Charge]]</f>
        <v>22389.823296399998</v>
      </c>
      <c r="AA37" s="23">
        <f>Table1[[#This Row],[Proposed Gas Supply Commodity Charge]]-Table1[[#This Row],[Current Gas Supply Commodity Charge]]</f>
        <v>-51036.78601923614</v>
      </c>
      <c r="AB37" s="24">
        <f>Table1[[#This Row],[Proposed Total Bill ($)]]-Table1[[#This Row],[Current Total Bill ($)]]</f>
        <v>10456.530066963809</v>
      </c>
      <c r="AC37" s="18">
        <f>Table1[[#This Row],[Total Bill Impact ($)]]/Table1[[#This Row],[Current Total Bill ($)]]</f>
        <v>2.0090653199811934E-2</v>
      </c>
    </row>
    <row r="38" spans="1:29">
      <c r="A38" s="2" t="s">
        <v>20</v>
      </c>
      <c r="B38" s="2" t="s">
        <v>62</v>
      </c>
      <c r="C38" s="2" t="s">
        <v>84</v>
      </c>
      <c r="D38" s="2" t="s">
        <v>75</v>
      </c>
      <c r="E38" s="12">
        <v>63900</v>
      </c>
      <c r="F38" s="12">
        <v>6667258.6999999993</v>
      </c>
      <c r="G38" s="14">
        <f>IFERROR(Table1[[#This Row],[Volume]]/(Table1[[#This Row],[CD]]*366),0)</f>
        <v>0.28507908959525213</v>
      </c>
      <c r="H38" s="16">
        <f>MIN(Table1[[#This Row],[CD]],inputs!$P$8)</f>
        <v>20000</v>
      </c>
      <c r="I38" s="16">
        <f>MAX(0,Table1[[#This Row],[CD]]-inputs!$P$8)</f>
        <v>43900</v>
      </c>
      <c r="J38" s="19">
        <f>12*VLOOKUP(Table1[[#This Row],[newrate]],rates,2,0)</f>
        <v>6000</v>
      </c>
      <c r="K38" s="19">
        <f>Table1[[#This Row],[Volume]]*VLOOKUP(Table1[[#This Row],[newrate]],rates,3,0)/100</f>
        <v>18034.934783500001</v>
      </c>
      <c r="L38" s="19">
        <f>12*Table1[[#This Row],[CD - Tier 1]]*VLOOKUP(Table1[[#This Row],[newrate]],rates,4,0)/100</f>
        <v>142012.79999999999</v>
      </c>
      <c r="M38" s="19">
        <f>12*Table1[[#This Row],[CD - Tier 2]]*VLOOKUP(Table1[[#This Row],[newrate]],rates,5,0)/100</f>
        <v>212053.85760000002</v>
      </c>
      <c r="N38" s="19">
        <f>Table1[[#This Row],[Volume]]*VLOOKUP(Table1[[#This Row],[newrate]],rates,7,0)/100</f>
        <v>53858.115778599997</v>
      </c>
      <c r="O38" s="19">
        <f>Table1[[#This Row],[Volume]]*VLOOKUP(Table1[[#This Row],[newrate]],rates,8,0)/100</f>
        <v>960211.93071529979</v>
      </c>
      <c r="P38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1392171.6388773997</v>
      </c>
      <c r="Q38" s="21">
        <v>0</v>
      </c>
      <c r="R38" s="21">
        <v>283541.16960000002</v>
      </c>
      <c r="S38" s="21">
        <v>24895.543985799999</v>
      </c>
      <c r="T38" s="21">
        <v>0</v>
      </c>
      <c r="U38" s="21">
        <v>1082979.5423218468</v>
      </c>
      <c r="V38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1391416.2559076468</v>
      </c>
      <c r="W38" s="23">
        <f>Table1[[#This Row],[Proposed Customer Charge]]-Table1[[#This Row],[Current Customer Charge]]</f>
        <v>6000</v>
      </c>
      <c r="X38" s="23">
        <f>Table1[[#This Row],[Proposed Demand Delivery Charge - Tier 1]]+Table1[[#This Row],[Proposed Demand Delivery Charge - Tier 2]]-Table1[[#This Row],[Current Demand Delivery Charge]]</f>
        <v>70525.488000000012</v>
      </c>
      <c r="Y38" s="23">
        <f>Table1[[#This Row],[Proposed Volumetric Delivery Charge]]-Table1[[#This Row],[Current Volumetric Delivery Charge]]</f>
        <v>-6860.6092022999983</v>
      </c>
      <c r="Z38" s="23">
        <f>Table1[[#This Row],[Proposed Gas Supply Transportation Charge]]-Table1[[#This Row],[Current Gas Supply Transportation Charge]]</f>
        <v>53858.115778599997</v>
      </c>
      <c r="AA38" s="23">
        <f>Table1[[#This Row],[Proposed Gas Supply Commodity Charge]]-Table1[[#This Row],[Current Gas Supply Commodity Charge]]</f>
        <v>-122767.61160654703</v>
      </c>
      <c r="AB38" s="24">
        <f>Table1[[#This Row],[Proposed Total Bill ($)]]-Table1[[#This Row],[Current Total Bill ($)]]</f>
        <v>755.3829697528854</v>
      </c>
      <c r="AC38" s="18">
        <f>Table1[[#This Row],[Total Bill Impact ($)]]/Table1[[#This Row],[Current Total Bill ($)]]</f>
        <v>5.4288784290516638E-4</v>
      </c>
    </row>
    <row r="39" spans="1:29">
      <c r="A39" s="2" t="s">
        <v>20</v>
      </c>
      <c r="B39" s="2" t="s">
        <v>62</v>
      </c>
      <c r="C39" s="2" t="s">
        <v>84</v>
      </c>
      <c r="D39" s="2" t="s">
        <v>76</v>
      </c>
      <c r="E39" s="12">
        <v>71000</v>
      </c>
      <c r="F39" s="12">
        <v>5314459.4000000004</v>
      </c>
      <c r="G39" s="14">
        <f>IFERROR(Table1[[#This Row],[Volume]]/(Table1[[#This Row],[CD]]*366),0)</f>
        <v>0.20451240668052029</v>
      </c>
      <c r="H39" s="16">
        <f>MIN(Table1[[#This Row],[CD]],inputs!$P$8)</f>
        <v>20000</v>
      </c>
      <c r="I39" s="16">
        <f>MAX(0,Table1[[#This Row],[CD]]-inputs!$P$8)</f>
        <v>51000</v>
      </c>
      <c r="J39" s="19">
        <f>12*VLOOKUP(Table1[[#This Row],[newrate]],rates,2,0)</f>
        <v>6000</v>
      </c>
      <c r="K39" s="19">
        <f>Table1[[#This Row],[Volume]]*VLOOKUP(Table1[[#This Row],[newrate]],rates,3,0)/100</f>
        <v>14375.612677000003</v>
      </c>
      <c r="L39" s="19">
        <f>12*Table1[[#This Row],[CD - Tier 1]]*VLOOKUP(Table1[[#This Row],[newrate]],rates,4,0)/100</f>
        <v>142012.79999999999</v>
      </c>
      <c r="M39" s="19">
        <f>12*Table1[[#This Row],[CD - Tier 2]]*VLOOKUP(Table1[[#This Row],[newrate]],rates,5,0)/100</f>
        <v>246349.58399999997</v>
      </c>
      <c r="N39" s="19">
        <f>Table1[[#This Row],[Volume]]*VLOOKUP(Table1[[#This Row],[newrate]],rates,7,0)/100</f>
        <v>42930.203033199999</v>
      </c>
      <c r="O39" s="19">
        <f>Table1[[#This Row],[Volume]]*VLOOKUP(Table1[[#This Row],[newrate]],rates,8,0)/100</f>
        <v>765383.12832860008</v>
      </c>
      <c r="P39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1217051.3280388</v>
      </c>
      <c r="Q39" s="21">
        <v>0</v>
      </c>
      <c r="R39" s="21">
        <v>315045.74400000001</v>
      </c>
      <c r="S39" s="21">
        <v>19844.191399600004</v>
      </c>
      <c r="T39" s="21">
        <v>0</v>
      </c>
      <c r="U39" s="21">
        <v>863240.96119144722</v>
      </c>
      <c r="V39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1198130.8965910473</v>
      </c>
      <c r="W39" s="23">
        <f>Table1[[#This Row],[Proposed Customer Charge]]-Table1[[#This Row],[Current Customer Charge]]</f>
        <v>6000</v>
      </c>
      <c r="X39" s="23">
        <f>Table1[[#This Row],[Proposed Demand Delivery Charge - Tier 1]]+Table1[[#This Row],[Proposed Demand Delivery Charge - Tier 2]]-Table1[[#This Row],[Current Demand Delivery Charge]]</f>
        <v>73316.639999999956</v>
      </c>
      <c r="Y39" s="23">
        <f>Table1[[#This Row],[Proposed Volumetric Delivery Charge]]-Table1[[#This Row],[Current Volumetric Delivery Charge]]</f>
        <v>-5468.5787226000011</v>
      </c>
      <c r="Z39" s="23">
        <f>Table1[[#This Row],[Proposed Gas Supply Transportation Charge]]-Table1[[#This Row],[Current Gas Supply Transportation Charge]]</f>
        <v>42930.203033199999</v>
      </c>
      <c r="AA39" s="23">
        <f>Table1[[#This Row],[Proposed Gas Supply Commodity Charge]]-Table1[[#This Row],[Current Gas Supply Commodity Charge]]</f>
        <v>-97857.832862847135</v>
      </c>
      <c r="AB39" s="24">
        <f>Table1[[#This Row],[Proposed Total Bill ($)]]-Table1[[#This Row],[Current Total Bill ($)]]</f>
        <v>18920.431447752751</v>
      </c>
      <c r="AC39" s="18">
        <f>Table1[[#This Row],[Total Bill Impact ($)]]/Table1[[#This Row],[Current Total Bill ($)]]</f>
        <v>1.5791623020143832E-2</v>
      </c>
    </row>
    <row r="40" spans="1:29">
      <c r="A40" s="2" t="s">
        <v>20</v>
      </c>
      <c r="B40" s="2" t="s">
        <v>62</v>
      </c>
      <c r="C40" s="2" t="s">
        <v>84</v>
      </c>
      <c r="D40" s="2" t="s">
        <v>77</v>
      </c>
      <c r="E40" s="12">
        <v>84000</v>
      </c>
      <c r="F40" s="12">
        <v>30000152.300000001</v>
      </c>
      <c r="G40" s="14">
        <f>IFERROR(Table1[[#This Row],[Volume]]/(Table1[[#This Row],[CD]]*366),0)</f>
        <v>0.97580510994015091</v>
      </c>
      <c r="H40" s="16">
        <f>MIN(Table1[[#This Row],[CD]],inputs!$P$8)</f>
        <v>20000</v>
      </c>
      <c r="I40" s="16">
        <f>MAX(0,Table1[[#This Row],[CD]]-inputs!$P$8)</f>
        <v>64000</v>
      </c>
      <c r="J40" s="19">
        <f>12*VLOOKUP(Table1[[#This Row],[newrate]],rates,2,0)</f>
        <v>6000</v>
      </c>
      <c r="K40" s="19">
        <f>Table1[[#This Row],[Volume]]*VLOOKUP(Table1[[#This Row],[newrate]],rates,3,0)/100</f>
        <v>81150.411971499998</v>
      </c>
      <c r="L40" s="19">
        <f>12*Table1[[#This Row],[CD - Tier 1]]*VLOOKUP(Table1[[#This Row],[newrate]],rates,4,0)/100</f>
        <v>142012.79999999999</v>
      </c>
      <c r="M40" s="19">
        <f>12*Table1[[#This Row],[CD - Tier 2]]*VLOOKUP(Table1[[#This Row],[newrate]],rates,5,0)/100</f>
        <v>309144.576</v>
      </c>
      <c r="N40" s="19">
        <f>Table1[[#This Row],[Volume]]*VLOOKUP(Table1[[#This Row],[newrate]],rates,7,0)/100</f>
        <v>242341.23027940001</v>
      </c>
      <c r="O40" s="19">
        <f>Table1[[#This Row],[Volume]]*VLOOKUP(Table1[[#This Row],[newrate]],rates,8,0)/100</f>
        <v>4320591.9340936998</v>
      </c>
      <c r="P40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5101240.9523446001</v>
      </c>
      <c r="Q40" s="21">
        <v>0</v>
      </c>
      <c r="R40" s="21">
        <v>372730.17600000004</v>
      </c>
      <c r="S40" s="21">
        <v>112020.5686882</v>
      </c>
      <c r="T40" s="21">
        <v>0</v>
      </c>
      <c r="U40" s="21">
        <v>4872999.9343567863</v>
      </c>
      <c r="V40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5357750.6790449861</v>
      </c>
      <c r="W40" s="23">
        <f>Table1[[#This Row],[Proposed Customer Charge]]-Table1[[#This Row],[Current Customer Charge]]</f>
        <v>6000</v>
      </c>
      <c r="X40" s="23">
        <f>Table1[[#This Row],[Proposed Demand Delivery Charge - Tier 1]]+Table1[[#This Row],[Proposed Demand Delivery Charge - Tier 2]]-Table1[[#This Row],[Current Demand Delivery Charge]]</f>
        <v>78427.199999999953</v>
      </c>
      <c r="Y40" s="23">
        <f>Table1[[#This Row],[Proposed Volumetric Delivery Charge]]-Table1[[#This Row],[Current Volumetric Delivery Charge]]</f>
        <v>-30870.156716700003</v>
      </c>
      <c r="Z40" s="23">
        <f>Table1[[#This Row],[Proposed Gas Supply Transportation Charge]]-Table1[[#This Row],[Current Gas Supply Transportation Charge]]</f>
        <v>242341.23027940001</v>
      </c>
      <c r="AA40" s="23">
        <f>Table1[[#This Row],[Proposed Gas Supply Commodity Charge]]-Table1[[#This Row],[Current Gas Supply Commodity Charge]]</f>
        <v>-552408.00026308652</v>
      </c>
      <c r="AB40" s="24">
        <f>Table1[[#This Row],[Proposed Total Bill ($)]]-Table1[[#This Row],[Current Total Bill ($)]]</f>
        <v>-256509.72670038603</v>
      </c>
      <c r="AC40" s="18">
        <f>Table1[[#This Row],[Total Bill Impact ($)]]/Table1[[#This Row],[Current Total Bill ($)]]</f>
        <v>-4.787638359202423E-2</v>
      </c>
    </row>
    <row r="41" spans="1:29">
      <c r="A41" s="2" t="s">
        <v>20</v>
      </c>
      <c r="B41" s="2" t="s">
        <v>62</v>
      </c>
      <c r="C41" s="2" t="s">
        <v>84</v>
      </c>
      <c r="D41" s="2" t="s">
        <v>78</v>
      </c>
      <c r="E41" s="12">
        <v>118000</v>
      </c>
      <c r="F41" s="12">
        <v>14037415.9</v>
      </c>
      <c r="G41" s="14">
        <f>IFERROR(Table1[[#This Row],[Volume]]/(Table1[[#This Row],[CD]]*366),0)</f>
        <v>0.32503046911179034</v>
      </c>
      <c r="H41" s="16">
        <f>MIN(Table1[[#This Row],[CD]],inputs!$P$8)</f>
        <v>20000</v>
      </c>
      <c r="I41" s="16">
        <f>MAX(0,Table1[[#This Row],[CD]]-inputs!$P$8)</f>
        <v>98000</v>
      </c>
      <c r="J41" s="19">
        <f>12*VLOOKUP(Table1[[#This Row],[newrate]],rates,2,0)</f>
        <v>6000</v>
      </c>
      <c r="K41" s="19">
        <f>Table1[[#This Row],[Volume]]*VLOOKUP(Table1[[#This Row],[newrate]],rates,3,0)/100</f>
        <v>37971.210009500006</v>
      </c>
      <c r="L41" s="19">
        <f>12*Table1[[#This Row],[CD - Tier 1]]*VLOOKUP(Table1[[#This Row],[newrate]],rates,4,0)/100</f>
        <v>142012.79999999999</v>
      </c>
      <c r="M41" s="19">
        <f>12*Table1[[#This Row],[CD - Tier 2]]*VLOOKUP(Table1[[#This Row],[newrate]],rates,5,0)/100</f>
        <v>473377.63200000004</v>
      </c>
      <c r="N41" s="19">
        <f>Table1[[#This Row],[Volume]]*VLOOKUP(Table1[[#This Row],[newrate]],rates,7,0)/100</f>
        <v>113394.24564020001</v>
      </c>
      <c r="O41" s="19">
        <f>Table1[[#This Row],[Volume]]*VLOOKUP(Table1[[#This Row],[newrate]],rates,8,0)/100</f>
        <v>2021654.6005021001</v>
      </c>
      <c r="P41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2794410.4881517999</v>
      </c>
      <c r="Q41" s="21">
        <v>0</v>
      </c>
      <c r="R41" s="21">
        <v>523597.152</v>
      </c>
      <c r="S41" s="21">
        <v>52415.710970600005</v>
      </c>
      <c r="T41" s="21">
        <v>0</v>
      </c>
      <c r="U41" s="21">
        <v>2280132.6498345444</v>
      </c>
      <c r="V41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2856145.5128051443</v>
      </c>
      <c r="W41" s="23">
        <f>Table1[[#This Row],[Proposed Customer Charge]]-Table1[[#This Row],[Current Customer Charge]]</f>
        <v>6000</v>
      </c>
      <c r="X41" s="23">
        <f>Table1[[#This Row],[Proposed Demand Delivery Charge - Tier 1]]+Table1[[#This Row],[Proposed Demand Delivery Charge - Tier 2]]-Table1[[#This Row],[Current Demand Delivery Charge]]</f>
        <v>91793.280000000028</v>
      </c>
      <c r="Y41" s="23">
        <f>Table1[[#This Row],[Proposed Volumetric Delivery Charge]]-Table1[[#This Row],[Current Volumetric Delivery Charge]]</f>
        <v>-14444.500961099999</v>
      </c>
      <c r="Z41" s="23">
        <f>Table1[[#This Row],[Proposed Gas Supply Transportation Charge]]-Table1[[#This Row],[Current Gas Supply Transportation Charge]]</f>
        <v>113394.24564020001</v>
      </c>
      <c r="AA41" s="23">
        <f>Table1[[#This Row],[Proposed Gas Supply Commodity Charge]]-Table1[[#This Row],[Current Gas Supply Commodity Charge]]</f>
        <v>-258478.04933244432</v>
      </c>
      <c r="AB41" s="24">
        <f>Table1[[#This Row],[Proposed Total Bill ($)]]-Table1[[#This Row],[Current Total Bill ($)]]</f>
        <v>-61735.024653344415</v>
      </c>
      <c r="AC41" s="18">
        <f>Table1[[#This Row],[Total Bill Impact ($)]]/Table1[[#This Row],[Current Total Bill ($)]]</f>
        <v>-2.1614803719405658E-2</v>
      </c>
    </row>
    <row r="42" spans="1:29">
      <c r="A42" s="2" t="s">
        <v>20</v>
      </c>
      <c r="B42" s="2" t="s">
        <v>62</v>
      </c>
      <c r="C42" s="2" t="s">
        <v>84</v>
      </c>
      <c r="D42" s="2" t="s">
        <v>79</v>
      </c>
      <c r="E42" s="12">
        <v>280000</v>
      </c>
      <c r="F42" s="12">
        <v>44260580.099999994</v>
      </c>
      <c r="G42" s="14">
        <f>IFERROR(Table1[[#This Row],[Volume]]/(Table1[[#This Row],[CD]]*366),0)</f>
        <v>0.43189480971896949</v>
      </c>
      <c r="H42" s="16">
        <f>MIN(Table1[[#This Row],[CD]],inputs!$P$8)</f>
        <v>20000</v>
      </c>
      <c r="I42" s="16">
        <f>MAX(0,Table1[[#This Row],[CD]]-inputs!$P$8)</f>
        <v>260000</v>
      </c>
      <c r="J42" s="19">
        <f>12*VLOOKUP(Table1[[#This Row],[newrate]],rates,2,0)</f>
        <v>6000</v>
      </c>
      <c r="K42" s="19">
        <f>Table1[[#This Row],[Volume]]*VLOOKUP(Table1[[#This Row],[newrate]],rates,3,0)/100</f>
        <v>119724.86917049998</v>
      </c>
      <c r="L42" s="19">
        <f>12*Table1[[#This Row],[CD - Tier 1]]*VLOOKUP(Table1[[#This Row],[newrate]],rates,4,0)/100</f>
        <v>142012.79999999999</v>
      </c>
      <c r="M42" s="19">
        <f>12*Table1[[#This Row],[CD - Tier 2]]*VLOOKUP(Table1[[#This Row],[newrate]],rates,5,0)/100</f>
        <v>1255899.8400000001</v>
      </c>
      <c r="N42" s="19">
        <f>Table1[[#This Row],[Volume]]*VLOOKUP(Table1[[#This Row],[newrate]],rates,7,0)/100</f>
        <v>357536.96604779997</v>
      </c>
      <c r="O42" s="19">
        <f>Table1[[#This Row],[Volume]]*VLOOKUP(Table1[[#This Row],[newrate]],rates,8,0)/100</f>
        <v>6374364.4854218988</v>
      </c>
      <c r="P42" s="20">
        <f>Table1[[#This Row],[Proposed Customer Charge]]+Table1[[#This Row],[Proposed Volumetric Delivery Charge]]+Table1[[#This Row],[Proposed Demand Delivery Charge - Tier 1]]+Table1[[#This Row],[Proposed Demand Delivery Charge - Tier 2]]+Table1[[#This Row],[Proposed Gas Supply Transportation Charge]]+Table1[[#This Row],[Proposed Gas Supply Commodity Charge]]</f>
        <v>8255538.9606401986</v>
      </c>
      <c r="Q42" s="21">
        <v>0</v>
      </c>
      <c r="R42" s="21">
        <v>1242433.9200000002</v>
      </c>
      <c r="S42" s="21">
        <v>180228.97799999997</v>
      </c>
      <c r="T42" s="21">
        <v>0</v>
      </c>
      <c r="U42" s="21">
        <v>7189356.9660942424</v>
      </c>
      <c r="V42" s="22">
        <f>Table1[[#This Row],[Current Customer Charge]]+Table1[[#This Row],[Current Demand Delivery Charge]]+Table1[[#This Row],[Current Volumetric Delivery Charge]]+Table1[[#This Row],[Current Gas Supply Transportation Charge]]+Table1[[#This Row],[Current Gas Supply Commodity Charge]]</f>
        <v>8612019.8640942425</v>
      </c>
      <c r="W42" s="23">
        <f>Table1[[#This Row],[Proposed Customer Charge]]-Table1[[#This Row],[Current Customer Charge]]</f>
        <v>6000</v>
      </c>
      <c r="X42" s="23">
        <f>Table1[[#This Row],[Proposed Demand Delivery Charge - Tier 1]]+Table1[[#This Row],[Proposed Demand Delivery Charge - Tier 2]]-Table1[[#This Row],[Current Demand Delivery Charge]]</f>
        <v>155478.71999999997</v>
      </c>
      <c r="Y42" s="23">
        <f>Table1[[#This Row],[Proposed Volumetric Delivery Charge]]-Table1[[#This Row],[Current Volumetric Delivery Charge]]</f>
        <v>-60504.108829499994</v>
      </c>
      <c r="Z42" s="23">
        <f>Table1[[#This Row],[Proposed Gas Supply Transportation Charge]]-Table1[[#This Row],[Current Gas Supply Transportation Charge]]</f>
        <v>357536.96604779997</v>
      </c>
      <c r="AA42" s="23">
        <f>Table1[[#This Row],[Proposed Gas Supply Commodity Charge]]-Table1[[#This Row],[Current Gas Supply Commodity Charge]]</f>
        <v>-814992.48067234363</v>
      </c>
      <c r="AB42" s="24">
        <f>Table1[[#This Row],[Proposed Total Bill ($)]]-Table1[[#This Row],[Current Total Bill ($)]]</f>
        <v>-356480.9034540439</v>
      </c>
      <c r="AC42" s="18">
        <f>Table1[[#This Row],[Total Bill Impact ($)]]/Table1[[#This Row],[Current Total Bill ($)]]</f>
        <v>-4.1393413981812302E-2</v>
      </c>
    </row>
  </sheetData>
  <sheetProtection algorithmName="SHA-512" hashValue="/Jguib3/oRokssYvypOfYD5z5V06UsWFhSDAlKO6Plm9LTdF0lNtOXAFzCvtXt7AxiCPufAkxw58DFThFjPdMA==" saltValue="0wjk3v269gAvTZBWrwxzdQ==" spinCount="100000" sheet="1" objects="1" scenarios="1"/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A8B7-B34A-469D-9EC7-988DF9C9BD4C}">
  <dimension ref="A1:Z25"/>
  <sheetViews>
    <sheetView showGridLines="0" topLeftCell="B1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54" width="13.28515625" style="2" customWidth="1"/>
    <col min="55" max="16384" width="9.140625" style="2"/>
  </cols>
  <sheetData>
    <row r="1" spans="1:26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68</v>
      </c>
      <c r="F1" s="3" t="s">
        <v>33</v>
      </c>
      <c r="G1" s="3" t="s">
        <v>34</v>
      </c>
      <c r="H1" s="10" t="s">
        <v>35</v>
      </c>
      <c r="I1" s="10" t="s">
        <v>36</v>
      </c>
      <c r="J1" s="10" t="s">
        <v>37</v>
      </c>
      <c r="K1" s="10" t="s">
        <v>38</v>
      </c>
      <c r="L1" s="10" t="s">
        <v>39</v>
      </c>
      <c r="M1" s="10" t="s">
        <v>40</v>
      </c>
      <c r="N1" s="11" t="s">
        <v>41</v>
      </c>
      <c r="O1" s="11" t="s">
        <v>42</v>
      </c>
      <c r="P1" s="11" t="s">
        <v>43</v>
      </c>
      <c r="Q1" s="11" t="s">
        <v>44</v>
      </c>
      <c r="R1" s="11" t="s">
        <v>45</v>
      </c>
      <c r="S1" s="11" t="s">
        <v>46</v>
      </c>
      <c r="T1" s="3" t="s">
        <v>47</v>
      </c>
      <c r="U1" s="3" t="s">
        <v>48</v>
      </c>
      <c r="V1" s="3" t="s">
        <v>49</v>
      </c>
      <c r="W1" s="3" t="s">
        <v>50</v>
      </c>
      <c r="X1" s="3" t="s">
        <v>51</v>
      </c>
      <c r="Y1" s="3" t="s">
        <v>52</v>
      </c>
      <c r="Z1" s="3" t="s">
        <v>53</v>
      </c>
    </row>
    <row r="2" spans="1:26">
      <c r="A2" s="2" t="s">
        <v>21</v>
      </c>
      <c r="B2" s="2" t="s">
        <v>54</v>
      </c>
      <c r="C2" s="2" t="s">
        <v>85</v>
      </c>
      <c r="D2" s="2" t="s">
        <v>74</v>
      </c>
      <c r="E2" s="12">
        <v>5600</v>
      </c>
      <c r="F2" s="12">
        <v>823883</v>
      </c>
      <c r="G2" s="13">
        <f>IFERROR(Table12[[#This Row],[Volume]]/(Table12[[#This Row],[CD]]*366),0)</f>
        <v>0.40197258001561281</v>
      </c>
      <c r="H2" s="19">
        <f>12*VLOOKUP(Table12[[#This Row],[newrate]],rates,2,0)</f>
        <v>6000</v>
      </c>
      <c r="I2" s="19">
        <f>Table12[[#This Row],[Volume]]*VLOOKUP(Table12[[#This Row],[newrate]],rates,3,0)/100</f>
        <v>1372.589078</v>
      </c>
      <c r="J2" s="19">
        <f>12*Table12[[#This Row],[CD]]*VLOOKUP(Table12[[#This Row],[newrate]],rates,4,0)/100</f>
        <v>5453.8176000000003</v>
      </c>
      <c r="K2" s="19">
        <f>Table12[[#This Row],[Volume]]*VLOOKUP(Table12[[#This Row],[newrate]],rates,7,0)/100</f>
        <v>5269.5556679999991</v>
      </c>
      <c r="L2" s="19">
        <f>Table12[[#This Row],[Volume]]*VLOOKUP(Table12[[#This Row],[newrate]],rates,8,0)/100</f>
        <v>118654.805777</v>
      </c>
      <c r="M2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136750.76812299999</v>
      </c>
      <c r="N2" s="21">
        <v>1662.72</v>
      </c>
      <c r="O2" s="21">
        <v>6246.7776000000003</v>
      </c>
      <c r="P2" s="21">
        <v>20295.972662</v>
      </c>
      <c r="Q2" s="21">
        <v>40210.433698000008</v>
      </c>
      <c r="R2" s="21">
        <v>86075.176424999998</v>
      </c>
      <c r="S2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154491.08038500001</v>
      </c>
      <c r="T2" s="23">
        <f>Table12[[#This Row],[Proposed Customer Charge]]-Table12[[#This Row],[Current Customer Charge]]</f>
        <v>4337.28</v>
      </c>
      <c r="U2" s="23">
        <f>Table12[[#This Row],[Proposed Demand Delivery Charge]]-Table12[[#This Row],[Current Demand Delivery Charge]]</f>
        <v>-792.96</v>
      </c>
      <c r="V2" s="23">
        <f>Table12[[#This Row],[Proposed Volumetric Delivery Charge]]-Table12[[#This Row],[Current Volumetric Delivery Charge]]</f>
        <v>-18923.383583999999</v>
      </c>
      <c r="W2" s="23">
        <f>Table12[[#This Row],[Proposed Gas Supply Transportation Charge]]-Table12[[#This Row],[Current Gas Supply Transportation Charge]]</f>
        <v>-34940.878030000007</v>
      </c>
      <c r="X2" s="23">
        <f>Table12[[#This Row],[Proposed Gas Supply Commodity Charge]]-Table12[[#This Row],[Current Gas Supply Commodity Charge]]</f>
        <v>32579.629352000004</v>
      </c>
      <c r="Y2" s="24">
        <f>Table12[[#This Row],[Proposed Total Bill ($)]]-Table12[[#This Row],[Current Total Bill ($)]]</f>
        <v>-17740.312262000021</v>
      </c>
      <c r="Z2" s="18">
        <f>Table12[[#This Row],[Total Bill Impact ($)]]/Table12[[#This Row],[Current Total Bill ($)]]</f>
        <v>-0.11483065700485891</v>
      </c>
    </row>
    <row r="3" spans="1:26">
      <c r="A3" s="2" t="s">
        <v>21</v>
      </c>
      <c r="B3" s="2" t="s">
        <v>54</v>
      </c>
      <c r="C3" s="2" t="s">
        <v>85</v>
      </c>
      <c r="D3" s="2" t="s">
        <v>75</v>
      </c>
      <c r="E3" s="12">
        <v>10200</v>
      </c>
      <c r="F3" s="12">
        <v>1199570</v>
      </c>
      <c r="G3" s="14">
        <f>IFERROR(Table12[[#This Row],[Volume]]/(Table12[[#This Row],[CD]]*366),0)</f>
        <v>0.32132486874531235</v>
      </c>
      <c r="H3" s="19">
        <f>12*VLOOKUP(Table12[[#This Row],[newrate]],rates,2,0)</f>
        <v>6000</v>
      </c>
      <c r="I3" s="19">
        <f>Table12[[#This Row],[Volume]]*VLOOKUP(Table12[[#This Row],[newrate]],rates,3,0)/100</f>
        <v>1998.48362</v>
      </c>
      <c r="J3" s="19">
        <f>12*Table12[[#This Row],[CD]]*VLOOKUP(Table12[[#This Row],[newrate]],rates,4,0)/100</f>
        <v>9933.7392</v>
      </c>
      <c r="K3" s="19">
        <f>Table12[[#This Row],[Volume]]*VLOOKUP(Table12[[#This Row],[newrate]],rates,7,0)/100</f>
        <v>7672.4497199999996</v>
      </c>
      <c r="L3" s="19">
        <f>Table12[[#This Row],[Volume]]*VLOOKUP(Table12[[#This Row],[newrate]],rates,8,0)/100</f>
        <v>172760.87182999999</v>
      </c>
      <c r="M3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198365.54436999999</v>
      </c>
      <c r="N3" s="21">
        <v>1662.72</v>
      </c>
      <c r="O3" s="21">
        <v>11378.0592</v>
      </c>
      <c r="P3" s="21">
        <v>29550.850980000003</v>
      </c>
      <c r="Q3" s="21">
        <v>58546.21342</v>
      </c>
      <c r="R3" s="21">
        <v>125325.07574999999</v>
      </c>
      <c r="S3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226462.91934999998</v>
      </c>
      <c r="T3" s="23">
        <f>Table12[[#This Row],[Proposed Customer Charge]]-Table12[[#This Row],[Current Customer Charge]]</f>
        <v>4337.28</v>
      </c>
      <c r="U3" s="23">
        <f>Table12[[#This Row],[Proposed Demand Delivery Charge]]-Table12[[#This Row],[Current Demand Delivery Charge]]</f>
        <v>-1444.3199999999997</v>
      </c>
      <c r="V3" s="23">
        <f>Table12[[#This Row],[Proposed Volumetric Delivery Charge]]-Table12[[#This Row],[Current Volumetric Delivery Charge]]</f>
        <v>-27552.367360000004</v>
      </c>
      <c r="W3" s="23">
        <f>Table12[[#This Row],[Proposed Gas Supply Transportation Charge]]-Table12[[#This Row],[Current Gas Supply Transportation Charge]]</f>
        <v>-50873.763700000003</v>
      </c>
      <c r="X3" s="23">
        <f>Table12[[#This Row],[Proposed Gas Supply Commodity Charge]]-Table12[[#This Row],[Current Gas Supply Commodity Charge]]</f>
        <v>47435.79608</v>
      </c>
      <c r="Y3" s="24">
        <f>Table12[[#This Row],[Proposed Total Bill ($)]]-Table12[[#This Row],[Current Total Bill ($)]]</f>
        <v>-28097.374979999993</v>
      </c>
      <c r="Z3" s="18">
        <f>Table12[[#This Row],[Total Bill Impact ($)]]/Table12[[#This Row],[Current Total Bill ($)]]</f>
        <v>-0.12407053243262006</v>
      </c>
    </row>
    <row r="4" spans="1:26">
      <c r="A4" s="2" t="s">
        <v>21</v>
      </c>
      <c r="B4" s="2" t="s">
        <v>54</v>
      </c>
      <c r="C4" s="2" t="s">
        <v>85</v>
      </c>
      <c r="D4" s="2" t="s">
        <v>76</v>
      </c>
      <c r="E4" s="12">
        <v>16580</v>
      </c>
      <c r="F4" s="12">
        <v>519710</v>
      </c>
      <c r="G4" s="14">
        <f>IFERROR(Table12[[#This Row],[Volume]]/(Table12[[#This Row],[CD]]*366),0)</f>
        <v>8.5643707937010163E-2</v>
      </c>
      <c r="H4" s="19">
        <f>12*VLOOKUP(Table12[[#This Row],[newrate]],rates,2,0)</f>
        <v>6000</v>
      </c>
      <c r="I4" s="19">
        <f>Table12[[#This Row],[Volume]]*VLOOKUP(Table12[[#This Row],[newrate]],rates,3,0)/100</f>
        <v>865.83686</v>
      </c>
      <c r="J4" s="19">
        <f>12*Table12[[#This Row],[CD]]*VLOOKUP(Table12[[#This Row],[newrate]],rates,4,0)/100</f>
        <v>16147.195679999999</v>
      </c>
      <c r="K4" s="19">
        <f>Table12[[#This Row],[Volume]]*VLOOKUP(Table12[[#This Row],[newrate]],rates,7,0)/100</f>
        <v>3324.0651599999997</v>
      </c>
      <c r="L4" s="19">
        <f>Table12[[#This Row],[Volume]]*VLOOKUP(Table12[[#This Row],[newrate]],rates,8,0)/100</f>
        <v>74848.114490000007</v>
      </c>
      <c r="M4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101185.21219000001</v>
      </c>
      <c r="N4" s="21">
        <v>1662.72</v>
      </c>
      <c r="O4" s="21">
        <v>18494.92368</v>
      </c>
      <c r="P4" s="21">
        <v>12802.826940000001</v>
      </c>
      <c r="Q4" s="21">
        <v>25364.966260000001</v>
      </c>
      <c r="R4" s="21">
        <v>54296.702249999995</v>
      </c>
      <c r="S4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112622.13913</v>
      </c>
      <c r="T4" s="23">
        <f>Table12[[#This Row],[Proposed Customer Charge]]-Table12[[#This Row],[Current Customer Charge]]</f>
        <v>4337.28</v>
      </c>
      <c r="U4" s="23">
        <f>Table12[[#This Row],[Proposed Demand Delivery Charge]]-Table12[[#This Row],[Current Demand Delivery Charge]]</f>
        <v>-2347.728000000001</v>
      </c>
      <c r="V4" s="23">
        <f>Table12[[#This Row],[Proposed Volumetric Delivery Charge]]-Table12[[#This Row],[Current Volumetric Delivery Charge]]</f>
        <v>-11936.990080000001</v>
      </c>
      <c r="W4" s="23">
        <f>Table12[[#This Row],[Proposed Gas Supply Transportation Charge]]-Table12[[#This Row],[Current Gas Supply Transportation Charge]]</f>
        <v>-22040.901100000003</v>
      </c>
      <c r="X4" s="23">
        <f>Table12[[#This Row],[Proposed Gas Supply Commodity Charge]]-Table12[[#This Row],[Current Gas Supply Commodity Charge]]</f>
        <v>20551.412240000012</v>
      </c>
      <c r="Y4" s="24">
        <f>Table12[[#This Row],[Proposed Total Bill ($)]]-Table12[[#This Row],[Current Total Bill ($)]]</f>
        <v>-11436.92693999999</v>
      </c>
      <c r="Z4" s="18">
        <f>Table12[[#This Row],[Total Bill Impact ($)]]/Table12[[#This Row],[Current Total Bill ($)]]</f>
        <v>-0.10155132044507093</v>
      </c>
    </row>
    <row r="5" spans="1:26">
      <c r="A5" s="2" t="s">
        <v>21</v>
      </c>
      <c r="B5" s="2" t="s">
        <v>54</v>
      </c>
      <c r="C5" s="2" t="s">
        <v>85</v>
      </c>
      <c r="D5" s="2" t="s">
        <v>77</v>
      </c>
      <c r="E5" s="12">
        <v>25000</v>
      </c>
      <c r="F5" s="12">
        <v>526579</v>
      </c>
      <c r="G5" s="14">
        <f>IFERROR(Table12[[#This Row],[Volume]]/(Table12[[#This Row],[CD]]*366),0)</f>
        <v>5.75496174863388E-2</v>
      </c>
      <c r="H5" s="19">
        <f>12*VLOOKUP(Table12[[#This Row],[newrate]],rates,2,0)</f>
        <v>6000</v>
      </c>
      <c r="I5" s="19">
        <f>Table12[[#This Row],[Volume]]*VLOOKUP(Table12[[#This Row],[newrate]],rates,3,0)/100</f>
        <v>877.28061400000001</v>
      </c>
      <c r="J5" s="19">
        <f>12*Table12[[#This Row],[CD]]*VLOOKUP(Table12[[#This Row],[newrate]],rates,4,0)/100</f>
        <v>24347.4</v>
      </c>
      <c r="K5" s="19">
        <f>Table12[[#This Row],[Volume]]*VLOOKUP(Table12[[#This Row],[newrate]],rates,7,0)/100</f>
        <v>3367.9992839999995</v>
      </c>
      <c r="L5" s="19">
        <f>Table12[[#This Row],[Volume]]*VLOOKUP(Table12[[#This Row],[newrate]],rates,8,0)/100</f>
        <v>75837.381001000002</v>
      </c>
      <c r="M5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110430.060899</v>
      </c>
      <c r="N5" s="21">
        <v>1662.72</v>
      </c>
      <c r="O5" s="21">
        <v>27887.4</v>
      </c>
      <c r="P5" s="21">
        <v>12972.040005999999</v>
      </c>
      <c r="Q5" s="21">
        <v>25700.214673999999</v>
      </c>
      <c r="R5" s="21">
        <v>55014.341025000002</v>
      </c>
      <c r="S5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123236.71570500001</v>
      </c>
      <c r="T5" s="23">
        <f>Table12[[#This Row],[Proposed Customer Charge]]-Table12[[#This Row],[Current Customer Charge]]</f>
        <v>4337.28</v>
      </c>
      <c r="U5" s="23">
        <f>Table12[[#This Row],[Proposed Demand Delivery Charge]]-Table12[[#This Row],[Current Demand Delivery Charge]]</f>
        <v>-3540</v>
      </c>
      <c r="V5" s="23">
        <f>Table12[[#This Row],[Proposed Volumetric Delivery Charge]]-Table12[[#This Row],[Current Volumetric Delivery Charge]]</f>
        <v>-12094.759392</v>
      </c>
      <c r="W5" s="23">
        <f>Table12[[#This Row],[Proposed Gas Supply Transportation Charge]]-Table12[[#This Row],[Current Gas Supply Transportation Charge]]</f>
        <v>-22332.215389999998</v>
      </c>
      <c r="X5" s="23">
        <f>Table12[[#This Row],[Proposed Gas Supply Commodity Charge]]-Table12[[#This Row],[Current Gas Supply Commodity Charge]]</f>
        <v>20823.039976</v>
      </c>
      <c r="Y5" s="24">
        <f>Table12[[#This Row],[Proposed Total Bill ($)]]-Table12[[#This Row],[Current Total Bill ($)]]</f>
        <v>-12806.654806000006</v>
      </c>
      <c r="Z5" s="18">
        <f>Table12[[#This Row],[Total Bill Impact ($)]]/Table12[[#This Row],[Current Total Bill ($)]]</f>
        <v>-0.10391915049615696</v>
      </c>
    </row>
    <row r="6" spans="1:26">
      <c r="A6" s="2" t="s">
        <v>21</v>
      </c>
      <c r="B6" s="2" t="s">
        <v>54</v>
      </c>
      <c r="C6" s="2" t="s">
        <v>85</v>
      </c>
      <c r="D6" s="2" t="s">
        <v>78</v>
      </c>
      <c r="E6" s="12">
        <v>31000</v>
      </c>
      <c r="F6" s="12">
        <v>1000007</v>
      </c>
      <c r="G6" s="14">
        <f>IFERROR(Table12[[#This Row],[Volume]]/(Table12[[#This Row],[CD]]*366),0)</f>
        <v>8.8137405252952578E-2</v>
      </c>
      <c r="H6" s="19">
        <f>12*VLOOKUP(Table12[[#This Row],[newrate]],rates,2,0)</f>
        <v>6000</v>
      </c>
      <c r="I6" s="19">
        <f>Table12[[#This Row],[Volume]]*VLOOKUP(Table12[[#This Row],[newrate]],rates,3,0)/100</f>
        <v>1666.0116620000001</v>
      </c>
      <c r="J6" s="19">
        <f>12*Table12[[#This Row],[CD]]*VLOOKUP(Table12[[#This Row],[newrate]],rates,4,0)/100</f>
        <v>30190.776000000002</v>
      </c>
      <c r="K6" s="19">
        <f>Table12[[#This Row],[Volume]]*VLOOKUP(Table12[[#This Row],[newrate]],rates,7,0)/100</f>
        <v>6396.0447719999993</v>
      </c>
      <c r="L6" s="19">
        <f>Table12[[#This Row],[Volume]]*VLOOKUP(Table12[[#This Row],[newrate]],rates,8,0)/100</f>
        <v>144020.008133</v>
      </c>
      <c r="M6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188272.84056700001</v>
      </c>
      <c r="N6" s="21">
        <v>1662.72</v>
      </c>
      <c r="O6" s="21">
        <v>34580.376000000004</v>
      </c>
      <c r="P6" s="21">
        <v>24634.730798000001</v>
      </c>
      <c r="Q6" s="21">
        <v>48806.341642000007</v>
      </c>
      <c r="R6" s="21">
        <v>104475.731325</v>
      </c>
      <c r="S6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214159.89976500001</v>
      </c>
      <c r="T6" s="23">
        <f>Table12[[#This Row],[Proposed Customer Charge]]-Table12[[#This Row],[Current Customer Charge]]</f>
        <v>4337.28</v>
      </c>
      <c r="U6" s="23">
        <f>Table12[[#This Row],[Proposed Demand Delivery Charge]]-Table12[[#This Row],[Current Demand Delivery Charge]]</f>
        <v>-4389.6000000000022</v>
      </c>
      <c r="V6" s="23">
        <f>Table12[[#This Row],[Proposed Volumetric Delivery Charge]]-Table12[[#This Row],[Current Volumetric Delivery Charge]]</f>
        <v>-22968.719136</v>
      </c>
      <c r="W6" s="23">
        <f>Table12[[#This Row],[Proposed Gas Supply Transportation Charge]]-Table12[[#This Row],[Current Gas Supply Transportation Charge]]</f>
        <v>-42410.296870000006</v>
      </c>
      <c r="X6" s="23">
        <f>Table12[[#This Row],[Proposed Gas Supply Commodity Charge]]-Table12[[#This Row],[Current Gas Supply Commodity Charge]]</f>
        <v>39544.276807999995</v>
      </c>
      <c r="Y6" s="24">
        <f>Table12[[#This Row],[Proposed Total Bill ($)]]-Table12[[#This Row],[Current Total Bill ($)]]</f>
        <v>-25887.059198000003</v>
      </c>
      <c r="Z6" s="18">
        <f>Table12[[#This Row],[Total Bill Impact ($)]]/Table12[[#This Row],[Current Total Bill ($)]]</f>
        <v>-0.12087724745111553</v>
      </c>
    </row>
    <row r="7" spans="1:26">
      <c r="A7" s="2" t="s">
        <v>21</v>
      </c>
      <c r="B7" s="2" t="s">
        <v>54</v>
      </c>
      <c r="C7" s="2" t="s">
        <v>85</v>
      </c>
      <c r="D7" s="2" t="s">
        <v>79</v>
      </c>
      <c r="E7" s="12">
        <v>150000</v>
      </c>
      <c r="F7" s="12">
        <v>1714226</v>
      </c>
      <c r="G7" s="14">
        <f>IFERROR(Table12[[#This Row],[Volume]]/(Table12[[#This Row],[CD]]*366),0)</f>
        <v>3.1224517304189434E-2</v>
      </c>
      <c r="H7" s="19">
        <f>12*VLOOKUP(Table12[[#This Row],[newrate]],rates,2,0)</f>
        <v>6000</v>
      </c>
      <c r="I7" s="19">
        <f>Table12[[#This Row],[Volume]]*VLOOKUP(Table12[[#This Row],[newrate]],rates,3,0)/100</f>
        <v>2855.9005160000002</v>
      </c>
      <c r="J7" s="19">
        <f>12*Table12[[#This Row],[CD]]*VLOOKUP(Table12[[#This Row],[newrate]],rates,4,0)/100</f>
        <v>146084.4</v>
      </c>
      <c r="K7" s="19">
        <f>Table12[[#This Row],[Volume]]*VLOOKUP(Table12[[#This Row],[newrate]],rates,7,0)/100</f>
        <v>10964.189495999999</v>
      </c>
      <c r="L7" s="19">
        <f>Table12[[#This Row],[Volume]]*VLOOKUP(Table12[[#This Row],[newrate]],rates,8,0)/100</f>
        <v>246881.114294</v>
      </c>
      <c r="M7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412785.60430599999</v>
      </c>
      <c r="N7" s="21">
        <v>1662.72</v>
      </c>
      <c r="O7" s="21">
        <v>167324.4</v>
      </c>
      <c r="P7" s="21">
        <v>42229.201763999998</v>
      </c>
      <c r="Q7" s="21">
        <v>83664.514156000005</v>
      </c>
      <c r="R7" s="21">
        <v>179093.76134999999</v>
      </c>
      <c r="S7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473974.59726999997</v>
      </c>
      <c r="T7" s="23">
        <f>Table12[[#This Row],[Proposed Customer Charge]]-Table12[[#This Row],[Current Customer Charge]]</f>
        <v>4337.28</v>
      </c>
      <c r="U7" s="23">
        <f>Table12[[#This Row],[Proposed Demand Delivery Charge]]-Table12[[#This Row],[Current Demand Delivery Charge]]</f>
        <v>-21240</v>
      </c>
      <c r="V7" s="23">
        <f>Table12[[#This Row],[Proposed Volumetric Delivery Charge]]-Table12[[#This Row],[Current Volumetric Delivery Charge]]</f>
        <v>-39373.301247999996</v>
      </c>
      <c r="W7" s="23">
        <f>Table12[[#This Row],[Proposed Gas Supply Transportation Charge]]-Table12[[#This Row],[Current Gas Supply Transportation Charge]]</f>
        <v>-72700.324660000013</v>
      </c>
      <c r="X7" s="23">
        <f>Table12[[#This Row],[Proposed Gas Supply Commodity Charge]]-Table12[[#This Row],[Current Gas Supply Commodity Charge]]</f>
        <v>67787.352944000013</v>
      </c>
      <c r="Y7" s="24">
        <f>Table12[[#This Row],[Proposed Total Bill ($)]]-Table12[[#This Row],[Current Total Bill ($)]]</f>
        <v>-61188.992963999975</v>
      </c>
      <c r="Z7" s="18">
        <f>Table12[[#This Row],[Total Bill Impact ($)]]/Table12[[#This Row],[Current Total Bill ($)]]</f>
        <v>-0.12909762108863321</v>
      </c>
    </row>
    <row r="8" spans="1:26">
      <c r="A8" s="2" t="s">
        <v>21</v>
      </c>
      <c r="B8" s="2" t="s">
        <v>54</v>
      </c>
      <c r="C8" s="2" t="s">
        <v>86</v>
      </c>
      <c r="D8" s="2" t="s">
        <v>74</v>
      </c>
      <c r="E8" s="12">
        <v>30000</v>
      </c>
      <c r="F8" s="12">
        <v>6000006</v>
      </c>
      <c r="G8" s="14">
        <f>IFERROR(Table12[[#This Row],[Volume]]/(Table12[[#This Row],[CD]]*366),0)</f>
        <v>0.54644863387978138</v>
      </c>
      <c r="H8" s="19">
        <f>12*VLOOKUP(Table12[[#This Row],[newrate]],rates,2,0)</f>
        <v>6000</v>
      </c>
      <c r="I8" s="19">
        <f>Table12[[#This Row],[Volume]]*VLOOKUP(Table12[[#This Row],[newrate]],rates,3,0)/100</f>
        <v>9996.0099960000007</v>
      </c>
      <c r="J8" s="19">
        <f>12*Table12[[#This Row],[CD]]*VLOOKUP(Table12[[#This Row],[newrate]],rates,4,0)/100</f>
        <v>29216.880000000001</v>
      </c>
      <c r="K8" s="19">
        <f>Table12[[#This Row],[Volume]]*VLOOKUP(Table12[[#This Row],[newrate]],rates,7,0)/100</f>
        <v>38376.038375999997</v>
      </c>
      <c r="L8" s="19">
        <f>Table12[[#This Row],[Volume]]*VLOOKUP(Table12[[#This Row],[newrate]],rates,8,0)/100</f>
        <v>864114.86411399988</v>
      </c>
      <c r="M8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947703.79248599987</v>
      </c>
      <c r="N8" s="21">
        <v>3765.4800000000005</v>
      </c>
      <c r="O8" s="21">
        <v>16616.520000000004</v>
      </c>
      <c r="P8" s="21">
        <v>-33934.801606000001</v>
      </c>
      <c r="Q8" s="21">
        <v>292836.29283600004</v>
      </c>
      <c r="R8" s="21">
        <v>626610.62661000004</v>
      </c>
      <c r="S8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905894.11784000008</v>
      </c>
      <c r="T8" s="23">
        <f>Table12[[#This Row],[Proposed Customer Charge]]-Table12[[#This Row],[Current Customer Charge]]</f>
        <v>2234.5199999999995</v>
      </c>
      <c r="U8" s="23">
        <f>Table12[[#This Row],[Proposed Demand Delivery Charge]]-Table12[[#This Row],[Current Demand Delivery Charge]]</f>
        <v>12600.359999999997</v>
      </c>
      <c r="V8" s="23">
        <f>Table12[[#This Row],[Proposed Volumetric Delivery Charge]]-Table12[[#This Row],[Current Volumetric Delivery Charge]]</f>
        <v>43930.811602000002</v>
      </c>
      <c r="W8" s="23">
        <f>Table12[[#This Row],[Proposed Gas Supply Transportation Charge]]-Table12[[#This Row],[Current Gas Supply Transportation Charge]]</f>
        <v>-254460.25446000003</v>
      </c>
      <c r="X8" s="23">
        <f>Table12[[#This Row],[Proposed Gas Supply Commodity Charge]]-Table12[[#This Row],[Current Gas Supply Commodity Charge]]</f>
        <v>237504.23750399984</v>
      </c>
      <c r="Y8" s="24">
        <f>Table12[[#This Row],[Proposed Total Bill ($)]]-Table12[[#This Row],[Current Total Bill ($)]]</f>
        <v>41809.674645999796</v>
      </c>
      <c r="Z8" s="18">
        <f>Table12[[#This Row],[Total Bill Impact ($)]]/Table12[[#This Row],[Current Total Bill ($)]]</f>
        <v>4.6152937548253586E-2</v>
      </c>
    </row>
    <row r="9" spans="1:26">
      <c r="A9" s="2" t="s">
        <v>21</v>
      </c>
      <c r="B9" s="2" t="s">
        <v>54</v>
      </c>
      <c r="C9" s="2" t="s">
        <v>86</v>
      </c>
      <c r="D9" s="2" t="s">
        <v>75</v>
      </c>
      <c r="E9" s="12">
        <v>39000</v>
      </c>
      <c r="F9" s="12">
        <v>5618198</v>
      </c>
      <c r="G9" s="14">
        <f>IFERROR(Table12[[#This Row],[Volume]]/(Table12[[#This Row],[CD]]*366),0)</f>
        <v>0.39359660921956002</v>
      </c>
      <c r="H9" s="19">
        <f>12*VLOOKUP(Table12[[#This Row],[newrate]],rates,2,0)</f>
        <v>6000</v>
      </c>
      <c r="I9" s="19">
        <f>Table12[[#This Row],[Volume]]*VLOOKUP(Table12[[#This Row],[newrate]],rates,3,0)/100</f>
        <v>9359.9178680000005</v>
      </c>
      <c r="J9" s="19">
        <f>12*Table12[[#This Row],[CD]]*VLOOKUP(Table12[[#This Row],[newrate]],rates,4,0)/100</f>
        <v>37981.943999999996</v>
      </c>
      <c r="K9" s="19">
        <f>Table12[[#This Row],[Volume]]*VLOOKUP(Table12[[#This Row],[newrate]],rates,7,0)/100</f>
        <v>35933.994407999999</v>
      </c>
      <c r="L9" s="19">
        <f>Table12[[#This Row],[Volume]]*VLOOKUP(Table12[[#This Row],[newrate]],rates,8,0)/100</f>
        <v>809127.25776199996</v>
      </c>
      <c r="M9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898403.114038</v>
      </c>
      <c r="N9" s="21">
        <v>3765.4800000000005</v>
      </c>
      <c r="O9" s="21">
        <v>21601.476000000002</v>
      </c>
      <c r="P9" s="21">
        <v>-31775.39099800001</v>
      </c>
      <c r="Q9" s="21">
        <v>274201.771588</v>
      </c>
      <c r="R9" s="21">
        <v>586736.50812999997</v>
      </c>
      <c r="S9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854529.84471999994</v>
      </c>
      <c r="T9" s="23">
        <f>Table12[[#This Row],[Proposed Customer Charge]]-Table12[[#This Row],[Current Customer Charge]]</f>
        <v>2234.5199999999995</v>
      </c>
      <c r="U9" s="23">
        <f>Table12[[#This Row],[Proposed Demand Delivery Charge]]-Table12[[#This Row],[Current Demand Delivery Charge]]</f>
        <v>16380.467999999993</v>
      </c>
      <c r="V9" s="23">
        <f>Table12[[#This Row],[Proposed Volumetric Delivery Charge]]-Table12[[#This Row],[Current Volumetric Delivery Charge]]</f>
        <v>41135.308866000007</v>
      </c>
      <c r="W9" s="23">
        <f>Table12[[#This Row],[Proposed Gas Supply Transportation Charge]]-Table12[[#This Row],[Current Gas Supply Transportation Charge]]</f>
        <v>-238267.77718</v>
      </c>
      <c r="X9" s="23">
        <f>Table12[[#This Row],[Proposed Gas Supply Commodity Charge]]-Table12[[#This Row],[Current Gas Supply Commodity Charge]]</f>
        <v>222390.74963199999</v>
      </c>
      <c r="Y9" s="24">
        <f>Table12[[#This Row],[Proposed Total Bill ($)]]-Table12[[#This Row],[Current Total Bill ($)]]</f>
        <v>43873.269318000064</v>
      </c>
      <c r="Z9" s="18">
        <f>Table12[[#This Row],[Total Bill Impact ($)]]/Table12[[#This Row],[Current Total Bill ($)]]</f>
        <v>5.134199769509025E-2</v>
      </c>
    </row>
    <row r="10" spans="1:26">
      <c r="A10" s="2" t="s">
        <v>21</v>
      </c>
      <c r="B10" s="2" t="s">
        <v>54</v>
      </c>
      <c r="C10" s="2" t="s">
        <v>86</v>
      </c>
      <c r="D10" s="2" t="s">
        <v>76</v>
      </c>
      <c r="E10" s="12">
        <v>56000</v>
      </c>
      <c r="F10" s="12">
        <v>15000004</v>
      </c>
      <c r="G10" s="14">
        <f>IFERROR(Table12[[#This Row],[Volume]]/(Table12[[#This Row],[CD]]*366),0)</f>
        <v>0.73185031225604991</v>
      </c>
      <c r="H10" s="19">
        <f>12*VLOOKUP(Table12[[#This Row],[newrate]],rates,2,0)</f>
        <v>6000</v>
      </c>
      <c r="I10" s="19">
        <f>Table12[[#This Row],[Volume]]*VLOOKUP(Table12[[#This Row],[newrate]],rates,3,0)/100</f>
        <v>24990.006664</v>
      </c>
      <c r="J10" s="19">
        <f>12*Table12[[#This Row],[CD]]*VLOOKUP(Table12[[#This Row],[newrate]],rates,4,0)/100</f>
        <v>54538.175999999999</v>
      </c>
      <c r="K10" s="19">
        <f>Table12[[#This Row],[Volume]]*VLOOKUP(Table12[[#This Row],[newrate]],rates,7,0)/100</f>
        <v>95940.025583999988</v>
      </c>
      <c r="L10" s="19">
        <f>Table12[[#This Row],[Volume]]*VLOOKUP(Table12[[#This Row],[newrate]],rates,8,0)/100</f>
        <v>2160285.576076</v>
      </c>
      <c r="M10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2341753.7843240001</v>
      </c>
      <c r="N10" s="21">
        <v>3765.4800000000005</v>
      </c>
      <c r="O10" s="21">
        <v>31017.504000000004</v>
      </c>
      <c r="P10" s="21">
        <v>-84836.934404</v>
      </c>
      <c r="Q10" s="21">
        <v>732090.19522400002</v>
      </c>
      <c r="R10" s="21">
        <v>1566525.4177399999</v>
      </c>
      <c r="S10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2248561.6625600001</v>
      </c>
      <c r="T10" s="23">
        <f>Table12[[#This Row],[Proposed Customer Charge]]-Table12[[#This Row],[Current Customer Charge]]</f>
        <v>2234.5199999999995</v>
      </c>
      <c r="U10" s="23">
        <f>Table12[[#This Row],[Proposed Demand Delivery Charge]]-Table12[[#This Row],[Current Demand Delivery Charge]]</f>
        <v>23520.671999999995</v>
      </c>
      <c r="V10" s="23">
        <f>Table12[[#This Row],[Proposed Volumetric Delivery Charge]]-Table12[[#This Row],[Current Volumetric Delivery Charge]]</f>
        <v>109826.941068</v>
      </c>
      <c r="W10" s="23">
        <f>Table12[[#This Row],[Proposed Gas Supply Transportation Charge]]-Table12[[#This Row],[Current Gas Supply Transportation Charge]]</f>
        <v>-636150.16963999998</v>
      </c>
      <c r="X10" s="23">
        <f>Table12[[#This Row],[Proposed Gas Supply Commodity Charge]]-Table12[[#This Row],[Current Gas Supply Commodity Charge]]</f>
        <v>593760.15833600005</v>
      </c>
      <c r="Y10" s="24">
        <f>Table12[[#This Row],[Proposed Total Bill ($)]]-Table12[[#This Row],[Current Total Bill ($)]]</f>
        <v>93192.12176400004</v>
      </c>
      <c r="Z10" s="18">
        <f>Table12[[#This Row],[Total Bill Impact ($)]]/Table12[[#This Row],[Current Total Bill ($)]]</f>
        <v>4.1445215097148054E-2</v>
      </c>
    </row>
    <row r="11" spans="1:26">
      <c r="A11" s="2" t="s">
        <v>21</v>
      </c>
      <c r="B11" s="2" t="s">
        <v>54</v>
      </c>
      <c r="C11" s="2" t="s">
        <v>86</v>
      </c>
      <c r="D11" s="2" t="s">
        <v>77</v>
      </c>
      <c r="E11" s="12">
        <v>104387</v>
      </c>
      <c r="F11" s="12">
        <v>24008061</v>
      </c>
      <c r="G11" s="14">
        <f>IFERROR(Table12[[#This Row],[Volume]]/(Table12[[#This Row],[CD]]*366),0)</f>
        <v>0.6283904612831791</v>
      </c>
      <c r="H11" s="19">
        <f>12*VLOOKUP(Table12[[#This Row],[newrate]],rates,2,0)</f>
        <v>6000</v>
      </c>
      <c r="I11" s="19">
        <f>Table12[[#This Row],[Volume]]*VLOOKUP(Table12[[#This Row],[newrate]],rates,3,0)/100</f>
        <v>39997.429625999997</v>
      </c>
      <c r="J11" s="19">
        <f>12*Table12[[#This Row],[CD]]*VLOOKUP(Table12[[#This Row],[newrate]],rates,4,0)/100</f>
        <v>101662.081752</v>
      </c>
      <c r="K11" s="19">
        <f>Table12[[#This Row],[Volume]]*VLOOKUP(Table12[[#This Row],[newrate]],rates,7,0)/100</f>
        <v>153555.55815599998</v>
      </c>
      <c r="L11" s="19">
        <f>Table12[[#This Row],[Volume]]*VLOOKUP(Table12[[#This Row],[newrate]],rates,8,0)/100</f>
        <v>3457616.937159</v>
      </c>
      <c r="M11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3758832.006693</v>
      </c>
      <c r="N11" s="21">
        <v>3765.4800000000005</v>
      </c>
      <c r="O11" s="21">
        <v>57818.289108000004</v>
      </c>
      <c r="P11" s="21">
        <v>-135784.657661</v>
      </c>
      <c r="Q11" s="21">
        <v>1171737.4251660001</v>
      </c>
      <c r="R11" s="21">
        <v>2507281.8505349997</v>
      </c>
      <c r="S11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3604818.3871479998</v>
      </c>
      <c r="T11" s="23">
        <f>Table12[[#This Row],[Proposed Customer Charge]]-Table12[[#This Row],[Current Customer Charge]]</f>
        <v>2234.5199999999995</v>
      </c>
      <c r="U11" s="23">
        <f>Table12[[#This Row],[Proposed Demand Delivery Charge]]-Table12[[#This Row],[Current Demand Delivery Charge]]</f>
        <v>43843.792643999994</v>
      </c>
      <c r="V11" s="23">
        <f>Table12[[#This Row],[Proposed Volumetric Delivery Charge]]-Table12[[#This Row],[Current Volumetric Delivery Charge]]</f>
        <v>175782.087287</v>
      </c>
      <c r="W11" s="23">
        <f>Table12[[#This Row],[Proposed Gas Supply Transportation Charge]]-Table12[[#This Row],[Current Gas Supply Transportation Charge]]</f>
        <v>-1018181.8670100002</v>
      </c>
      <c r="X11" s="23">
        <f>Table12[[#This Row],[Proposed Gas Supply Commodity Charge]]-Table12[[#This Row],[Current Gas Supply Commodity Charge]]</f>
        <v>950335.08662400022</v>
      </c>
      <c r="Y11" s="24">
        <f>Table12[[#This Row],[Proposed Total Bill ($)]]-Table12[[#This Row],[Current Total Bill ($)]]</f>
        <v>154013.61954500014</v>
      </c>
      <c r="Z11" s="18">
        <f>Table12[[#This Row],[Total Bill Impact ($)]]/Table12[[#This Row],[Current Total Bill ($)]]</f>
        <v>4.2724376932300898E-2</v>
      </c>
    </row>
    <row r="12" spans="1:26">
      <c r="A12" s="2" t="s">
        <v>21</v>
      </c>
      <c r="B12" s="2" t="s">
        <v>54</v>
      </c>
      <c r="C12" s="2" t="s">
        <v>86</v>
      </c>
      <c r="D12" s="2" t="s">
        <v>78</v>
      </c>
      <c r="E12" s="12">
        <v>205000</v>
      </c>
      <c r="F12" s="12">
        <v>17869814</v>
      </c>
      <c r="G12" s="14">
        <f>IFERROR(Table12[[#This Row],[Volume]]/(Table12[[#This Row],[CD]]*366),0)</f>
        <v>0.23816891909902704</v>
      </c>
      <c r="H12" s="19">
        <f>12*VLOOKUP(Table12[[#This Row],[newrate]],rates,2,0)</f>
        <v>6000</v>
      </c>
      <c r="I12" s="19">
        <f>Table12[[#This Row],[Volume]]*VLOOKUP(Table12[[#This Row],[newrate]],rates,3,0)/100</f>
        <v>29771.110123999999</v>
      </c>
      <c r="J12" s="19">
        <f>12*Table12[[#This Row],[CD]]*VLOOKUP(Table12[[#This Row],[newrate]],rates,4,0)/100</f>
        <v>199648.68</v>
      </c>
      <c r="K12" s="19">
        <f>Table12[[#This Row],[Volume]]*VLOOKUP(Table12[[#This Row],[newrate]],rates,7,0)/100</f>
        <v>114295.33034399999</v>
      </c>
      <c r="L12" s="19">
        <f>Table12[[#This Row],[Volume]]*VLOOKUP(Table12[[#This Row],[newrate]],rates,8,0)/100</f>
        <v>2573592.7424659999</v>
      </c>
      <c r="M12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2923307.8629339999</v>
      </c>
      <c r="N12" s="21">
        <v>3765.4800000000005</v>
      </c>
      <c r="O12" s="21">
        <v>113546.22</v>
      </c>
      <c r="P12" s="21">
        <v>-101067.98021400002</v>
      </c>
      <c r="Q12" s="21">
        <v>872154.14208400017</v>
      </c>
      <c r="R12" s="21">
        <v>1866234.0250900001</v>
      </c>
      <c r="S12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2754631.8869600003</v>
      </c>
      <c r="T12" s="23">
        <f>Table12[[#This Row],[Proposed Customer Charge]]-Table12[[#This Row],[Current Customer Charge]]</f>
        <v>2234.5199999999995</v>
      </c>
      <c r="U12" s="23">
        <f>Table12[[#This Row],[Proposed Demand Delivery Charge]]-Table12[[#This Row],[Current Demand Delivery Charge]]</f>
        <v>86102.459999999992</v>
      </c>
      <c r="V12" s="23">
        <f>Table12[[#This Row],[Proposed Volumetric Delivery Charge]]-Table12[[#This Row],[Current Volumetric Delivery Charge]]</f>
        <v>130839.09033800002</v>
      </c>
      <c r="W12" s="23">
        <f>Table12[[#This Row],[Proposed Gas Supply Transportation Charge]]-Table12[[#This Row],[Current Gas Supply Transportation Charge]]</f>
        <v>-757858.81174000015</v>
      </c>
      <c r="X12" s="23">
        <f>Table12[[#This Row],[Proposed Gas Supply Commodity Charge]]-Table12[[#This Row],[Current Gas Supply Commodity Charge]]</f>
        <v>707358.71737599978</v>
      </c>
      <c r="Y12" s="24">
        <f>Table12[[#This Row],[Proposed Total Bill ($)]]-Table12[[#This Row],[Current Total Bill ($)]]</f>
        <v>168675.97597399959</v>
      </c>
      <c r="Z12" s="18">
        <f>Table12[[#This Row],[Total Bill Impact ($)]]/Table12[[#This Row],[Current Total Bill ($)]]</f>
        <v>6.1233581435140384E-2</v>
      </c>
    </row>
    <row r="13" spans="1:26">
      <c r="A13" s="2" t="s">
        <v>21</v>
      </c>
      <c r="B13" s="2" t="s">
        <v>54</v>
      </c>
      <c r="C13" s="2" t="s">
        <v>86</v>
      </c>
      <c r="D13" s="2" t="s">
        <v>79</v>
      </c>
      <c r="E13" s="12">
        <v>435000</v>
      </c>
      <c r="F13" s="12">
        <v>14644232</v>
      </c>
      <c r="G13" s="14">
        <f>IFERROR(Table12[[#This Row],[Volume]]/(Table12[[#This Row],[CD]]*366),0)</f>
        <v>9.198060423340243E-2</v>
      </c>
      <c r="H13" s="19">
        <f>12*VLOOKUP(Table12[[#This Row],[newrate]],rates,2,0)</f>
        <v>6000</v>
      </c>
      <c r="I13" s="19">
        <f>Table12[[#This Row],[Volume]]*VLOOKUP(Table12[[#This Row],[newrate]],rates,3,0)/100</f>
        <v>24397.290512</v>
      </c>
      <c r="J13" s="19">
        <f>12*Table12[[#This Row],[CD]]*VLOOKUP(Table12[[#This Row],[newrate]],rates,4,0)/100</f>
        <v>423644.76</v>
      </c>
      <c r="K13" s="19">
        <f>Table12[[#This Row],[Volume]]*VLOOKUP(Table12[[#This Row],[newrate]],rates,7,0)/100</f>
        <v>93664.507872000002</v>
      </c>
      <c r="L13" s="19">
        <f>Table12[[#This Row],[Volume]]*VLOOKUP(Table12[[#This Row],[newrate]],rates,8,0)/100</f>
        <v>2109047.6484079999</v>
      </c>
      <c r="M13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2656754.2067919997</v>
      </c>
      <c r="N13" s="21">
        <v>3765.4800000000005</v>
      </c>
      <c r="O13" s="21">
        <v>240939.54000000004</v>
      </c>
      <c r="P13" s="21">
        <v>-82824.759432000021</v>
      </c>
      <c r="Q13" s="21">
        <v>714726.38699200004</v>
      </c>
      <c r="R13" s="21">
        <v>1529370.3689199998</v>
      </c>
      <c r="S13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2405977.0164799998</v>
      </c>
      <c r="T13" s="23">
        <f>Table12[[#This Row],[Proposed Customer Charge]]-Table12[[#This Row],[Current Customer Charge]]</f>
        <v>2234.5199999999995</v>
      </c>
      <c r="U13" s="23">
        <f>Table12[[#This Row],[Proposed Demand Delivery Charge]]-Table12[[#This Row],[Current Demand Delivery Charge]]</f>
        <v>182705.21999999997</v>
      </c>
      <c r="V13" s="23">
        <f>Table12[[#This Row],[Proposed Volumetric Delivery Charge]]-Table12[[#This Row],[Current Volumetric Delivery Charge]]</f>
        <v>107222.04994400003</v>
      </c>
      <c r="W13" s="23">
        <f>Table12[[#This Row],[Proposed Gas Supply Transportation Charge]]-Table12[[#This Row],[Current Gas Supply Transportation Charge]]</f>
        <v>-621061.87912000006</v>
      </c>
      <c r="X13" s="23">
        <f>Table12[[#This Row],[Proposed Gas Supply Commodity Charge]]-Table12[[#This Row],[Current Gas Supply Commodity Charge]]</f>
        <v>579677.27948800009</v>
      </c>
      <c r="Y13" s="24">
        <f>Table12[[#This Row],[Proposed Total Bill ($)]]-Table12[[#This Row],[Current Total Bill ($)]]</f>
        <v>250777.19031199999</v>
      </c>
      <c r="Z13" s="18">
        <f>Table12[[#This Row],[Total Bill Impact ($)]]/Table12[[#This Row],[Current Total Bill ($)]]</f>
        <v>0.10423091683514618</v>
      </c>
    </row>
    <row r="14" spans="1:26">
      <c r="A14" s="2" t="s">
        <v>21</v>
      </c>
      <c r="B14" s="2" t="s">
        <v>62</v>
      </c>
      <c r="C14" s="2" t="s">
        <v>87</v>
      </c>
      <c r="D14" s="2" t="s">
        <v>74</v>
      </c>
      <c r="E14" s="12">
        <v>5100</v>
      </c>
      <c r="F14" s="12">
        <v>359999.99999999994</v>
      </c>
      <c r="G14" s="14">
        <f>IFERROR(Table12[[#This Row],[Volume]]/(Table12[[#This Row],[CD]]*366),0)</f>
        <v>0.19286403085824491</v>
      </c>
      <c r="H14" s="19">
        <f>12*VLOOKUP(Table12[[#This Row],[newrate]],rates,2,0)</f>
        <v>6000</v>
      </c>
      <c r="I14" s="19">
        <f>Table12[[#This Row],[Volume]]*VLOOKUP(Table12[[#This Row],[newrate]],rates,3,0)/100</f>
        <v>599.75999999999988</v>
      </c>
      <c r="J14" s="19">
        <f>12*Table12[[#This Row],[CD]]*VLOOKUP(Table12[[#This Row],[newrate]],rates,4,0)/100</f>
        <v>4966.8696</v>
      </c>
      <c r="K14" s="19">
        <f>Table12[[#This Row],[Volume]]*VLOOKUP(Table12[[#This Row],[newrate]],rates,7,0)/100</f>
        <v>2302.5599999999995</v>
      </c>
      <c r="L14" s="19">
        <f>Table12[[#This Row],[Volume]]*VLOOKUP(Table12[[#This Row],[newrate]],rates,8,0)/100</f>
        <v>51846.839999999989</v>
      </c>
      <c r="M14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65716.029599999994</v>
      </c>
      <c r="N14" s="21">
        <v>9315.119999999999</v>
      </c>
      <c r="O14" s="21">
        <v>0</v>
      </c>
      <c r="P14" s="21">
        <v>12866.039999999997</v>
      </c>
      <c r="Q14" s="21">
        <v>0</v>
      </c>
      <c r="R14" s="21">
        <v>58475.702350632484</v>
      </c>
      <c r="S14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80656.86235063248</v>
      </c>
      <c r="T14" s="23">
        <f>Table12[[#This Row],[Proposed Customer Charge]]-Table12[[#This Row],[Current Customer Charge]]</f>
        <v>-3315.119999999999</v>
      </c>
      <c r="U14" s="23">
        <f>Table12[[#This Row],[Proposed Demand Delivery Charge]]-Table12[[#This Row],[Current Demand Delivery Charge]]</f>
        <v>4966.8696</v>
      </c>
      <c r="V14" s="23">
        <f>Table12[[#This Row],[Proposed Volumetric Delivery Charge]]-Table12[[#This Row],[Current Volumetric Delivery Charge]]</f>
        <v>-12266.279999999997</v>
      </c>
      <c r="W14" s="23">
        <f>Table12[[#This Row],[Proposed Gas Supply Transportation Charge]]-Table12[[#This Row],[Current Gas Supply Transportation Charge]]</f>
        <v>2302.5599999999995</v>
      </c>
      <c r="X14" s="23">
        <f>Table12[[#This Row],[Proposed Gas Supply Commodity Charge]]-Table12[[#This Row],[Current Gas Supply Commodity Charge]]</f>
        <v>-6628.8623506324948</v>
      </c>
      <c r="Y14" s="24">
        <f>Table12[[#This Row],[Proposed Total Bill ($)]]-Table12[[#This Row],[Current Total Bill ($)]]</f>
        <v>-14940.832750632486</v>
      </c>
      <c r="Z14" s="18">
        <f>Table12[[#This Row],[Total Bill Impact ($)]]/Table12[[#This Row],[Current Total Bill ($)]]</f>
        <v>-0.18523944913306345</v>
      </c>
    </row>
    <row r="15" spans="1:26">
      <c r="A15" s="2" t="s">
        <v>21</v>
      </c>
      <c r="B15" s="2" t="s">
        <v>62</v>
      </c>
      <c r="C15" s="2" t="s">
        <v>87</v>
      </c>
      <c r="D15" s="2" t="s">
        <v>75</v>
      </c>
      <c r="E15" s="12">
        <v>14000</v>
      </c>
      <c r="F15" s="12">
        <v>2152436.9999999995</v>
      </c>
      <c r="G15" s="14">
        <f>IFERROR(Table12[[#This Row],[Volume]]/(Table12[[#This Row],[CD]]*366),0)</f>
        <v>0.42006967213114743</v>
      </c>
      <c r="H15" s="19">
        <f>12*VLOOKUP(Table12[[#This Row],[newrate]],rates,2,0)</f>
        <v>6000</v>
      </c>
      <c r="I15" s="19">
        <f>Table12[[#This Row],[Volume]]*VLOOKUP(Table12[[#This Row],[newrate]],rates,3,0)/100</f>
        <v>3585.9600419999992</v>
      </c>
      <c r="J15" s="19">
        <f>12*Table12[[#This Row],[CD]]*VLOOKUP(Table12[[#This Row],[newrate]],rates,4,0)/100</f>
        <v>13634.544</v>
      </c>
      <c r="K15" s="19">
        <f>Table12[[#This Row],[Volume]]*VLOOKUP(Table12[[#This Row],[newrate]],rates,7,0)/100</f>
        <v>13766.987051999995</v>
      </c>
      <c r="L15" s="19">
        <f>Table12[[#This Row],[Volume]]*VLOOKUP(Table12[[#This Row],[newrate]],rates,8,0)/100</f>
        <v>309991.82430299994</v>
      </c>
      <c r="M15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346979.31539699994</v>
      </c>
      <c r="N15" s="21">
        <v>9315.119999999999</v>
      </c>
      <c r="O15" s="21">
        <v>0</v>
      </c>
      <c r="P15" s="21">
        <v>75739.535942999966</v>
      </c>
      <c r="Q15" s="21">
        <v>0</v>
      </c>
      <c r="R15" s="21">
        <v>349625.73705691204</v>
      </c>
      <c r="S15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434680.39299991203</v>
      </c>
      <c r="T15" s="23">
        <f>Table12[[#This Row],[Proposed Customer Charge]]-Table12[[#This Row],[Current Customer Charge]]</f>
        <v>-3315.119999999999</v>
      </c>
      <c r="U15" s="23">
        <f>Table12[[#This Row],[Proposed Demand Delivery Charge]]-Table12[[#This Row],[Current Demand Delivery Charge]]</f>
        <v>13634.544</v>
      </c>
      <c r="V15" s="23">
        <f>Table12[[#This Row],[Proposed Volumetric Delivery Charge]]-Table12[[#This Row],[Current Volumetric Delivery Charge]]</f>
        <v>-72153.57590099996</v>
      </c>
      <c r="W15" s="23">
        <f>Table12[[#This Row],[Proposed Gas Supply Transportation Charge]]-Table12[[#This Row],[Current Gas Supply Transportation Charge]]</f>
        <v>13766.987051999995</v>
      </c>
      <c r="X15" s="23">
        <f>Table12[[#This Row],[Proposed Gas Supply Commodity Charge]]-Table12[[#This Row],[Current Gas Supply Commodity Charge]]</f>
        <v>-39633.912753912096</v>
      </c>
      <c r="Y15" s="24">
        <f>Table12[[#This Row],[Proposed Total Bill ($)]]-Table12[[#This Row],[Current Total Bill ($)]]</f>
        <v>-87701.07760291209</v>
      </c>
      <c r="Z15" s="18">
        <f>Table12[[#This Row],[Total Bill Impact ($)]]/Table12[[#This Row],[Current Total Bill ($)]]</f>
        <v>-0.20175991145505806</v>
      </c>
    </row>
    <row r="16" spans="1:26">
      <c r="A16" s="2" t="s">
        <v>21</v>
      </c>
      <c r="B16" s="2" t="s">
        <v>62</v>
      </c>
      <c r="C16" s="2" t="s">
        <v>87</v>
      </c>
      <c r="D16" s="2" t="s">
        <v>76</v>
      </c>
      <c r="E16" s="12">
        <v>19800</v>
      </c>
      <c r="F16" s="12">
        <v>951578.4</v>
      </c>
      <c r="G16" s="14">
        <f>IFERROR(Table12[[#This Row],[Volume]]/(Table12[[#This Row],[CD]]*366),0)</f>
        <v>0.13131015068719987</v>
      </c>
      <c r="H16" s="19">
        <f>12*VLOOKUP(Table12[[#This Row],[newrate]],rates,2,0)</f>
        <v>6000</v>
      </c>
      <c r="I16" s="19">
        <f>Table12[[#This Row],[Volume]]*VLOOKUP(Table12[[#This Row],[newrate]],rates,3,0)/100</f>
        <v>1585.3296144000001</v>
      </c>
      <c r="J16" s="19">
        <f>12*Table12[[#This Row],[CD]]*VLOOKUP(Table12[[#This Row],[newrate]],rates,4,0)/100</f>
        <v>19283.140800000001</v>
      </c>
      <c r="K16" s="19">
        <f>Table12[[#This Row],[Volume]]*VLOOKUP(Table12[[#This Row],[newrate]],rates,7,0)/100</f>
        <v>6086.2954463999995</v>
      </c>
      <c r="L16" s="19">
        <f>Table12[[#This Row],[Volume]]*VLOOKUP(Table12[[#This Row],[newrate]],rates,8,0)/100</f>
        <v>137045.36958960001</v>
      </c>
      <c r="M16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170000.1354504</v>
      </c>
      <c r="N16" s="21">
        <v>9315.119999999999</v>
      </c>
      <c r="O16" s="21">
        <v>0</v>
      </c>
      <c r="P16" s="21">
        <v>32772.360095999997</v>
      </c>
      <c r="Q16" s="21">
        <v>0</v>
      </c>
      <c r="R16" s="21">
        <v>154567.26467136419</v>
      </c>
      <c r="S16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196654.74476736417</v>
      </c>
      <c r="T16" s="23">
        <f>Table12[[#This Row],[Proposed Customer Charge]]-Table12[[#This Row],[Current Customer Charge]]</f>
        <v>-3315.119999999999</v>
      </c>
      <c r="U16" s="23">
        <f>Table12[[#This Row],[Proposed Demand Delivery Charge]]-Table12[[#This Row],[Current Demand Delivery Charge]]</f>
        <v>19283.140800000001</v>
      </c>
      <c r="V16" s="23">
        <f>Table12[[#This Row],[Proposed Volumetric Delivery Charge]]-Table12[[#This Row],[Current Volumetric Delivery Charge]]</f>
        <v>-31187.030481599995</v>
      </c>
      <c r="W16" s="23">
        <f>Table12[[#This Row],[Proposed Gas Supply Transportation Charge]]-Table12[[#This Row],[Current Gas Supply Transportation Charge]]</f>
        <v>6086.2954463999995</v>
      </c>
      <c r="X16" s="23">
        <f>Table12[[#This Row],[Proposed Gas Supply Commodity Charge]]-Table12[[#This Row],[Current Gas Supply Commodity Charge]]</f>
        <v>-17521.895081764174</v>
      </c>
      <c r="Y16" s="24">
        <f>Table12[[#This Row],[Proposed Total Bill ($)]]-Table12[[#This Row],[Current Total Bill ($)]]</f>
        <v>-26654.609316964168</v>
      </c>
      <c r="Z16" s="18">
        <f>Table12[[#This Row],[Total Bill Impact ($)]]/Table12[[#This Row],[Current Total Bill ($)]]</f>
        <v>-0.13554012820029163</v>
      </c>
    </row>
    <row r="17" spans="1:26">
      <c r="A17" s="2" t="s">
        <v>21</v>
      </c>
      <c r="B17" s="2" t="s">
        <v>62</v>
      </c>
      <c r="C17" s="2" t="s">
        <v>87</v>
      </c>
      <c r="D17" s="2" t="s">
        <v>77</v>
      </c>
      <c r="E17" s="12">
        <v>27000</v>
      </c>
      <c r="F17" s="12">
        <v>1578335.3</v>
      </c>
      <c r="G17" s="14">
        <f>IFERROR(Table12[[#This Row],[Volume]]/(Table12[[#This Row],[CD]]*366),0)</f>
        <v>0.15971820481683871</v>
      </c>
      <c r="H17" s="19">
        <f>12*VLOOKUP(Table12[[#This Row],[newrate]],rates,2,0)</f>
        <v>6000</v>
      </c>
      <c r="I17" s="19">
        <f>Table12[[#This Row],[Volume]]*VLOOKUP(Table12[[#This Row],[newrate]],rates,3,0)/100</f>
        <v>2629.5066097999998</v>
      </c>
      <c r="J17" s="19">
        <f>12*Table12[[#This Row],[CD]]*VLOOKUP(Table12[[#This Row],[newrate]],rates,4,0)/100</f>
        <v>26295.192000000003</v>
      </c>
      <c r="K17" s="19">
        <f>Table12[[#This Row],[Volume]]*VLOOKUP(Table12[[#This Row],[newrate]],rates,7,0)/100</f>
        <v>10095.032578799999</v>
      </c>
      <c r="L17" s="19">
        <f>Table12[[#This Row],[Volume]]*VLOOKUP(Table12[[#This Row],[newrate]],rates,8,0)/100</f>
        <v>227310.27157069999</v>
      </c>
      <c r="M17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272330.0027593</v>
      </c>
      <c r="N17" s="21">
        <v>9315.119999999999</v>
      </c>
      <c r="O17" s="21">
        <v>0</v>
      </c>
      <c r="P17" s="21">
        <v>54357.867731999999</v>
      </c>
      <c r="Q17" s="21">
        <v>0</v>
      </c>
      <c r="R17" s="21">
        <v>256372.95892304514</v>
      </c>
      <c r="S17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320045.94665504515</v>
      </c>
      <c r="T17" s="23">
        <f>Table12[[#This Row],[Proposed Customer Charge]]-Table12[[#This Row],[Current Customer Charge]]</f>
        <v>-3315.119999999999</v>
      </c>
      <c r="U17" s="23">
        <f>Table12[[#This Row],[Proposed Demand Delivery Charge]]-Table12[[#This Row],[Current Demand Delivery Charge]]</f>
        <v>26295.192000000003</v>
      </c>
      <c r="V17" s="23">
        <f>Table12[[#This Row],[Proposed Volumetric Delivery Charge]]-Table12[[#This Row],[Current Volumetric Delivery Charge]]</f>
        <v>-51728.361122199996</v>
      </c>
      <c r="W17" s="23">
        <f>Table12[[#This Row],[Proposed Gas Supply Transportation Charge]]-Table12[[#This Row],[Current Gas Supply Transportation Charge]]</f>
        <v>10095.032578799999</v>
      </c>
      <c r="X17" s="23">
        <f>Table12[[#This Row],[Proposed Gas Supply Commodity Charge]]-Table12[[#This Row],[Current Gas Supply Commodity Charge]]</f>
        <v>-29062.68735234515</v>
      </c>
      <c r="Y17" s="24">
        <f>Table12[[#This Row],[Proposed Total Bill ($)]]-Table12[[#This Row],[Current Total Bill ($)]]</f>
        <v>-47715.943895745149</v>
      </c>
      <c r="Z17" s="18">
        <f>Table12[[#This Row],[Total Bill Impact ($)]]/Table12[[#This Row],[Current Total Bill ($)]]</f>
        <v>-0.14909091770868382</v>
      </c>
    </row>
    <row r="18" spans="1:26">
      <c r="A18" s="2" t="s">
        <v>21</v>
      </c>
      <c r="B18" s="2" t="s">
        <v>62</v>
      </c>
      <c r="C18" s="2" t="s">
        <v>87</v>
      </c>
      <c r="D18" s="2" t="s">
        <v>78</v>
      </c>
      <c r="E18" s="12">
        <v>30050</v>
      </c>
      <c r="F18" s="12">
        <v>2000071.2999999998</v>
      </c>
      <c r="G18" s="14">
        <f>IFERROR(Table12[[#This Row],[Volume]]/(Table12[[#This Row],[CD]]*366),0)</f>
        <v>0.1818527681550785</v>
      </c>
      <c r="H18" s="19">
        <f>12*VLOOKUP(Table12[[#This Row],[newrate]],rates,2,0)</f>
        <v>6000</v>
      </c>
      <c r="I18" s="19">
        <f>Table12[[#This Row],[Volume]]*VLOOKUP(Table12[[#This Row],[newrate]],rates,3,0)/100</f>
        <v>3332.1187857999994</v>
      </c>
      <c r="J18" s="19">
        <f>12*Table12[[#This Row],[CD]]*VLOOKUP(Table12[[#This Row],[newrate]],rates,4,0)/100</f>
        <v>29265.574799999999</v>
      </c>
      <c r="K18" s="19">
        <f>Table12[[#This Row],[Volume]]*VLOOKUP(Table12[[#This Row],[newrate]],rates,7,0)/100</f>
        <v>12792.456034799998</v>
      </c>
      <c r="L18" s="19">
        <f>Table12[[#This Row],[Volume]]*VLOOKUP(Table12[[#This Row],[newrate]],rates,8,0)/100</f>
        <v>288048.26855469996</v>
      </c>
      <c r="M18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339438.41817529994</v>
      </c>
      <c r="N18" s="21">
        <v>9315.119999999999</v>
      </c>
      <c r="O18" s="21">
        <v>0</v>
      </c>
      <c r="P18" s="21">
        <v>67516.406874099994</v>
      </c>
      <c r="Q18" s="21">
        <v>0</v>
      </c>
      <c r="R18" s="21">
        <v>324876.59449678496</v>
      </c>
      <c r="S18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401708.12137088494</v>
      </c>
      <c r="T18" s="23">
        <f>Table12[[#This Row],[Proposed Customer Charge]]-Table12[[#This Row],[Current Customer Charge]]</f>
        <v>-3315.119999999999</v>
      </c>
      <c r="U18" s="23">
        <f>Table12[[#This Row],[Proposed Demand Delivery Charge]]-Table12[[#This Row],[Current Demand Delivery Charge]]</f>
        <v>29265.574799999999</v>
      </c>
      <c r="V18" s="23">
        <f>Table12[[#This Row],[Proposed Volumetric Delivery Charge]]-Table12[[#This Row],[Current Volumetric Delivery Charge]]</f>
        <v>-64184.288088299996</v>
      </c>
      <c r="W18" s="23">
        <f>Table12[[#This Row],[Proposed Gas Supply Transportation Charge]]-Table12[[#This Row],[Current Gas Supply Transportation Charge]]</f>
        <v>12792.456034799998</v>
      </c>
      <c r="X18" s="23">
        <f>Table12[[#This Row],[Proposed Gas Supply Commodity Charge]]-Table12[[#This Row],[Current Gas Supply Commodity Charge]]</f>
        <v>-36828.325942085008</v>
      </c>
      <c r="Y18" s="24">
        <f>Table12[[#This Row],[Proposed Total Bill ($)]]-Table12[[#This Row],[Current Total Bill ($)]]</f>
        <v>-62269.703195584996</v>
      </c>
      <c r="Z18" s="18">
        <f>Table12[[#This Row],[Total Bill Impact ($)]]/Table12[[#This Row],[Current Total Bill ($)]]</f>
        <v>-0.15501230839715402</v>
      </c>
    </row>
    <row r="19" spans="1:26">
      <c r="A19" s="2" t="s">
        <v>21</v>
      </c>
      <c r="B19" s="2" t="s">
        <v>62</v>
      </c>
      <c r="C19" s="2" t="s">
        <v>87</v>
      </c>
      <c r="D19" s="2" t="s">
        <v>79</v>
      </c>
      <c r="E19" s="12">
        <v>53000</v>
      </c>
      <c r="F19" s="12">
        <v>5523229.1000000015</v>
      </c>
      <c r="G19" s="14">
        <f>IFERROR(Table12[[#This Row],[Volume]]/(Table12[[#This Row],[CD]]*366),0)</f>
        <v>0.28473188473038463</v>
      </c>
      <c r="H19" s="19">
        <f>12*VLOOKUP(Table12[[#This Row],[newrate]],rates,2,0)</f>
        <v>6000</v>
      </c>
      <c r="I19" s="19">
        <f>Table12[[#This Row],[Volume]]*VLOOKUP(Table12[[#This Row],[newrate]],rates,3,0)/100</f>
        <v>9201.6996806000025</v>
      </c>
      <c r="J19" s="19">
        <f>12*Table12[[#This Row],[CD]]*VLOOKUP(Table12[[#This Row],[newrate]],rates,4,0)/100</f>
        <v>51616.487999999998</v>
      </c>
      <c r="K19" s="19">
        <f>Table12[[#This Row],[Volume]]*VLOOKUP(Table12[[#This Row],[newrate]],rates,7,0)/100</f>
        <v>35326.573323600009</v>
      </c>
      <c r="L19" s="19">
        <f>Table12[[#This Row],[Volume]]*VLOOKUP(Table12[[#This Row],[newrate]],rates,8,0)/100</f>
        <v>795449.93175290013</v>
      </c>
      <c r="M19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897594.6927571001</v>
      </c>
      <c r="N19" s="21">
        <v>9315.119999999999</v>
      </c>
      <c r="O19" s="21">
        <v>0</v>
      </c>
      <c r="P19" s="21">
        <v>183802.01798980005</v>
      </c>
      <c r="Q19" s="21">
        <v>0</v>
      </c>
      <c r="R19" s="21">
        <v>897151.9468498663</v>
      </c>
      <c r="S19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1090269.0848396663</v>
      </c>
      <c r="T19" s="23">
        <f>Table12[[#This Row],[Proposed Customer Charge]]-Table12[[#This Row],[Current Customer Charge]]</f>
        <v>-3315.119999999999</v>
      </c>
      <c r="U19" s="23">
        <f>Table12[[#This Row],[Proposed Demand Delivery Charge]]-Table12[[#This Row],[Current Demand Delivery Charge]]</f>
        <v>51616.487999999998</v>
      </c>
      <c r="V19" s="23">
        <f>Table12[[#This Row],[Proposed Volumetric Delivery Charge]]-Table12[[#This Row],[Current Volumetric Delivery Charge]]</f>
        <v>-174600.31830920005</v>
      </c>
      <c r="W19" s="23">
        <f>Table12[[#This Row],[Proposed Gas Supply Transportation Charge]]-Table12[[#This Row],[Current Gas Supply Transportation Charge]]</f>
        <v>35326.573323600009</v>
      </c>
      <c r="X19" s="23">
        <f>Table12[[#This Row],[Proposed Gas Supply Commodity Charge]]-Table12[[#This Row],[Current Gas Supply Commodity Charge]]</f>
        <v>-101702.01509696618</v>
      </c>
      <c r="Y19" s="24">
        <f>Table12[[#This Row],[Proposed Total Bill ($)]]-Table12[[#This Row],[Current Total Bill ($)]]</f>
        <v>-192674.39208256616</v>
      </c>
      <c r="Z19" s="18">
        <f>Table12[[#This Row],[Total Bill Impact ($)]]/Table12[[#This Row],[Current Total Bill ($)]]</f>
        <v>-0.1767218705562954</v>
      </c>
    </row>
    <row r="20" spans="1:26">
      <c r="A20" s="2" t="s">
        <v>21</v>
      </c>
      <c r="B20" s="2" t="s">
        <v>62</v>
      </c>
      <c r="C20" s="2" t="s">
        <v>84</v>
      </c>
      <c r="D20" s="2" t="s">
        <v>74</v>
      </c>
      <c r="E20" s="12">
        <v>38192</v>
      </c>
      <c r="F20" s="12">
        <v>2234294.0900000003</v>
      </c>
      <c r="G20" s="14">
        <f>IFERROR(Table12[[#This Row],[Volume]]/(Table12[[#This Row],[CD]]*366),0)</f>
        <v>0.15984050746758971</v>
      </c>
      <c r="H20" s="19">
        <f>12*VLOOKUP(Table12[[#This Row],[newrate]],rates,2,0)</f>
        <v>6000</v>
      </c>
      <c r="I20" s="19">
        <f>Table12[[#This Row],[Volume]]*VLOOKUP(Table12[[#This Row],[newrate]],rates,3,0)/100</f>
        <v>3722.3339539400004</v>
      </c>
      <c r="J20" s="19">
        <f>12*Table12[[#This Row],[CD]]*VLOOKUP(Table12[[#This Row],[newrate]],rates,4,0)/100</f>
        <v>37195.036032000004</v>
      </c>
      <c r="K20" s="19">
        <f>Table12[[#This Row],[Volume]]*VLOOKUP(Table12[[#This Row],[newrate]],rates,7,0)/100</f>
        <v>14290.544999640002</v>
      </c>
      <c r="L20" s="19">
        <f>Table12[[#This Row],[Volume]]*VLOOKUP(Table12[[#This Row],[newrate]],rates,8,0)/100</f>
        <v>321780.80054771004</v>
      </c>
      <c r="M20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382988.71553329006</v>
      </c>
      <c r="N20" s="21">
        <v>0</v>
      </c>
      <c r="O20" s="21">
        <v>0</v>
      </c>
      <c r="P20" s="21">
        <v>99537.002986110005</v>
      </c>
      <c r="Q20" s="21">
        <v>0</v>
      </c>
      <c r="R20" s="21">
        <v>362921.98936282581</v>
      </c>
      <c r="S20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462458.9923489358</v>
      </c>
      <c r="T20" s="23">
        <f>Table12[[#This Row],[Proposed Customer Charge]]-Table12[[#This Row],[Current Customer Charge]]</f>
        <v>6000</v>
      </c>
      <c r="U20" s="23">
        <f>Table12[[#This Row],[Proposed Demand Delivery Charge]]-Table12[[#This Row],[Current Demand Delivery Charge]]</f>
        <v>37195.036032000004</v>
      </c>
      <c r="V20" s="23">
        <f>Table12[[#This Row],[Proposed Volumetric Delivery Charge]]-Table12[[#This Row],[Current Volumetric Delivery Charge]]</f>
        <v>-95814.669032170001</v>
      </c>
      <c r="W20" s="23">
        <f>Table12[[#This Row],[Proposed Gas Supply Transportation Charge]]-Table12[[#This Row],[Current Gas Supply Transportation Charge]]</f>
        <v>14290.544999640002</v>
      </c>
      <c r="X20" s="23">
        <f>Table12[[#This Row],[Proposed Gas Supply Commodity Charge]]-Table12[[#This Row],[Current Gas Supply Commodity Charge]]</f>
        <v>-41141.188815115776</v>
      </c>
      <c r="Y20" s="24">
        <f>Table12[[#This Row],[Proposed Total Bill ($)]]-Table12[[#This Row],[Current Total Bill ($)]]</f>
        <v>-79470.276815645746</v>
      </c>
      <c r="Z20" s="18">
        <f>Table12[[#This Row],[Total Bill Impact ($)]]/Table12[[#This Row],[Current Total Bill ($)]]</f>
        <v>-0.17184286202761004</v>
      </c>
    </row>
    <row r="21" spans="1:26">
      <c r="A21" s="2" t="s">
        <v>21</v>
      </c>
      <c r="B21" s="2" t="s">
        <v>62</v>
      </c>
      <c r="C21" s="2" t="s">
        <v>84</v>
      </c>
      <c r="D21" s="2" t="s">
        <v>75</v>
      </c>
      <c r="E21" s="12">
        <v>80000</v>
      </c>
      <c r="F21" s="12">
        <v>2562309.4</v>
      </c>
      <c r="G21" s="14">
        <f>IFERROR(Table12[[#This Row],[Volume]]/(Table12[[#This Row],[CD]]*366),0)</f>
        <v>8.7510566939890705E-2</v>
      </c>
      <c r="H21" s="19">
        <f>12*VLOOKUP(Table12[[#This Row],[newrate]],rates,2,0)</f>
        <v>6000</v>
      </c>
      <c r="I21" s="19">
        <f>Table12[[#This Row],[Volume]]*VLOOKUP(Table12[[#This Row],[newrate]],rates,3,0)/100</f>
        <v>4268.8074604000003</v>
      </c>
      <c r="J21" s="19">
        <f>12*Table12[[#This Row],[CD]]*VLOOKUP(Table12[[#This Row],[newrate]],rates,4,0)/100</f>
        <v>77911.679999999993</v>
      </c>
      <c r="K21" s="19">
        <f>Table12[[#This Row],[Volume]]*VLOOKUP(Table12[[#This Row],[newrate]],rates,7,0)/100</f>
        <v>16388.530922399998</v>
      </c>
      <c r="L21" s="19">
        <f>Table12[[#This Row],[Volume]]*VLOOKUP(Table12[[#This Row],[newrate]],rates,8,0)/100</f>
        <v>369021.2374786</v>
      </c>
      <c r="M21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473590.25586139999</v>
      </c>
      <c r="N21" s="21">
        <v>0</v>
      </c>
      <c r="O21" s="21">
        <v>0</v>
      </c>
      <c r="P21" s="21">
        <v>59555.757384199984</v>
      </c>
      <c r="Q21" s="21">
        <v>0</v>
      </c>
      <c r="R21" s="21">
        <v>416202.33834618813</v>
      </c>
      <c r="S21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475758.09573038813</v>
      </c>
      <c r="T21" s="23">
        <f>Table12[[#This Row],[Proposed Customer Charge]]-Table12[[#This Row],[Current Customer Charge]]</f>
        <v>6000</v>
      </c>
      <c r="U21" s="23">
        <f>Table12[[#This Row],[Proposed Demand Delivery Charge]]-Table12[[#This Row],[Current Demand Delivery Charge]]</f>
        <v>77911.679999999993</v>
      </c>
      <c r="V21" s="23">
        <f>Table12[[#This Row],[Proposed Volumetric Delivery Charge]]-Table12[[#This Row],[Current Volumetric Delivery Charge]]</f>
        <v>-55286.949923799984</v>
      </c>
      <c r="W21" s="23">
        <f>Table12[[#This Row],[Proposed Gas Supply Transportation Charge]]-Table12[[#This Row],[Current Gas Supply Transportation Charge]]</f>
        <v>16388.530922399998</v>
      </c>
      <c r="X21" s="23">
        <f>Table12[[#This Row],[Proposed Gas Supply Commodity Charge]]-Table12[[#This Row],[Current Gas Supply Commodity Charge]]</f>
        <v>-47181.100867588131</v>
      </c>
      <c r="Y21" s="24">
        <f>Table12[[#This Row],[Proposed Total Bill ($)]]-Table12[[#This Row],[Current Total Bill ($)]]</f>
        <v>-2167.8398689881433</v>
      </c>
      <c r="Z21" s="18">
        <f>Table12[[#This Row],[Total Bill Impact ($)]]/Table12[[#This Row],[Current Total Bill ($)]]</f>
        <v>-4.5566011139759081E-3</v>
      </c>
    </row>
    <row r="22" spans="1:26">
      <c r="A22" s="2" t="s">
        <v>21</v>
      </c>
      <c r="B22" s="2" t="s">
        <v>62</v>
      </c>
      <c r="C22" s="2" t="s">
        <v>84</v>
      </c>
      <c r="D22" s="2" t="s">
        <v>76</v>
      </c>
      <c r="E22" s="12">
        <v>82000</v>
      </c>
      <c r="F22" s="12">
        <v>4207075.4000000004</v>
      </c>
      <c r="G22" s="14">
        <f>IFERROR(Table12[[#This Row],[Volume]]/(Table12[[#This Row],[CD]]*366),0)</f>
        <v>0.14017977475676396</v>
      </c>
      <c r="H22" s="19">
        <f>12*VLOOKUP(Table12[[#This Row],[newrate]],rates,2,0)</f>
        <v>6000</v>
      </c>
      <c r="I22" s="19">
        <f>Table12[[#This Row],[Volume]]*VLOOKUP(Table12[[#This Row],[newrate]],rates,3,0)/100</f>
        <v>7008.9876164000007</v>
      </c>
      <c r="J22" s="19">
        <f>12*Table12[[#This Row],[CD]]*VLOOKUP(Table12[[#This Row],[newrate]],rates,4,0)/100</f>
        <v>79859.472000000009</v>
      </c>
      <c r="K22" s="19">
        <f>Table12[[#This Row],[Volume]]*VLOOKUP(Table12[[#This Row],[newrate]],rates,7,0)/100</f>
        <v>26908.454258400001</v>
      </c>
      <c r="L22" s="19">
        <f>Table12[[#This Row],[Volume]]*VLOOKUP(Table12[[#This Row],[newrate]],rates,8,0)/100</f>
        <v>605898.79203260003</v>
      </c>
      <c r="M22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725675.7059074</v>
      </c>
      <c r="N22" s="21">
        <v>0</v>
      </c>
      <c r="O22" s="21">
        <v>0</v>
      </c>
      <c r="P22" s="21">
        <v>126473.10067479999</v>
      </c>
      <c r="Q22" s="21">
        <v>0</v>
      </c>
      <c r="R22" s="21">
        <v>683365.80238074495</v>
      </c>
      <c r="S22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809838.90305554494</v>
      </c>
      <c r="T22" s="23">
        <f>Table12[[#This Row],[Proposed Customer Charge]]-Table12[[#This Row],[Current Customer Charge]]</f>
        <v>6000</v>
      </c>
      <c r="U22" s="23">
        <f>Table12[[#This Row],[Proposed Demand Delivery Charge]]-Table12[[#This Row],[Current Demand Delivery Charge]]</f>
        <v>79859.472000000009</v>
      </c>
      <c r="V22" s="23">
        <f>Table12[[#This Row],[Proposed Volumetric Delivery Charge]]-Table12[[#This Row],[Current Volumetric Delivery Charge]]</f>
        <v>-119464.11305839999</v>
      </c>
      <c r="W22" s="23">
        <f>Table12[[#This Row],[Proposed Gas Supply Transportation Charge]]-Table12[[#This Row],[Current Gas Supply Transportation Charge]]</f>
        <v>26908.454258400001</v>
      </c>
      <c r="X22" s="23">
        <f>Table12[[#This Row],[Proposed Gas Supply Commodity Charge]]-Table12[[#This Row],[Current Gas Supply Commodity Charge]]</f>
        <v>-77467.010348144919</v>
      </c>
      <c r="Y22" s="24">
        <f>Table12[[#This Row],[Proposed Total Bill ($)]]-Table12[[#This Row],[Current Total Bill ($)]]</f>
        <v>-84163.197148144944</v>
      </c>
      <c r="Z22" s="18">
        <f>Table12[[#This Row],[Total Bill Impact ($)]]/Table12[[#This Row],[Current Total Bill ($)]]</f>
        <v>-0.10392585096936544</v>
      </c>
    </row>
    <row r="23" spans="1:26">
      <c r="A23" s="2" t="s">
        <v>21</v>
      </c>
      <c r="B23" s="2" t="s">
        <v>62</v>
      </c>
      <c r="C23" s="2" t="s">
        <v>84</v>
      </c>
      <c r="D23" s="2" t="s">
        <v>77</v>
      </c>
      <c r="E23" s="12">
        <v>136954</v>
      </c>
      <c r="F23" s="12">
        <v>18672765.699999999</v>
      </c>
      <c r="G23" s="14">
        <f>IFERROR(Table12[[#This Row],[Volume]]/(Table12[[#This Row],[CD]]*366),0)</f>
        <v>0.37252278516235876</v>
      </c>
      <c r="H23" s="19">
        <f>12*VLOOKUP(Table12[[#This Row],[newrate]],rates,2,0)</f>
        <v>6000</v>
      </c>
      <c r="I23" s="19">
        <f>Table12[[#This Row],[Volume]]*VLOOKUP(Table12[[#This Row],[newrate]],rates,3,0)/100</f>
        <v>31108.827656199996</v>
      </c>
      <c r="J23" s="19">
        <f>12*Table12[[#This Row],[CD]]*VLOOKUP(Table12[[#This Row],[newrate]],rates,4,0)/100</f>
        <v>133378.95278399999</v>
      </c>
      <c r="K23" s="19">
        <f>Table12[[#This Row],[Volume]]*VLOOKUP(Table12[[#This Row],[newrate]],rates,7,0)/100</f>
        <v>119431.00941719998</v>
      </c>
      <c r="L23" s="19">
        <f>Table12[[#This Row],[Volume]]*VLOOKUP(Table12[[#This Row],[newrate]],rates,8,0)/100</f>
        <v>2689233.0433482998</v>
      </c>
      <c r="M23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2979151.8332056999</v>
      </c>
      <c r="N23" s="21">
        <v>0</v>
      </c>
      <c r="O23" s="21">
        <v>0</v>
      </c>
      <c r="P23" s="21">
        <v>560817.8450338</v>
      </c>
      <c r="Q23" s="21">
        <v>0</v>
      </c>
      <c r="R23" s="21">
        <v>3033064.1364897215</v>
      </c>
      <c r="S23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3593881.9815235212</v>
      </c>
      <c r="T23" s="23">
        <f>Table12[[#This Row],[Proposed Customer Charge]]-Table12[[#This Row],[Current Customer Charge]]</f>
        <v>6000</v>
      </c>
      <c r="U23" s="23">
        <f>Table12[[#This Row],[Proposed Demand Delivery Charge]]-Table12[[#This Row],[Current Demand Delivery Charge]]</f>
        <v>133378.95278399999</v>
      </c>
      <c r="V23" s="23">
        <f>Table12[[#This Row],[Proposed Volumetric Delivery Charge]]-Table12[[#This Row],[Current Volumetric Delivery Charge]]</f>
        <v>-529709.01737759996</v>
      </c>
      <c r="W23" s="23">
        <f>Table12[[#This Row],[Proposed Gas Supply Transportation Charge]]-Table12[[#This Row],[Current Gas Supply Transportation Charge]]</f>
        <v>119431.00941719998</v>
      </c>
      <c r="X23" s="23">
        <f>Table12[[#This Row],[Proposed Gas Supply Commodity Charge]]-Table12[[#This Row],[Current Gas Supply Commodity Charge]]</f>
        <v>-343831.09314142168</v>
      </c>
      <c r="Y23" s="24">
        <f>Table12[[#This Row],[Proposed Total Bill ($)]]-Table12[[#This Row],[Current Total Bill ($)]]</f>
        <v>-614730.14831782132</v>
      </c>
      <c r="Z23" s="18">
        <f>Table12[[#This Row],[Total Bill Impact ($)]]/Table12[[#This Row],[Current Total Bill ($)]]</f>
        <v>-0.1710490637918011</v>
      </c>
    </row>
    <row r="24" spans="1:26">
      <c r="A24" s="2" t="s">
        <v>21</v>
      </c>
      <c r="B24" s="2" t="s">
        <v>62</v>
      </c>
      <c r="C24" s="2" t="s">
        <v>84</v>
      </c>
      <c r="D24" s="2" t="s">
        <v>78</v>
      </c>
      <c r="E24" s="12">
        <v>172968</v>
      </c>
      <c r="F24" s="12">
        <v>19873583.700000003</v>
      </c>
      <c r="G24" s="14">
        <f>IFERROR(Table12[[#This Row],[Volume]]/(Table12[[#This Row],[CD]]*366),0)</f>
        <v>0.31392748379118363</v>
      </c>
      <c r="H24" s="19">
        <f>12*VLOOKUP(Table12[[#This Row],[newrate]],rates,2,0)</f>
        <v>6000</v>
      </c>
      <c r="I24" s="19">
        <f>Table12[[#This Row],[Volume]]*VLOOKUP(Table12[[#This Row],[newrate]],rates,3,0)/100</f>
        <v>33109.390444200006</v>
      </c>
      <c r="J24" s="19">
        <f>12*Table12[[#This Row],[CD]]*VLOOKUP(Table12[[#This Row],[newrate]],rates,4,0)/100</f>
        <v>168452.84332800002</v>
      </c>
      <c r="K24" s="19">
        <f>Table12[[#This Row],[Volume]]*VLOOKUP(Table12[[#This Row],[newrate]],rates,7,0)/100</f>
        <v>127111.44134520002</v>
      </c>
      <c r="L24" s="19">
        <f>Table12[[#This Row],[Volume]]*VLOOKUP(Table12[[#This Row],[newrate]],rates,8,0)/100</f>
        <v>2862173.6508903001</v>
      </c>
      <c r="M24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3196847.3260077001</v>
      </c>
      <c r="N24" s="21">
        <v>0</v>
      </c>
      <c r="O24" s="21">
        <v>0</v>
      </c>
      <c r="P24" s="21">
        <v>593286.09419610014</v>
      </c>
      <c r="Q24" s="21">
        <v>0</v>
      </c>
      <c r="R24" s="21">
        <v>3228116.0141155054</v>
      </c>
      <c r="S24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3821402.1083116056</v>
      </c>
      <c r="T24" s="23">
        <f>Table12[[#This Row],[Proposed Customer Charge]]-Table12[[#This Row],[Current Customer Charge]]</f>
        <v>6000</v>
      </c>
      <c r="U24" s="23">
        <f>Table12[[#This Row],[Proposed Demand Delivery Charge]]-Table12[[#This Row],[Current Demand Delivery Charge]]</f>
        <v>168452.84332800002</v>
      </c>
      <c r="V24" s="23">
        <f>Table12[[#This Row],[Proposed Volumetric Delivery Charge]]-Table12[[#This Row],[Current Volumetric Delivery Charge]]</f>
        <v>-560176.70375190012</v>
      </c>
      <c r="W24" s="23">
        <f>Table12[[#This Row],[Proposed Gas Supply Transportation Charge]]-Table12[[#This Row],[Current Gas Supply Transportation Charge]]</f>
        <v>127111.44134520002</v>
      </c>
      <c r="X24" s="23">
        <f>Table12[[#This Row],[Proposed Gas Supply Commodity Charge]]-Table12[[#This Row],[Current Gas Supply Commodity Charge]]</f>
        <v>-365942.36322520534</v>
      </c>
      <c r="Y24" s="24">
        <f>Table12[[#This Row],[Proposed Total Bill ($)]]-Table12[[#This Row],[Current Total Bill ($)]]</f>
        <v>-624554.78230390558</v>
      </c>
      <c r="Z24" s="18">
        <f>Table12[[#This Row],[Total Bill Impact ($)]]/Table12[[#This Row],[Current Total Bill ($)]]</f>
        <v>-0.16343602808652086</v>
      </c>
    </row>
    <row r="25" spans="1:26">
      <c r="A25" s="2" t="s">
        <v>21</v>
      </c>
      <c r="B25" s="2" t="s">
        <v>62</v>
      </c>
      <c r="C25" s="2" t="s">
        <v>84</v>
      </c>
      <c r="D25" s="2" t="s">
        <v>79</v>
      </c>
      <c r="E25" s="12">
        <v>229000</v>
      </c>
      <c r="F25" s="12">
        <v>9732563.3999999985</v>
      </c>
      <c r="G25" s="14">
        <f>IFERROR(Table12[[#This Row],[Volume]]/(Table12[[#This Row],[CD]]*366),0)</f>
        <v>0.11612097501610708</v>
      </c>
      <c r="H25" s="19">
        <f>12*VLOOKUP(Table12[[#This Row],[newrate]],rates,2,0)</f>
        <v>6000</v>
      </c>
      <c r="I25" s="19">
        <f>Table12[[#This Row],[Volume]]*VLOOKUP(Table12[[#This Row],[newrate]],rates,3,0)/100</f>
        <v>16214.450624399999</v>
      </c>
      <c r="J25" s="19">
        <f>12*Table12[[#This Row],[CD]]*VLOOKUP(Table12[[#This Row],[newrate]],rates,4,0)/100</f>
        <v>223022.18399999998</v>
      </c>
      <c r="K25" s="19">
        <f>Table12[[#This Row],[Volume]]*VLOOKUP(Table12[[#This Row],[newrate]],rates,7,0)/100</f>
        <v>62249.475506399984</v>
      </c>
      <c r="L25" s="19">
        <f>Table12[[#This Row],[Volume]]*VLOOKUP(Table12[[#This Row],[newrate]],rates,8,0)/100</f>
        <v>1401674.0483045997</v>
      </c>
      <c r="M25" s="20">
        <f>Table12[[#This Row],[Proposed Customer Charge]]+Table12[[#This Row],[Proposed Volumetric Delivery Charge]]+Table12[[#This Row],[Proposed Demand Delivery Charge]]+Table12[[#This Row],[Proposed Gas Supply Transportation Charge]]+Table12[[#This Row],[Proposed Gas Supply Commodity Charge]]</f>
        <v>1709160.1584353996</v>
      </c>
      <c r="N25" s="21">
        <v>0</v>
      </c>
      <c r="O25" s="21">
        <v>0</v>
      </c>
      <c r="P25" s="21">
        <v>212607.84747299994</v>
      </c>
      <c r="Q25" s="21">
        <v>0</v>
      </c>
      <c r="R25" s="21">
        <v>1580884.6680196105</v>
      </c>
      <c r="S25" s="22">
        <f>Table12[[#This Row],[Current Customer Charge]]+Table12[[#This Row],[Current Demand Delivery Charge]]+Table12[[#This Row],[Current Volumetric Delivery Charge]]+Table12[[#This Row],[Current Gas Supply Transportation Charge]]+Table12[[#This Row],[Current Gas Supply Commodity Charge]]</f>
        <v>1793492.5154926104</v>
      </c>
      <c r="T25" s="23">
        <f>Table12[[#This Row],[Proposed Customer Charge]]-Table12[[#This Row],[Current Customer Charge]]</f>
        <v>6000</v>
      </c>
      <c r="U25" s="23">
        <f>Table12[[#This Row],[Proposed Demand Delivery Charge]]-Table12[[#This Row],[Current Demand Delivery Charge]]</f>
        <v>223022.18399999998</v>
      </c>
      <c r="V25" s="23">
        <f>Table12[[#This Row],[Proposed Volumetric Delivery Charge]]-Table12[[#This Row],[Current Volumetric Delivery Charge]]</f>
        <v>-196393.39684859995</v>
      </c>
      <c r="W25" s="23">
        <f>Table12[[#This Row],[Proposed Gas Supply Transportation Charge]]-Table12[[#This Row],[Current Gas Supply Transportation Charge]]</f>
        <v>62249.475506399984</v>
      </c>
      <c r="X25" s="23">
        <f>Table12[[#This Row],[Proposed Gas Supply Commodity Charge]]-Table12[[#This Row],[Current Gas Supply Commodity Charge]]</f>
        <v>-179210.61971501075</v>
      </c>
      <c r="Y25" s="24">
        <f>Table12[[#This Row],[Proposed Total Bill ($)]]-Table12[[#This Row],[Current Total Bill ($)]]</f>
        <v>-84332.357057210756</v>
      </c>
      <c r="Z25" s="18">
        <f>Table12[[#This Row],[Total Bill Impact ($)]]/Table12[[#This Row],[Current Total Bill ($)]]</f>
        <v>-4.7021304147482082E-2</v>
      </c>
    </row>
  </sheetData>
  <sheetProtection algorithmName="SHA-512" hashValue="abV96LMtlKfxvTPOXoZaNgHe/NfVk4GnnGpZM1Sh2wg73dCJf1CZofIfFSy+UBuU647PGebQSV/bHcRow31WSg==" saltValue="kG/4R9NSzmuQoyt7TovGWg==" spinCount="100000" sheet="1" objects="1" scenarios="1"/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2A8A-DF95-448B-9C41-CDA6C566EED4}">
  <dimension ref="A1:Z8"/>
  <sheetViews>
    <sheetView showGridLines="0" topLeftCell="B1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54" width="13.28515625" style="2" customWidth="1"/>
    <col min="55" max="16384" width="9.140625" style="2"/>
  </cols>
  <sheetData>
    <row r="1" spans="1:26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68</v>
      </c>
      <c r="F1" s="3" t="s">
        <v>33</v>
      </c>
      <c r="G1" s="3" t="s">
        <v>34</v>
      </c>
      <c r="H1" s="10" t="s">
        <v>35</v>
      </c>
      <c r="I1" s="10" t="s">
        <v>36</v>
      </c>
      <c r="J1" s="10" t="s">
        <v>37</v>
      </c>
      <c r="K1" s="10" t="s">
        <v>38</v>
      </c>
      <c r="L1" s="10" t="s">
        <v>39</v>
      </c>
      <c r="M1" s="10" t="s">
        <v>40</v>
      </c>
      <c r="N1" s="11" t="s">
        <v>41</v>
      </c>
      <c r="O1" s="11" t="s">
        <v>42</v>
      </c>
      <c r="P1" s="11" t="s">
        <v>43</v>
      </c>
      <c r="Q1" s="11" t="s">
        <v>44</v>
      </c>
      <c r="R1" s="11" t="s">
        <v>45</v>
      </c>
      <c r="S1" s="11" t="s">
        <v>46</v>
      </c>
      <c r="T1" s="3" t="s">
        <v>47</v>
      </c>
      <c r="U1" s="3" t="s">
        <v>48</v>
      </c>
      <c r="V1" s="3" t="s">
        <v>49</v>
      </c>
      <c r="W1" s="3" t="s">
        <v>50</v>
      </c>
      <c r="X1" s="3" t="s">
        <v>51</v>
      </c>
      <c r="Y1" s="3" t="s">
        <v>52</v>
      </c>
      <c r="Z1" s="3" t="s">
        <v>53</v>
      </c>
    </row>
    <row r="2" spans="1:26">
      <c r="A2" s="2" t="s">
        <v>22</v>
      </c>
      <c r="B2" s="2" t="s">
        <v>54</v>
      </c>
      <c r="C2" s="2" t="s">
        <v>88</v>
      </c>
      <c r="D2" s="2" t="s">
        <v>74</v>
      </c>
      <c r="E2" s="12">
        <v>10000</v>
      </c>
      <c r="F2" s="12">
        <v>436829</v>
      </c>
      <c r="G2" s="13">
        <f>IFERROR(Table124[[#This Row],[Volume]]/(Table124[[#This Row],[CD]]*366),0)</f>
        <v>0.11935218579234973</v>
      </c>
      <c r="H2" s="19">
        <f>12*VLOOKUP(Table124[[#This Row],[newrate]],rates,2,0)</f>
        <v>6000</v>
      </c>
      <c r="I2" s="19">
        <f>Table124[[#This Row],[Volume]]*VLOOKUP(Table124[[#This Row],[newrate]],rates,3,0)/100</f>
        <v>715.96273099999996</v>
      </c>
      <c r="J2" s="19">
        <f>12*Table124[[#This Row],[CD]]*VLOOKUP(Table124[[#This Row],[newrate]],rates,4,0)/100</f>
        <v>13872.48</v>
      </c>
      <c r="K2" s="19">
        <f>Table124[[#This Row],[Volume]]*VLOOKUP(Table124[[#This Row],[newrate]],rates,7,0)/100</f>
        <v>4394.9365690000004</v>
      </c>
      <c r="L2" s="19">
        <f>Table124[[#This Row],[Volume]]*VLOOKUP(Table124[[#This Row],[newrate]],rates,8,0)/100</f>
        <v>62911.675751000002</v>
      </c>
      <c r="M2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87895.055051000003</v>
      </c>
      <c r="N2" s="21">
        <v>1551.48</v>
      </c>
      <c r="O2" s="21">
        <v>0</v>
      </c>
      <c r="P2" s="21">
        <v>11957.975942000001</v>
      </c>
      <c r="Q2" s="21">
        <v>21319.876174000005</v>
      </c>
      <c r="R2" s="21">
        <v>45654.746106000006</v>
      </c>
      <c r="S2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80484.078222000011</v>
      </c>
      <c r="T2" s="23">
        <f>Table124[[#This Row],[Proposed Customer Charge]]-Table124[[#This Row],[Current Customer Charge]]</f>
        <v>4448.5200000000004</v>
      </c>
      <c r="U2" s="23">
        <f>Table124[[#This Row],[Proposed Demand Delivery Charge]]-Table124[[#This Row],[Current Demand Delivery Charge]]</f>
        <v>13872.48</v>
      </c>
      <c r="V2" s="23">
        <f>Table124[[#This Row],[Proposed Volumetric Delivery Charge]]-Table124[[#This Row],[Current Volumetric Delivery Charge]]</f>
        <v>-11242.013211000001</v>
      </c>
      <c r="W2" s="23">
        <f>Table124[[#This Row],[Proposed Gas Supply Transportation Charge]]-Table124[[#This Row],[Current Gas Supply Transportation Charge]]</f>
        <v>-16924.939605000003</v>
      </c>
      <c r="X2" s="23">
        <f>Table124[[#This Row],[Proposed Gas Supply Commodity Charge]]-Table124[[#This Row],[Current Gas Supply Commodity Charge]]</f>
        <v>17256.929644999997</v>
      </c>
      <c r="Y2" s="24">
        <f>Table124[[#This Row],[Proposed Total Bill ($)]]-Table124[[#This Row],[Current Total Bill ($)]]</f>
        <v>7410.976828999992</v>
      </c>
      <c r="Z2" s="18">
        <f>Table124[[#This Row],[Total Bill Impact ($)]]/Table124[[#This Row],[Current Total Bill ($)]]</f>
        <v>9.2080036110474217E-2</v>
      </c>
    </row>
    <row r="3" spans="1:26">
      <c r="A3" s="2" t="s">
        <v>22</v>
      </c>
      <c r="B3" s="2" t="s">
        <v>54</v>
      </c>
      <c r="C3" s="2" t="s">
        <v>88</v>
      </c>
      <c r="D3" s="2" t="s">
        <v>75</v>
      </c>
      <c r="E3" s="12">
        <v>22000</v>
      </c>
      <c r="F3" s="12">
        <v>1009539</v>
      </c>
      <c r="G3" s="14">
        <f>IFERROR(Table124[[#This Row],[Volume]]/(Table124[[#This Row],[CD]]*366),0)</f>
        <v>0.12537742175856931</v>
      </c>
      <c r="H3" s="19">
        <f>12*VLOOKUP(Table124[[#This Row],[newrate]],rates,2,0)</f>
        <v>6000</v>
      </c>
      <c r="I3" s="19">
        <f>Table124[[#This Row],[Volume]]*VLOOKUP(Table124[[#This Row],[newrate]],rates,3,0)/100</f>
        <v>1654.6344209999997</v>
      </c>
      <c r="J3" s="19">
        <f>12*Table124[[#This Row],[CD]]*VLOOKUP(Table124[[#This Row],[newrate]],rates,4,0)/100</f>
        <v>30519.456000000002</v>
      </c>
      <c r="K3" s="19">
        <f>Table124[[#This Row],[Volume]]*VLOOKUP(Table124[[#This Row],[newrate]],rates,7,0)/100</f>
        <v>10156.971879000001</v>
      </c>
      <c r="L3" s="19">
        <f>Table124[[#This Row],[Volume]]*VLOOKUP(Table124[[#This Row],[newrate]],rates,8,0)/100</f>
        <v>145392.79724099999</v>
      </c>
      <c r="M3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193723.85954099998</v>
      </c>
      <c r="N3" s="21">
        <v>1551.48</v>
      </c>
      <c r="O3" s="21">
        <v>0</v>
      </c>
      <c r="P3" s="21">
        <v>25289.982583999998</v>
      </c>
      <c r="Q3" s="21">
        <v>49271.560433999999</v>
      </c>
      <c r="R3" s="21">
        <v>105510.959046</v>
      </c>
      <c r="S3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181623.98206399998</v>
      </c>
      <c r="T3" s="23">
        <f>Table124[[#This Row],[Proposed Customer Charge]]-Table124[[#This Row],[Current Customer Charge]]</f>
        <v>4448.5200000000004</v>
      </c>
      <c r="U3" s="23">
        <f>Table124[[#This Row],[Proposed Demand Delivery Charge]]-Table124[[#This Row],[Current Demand Delivery Charge]]</f>
        <v>30519.456000000002</v>
      </c>
      <c r="V3" s="23">
        <f>Table124[[#This Row],[Proposed Volumetric Delivery Charge]]-Table124[[#This Row],[Current Volumetric Delivery Charge]]</f>
        <v>-23635.348162999999</v>
      </c>
      <c r="W3" s="23">
        <f>Table124[[#This Row],[Proposed Gas Supply Transportation Charge]]-Table124[[#This Row],[Current Gas Supply Transportation Charge]]</f>
        <v>-39114.588554999995</v>
      </c>
      <c r="X3" s="23">
        <f>Table124[[#This Row],[Proposed Gas Supply Commodity Charge]]-Table124[[#This Row],[Current Gas Supply Commodity Charge]]</f>
        <v>39881.838194999989</v>
      </c>
      <c r="Y3" s="24">
        <f>Table124[[#This Row],[Proposed Total Bill ($)]]-Table124[[#This Row],[Current Total Bill ($)]]</f>
        <v>12099.877477000002</v>
      </c>
      <c r="Z3" s="18">
        <f>Table124[[#This Row],[Total Bill Impact ($)]]/Table124[[#This Row],[Current Total Bill ($)]]</f>
        <v>6.6620483371718456E-2</v>
      </c>
    </row>
    <row r="4" spans="1:26">
      <c r="A4" s="2" t="s">
        <v>22</v>
      </c>
      <c r="B4" s="2" t="s">
        <v>54</v>
      </c>
      <c r="C4" s="2" t="s">
        <v>88</v>
      </c>
      <c r="D4" s="2" t="s">
        <v>76</v>
      </c>
      <c r="E4" s="12">
        <v>30000</v>
      </c>
      <c r="F4" s="12">
        <v>1089257</v>
      </c>
      <c r="G4" s="14">
        <f>IFERROR(Table124[[#This Row],[Volume]]/(Table124[[#This Row],[CD]]*366),0)</f>
        <v>9.9203734061930782E-2</v>
      </c>
      <c r="H4" s="19">
        <f>12*VLOOKUP(Table124[[#This Row],[newrate]],rates,2,0)</f>
        <v>6000</v>
      </c>
      <c r="I4" s="19">
        <f>Table124[[#This Row],[Volume]]*VLOOKUP(Table124[[#This Row],[newrate]],rates,3,0)/100</f>
        <v>1785.2922229999999</v>
      </c>
      <c r="J4" s="19">
        <f>12*Table124[[#This Row],[CD]]*VLOOKUP(Table124[[#This Row],[newrate]],rates,4,0)/100</f>
        <v>41617.440000000002</v>
      </c>
      <c r="K4" s="19">
        <f>Table124[[#This Row],[Volume]]*VLOOKUP(Table124[[#This Row],[newrate]],rates,7,0)/100</f>
        <v>10959.014676999999</v>
      </c>
      <c r="L4" s="19">
        <f>Table124[[#This Row],[Volume]]*VLOOKUP(Table124[[#This Row],[newrate]],rates,8,0)/100</f>
        <v>156873.70388300001</v>
      </c>
      <c r="M4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217235.45078300001</v>
      </c>
      <c r="N4" s="21">
        <v>1551.48</v>
      </c>
      <c r="O4" s="21">
        <v>0</v>
      </c>
      <c r="P4" s="21">
        <v>31052.79329400001</v>
      </c>
      <c r="Q4" s="21">
        <v>53162.277142000006</v>
      </c>
      <c r="R4" s="21">
        <v>113842.606098</v>
      </c>
      <c r="S4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199609.15653400001</v>
      </c>
      <c r="T4" s="23">
        <f>Table124[[#This Row],[Proposed Customer Charge]]-Table124[[#This Row],[Current Customer Charge]]</f>
        <v>4448.5200000000004</v>
      </c>
      <c r="U4" s="23">
        <f>Table124[[#This Row],[Proposed Demand Delivery Charge]]-Table124[[#This Row],[Current Demand Delivery Charge]]</f>
        <v>41617.440000000002</v>
      </c>
      <c r="V4" s="23">
        <f>Table124[[#This Row],[Proposed Volumetric Delivery Charge]]-Table124[[#This Row],[Current Volumetric Delivery Charge]]</f>
        <v>-29267.50107100001</v>
      </c>
      <c r="W4" s="23">
        <f>Table124[[#This Row],[Proposed Gas Supply Transportation Charge]]-Table124[[#This Row],[Current Gas Supply Transportation Charge]]</f>
        <v>-42203.262465000007</v>
      </c>
      <c r="X4" s="23">
        <f>Table124[[#This Row],[Proposed Gas Supply Commodity Charge]]-Table124[[#This Row],[Current Gas Supply Commodity Charge]]</f>
        <v>43031.097785000005</v>
      </c>
      <c r="Y4" s="24">
        <f>Table124[[#This Row],[Proposed Total Bill ($)]]-Table124[[#This Row],[Current Total Bill ($)]]</f>
        <v>17626.294248999999</v>
      </c>
      <c r="Z4" s="18">
        <f>Table124[[#This Row],[Total Bill Impact ($)]]/Table124[[#This Row],[Current Total Bill ($)]]</f>
        <v>8.8304036523483134E-2</v>
      </c>
    </row>
    <row r="5" spans="1:26">
      <c r="A5" s="2" t="s">
        <v>22</v>
      </c>
      <c r="B5" s="2" t="s">
        <v>54</v>
      </c>
      <c r="C5" s="2" t="s">
        <v>88</v>
      </c>
      <c r="D5" s="2" t="s">
        <v>77</v>
      </c>
      <c r="E5" s="12">
        <v>35000</v>
      </c>
      <c r="F5" s="12">
        <v>1379250</v>
      </c>
      <c r="G5" s="14">
        <f>IFERROR(Table124[[#This Row],[Volume]]/(Table124[[#This Row],[CD]]*366),0)</f>
        <v>0.10766978922716627</v>
      </c>
      <c r="H5" s="19">
        <f>12*VLOOKUP(Table124[[#This Row],[newrate]],rates,2,0)</f>
        <v>6000</v>
      </c>
      <c r="I5" s="19">
        <f>Table124[[#This Row],[Volume]]*VLOOKUP(Table124[[#This Row],[newrate]],rates,3,0)/100</f>
        <v>2260.5907499999998</v>
      </c>
      <c r="J5" s="19">
        <f>12*Table124[[#This Row],[CD]]*VLOOKUP(Table124[[#This Row],[newrate]],rates,4,0)/100</f>
        <v>48553.68</v>
      </c>
      <c r="K5" s="19">
        <f>Table124[[#This Row],[Volume]]*VLOOKUP(Table124[[#This Row],[newrate]],rates,7,0)/100</f>
        <v>13876.634250000001</v>
      </c>
      <c r="L5" s="19">
        <f>Table124[[#This Row],[Volume]]*VLOOKUP(Table124[[#This Row],[newrate]],rates,8,0)/100</f>
        <v>198638.20574999999</v>
      </c>
      <c r="M5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269329.11074999999</v>
      </c>
      <c r="N5" s="21">
        <v>1551.48</v>
      </c>
      <c r="O5" s="21">
        <v>0</v>
      </c>
      <c r="P5" s="21">
        <v>42879.247256000002</v>
      </c>
      <c r="Q5" s="21">
        <v>67315.675500000012</v>
      </c>
      <c r="R5" s="21">
        <v>144150.9345</v>
      </c>
      <c r="S5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255897.33725600003</v>
      </c>
      <c r="T5" s="23">
        <f>Table124[[#This Row],[Proposed Customer Charge]]-Table124[[#This Row],[Current Customer Charge]]</f>
        <v>4448.5200000000004</v>
      </c>
      <c r="U5" s="23">
        <f>Table124[[#This Row],[Proposed Demand Delivery Charge]]-Table124[[#This Row],[Current Demand Delivery Charge]]</f>
        <v>48553.68</v>
      </c>
      <c r="V5" s="23">
        <f>Table124[[#This Row],[Proposed Volumetric Delivery Charge]]-Table124[[#This Row],[Current Volumetric Delivery Charge]]</f>
        <v>-40618.656505999999</v>
      </c>
      <c r="W5" s="23">
        <f>Table124[[#This Row],[Proposed Gas Supply Transportation Charge]]-Table124[[#This Row],[Current Gas Supply Transportation Charge]]</f>
        <v>-53439.041250000009</v>
      </c>
      <c r="X5" s="23">
        <f>Table124[[#This Row],[Proposed Gas Supply Commodity Charge]]-Table124[[#This Row],[Current Gas Supply Commodity Charge]]</f>
        <v>54487.271249999991</v>
      </c>
      <c r="Y5" s="24">
        <f>Table124[[#This Row],[Proposed Total Bill ($)]]-Table124[[#This Row],[Current Total Bill ($)]]</f>
        <v>13431.773493999965</v>
      </c>
      <c r="Z5" s="18">
        <f>Table124[[#This Row],[Total Bill Impact ($)]]/Table124[[#This Row],[Current Total Bill ($)]]</f>
        <v>5.2488914648466237E-2</v>
      </c>
    </row>
    <row r="6" spans="1:26">
      <c r="A6" s="2" t="s">
        <v>22</v>
      </c>
      <c r="B6" s="2" t="s">
        <v>54</v>
      </c>
      <c r="C6" s="2" t="s">
        <v>88</v>
      </c>
      <c r="D6" s="2" t="s">
        <v>78</v>
      </c>
      <c r="E6" s="12">
        <v>44400</v>
      </c>
      <c r="F6" s="12">
        <v>3342638</v>
      </c>
      <c r="G6" s="14">
        <f>IFERROR(Table124[[#This Row],[Volume]]/(Table124[[#This Row],[CD]]*366),0)</f>
        <v>0.20569573672032687</v>
      </c>
      <c r="H6" s="19">
        <f>12*VLOOKUP(Table124[[#This Row],[newrate]],rates,2,0)</f>
        <v>6000</v>
      </c>
      <c r="I6" s="19">
        <f>Table124[[#This Row],[Volume]]*VLOOKUP(Table124[[#This Row],[newrate]],rates,3,0)/100</f>
        <v>5478.5836819999995</v>
      </c>
      <c r="J6" s="19">
        <f>12*Table124[[#This Row],[CD]]*VLOOKUP(Table124[[#This Row],[newrate]],rates,4,0)/100</f>
        <v>61593.811200000004</v>
      </c>
      <c r="K6" s="19">
        <f>Table124[[#This Row],[Volume]]*VLOOKUP(Table124[[#This Row],[newrate]],rates,7,0)/100</f>
        <v>33630.280918000004</v>
      </c>
      <c r="L6" s="19">
        <f>Table124[[#This Row],[Volume]]*VLOOKUP(Table124[[#This Row],[newrate]],rates,8,0)/100</f>
        <v>481403.38212199998</v>
      </c>
      <c r="M6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588106.05792199995</v>
      </c>
      <c r="N6" s="21">
        <v>1551.48</v>
      </c>
      <c r="O6" s="21">
        <v>0</v>
      </c>
      <c r="P6" s="21">
        <v>101770.711067</v>
      </c>
      <c r="Q6" s="21">
        <v>163140.790228</v>
      </c>
      <c r="R6" s="21">
        <v>349352.467932</v>
      </c>
      <c r="S6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615815.449227</v>
      </c>
      <c r="T6" s="23">
        <f>Table124[[#This Row],[Proposed Customer Charge]]-Table124[[#This Row],[Current Customer Charge]]</f>
        <v>4448.5200000000004</v>
      </c>
      <c r="U6" s="23">
        <f>Table124[[#This Row],[Proposed Demand Delivery Charge]]-Table124[[#This Row],[Current Demand Delivery Charge]]</f>
        <v>61593.811200000004</v>
      </c>
      <c r="V6" s="23">
        <f>Table124[[#This Row],[Proposed Volumetric Delivery Charge]]-Table124[[#This Row],[Current Volumetric Delivery Charge]]</f>
        <v>-96292.127385</v>
      </c>
      <c r="W6" s="23">
        <f>Table124[[#This Row],[Proposed Gas Supply Transportation Charge]]-Table124[[#This Row],[Current Gas Supply Transportation Charge]]</f>
        <v>-129510.50930999999</v>
      </c>
      <c r="X6" s="23">
        <f>Table124[[#This Row],[Proposed Gas Supply Commodity Charge]]-Table124[[#This Row],[Current Gas Supply Commodity Charge]]</f>
        <v>132050.91418999998</v>
      </c>
      <c r="Y6" s="24">
        <f>Table124[[#This Row],[Proposed Total Bill ($)]]-Table124[[#This Row],[Current Total Bill ($)]]</f>
        <v>-27709.391305000056</v>
      </c>
      <c r="Z6" s="18">
        <f>Table124[[#This Row],[Total Bill Impact ($)]]/Table124[[#This Row],[Current Total Bill ($)]]</f>
        <v>-4.4996258765157914E-2</v>
      </c>
    </row>
    <row r="7" spans="1:26">
      <c r="A7" s="2" t="s">
        <v>22</v>
      </c>
      <c r="B7" s="2" t="s">
        <v>54</v>
      </c>
      <c r="C7" s="2" t="s">
        <v>88</v>
      </c>
      <c r="D7" s="2" t="s">
        <v>79</v>
      </c>
      <c r="E7" s="12">
        <v>60000</v>
      </c>
      <c r="F7" s="12">
        <v>2292098</v>
      </c>
      <c r="G7" s="14">
        <f>IFERROR(Table124[[#This Row],[Volume]]/(Table124[[#This Row],[CD]]*366),0)</f>
        <v>0.10437604735883424</v>
      </c>
      <c r="H7" s="19">
        <f>12*VLOOKUP(Table124[[#This Row],[newrate]],rates,2,0)</f>
        <v>6000</v>
      </c>
      <c r="I7" s="19">
        <f>Table124[[#This Row],[Volume]]*VLOOKUP(Table124[[#This Row],[newrate]],rates,3,0)/100</f>
        <v>3756.7486219999996</v>
      </c>
      <c r="J7" s="19">
        <f>12*Table124[[#This Row],[CD]]*VLOOKUP(Table124[[#This Row],[newrate]],rates,4,0)/100</f>
        <v>83234.880000000005</v>
      </c>
      <c r="K7" s="19">
        <f>Table124[[#This Row],[Volume]]*VLOOKUP(Table124[[#This Row],[newrate]],rates,7,0)/100</f>
        <v>23060.797977999999</v>
      </c>
      <c r="L7" s="19">
        <f>Table124[[#This Row],[Volume]]*VLOOKUP(Table124[[#This Row],[newrate]],rates,8,0)/100</f>
        <v>330105.66186200001</v>
      </c>
      <c r="M7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446158.08846200001</v>
      </c>
      <c r="N7" s="21">
        <v>1551.48</v>
      </c>
      <c r="O7" s="21">
        <v>0</v>
      </c>
      <c r="P7" s="21">
        <v>68956.61613699999</v>
      </c>
      <c r="Q7" s="21">
        <v>111868.13498800001</v>
      </c>
      <c r="R7" s="21">
        <v>239556.330372</v>
      </c>
      <c r="S7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421932.56149699999</v>
      </c>
      <c r="T7" s="23">
        <f>Table124[[#This Row],[Proposed Customer Charge]]-Table124[[#This Row],[Current Customer Charge]]</f>
        <v>4448.5200000000004</v>
      </c>
      <c r="U7" s="23">
        <f>Table124[[#This Row],[Proposed Demand Delivery Charge]]-Table124[[#This Row],[Current Demand Delivery Charge]]</f>
        <v>83234.880000000005</v>
      </c>
      <c r="V7" s="23">
        <f>Table124[[#This Row],[Proposed Volumetric Delivery Charge]]-Table124[[#This Row],[Current Volumetric Delivery Charge]]</f>
        <v>-65199.867514999991</v>
      </c>
      <c r="W7" s="23">
        <f>Table124[[#This Row],[Proposed Gas Supply Transportation Charge]]-Table124[[#This Row],[Current Gas Supply Transportation Charge]]</f>
        <v>-88807.337010000003</v>
      </c>
      <c r="X7" s="23">
        <f>Table124[[#This Row],[Proposed Gas Supply Commodity Charge]]-Table124[[#This Row],[Current Gas Supply Commodity Charge]]</f>
        <v>90549.331490000011</v>
      </c>
      <c r="Y7" s="24">
        <f>Table124[[#This Row],[Proposed Total Bill ($)]]-Table124[[#This Row],[Current Total Bill ($)]]</f>
        <v>24225.526965000026</v>
      </c>
      <c r="Z7" s="18">
        <f>Table124[[#This Row],[Total Bill Impact ($)]]/Table124[[#This Row],[Current Total Bill ($)]]</f>
        <v>5.7415637416199448E-2</v>
      </c>
    </row>
    <row r="8" spans="1:26">
      <c r="A8" s="2" t="s">
        <v>22</v>
      </c>
      <c r="B8" s="2" t="s">
        <v>62</v>
      </c>
      <c r="C8" s="2" t="s">
        <v>84</v>
      </c>
      <c r="D8" s="2" t="s">
        <v>89</v>
      </c>
      <c r="E8" s="12">
        <v>113333.33333333333</v>
      </c>
      <c r="F8" s="12">
        <v>2174018.9</v>
      </c>
      <c r="G8" s="14">
        <f>IFERROR(Table124[[#This Row],[Volume]]/(Table124[[#This Row],[CD]]*366),0)</f>
        <v>5.241125602700096E-2</v>
      </c>
      <c r="H8" s="19">
        <f>12*VLOOKUP(Table124[[#This Row],[newrate]],rates,2,0)</f>
        <v>6000</v>
      </c>
      <c r="I8" s="19">
        <f>Table124[[#This Row],[Volume]]*VLOOKUP(Table124[[#This Row],[newrate]],rates,3,0)/100</f>
        <v>3563.2169770999999</v>
      </c>
      <c r="J8" s="19">
        <f>12*Table124[[#This Row],[CD]]*VLOOKUP(Table124[[#This Row],[newrate]],rates,4,0)/100</f>
        <v>157221.44</v>
      </c>
      <c r="K8" s="19">
        <f>Table124[[#This Row],[Volume]]*VLOOKUP(Table124[[#This Row],[newrate]],rates,7,0)/100</f>
        <v>21872.8041529</v>
      </c>
      <c r="L8" s="19">
        <f>Table124[[#This Row],[Volume]]*VLOOKUP(Table124[[#This Row],[newrate]],rates,8,0)/100</f>
        <v>313100.02795909997</v>
      </c>
      <c r="M8" s="20">
        <f>Table124[[#This Row],[Proposed Customer Charge]]+Table124[[#This Row],[Proposed Volumetric Delivery Charge]]+Table124[[#This Row],[Proposed Demand Delivery Charge]]+Table124[[#This Row],[Proposed Gas Supply Transportation Charge]]+Table124[[#This Row],[Proposed Gas Supply Commodity Charge]]</f>
        <v>501757.48908909998</v>
      </c>
      <c r="N8" s="21">
        <v>0</v>
      </c>
      <c r="O8" s="21">
        <v>0</v>
      </c>
      <c r="P8" s="21">
        <v>36412.642556099992</v>
      </c>
      <c r="Q8" s="21">
        <v>0</v>
      </c>
      <c r="R8" s="21">
        <v>353131.33916958183</v>
      </c>
      <c r="S8" s="22">
        <f>Table124[[#This Row],[Current Customer Charge]]+Table124[[#This Row],[Current Demand Delivery Charge]]+Table124[[#This Row],[Current Volumetric Delivery Charge]]+Table124[[#This Row],[Current Gas Supply Transportation Charge]]+Table124[[#This Row],[Current Gas Supply Commodity Charge]]</f>
        <v>389543.98172568181</v>
      </c>
      <c r="T8" s="23">
        <f>Table124[[#This Row],[Proposed Customer Charge]]-Table124[[#This Row],[Current Customer Charge]]</f>
        <v>6000</v>
      </c>
      <c r="U8" s="23">
        <f>Table124[[#This Row],[Proposed Demand Delivery Charge]]-Table124[[#This Row],[Current Demand Delivery Charge]]</f>
        <v>157221.44</v>
      </c>
      <c r="V8" s="23">
        <f>Table124[[#This Row],[Proposed Volumetric Delivery Charge]]-Table124[[#This Row],[Current Volumetric Delivery Charge]]</f>
        <v>-32849.425578999995</v>
      </c>
      <c r="W8" s="23">
        <f>Table124[[#This Row],[Proposed Gas Supply Transportation Charge]]-Table124[[#This Row],[Current Gas Supply Transportation Charge]]</f>
        <v>21872.8041529</v>
      </c>
      <c r="X8" s="23">
        <f>Table124[[#This Row],[Proposed Gas Supply Commodity Charge]]-Table124[[#This Row],[Current Gas Supply Commodity Charge]]</f>
        <v>-40031.311210481857</v>
      </c>
      <c r="Y8" s="24">
        <f>Table124[[#This Row],[Proposed Total Bill ($)]]-Table124[[#This Row],[Current Total Bill ($)]]</f>
        <v>112213.50736341818</v>
      </c>
      <c r="Z8" s="18">
        <f>Table124[[#This Row],[Total Bill Impact ($)]]/Table124[[#This Row],[Current Total Bill ($)]]</f>
        <v>0.28806376847695547</v>
      </c>
    </row>
  </sheetData>
  <sheetProtection algorithmName="SHA-512" hashValue="ina0/iSi6+mbJmdsyPDt24DvHvlWnl12Xigt7vPbuHiW5GneEEycwtdVnKlBxq8zXmz3J7RHKyJu1PVQjKwOPA==" saltValue="P1r7ApwgH7r4bELNfhv6Fg==" spinCount="100000" sheet="1" objects="1" scenarios="1"/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BCD9-2461-4A3C-B7B6-890B7FBA6AAA}">
  <dimension ref="A1:AB13"/>
  <sheetViews>
    <sheetView showGridLines="0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10" width="13.28515625" style="2" hidden="1" customWidth="1"/>
    <col min="11" max="54" width="13.28515625" style="2" customWidth="1"/>
    <col min="55" max="16384" width="9.140625" style="2"/>
  </cols>
  <sheetData>
    <row r="1" spans="1:28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68</v>
      </c>
      <c r="F1" s="3" t="s">
        <v>33</v>
      </c>
      <c r="G1" s="3" t="s">
        <v>34</v>
      </c>
      <c r="H1" s="17" t="s">
        <v>90</v>
      </c>
      <c r="I1" s="17" t="s">
        <v>91</v>
      </c>
      <c r="J1" s="17" t="s">
        <v>92</v>
      </c>
      <c r="K1" s="10" t="s">
        <v>35</v>
      </c>
      <c r="L1" s="10" t="s">
        <v>36</v>
      </c>
      <c r="M1" s="10" t="s">
        <v>71</v>
      </c>
      <c r="N1" s="10" t="s">
        <v>72</v>
      </c>
      <c r="O1" s="10" t="s">
        <v>93</v>
      </c>
      <c r="P1" s="10" t="s">
        <v>39</v>
      </c>
      <c r="Q1" s="10" t="s">
        <v>40</v>
      </c>
      <c r="R1" s="11" t="s">
        <v>41</v>
      </c>
      <c r="S1" s="11" t="s">
        <v>42</v>
      </c>
      <c r="T1" s="11" t="s">
        <v>43</v>
      </c>
      <c r="U1" s="11" t="s">
        <v>45</v>
      </c>
      <c r="V1" s="11" t="s">
        <v>46</v>
      </c>
      <c r="W1" s="3" t="s">
        <v>47</v>
      </c>
      <c r="X1" s="3" t="s">
        <v>48</v>
      </c>
      <c r="Y1" s="3" t="s">
        <v>49</v>
      </c>
      <c r="Z1" s="3" t="s">
        <v>94</v>
      </c>
      <c r="AA1" s="3" t="s">
        <v>52</v>
      </c>
      <c r="AB1" s="3" t="s">
        <v>53</v>
      </c>
    </row>
    <row r="2" spans="1:28">
      <c r="A2" s="2" t="s">
        <v>23</v>
      </c>
      <c r="B2" s="2" t="s">
        <v>62</v>
      </c>
      <c r="C2" s="2" t="s">
        <v>95</v>
      </c>
      <c r="D2" s="2" t="s">
        <v>74</v>
      </c>
      <c r="E2" s="12">
        <v>7500</v>
      </c>
      <c r="F2" s="12">
        <v>2745000</v>
      </c>
      <c r="G2" s="14">
        <f>IFERROR(Table16[[#This Row],[Volume]]/(Table16[[#This Row],[CD]]*366),0)</f>
        <v>1</v>
      </c>
      <c r="H2" s="16">
        <f>MIN(Table16[[#This Row],[CD]],inputs!$P$11)</f>
        <v>7500</v>
      </c>
      <c r="I2" s="16">
        <f>MIN(Table16[[#This Row],[CD]]-Table16[[#This Row],[CD  -Tier 1]],inputs!$Q$11)</f>
        <v>0</v>
      </c>
      <c r="J2" s="16">
        <f>MAX(0,Table16[[#This Row],[CD]]-inputs!$P$11-inputs!$Q$11)</f>
        <v>0</v>
      </c>
      <c r="K2" s="19">
        <f>12*VLOOKUP(Table16[[#This Row],[newrate]],rates,2,0)</f>
        <v>36000</v>
      </c>
      <c r="L2" s="19">
        <f>Table16[[#This Row],[Volume]]*(VLOOKUP(Table16[[#This Row],[newrate]],rates,3,0))/100</f>
        <v>2950.875</v>
      </c>
      <c r="M2" s="19">
        <f>12*Table16[[#This Row],[CD  -Tier 1]]*VLOOKUP(Table16[[#This Row],[newrate]],rates,4,0)/100</f>
        <v>47437.02</v>
      </c>
      <c r="N2" s="19">
        <f>12*Table16[[#This Row],[CD  -Tier 2]]*VLOOKUP(Table16[[#This Row],[newrate]],rates,5,0)/100</f>
        <v>0</v>
      </c>
      <c r="O2" s="19">
        <f>12*Table16[[#This Row],[CD  -Tier 3]]*VLOOKUP(Table16[[#This Row],[newrate]],rates,6,0)/100</f>
        <v>0</v>
      </c>
      <c r="P2" s="19">
        <f>Table16[[#This Row],[Volume]]*VLOOKUP(Table16[[#This Row],[newrate]],rates,8,0)/100</f>
        <v>395332.15500000003</v>
      </c>
      <c r="Q2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481720.05000000005</v>
      </c>
      <c r="R2" s="21">
        <v>26564.879999999997</v>
      </c>
      <c r="S2" s="21">
        <v>38495.79</v>
      </c>
      <c r="T2" s="21">
        <v>6166.4718145577699</v>
      </c>
      <c r="U2" s="21">
        <v>395332.15500000003</v>
      </c>
      <c r="V2" s="22">
        <f>Table16[[#This Row],[Current Customer Charge]]+Table16[[#This Row],[Current Demand Delivery Charge]]+Table16[[#This Row],[Current Volumetric Delivery Charge]]+Table16[[#This Row],[Current Gas Supply Commodity Charge]]</f>
        <v>466559.29681455781</v>
      </c>
      <c r="W2" s="23">
        <f>Table16[[#This Row],[Proposed Customer Charge]]-Table16[[#This Row],[Current Customer Charge]]</f>
        <v>9435.1200000000026</v>
      </c>
      <c r="X2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8941.2299999999959</v>
      </c>
      <c r="Y2" s="23">
        <f>Table16[[#This Row],[Proposed Volumetric Delivery Charge]]-Table16[[#This Row],[Current Volumetric Delivery Charge]]</f>
        <v>-3215.5968145577699</v>
      </c>
      <c r="Z2" s="25">
        <f>Table16[[#This Row],[Proposed Gas Supply Commodity Charge]]-Table16[[#This Row],[Current Gas Supply Commodity Charge]]</f>
        <v>0</v>
      </c>
      <c r="AA2" s="24">
        <f>Table16[[#This Row],[Proposed Total Bill ($)]]-Table16[[#This Row],[Current Total Bill ($)]]</f>
        <v>15160.753185442241</v>
      </c>
      <c r="AB2" s="18">
        <f>Table16[[#This Row],[Total Bill Impact ($)]]/Table16[[#This Row],[Current Total Bill ($)]]</f>
        <v>3.2494804602442952E-2</v>
      </c>
    </row>
    <row r="3" spans="1:28">
      <c r="A3" s="2" t="s">
        <v>23</v>
      </c>
      <c r="B3" s="2" t="s">
        <v>62</v>
      </c>
      <c r="C3" s="2" t="s">
        <v>95</v>
      </c>
      <c r="D3" s="2" t="s">
        <v>75</v>
      </c>
      <c r="E3" s="12">
        <v>25600</v>
      </c>
      <c r="F3" s="12">
        <v>6937966.907399999</v>
      </c>
      <c r="G3" s="14">
        <f>IFERROR(Table16[[#This Row],[Volume]]/(Table16[[#This Row],[CD]]*366),0)</f>
        <v>0.7404763178150614</v>
      </c>
      <c r="H3" s="16">
        <f>MIN(Table16[[#This Row],[CD]],inputs!$P$11)</f>
        <v>25600</v>
      </c>
      <c r="I3" s="16">
        <f>MIN(Table16[[#This Row],[CD]]-Table16[[#This Row],[CD  -Tier 1]],inputs!$Q$11)</f>
        <v>0</v>
      </c>
      <c r="J3" s="16">
        <f>MAX(0,Table16[[#This Row],[CD]]-inputs!$P$11-inputs!$Q$11)</f>
        <v>0</v>
      </c>
      <c r="K3" s="19">
        <f>12*VLOOKUP(Table16[[#This Row],[newrate]],rates,2,0)</f>
        <v>36000</v>
      </c>
      <c r="L3" s="19">
        <f>Table16[[#This Row],[Volume]]*(VLOOKUP(Table16[[#This Row],[newrate]],rates,3,0))/100</f>
        <v>7458.3144254549989</v>
      </c>
      <c r="M3" s="19">
        <f>12*Table16[[#This Row],[CD  -Tier 1]]*VLOOKUP(Table16[[#This Row],[newrate]],rates,4,0)/100</f>
        <v>161918.3616</v>
      </c>
      <c r="N3" s="19">
        <f>12*Table16[[#This Row],[CD  -Tier 2]]*VLOOKUP(Table16[[#This Row],[newrate]],rates,5,0)/100</f>
        <v>0</v>
      </c>
      <c r="O3" s="19">
        <f>12*Table16[[#This Row],[CD  -Tier 3]]*VLOOKUP(Table16[[#This Row],[newrate]],rates,6,0)/100</f>
        <v>0</v>
      </c>
      <c r="P3" s="19">
        <f>Table16[[#This Row],[Volume]]*VLOOKUP(Table16[[#This Row],[newrate]],rates,8,0)/100</f>
        <v>999199.05603684043</v>
      </c>
      <c r="Q3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1204575.7320622955</v>
      </c>
      <c r="R3" s="21">
        <v>26564.879999999997</v>
      </c>
      <c r="S3" s="21">
        <v>131398.9632</v>
      </c>
      <c r="T3" s="21">
        <v>15585.711251299321</v>
      </c>
      <c r="U3" s="21">
        <v>999199.05603684043</v>
      </c>
      <c r="V3" s="22">
        <f>Table16[[#This Row],[Current Customer Charge]]+Table16[[#This Row],[Current Demand Delivery Charge]]+Table16[[#This Row],[Current Volumetric Delivery Charge]]+Table16[[#This Row],[Current Gas Supply Commodity Charge]]</f>
        <v>1172748.6104881398</v>
      </c>
      <c r="W3" s="23">
        <f>Table16[[#This Row],[Proposed Customer Charge]]-Table16[[#This Row],[Current Customer Charge]]</f>
        <v>9435.1200000000026</v>
      </c>
      <c r="X3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30519.398400000005</v>
      </c>
      <c r="Y3" s="23">
        <f>Table16[[#This Row],[Proposed Volumetric Delivery Charge]]-Table16[[#This Row],[Current Volumetric Delivery Charge]]</f>
        <v>-8127.3968258443219</v>
      </c>
      <c r="Z3" s="25">
        <f>Table16[[#This Row],[Proposed Gas Supply Commodity Charge]]-Table16[[#This Row],[Current Gas Supply Commodity Charge]]</f>
        <v>0</v>
      </c>
      <c r="AA3" s="24">
        <f>Table16[[#This Row],[Proposed Total Bill ($)]]-Table16[[#This Row],[Current Total Bill ($)]]</f>
        <v>31827.121574155753</v>
      </c>
      <c r="AB3" s="18">
        <f>Table16[[#This Row],[Total Bill Impact ($)]]/Table16[[#This Row],[Current Total Bill ($)]]</f>
        <v>2.7138912201233111E-2</v>
      </c>
    </row>
    <row r="4" spans="1:28">
      <c r="A4" s="2" t="s">
        <v>23</v>
      </c>
      <c r="B4" s="2" t="s">
        <v>62</v>
      </c>
      <c r="C4" s="2" t="s">
        <v>95</v>
      </c>
      <c r="D4" s="2" t="s">
        <v>76</v>
      </c>
      <c r="E4" s="12">
        <v>36225</v>
      </c>
      <c r="F4" s="12">
        <v>4332906.1900000004</v>
      </c>
      <c r="G4" s="14">
        <f>IFERROR(Table16[[#This Row],[Volume]]/(Table16[[#This Row],[CD]]*366),0)</f>
        <v>0.32680583858474099</v>
      </c>
      <c r="H4" s="16">
        <f>MIN(Table16[[#This Row],[CD]],inputs!$P$11)</f>
        <v>30000</v>
      </c>
      <c r="I4" s="16">
        <f>MIN(Table16[[#This Row],[CD]]-Table16[[#This Row],[CD  -Tier 1]],inputs!$Q$11)</f>
        <v>6225</v>
      </c>
      <c r="J4" s="16">
        <f>MAX(0,Table16[[#This Row],[CD]]-inputs!$P$11-inputs!$Q$11)</f>
        <v>0</v>
      </c>
      <c r="K4" s="19">
        <f>12*VLOOKUP(Table16[[#This Row],[newrate]],rates,2,0)</f>
        <v>36000</v>
      </c>
      <c r="L4" s="19">
        <f>Table16[[#This Row],[Volume]]*(VLOOKUP(Table16[[#This Row],[newrate]],rates,3,0))/100</f>
        <v>4657.8741542500002</v>
      </c>
      <c r="M4" s="19">
        <f>12*Table16[[#This Row],[CD  -Tier 1]]*VLOOKUP(Table16[[#This Row],[newrate]],rates,4,0)/100</f>
        <v>189748.08</v>
      </c>
      <c r="N4" s="19">
        <f>12*Table16[[#This Row],[CD  -Tier 2]]*VLOOKUP(Table16[[#This Row],[newrate]],rates,5,0)/100</f>
        <v>22476.7071</v>
      </c>
      <c r="O4" s="19">
        <f>12*Table16[[#This Row],[CD  -Tier 3]]*VLOOKUP(Table16[[#This Row],[newrate]],rates,6,0)/100</f>
        <v>0</v>
      </c>
      <c r="P4" s="19">
        <f>Table16[[#This Row],[Volume]]*VLOOKUP(Table16[[#This Row],[newrate]],rates,8,0)/100</f>
        <v>624020.81657760998</v>
      </c>
      <c r="Q4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876903.47783185996</v>
      </c>
      <c r="R4" s="21">
        <v>26564.879999999997</v>
      </c>
      <c r="S4" s="21">
        <v>174070.03589999999</v>
      </c>
      <c r="T4" s="21">
        <v>10008.139775609434</v>
      </c>
      <c r="U4" s="21">
        <v>624020.81657760998</v>
      </c>
      <c r="V4" s="22">
        <f>Table16[[#This Row],[Current Customer Charge]]+Table16[[#This Row],[Current Demand Delivery Charge]]+Table16[[#This Row],[Current Volumetric Delivery Charge]]+Table16[[#This Row],[Current Gas Supply Commodity Charge]]</f>
        <v>834663.87225321936</v>
      </c>
      <c r="W4" s="23">
        <f>Table16[[#This Row],[Proposed Customer Charge]]-Table16[[#This Row],[Current Customer Charge]]</f>
        <v>9435.1200000000026</v>
      </c>
      <c r="X4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38154.751199999999</v>
      </c>
      <c r="Y4" s="23">
        <f>Table16[[#This Row],[Proposed Volumetric Delivery Charge]]-Table16[[#This Row],[Current Volumetric Delivery Charge]]</f>
        <v>-5350.2656213594337</v>
      </c>
      <c r="Z4" s="25">
        <f>Table16[[#This Row],[Proposed Gas Supply Commodity Charge]]-Table16[[#This Row],[Current Gas Supply Commodity Charge]]</f>
        <v>0</v>
      </c>
      <c r="AA4" s="24">
        <f>Table16[[#This Row],[Proposed Total Bill ($)]]-Table16[[#This Row],[Current Total Bill ($)]]</f>
        <v>42239.605578640592</v>
      </c>
      <c r="AB4" s="18">
        <f>Table16[[#This Row],[Total Bill Impact ($)]]/Table16[[#This Row],[Current Total Bill ($)]]</f>
        <v>5.0606725632693958E-2</v>
      </c>
    </row>
    <row r="5" spans="1:28">
      <c r="A5" s="2" t="s">
        <v>23</v>
      </c>
      <c r="B5" s="2" t="s">
        <v>62</v>
      </c>
      <c r="C5" s="2" t="s">
        <v>95</v>
      </c>
      <c r="D5" s="2" t="s">
        <v>77</v>
      </c>
      <c r="E5" s="12">
        <v>47500</v>
      </c>
      <c r="F5" s="12">
        <v>8515756.588299999</v>
      </c>
      <c r="G5" s="14">
        <f>IFERROR(Table16[[#This Row],[Volume]]/(Table16[[#This Row],[CD]]*366),0)</f>
        <v>0.48983356849582971</v>
      </c>
      <c r="H5" s="16">
        <f>MIN(Table16[[#This Row],[CD]],inputs!$P$11)</f>
        <v>30000</v>
      </c>
      <c r="I5" s="16">
        <f>MIN(Table16[[#This Row],[CD]]-Table16[[#This Row],[CD  -Tier 1]],inputs!$Q$11)</f>
        <v>17500</v>
      </c>
      <c r="J5" s="16">
        <f>MAX(0,Table16[[#This Row],[CD]]-inputs!$P$11-inputs!$Q$11)</f>
        <v>0</v>
      </c>
      <c r="K5" s="19">
        <f>12*VLOOKUP(Table16[[#This Row],[newrate]],rates,2,0)</f>
        <v>36000</v>
      </c>
      <c r="L5" s="19">
        <f>Table16[[#This Row],[Volume]]*(VLOOKUP(Table16[[#This Row],[newrate]],rates,3,0))/100</f>
        <v>9154.4383324224982</v>
      </c>
      <c r="M5" s="19">
        <f>12*Table16[[#This Row],[CD  -Tier 1]]*VLOOKUP(Table16[[#This Row],[newrate]],rates,4,0)/100</f>
        <v>189748.08</v>
      </c>
      <c r="N5" s="19">
        <f>12*Table16[[#This Row],[CD  -Tier 2]]*VLOOKUP(Table16[[#This Row],[newrate]],rates,5,0)/100</f>
        <v>63187.53</v>
      </c>
      <c r="O5" s="19">
        <f>12*Table16[[#This Row],[CD  -Tier 3]]*VLOOKUP(Table16[[#This Row],[newrate]],rates,6,0)/100</f>
        <v>0</v>
      </c>
      <c r="P5" s="19">
        <f>Table16[[#This Row],[Volume]]*VLOOKUP(Table16[[#This Row],[newrate]],rates,8,0)/100</f>
        <v>1226430.7480903775</v>
      </c>
      <c r="Q5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1524520.7964228</v>
      </c>
      <c r="R5" s="21">
        <v>26564.879999999997</v>
      </c>
      <c r="S5" s="21">
        <v>215375.63760000002</v>
      </c>
      <c r="T5" s="21">
        <v>19130.117661707318</v>
      </c>
      <c r="U5" s="21">
        <v>1226430.7480903775</v>
      </c>
      <c r="V5" s="22">
        <f>Table16[[#This Row],[Current Customer Charge]]+Table16[[#This Row],[Current Demand Delivery Charge]]+Table16[[#This Row],[Current Volumetric Delivery Charge]]+Table16[[#This Row],[Current Gas Supply Commodity Charge]]</f>
        <v>1487501.3833520848</v>
      </c>
      <c r="W5" s="23">
        <f>Table16[[#This Row],[Proposed Customer Charge]]-Table16[[#This Row],[Current Customer Charge]]</f>
        <v>9435.1200000000026</v>
      </c>
      <c r="X5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37559.97239999997</v>
      </c>
      <c r="Y5" s="23">
        <f>Table16[[#This Row],[Proposed Volumetric Delivery Charge]]-Table16[[#This Row],[Current Volumetric Delivery Charge]]</f>
        <v>-9975.6793292848197</v>
      </c>
      <c r="Z5" s="25">
        <f>Table16[[#This Row],[Proposed Gas Supply Commodity Charge]]-Table16[[#This Row],[Current Gas Supply Commodity Charge]]</f>
        <v>0</v>
      </c>
      <c r="AA5" s="24">
        <f>Table16[[#This Row],[Proposed Total Bill ($)]]-Table16[[#This Row],[Current Total Bill ($)]]</f>
        <v>37019.413070715265</v>
      </c>
      <c r="AB5" s="18">
        <f>Table16[[#This Row],[Total Bill Impact ($)]]/Table16[[#This Row],[Current Total Bill ($)]]</f>
        <v>2.4886977239168682E-2</v>
      </c>
    </row>
    <row r="6" spans="1:28">
      <c r="A6" s="2" t="s">
        <v>23</v>
      </c>
      <c r="B6" s="2" t="s">
        <v>62</v>
      </c>
      <c r="C6" s="2" t="s">
        <v>95</v>
      </c>
      <c r="D6" s="2" t="s">
        <v>78</v>
      </c>
      <c r="E6" s="12">
        <v>65336</v>
      </c>
      <c r="F6" s="12">
        <v>12500000.000600001</v>
      </c>
      <c r="G6" s="14">
        <f>IFERROR(Table16[[#This Row],[Volume]]/(Table16[[#This Row],[CD]]*366),0)</f>
        <v>0.52272874779784839</v>
      </c>
      <c r="H6" s="16">
        <f>MIN(Table16[[#This Row],[CD]],inputs!$P$11)</f>
        <v>30000</v>
      </c>
      <c r="I6" s="16">
        <f>MIN(Table16[[#This Row],[CD]]-Table16[[#This Row],[CD  -Tier 1]],inputs!$Q$11)</f>
        <v>35336</v>
      </c>
      <c r="J6" s="16">
        <f>MAX(0,Table16[[#This Row],[CD]]-inputs!$P$11-inputs!$Q$11)</f>
        <v>0</v>
      </c>
      <c r="K6" s="19">
        <f>12*VLOOKUP(Table16[[#This Row],[newrate]],rates,2,0)</f>
        <v>36000</v>
      </c>
      <c r="L6" s="19">
        <f>Table16[[#This Row],[Volume]]*(VLOOKUP(Table16[[#This Row],[newrate]],rates,3,0))/100</f>
        <v>13437.500000645001</v>
      </c>
      <c r="M6" s="19">
        <f>12*Table16[[#This Row],[CD  -Tier 1]]*VLOOKUP(Table16[[#This Row],[newrate]],rates,4,0)/100</f>
        <v>189748.08</v>
      </c>
      <c r="N6" s="19">
        <f>12*Table16[[#This Row],[CD  -Tier 2]]*VLOOKUP(Table16[[#This Row],[newrate]],rates,5,0)/100</f>
        <v>127588.26057600002</v>
      </c>
      <c r="O6" s="19">
        <f>12*Table16[[#This Row],[CD  -Tier 3]]*VLOOKUP(Table16[[#This Row],[newrate]],rates,6,0)/100</f>
        <v>0</v>
      </c>
      <c r="P6" s="19">
        <f>Table16[[#This Row],[Volume]]*VLOOKUP(Table16[[#This Row],[newrate]],rates,8,0)/100</f>
        <v>1800237.5000864116</v>
      </c>
      <c r="Q6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2167011.3406630568</v>
      </c>
      <c r="R6" s="21">
        <v>26564.879999999997</v>
      </c>
      <c r="S6" s="21">
        <v>280717.25284800003</v>
      </c>
      <c r="T6" s="21">
        <v>28080.472745235707</v>
      </c>
      <c r="U6" s="21">
        <v>1800237.5000864116</v>
      </c>
      <c r="V6" s="22">
        <f>Table16[[#This Row],[Current Customer Charge]]+Table16[[#This Row],[Current Demand Delivery Charge]]+Table16[[#This Row],[Current Volumetric Delivery Charge]]+Table16[[#This Row],[Current Gas Supply Commodity Charge]]</f>
        <v>2135600.1056796475</v>
      </c>
      <c r="W6" s="23">
        <f>Table16[[#This Row],[Proposed Customer Charge]]-Table16[[#This Row],[Current Customer Charge]]</f>
        <v>9435.1200000000026</v>
      </c>
      <c r="X6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36619.087727999955</v>
      </c>
      <c r="Y6" s="23">
        <f>Table16[[#This Row],[Proposed Volumetric Delivery Charge]]-Table16[[#This Row],[Current Volumetric Delivery Charge]]</f>
        <v>-14642.972744590706</v>
      </c>
      <c r="Z6" s="25">
        <f>Table16[[#This Row],[Proposed Gas Supply Commodity Charge]]-Table16[[#This Row],[Current Gas Supply Commodity Charge]]</f>
        <v>0</v>
      </c>
      <c r="AA6" s="24">
        <f>Table16[[#This Row],[Proposed Total Bill ($)]]-Table16[[#This Row],[Current Total Bill ($)]]</f>
        <v>31411.234983409289</v>
      </c>
      <c r="AB6" s="18">
        <f>Table16[[#This Row],[Total Bill Impact ($)]]/Table16[[#This Row],[Current Total Bill ($)]]</f>
        <v>1.4708388007600688E-2</v>
      </c>
    </row>
    <row r="7" spans="1:28">
      <c r="A7" s="2" t="s">
        <v>23</v>
      </c>
      <c r="B7" s="2" t="s">
        <v>62</v>
      </c>
      <c r="C7" s="2" t="s">
        <v>95</v>
      </c>
      <c r="D7" s="2" t="s">
        <v>79</v>
      </c>
      <c r="E7" s="12">
        <v>154432</v>
      </c>
      <c r="F7" s="12">
        <v>23440054.960000001</v>
      </c>
      <c r="G7" s="14">
        <f>IFERROR(Table16[[#This Row],[Volume]]/(Table16[[#This Row],[CD]]*366),0)</f>
        <v>0.41470592889381064</v>
      </c>
      <c r="H7" s="16">
        <f>MIN(Table16[[#This Row],[CD]],inputs!$P$11)</f>
        <v>30000</v>
      </c>
      <c r="I7" s="16">
        <f>MIN(Table16[[#This Row],[CD]]-Table16[[#This Row],[CD  -Tier 1]],inputs!$Q$11)</f>
        <v>120000</v>
      </c>
      <c r="J7" s="16">
        <f>MAX(0,Table16[[#This Row],[CD]]-inputs!$P$11-inputs!$Q$11)</f>
        <v>4432</v>
      </c>
      <c r="K7" s="19">
        <f>12*VLOOKUP(Table16[[#This Row],[newrate]],rates,2,0)</f>
        <v>36000</v>
      </c>
      <c r="L7" s="19">
        <f>Table16[[#This Row],[Volume]]*(VLOOKUP(Table16[[#This Row],[newrate]],rates,3,0))/100</f>
        <v>25198.059082</v>
      </c>
      <c r="M7" s="19">
        <f>12*Table16[[#This Row],[CD  -Tier 1]]*VLOOKUP(Table16[[#This Row],[newrate]],rates,4,0)/100</f>
        <v>189748.08</v>
      </c>
      <c r="N7" s="19">
        <f>12*Table16[[#This Row],[CD  -Tier 2]]*VLOOKUP(Table16[[#This Row],[newrate]],rates,5,0)/100</f>
        <v>433285.92</v>
      </c>
      <c r="O7" s="19">
        <f>12*Table16[[#This Row],[CD  -Tier 3]]*VLOOKUP(Table16[[#This Row],[newrate]],rates,6,0)/100</f>
        <v>10642.969344000001</v>
      </c>
      <c r="P7" s="19">
        <f>Table16[[#This Row],[Volume]]*VLOOKUP(Table16[[#This Row],[newrate]],rates,8,0)/100</f>
        <v>3375813.27528424</v>
      </c>
      <c r="Q7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4070688.3037102399</v>
      </c>
      <c r="R7" s="21">
        <v>26564.879999999997</v>
      </c>
      <c r="S7" s="21">
        <v>607117.59777599992</v>
      </c>
      <c r="T7" s="21">
        <v>52656.625953561052</v>
      </c>
      <c r="U7" s="21">
        <v>3375813.27528424</v>
      </c>
      <c r="V7" s="22">
        <f>Table16[[#This Row],[Current Customer Charge]]+Table16[[#This Row],[Current Demand Delivery Charge]]+Table16[[#This Row],[Current Volumetric Delivery Charge]]+Table16[[#This Row],[Current Gas Supply Commodity Charge]]</f>
        <v>4062152.379013801</v>
      </c>
      <c r="W7" s="23">
        <f>Table16[[#This Row],[Proposed Customer Charge]]-Table16[[#This Row],[Current Customer Charge]]</f>
        <v>9435.1200000000026</v>
      </c>
      <c r="X7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26559.371568000061</v>
      </c>
      <c r="Y7" s="23">
        <f>Table16[[#This Row],[Proposed Volumetric Delivery Charge]]-Table16[[#This Row],[Current Volumetric Delivery Charge]]</f>
        <v>-27458.566871561052</v>
      </c>
      <c r="Z7" s="25">
        <f>Table16[[#This Row],[Proposed Gas Supply Commodity Charge]]-Table16[[#This Row],[Current Gas Supply Commodity Charge]]</f>
        <v>0</v>
      </c>
      <c r="AA7" s="24">
        <f>Table16[[#This Row],[Proposed Total Bill ($)]]-Table16[[#This Row],[Current Total Bill ($)]]</f>
        <v>8535.9246964389458</v>
      </c>
      <c r="AB7" s="18">
        <f>Table16[[#This Row],[Total Bill Impact ($)]]/Table16[[#This Row],[Current Total Bill ($)]]</f>
        <v>2.1013305016665267E-3</v>
      </c>
    </row>
    <row r="8" spans="1:28">
      <c r="A8" s="2" t="s">
        <v>23</v>
      </c>
      <c r="B8" s="2" t="s">
        <v>62</v>
      </c>
      <c r="C8" s="2" t="s">
        <v>96</v>
      </c>
      <c r="D8" s="2" t="s">
        <v>74</v>
      </c>
      <c r="E8" s="12">
        <v>35000</v>
      </c>
      <c r="F8" s="12">
        <v>12810000</v>
      </c>
      <c r="G8" s="14">
        <f>IFERROR(Table16[[#This Row],[Volume]]/(Table16[[#This Row],[CD]]*366),0)</f>
        <v>1</v>
      </c>
      <c r="H8" s="16">
        <f>MIN(Table16[[#This Row],[CD]],inputs!$P$11)</f>
        <v>30000</v>
      </c>
      <c r="I8" s="16">
        <f>MIN(Table16[[#This Row],[CD]]-Table16[[#This Row],[CD  -Tier 1]],inputs!$Q$11)</f>
        <v>5000</v>
      </c>
      <c r="J8" s="16">
        <f>MAX(0,Table16[[#This Row],[CD]]-inputs!$P$11-inputs!$Q$11)</f>
        <v>0</v>
      </c>
      <c r="K8" s="19">
        <f>12*VLOOKUP(Table16[[#This Row],[newrate]],rates,2,0)</f>
        <v>36000</v>
      </c>
      <c r="L8" s="19">
        <f>Table16[[#This Row],[Volume]]*(VLOOKUP(Table16[[#This Row],[newrate]],rates,3,0))/100</f>
        <v>13770.75</v>
      </c>
      <c r="M8" s="19">
        <f>12*Table16[[#This Row],[CD  -Tier 1]]*VLOOKUP(Table16[[#This Row],[newrate]],rates,4,0)/100</f>
        <v>189748.08</v>
      </c>
      <c r="N8" s="19">
        <f>12*Table16[[#This Row],[CD  -Tier 2]]*VLOOKUP(Table16[[#This Row],[newrate]],rates,5,0)/100</f>
        <v>18053.580000000002</v>
      </c>
      <c r="O8" s="19">
        <f>12*Table16[[#This Row],[CD  -Tier 3]]*VLOOKUP(Table16[[#This Row],[newrate]],rates,6,0)/100</f>
        <v>0</v>
      </c>
      <c r="P8" s="19">
        <f>Table16[[#This Row],[Volume]]*VLOOKUP(Table16[[#This Row],[newrate]],rates,8,0)/100</f>
        <v>1844883.39</v>
      </c>
      <c r="Q8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2102455.7999999998</v>
      </c>
      <c r="R8" s="21">
        <v>83847.360000000001</v>
      </c>
      <c r="S8" s="21">
        <v>139648.32000000001</v>
      </c>
      <c r="T8" s="21">
        <v>11877.785614149881</v>
      </c>
      <c r="U8" s="21">
        <v>1844883.39</v>
      </c>
      <c r="V8" s="22">
        <f>Table16[[#This Row],[Current Customer Charge]]+Table16[[#This Row],[Current Demand Delivery Charge]]+Table16[[#This Row],[Current Volumetric Delivery Charge]]+Table16[[#This Row],[Current Gas Supply Commodity Charge]]</f>
        <v>2080256.8556141497</v>
      </c>
      <c r="W8" s="23">
        <f>Table16[[#This Row],[Proposed Customer Charge]]-Table16[[#This Row],[Current Customer Charge]]</f>
        <v>-47847.360000000001</v>
      </c>
      <c r="X8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68153.339999999967</v>
      </c>
      <c r="Y8" s="23">
        <f>Table16[[#This Row],[Proposed Volumetric Delivery Charge]]-Table16[[#This Row],[Current Volumetric Delivery Charge]]</f>
        <v>1892.9643858501186</v>
      </c>
      <c r="Z8" s="25">
        <f>Table16[[#This Row],[Proposed Gas Supply Commodity Charge]]-Table16[[#This Row],[Current Gas Supply Commodity Charge]]</f>
        <v>0</v>
      </c>
      <c r="AA8" s="24">
        <f>Table16[[#This Row],[Proposed Total Bill ($)]]-Table16[[#This Row],[Current Total Bill ($)]]</f>
        <v>22198.944385850104</v>
      </c>
      <c r="AB8" s="18">
        <f>Table16[[#This Row],[Total Bill Impact ($)]]/Table16[[#This Row],[Current Total Bill ($)]]</f>
        <v>1.0671251641805721E-2</v>
      </c>
    </row>
    <row r="9" spans="1:28">
      <c r="A9" s="2" t="s">
        <v>23</v>
      </c>
      <c r="B9" s="2" t="s">
        <v>62</v>
      </c>
      <c r="C9" s="2" t="s">
        <v>96</v>
      </c>
      <c r="D9" s="2" t="s">
        <v>75</v>
      </c>
      <c r="E9" s="12">
        <v>110000</v>
      </c>
      <c r="F9" s="12">
        <v>32101703.969999999</v>
      </c>
      <c r="G9" s="14">
        <f>IFERROR(Table16[[#This Row],[Volume]]/(Table16[[#This Row],[CD]]*366),0)</f>
        <v>0.797359760804769</v>
      </c>
      <c r="H9" s="16">
        <f>MIN(Table16[[#This Row],[CD]],inputs!$P$11)</f>
        <v>30000</v>
      </c>
      <c r="I9" s="16">
        <f>MIN(Table16[[#This Row],[CD]]-Table16[[#This Row],[CD  -Tier 1]],inputs!$Q$11)</f>
        <v>80000</v>
      </c>
      <c r="J9" s="16">
        <f>MAX(0,Table16[[#This Row],[CD]]-inputs!$P$11-inputs!$Q$11)</f>
        <v>0</v>
      </c>
      <c r="K9" s="19">
        <f>12*VLOOKUP(Table16[[#This Row],[newrate]],rates,2,0)</f>
        <v>36000</v>
      </c>
      <c r="L9" s="19">
        <f>Table16[[#This Row],[Volume]]*(VLOOKUP(Table16[[#This Row],[newrate]],rates,3,0))/100</f>
        <v>34509.331767749994</v>
      </c>
      <c r="M9" s="19">
        <f>12*Table16[[#This Row],[CD  -Tier 1]]*VLOOKUP(Table16[[#This Row],[newrate]],rates,4,0)/100</f>
        <v>189748.08</v>
      </c>
      <c r="N9" s="19">
        <f>12*Table16[[#This Row],[CD  -Tier 2]]*VLOOKUP(Table16[[#This Row],[newrate]],rates,5,0)/100</f>
        <v>288857.28000000003</v>
      </c>
      <c r="O9" s="19">
        <f>12*Table16[[#This Row],[CD  -Tier 3]]*VLOOKUP(Table16[[#This Row],[newrate]],rates,6,0)/100</f>
        <v>0</v>
      </c>
      <c r="P9" s="19">
        <f>Table16[[#This Row],[Volume]]*VLOOKUP(Table16[[#This Row],[newrate]],rates,8,0)/100</f>
        <v>4623255.30405543</v>
      </c>
      <c r="Q9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5172369.9958231803</v>
      </c>
      <c r="R9" s="21">
        <v>83847.360000000001</v>
      </c>
      <c r="S9" s="21">
        <v>438894.72</v>
      </c>
      <c r="T9" s="21">
        <v>29765.586073736464</v>
      </c>
      <c r="U9" s="21">
        <v>4623255.30405543</v>
      </c>
      <c r="V9" s="22">
        <f>Table16[[#This Row],[Current Customer Charge]]+Table16[[#This Row],[Current Demand Delivery Charge]]+Table16[[#This Row],[Current Volumetric Delivery Charge]]+Table16[[#This Row],[Current Gas Supply Commodity Charge]]</f>
        <v>5175762.9701291667</v>
      </c>
      <c r="W9" s="23">
        <f>Table16[[#This Row],[Proposed Customer Charge]]-Table16[[#This Row],[Current Customer Charge]]</f>
        <v>-47847.360000000001</v>
      </c>
      <c r="X9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39710.640000000014</v>
      </c>
      <c r="Y9" s="23">
        <f>Table16[[#This Row],[Proposed Volumetric Delivery Charge]]-Table16[[#This Row],[Current Volumetric Delivery Charge]]</f>
        <v>4743.7456940135307</v>
      </c>
      <c r="Z9" s="25">
        <f>Table16[[#This Row],[Proposed Gas Supply Commodity Charge]]-Table16[[#This Row],[Current Gas Supply Commodity Charge]]</f>
        <v>0</v>
      </c>
      <c r="AA9" s="24">
        <f>Table16[[#This Row],[Proposed Total Bill ($)]]-Table16[[#This Row],[Current Total Bill ($)]]</f>
        <v>-3392.9743059864268</v>
      </c>
      <c r="AB9" s="18">
        <f>Table16[[#This Row],[Total Bill Impact ($)]]/Table16[[#This Row],[Current Total Bill ($)]]</f>
        <v>-6.555505585491971E-4</v>
      </c>
    </row>
    <row r="10" spans="1:28">
      <c r="A10" s="2" t="s">
        <v>23</v>
      </c>
      <c r="B10" s="2" t="s">
        <v>62</v>
      </c>
      <c r="C10" s="2" t="s">
        <v>96</v>
      </c>
      <c r="D10" s="2" t="s">
        <v>76</v>
      </c>
      <c r="E10" s="12">
        <v>198576</v>
      </c>
      <c r="F10" s="12">
        <v>20577721.732000001</v>
      </c>
      <c r="G10" s="14">
        <f>IFERROR(Table16[[#This Row],[Volume]]/(Table16[[#This Row],[CD]]*366),0)</f>
        <v>0.28313231921664767</v>
      </c>
      <c r="H10" s="16">
        <f>MIN(Table16[[#This Row],[CD]],inputs!$P$11)</f>
        <v>30000</v>
      </c>
      <c r="I10" s="16">
        <f>MIN(Table16[[#This Row],[CD]]-Table16[[#This Row],[CD  -Tier 1]],inputs!$Q$11)</f>
        <v>120000</v>
      </c>
      <c r="J10" s="16">
        <f>MAX(0,Table16[[#This Row],[CD]]-inputs!$P$11-inputs!$Q$11)</f>
        <v>48576</v>
      </c>
      <c r="K10" s="19">
        <f>12*VLOOKUP(Table16[[#This Row],[newrate]],rates,2,0)</f>
        <v>36000</v>
      </c>
      <c r="L10" s="19">
        <f>Table16[[#This Row],[Volume]]*(VLOOKUP(Table16[[#This Row],[newrate]],rates,3,0))/100</f>
        <v>22121.050861900003</v>
      </c>
      <c r="M10" s="19">
        <f>12*Table16[[#This Row],[CD  -Tier 1]]*VLOOKUP(Table16[[#This Row],[newrate]],rates,4,0)/100</f>
        <v>189748.08</v>
      </c>
      <c r="N10" s="19">
        <f>12*Table16[[#This Row],[CD  -Tier 2]]*VLOOKUP(Table16[[#This Row],[newrate]],rates,5,0)/100</f>
        <v>433285.92</v>
      </c>
      <c r="O10" s="19">
        <f>12*Table16[[#This Row],[CD  -Tier 3]]*VLOOKUP(Table16[[#This Row],[newrate]],rates,6,0)/100</f>
        <v>116650.01779200001</v>
      </c>
      <c r="P10" s="19">
        <f>Table16[[#This Row],[Volume]]*VLOOKUP(Table16[[#This Row],[newrate]],rates,8,0)/100</f>
        <v>2963582.9061209084</v>
      </c>
      <c r="Q10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3761387.9747748086</v>
      </c>
      <c r="R10" s="21">
        <v>83847.360000000001</v>
      </c>
      <c r="S10" s="21">
        <v>690885.10440000007</v>
      </c>
      <c r="T10" s="21">
        <v>19080.231628440983</v>
      </c>
      <c r="U10" s="21">
        <v>2963582.9061209084</v>
      </c>
      <c r="V10" s="22">
        <f>Table16[[#This Row],[Current Customer Charge]]+Table16[[#This Row],[Current Demand Delivery Charge]]+Table16[[#This Row],[Current Volumetric Delivery Charge]]+Table16[[#This Row],[Current Gas Supply Commodity Charge]]</f>
        <v>3757395.6021493496</v>
      </c>
      <c r="W10" s="23">
        <f>Table16[[#This Row],[Proposed Customer Charge]]-Table16[[#This Row],[Current Customer Charge]]</f>
        <v>-47847.360000000001</v>
      </c>
      <c r="X10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48798.9133919999</v>
      </c>
      <c r="Y10" s="23">
        <f>Table16[[#This Row],[Proposed Volumetric Delivery Charge]]-Table16[[#This Row],[Current Volumetric Delivery Charge]]</f>
        <v>3040.8192334590203</v>
      </c>
      <c r="Z10" s="25">
        <f>Table16[[#This Row],[Proposed Gas Supply Commodity Charge]]-Table16[[#This Row],[Current Gas Supply Commodity Charge]]</f>
        <v>0</v>
      </c>
      <c r="AA10" s="24">
        <f>Table16[[#This Row],[Proposed Total Bill ($)]]-Table16[[#This Row],[Current Total Bill ($)]]</f>
        <v>3992.3726254589856</v>
      </c>
      <c r="AB10" s="18">
        <f>Table16[[#This Row],[Total Bill Impact ($)]]/Table16[[#This Row],[Current Total Bill ($)]]</f>
        <v>1.0625372061369375E-3</v>
      </c>
    </row>
    <row r="11" spans="1:28">
      <c r="A11" s="2" t="s">
        <v>23</v>
      </c>
      <c r="B11" s="2" t="s">
        <v>62</v>
      </c>
      <c r="C11" s="2" t="s">
        <v>96</v>
      </c>
      <c r="D11" s="2" t="s">
        <v>77</v>
      </c>
      <c r="E11" s="12">
        <v>354589</v>
      </c>
      <c r="F11" s="12">
        <v>31681861.335500002</v>
      </c>
      <c r="G11" s="14">
        <f>IFERROR(Table16[[#This Row],[Volume]]/(Table16[[#This Row],[CD]]*366),0)</f>
        <v>0.24412055271116856</v>
      </c>
      <c r="H11" s="16">
        <f>MIN(Table16[[#This Row],[CD]],inputs!$P$11)</f>
        <v>30000</v>
      </c>
      <c r="I11" s="16">
        <f>MIN(Table16[[#This Row],[CD]]-Table16[[#This Row],[CD  -Tier 1]],inputs!$Q$11)</f>
        <v>120000</v>
      </c>
      <c r="J11" s="16">
        <f>MAX(0,Table16[[#This Row],[CD]]-inputs!$P$11-inputs!$Q$11)</f>
        <v>204589</v>
      </c>
      <c r="K11" s="19">
        <f>12*VLOOKUP(Table16[[#This Row],[newrate]],rates,2,0)</f>
        <v>36000</v>
      </c>
      <c r="L11" s="19">
        <f>Table16[[#This Row],[Volume]]*(VLOOKUP(Table16[[#This Row],[newrate]],rates,3,0))/100</f>
        <v>34058.000935662501</v>
      </c>
      <c r="M11" s="19">
        <f>12*Table16[[#This Row],[CD  -Tier 1]]*VLOOKUP(Table16[[#This Row],[newrate]],rates,4,0)/100</f>
        <v>189748.08</v>
      </c>
      <c r="N11" s="19">
        <f>12*Table16[[#This Row],[CD  -Tier 2]]*VLOOKUP(Table16[[#This Row],[newrate]],rates,5,0)/100</f>
        <v>433285.92</v>
      </c>
      <c r="O11" s="19">
        <f>12*Table16[[#This Row],[CD  -Tier 3]]*VLOOKUP(Table16[[#This Row],[newrate]],rates,6,0)/100</f>
        <v>491298.387888</v>
      </c>
      <c r="P11" s="19">
        <f>Table16[[#This Row],[Volume]]*VLOOKUP(Table16[[#This Row],[newrate]],rates,8,0)/100</f>
        <v>4562789.9876773749</v>
      </c>
      <c r="Q11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5747180.3765010368</v>
      </c>
      <c r="R11" s="21">
        <v>83847.360000000001</v>
      </c>
      <c r="S11" s="21">
        <v>1039162.2850800001</v>
      </c>
      <c r="T11" s="21">
        <v>29376.296393465513</v>
      </c>
      <c r="U11" s="21">
        <v>4562789.9876773749</v>
      </c>
      <c r="V11" s="22">
        <f>Table16[[#This Row],[Current Customer Charge]]+Table16[[#This Row],[Current Demand Delivery Charge]]+Table16[[#This Row],[Current Volumetric Delivery Charge]]+Table16[[#This Row],[Current Gas Supply Commodity Charge]]</f>
        <v>5715175.9291508403</v>
      </c>
      <c r="W11" s="23">
        <f>Table16[[#This Row],[Proposed Customer Charge]]-Table16[[#This Row],[Current Customer Charge]]</f>
        <v>-47847.360000000001</v>
      </c>
      <c r="X11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75170.102807999821</v>
      </c>
      <c r="Y11" s="23">
        <f>Table16[[#This Row],[Proposed Volumetric Delivery Charge]]-Table16[[#This Row],[Current Volumetric Delivery Charge]]</f>
        <v>4681.7045421969888</v>
      </c>
      <c r="Z11" s="25">
        <f>Table16[[#This Row],[Proposed Gas Supply Commodity Charge]]-Table16[[#This Row],[Current Gas Supply Commodity Charge]]</f>
        <v>0</v>
      </c>
      <c r="AA11" s="24">
        <f>Table16[[#This Row],[Proposed Total Bill ($)]]-Table16[[#This Row],[Current Total Bill ($)]]</f>
        <v>32004.44735019654</v>
      </c>
      <c r="AB11" s="18">
        <f>Table16[[#This Row],[Total Bill Impact ($)]]/Table16[[#This Row],[Current Total Bill ($)]]</f>
        <v>5.5999058903776835E-3</v>
      </c>
    </row>
    <row r="12" spans="1:28">
      <c r="A12" s="2" t="s">
        <v>23</v>
      </c>
      <c r="B12" s="2" t="s">
        <v>62</v>
      </c>
      <c r="C12" s="2" t="s">
        <v>96</v>
      </c>
      <c r="D12" s="2" t="s">
        <v>78</v>
      </c>
      <c r="E12" s="12">
        <v>580000</v>
      </c>
      <c r="F12" s="12">
        <v>16000000</v>
      </c>
      <c r="G12" s="14">
        <f>IFERROR(Table16[[#This Row],[Volume]]/(Table16[[#This Row],[CD]]*366),0)</f>
        <v>7.537214999057848E-2</v>
      </c>
      <c r="H12" s="16">
        <f>MIN(Table16[[#This Row],[CD]],inputs!$P$11)</f>
        <v>30000</v>
      </c>
      <c r="I12" s="16">
        <f>MIN(Table16[[#This Row],[CD]]-Table16[[#This Row],[CD  -Tier 1]],inputs!$Q$11)</f>
        <v>120000</v>
      </c>
      <c r="J12" s="16">
        <f>MAX(0,Table16[[#This Row],[CD]]-inputs!$P$11-inputs!$Q$11)</f>
        <v>430000</v>
      </c>
      <c r="K12" s="19">
        <f>12*VLOOKUP(Table16[[#This Row],[newrate]],rates,2,0)</f>
        <v>36000</v>
      </c>
      <c r="L12" s="19">
        <f>Table16[[#This Row],[Volume]]*(VLOOKUP(Table16[[#This Row],[newrate]],rates,3,0))/100</f>
        <v>17200</v>
      </c>
      <c r="M12" s="19">
        <f>12*Table16[[#This Row],[CD  -Tier 1]]*VLOOKUP(Table16[[#This Row],[newrate]],rates,4,0)/100</f>
        <v>189748.08</v>
      </c>
      <c r="N12" s="19">
        <f>12*Table16[[#This Row],[CD  -Tier 2]]*VLOOKUP(Table16[[#This Row],[newrate]],rates,5,0)/100</f>
        <v>433285.92</v>
      </c>
      <c r="O12" s="19">
        <f>12*Table16[[#This Row],[CD  -Tier 3]]*VLOOKUP(Table16[[#This Row],[newrate]],rates,6,0)/100</f>
        <v>1032598.56</v>
      </c>
      <c r="P12" s="19">
        <f>Table16[[#This Row],[Volume]]*VLOOKUP(Table16[[#This Row],[newrate]],rates,8,0)/100</f>
        <v>2304304</v>
      </c>
      <c r="Q12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4013136.56</v>
      </c>
      <c r="R12" s="21">
        <v>83847.360000000001</v>
      </c>
      <c r="S12" s="21">
        <v>1542360.78504</v>
      </c>
      <c r="T12" s="21">
        <v>14835.641672630607</v>
      </c>
      <c r="U12" s="21">
        <v>2304304</v>
      </c>
      <c r="V12" s="22">
        <f>Table16[[#This Row],[Current Customer Charge]]+Table16[[#This Row],[Current Demand Delivery Charge]]+Table16[[#This Row],[Current Volumetric Delivery Charge]]+Table16[[#This Row],[Current Gas Supply Commodity Charge]]</f>
        <v>3945347.7867126307</v>
      </c>
      <c r="W12" s="23">
        <f>Table16[[#This Row],[Proposed Customer Charge]]-Table16[[#This Row],[Current Customer Charge]]</f>
        <v>-47847.360000000001</v>
      </c>
      <c r="X12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113271.77496000007</v>
      </c>
      <c r="Y12" s="23">
        <f>Table16[[#This Row],[Proposed Volumetric Delivery Charge]]-Table16[[#This Row],[Current Volumetric Delivery Charge]]</f>
        <v>2364.358327369393</v>
      </c>
      <c r="Z12" s="25">
        <f>Table16[[#This Row],[Proposed Gas Supply Commodity Charge]]-Table16[[#This Row],[Current Gas Supply Commodity Charge]]</f>
        <v>0</v>
      </c>
      <c r="AA12" s="24">
        <f>Table16[[#This Row],[Proposed Total Bill ($)]]-Table16[[#This Row],[Current Total Bill ($)]]</f>
        <v>67788.773287369404</v>
      </c>
      <c r="AB12" s="18">
        <f>Table16[[#This Row],[Total Bill Impact ($)]]/Table16[[#This Row],[Current Total Bill ($)]]</f>
        <v>1.7181951237777399E-2</v>
      </c>
    </row>
    <row r="13" spans="1:28">
      <c r="A13" s="2" t="s">
        <v>23</v>
      </c>
      <c r="B13" s="2" t="s">
        <v>62</v>
      </c>
      <c r="C13" s="2" t="s">
        <v>96</v>
      </c>
      <c r="D13" s="2" t="s">
        <v>79</v>
      </c>
      <c r="E13" s="12">
        <v>2480000</v>
      </c>
      <c r="F13" s="12">
        <v>606999999.99000001</v>
      </c>
      <c r="G13" s="14">
        <f>IFERROR(Table16[[#This Row],[Volume]]/(Table16[[#This Row],[CD]]*366),0)</f>
        <v>0.6687378811805923</v>
      </c>
      <c r="H13" s="16">
        <f>MIN(Table16[[#This Row],[CD]],inputs!$P$11)</f>
        <v>30000</v>
      </c>
      <c r="I13" s="16">
        <f>MIN(Table16[[#This Row],[CD]]-Table16[[#This Row],[CD  -Tier 1]],inputs!$Q$11)</f>
        <v>120000</v>
      </c>
      <c r="J13" s="16">
        <f>MAX(0,Table16[[#This Row],[CD]]-inputs!$P$11-inputs!$Q$11)</f>
        <v>2330000</v>
      </c>
      <c r="K13" s="19">
        <f>12*VLOOKUP(Table16[[#This Row],[newrate]],rates,2,0)</f>
        <v>36000</v>
      </c>
      <c r="L13" s="19">
        <f>Table16[[#This Row],[Volume]]*(VLOOKUP(Table16[[#This Row],[newrate]],rates,3,0))/100</f>
        <v>652524.99998924998</v>
      </c>
      <c r="M13" s="19">
        <f>12*Table16[[#This Row],[CD  -Tier 1]]*VLOOKUP(Table16[[#This Row],[newrate]],rates,4,0)/100</f>
        <v>189748.08</v>
      </c>
      <c r="N13" s="19">
        <f>12*Table16[[#This Row],[CD  -Tier 2]]*VLOOKUP(Table16[[#This Row],[newrate]],rates,5,0)/100</f>
        <v>433285.92</v>
      </c>
      <c r="O13" s="19">
        <f>12*Table16[[#This Row],[CD  -Tier 3]]*VLOOKUP(Table16[[#This Row],[newrate]],rates,6,0)/100</f>
        <v>5595243.3600000003</v>
      </c>
      <c r="P13" s="19">
        <f>Table16[[#This Row],[Volume]]*VLOOKUP(Table16[[#This Row],[newrate]],rates,8,0)/100</f>
        <v>87419532.998559803</v>
      </c>
      <c r="Q13" s="20">
        <f>Table16[[#This Row],[Proposed Customer Charge]]+Table16[[#This Row],[Proposed Volumetric Delivery Charge]]+Table16[[#This Row],[Proposed Demand Delivery Charge - Tier 1]]+Table16[[#This Row],[Proposed Demand Delivery Charge - Tier 2]]+Table16[[#This Row],[Proposed Demand Delivery Charge - Tier 3]]+Table16[[#This Row],[Proposed Gas Supply Commodity Charge]]</f>
        <v>94326335.358549058</v>
      </c>
      <c r="R13" s="21">
        <v>83847.360000000001</v>
      </c>
      <c r="S13" s="21">
        <v>5783844.7850400005</v>
      </c>
      <c r="T13" s="21">
        <v>562827.15594615135</v>
      </c>
      <c r="U13" s="21">
        <v>87419532.998559803</v>
      </c>
      <c r="V13" s="22">
        <f>Table16[[#This Row],[Current Customer Charge]]+Table16[[#This Row],[Current Demand Delivery Charge]]+Table16[[#This Row],[Current Volumetric Delivery Charge]]+Table16[[#This Row],[Current Gas Supply Commodity Charge]]</f>
        <v>93850052.299545959</v>
      </c>
      <c r="W13" s="23">
        <f>Table16[[#This Row],[Proposed Customer Charge]]-Table16[[#This Row],[Current Customer Charge]]</f>
        <v>-47847.360000000001</v>
      </c>
      <c r="X13" s="23">
        <f>Table16[[#This Row],[Proposed Demand Delivery Charge - Tier 1]]+Table16[[#This Row],[Proposed Demand Delivery Charge - Tier 2]]+Table16[[#This Row],[Proposed Demand Delivery Charge - Tier 3]]-Table16[[#This Row],[Current Demand Delivery Charge]]</f>
        <v>434432.57495999988</v>
      </c>
      <c r="Y13" s="23">
        <f>Table16[[#This Row],[Proposed Volumetric Delivery Charge]]-Table16[[#This Row],[Current Volumetric Delivery Charge]]</f>
        <v>89697.844043098623</v>
      </c>
      <c r="Z13" s="25">
        <f>Table16[[#This Row],[Proposed Gas Supply Commodity Charge]]-Table16[[#This Row],[Current Gas Supply Commodity Charge]]</f>
        <v>0</v>
      </c>
      <c r="AA13" s="24">
        <f>Table16[[#This Row],[Proposed Total Bill ($)]]-Table16[[#This Row],[Current Total Bill ($)]]</f>
        <v>476283.0590030998</v>
      </c>
      <c r="AB13" s="18">
        <f>Table16[[#This Row],[Total Bill Impact ($)]]/Table16[[#This Row],[Current Total Bill ($)]]</f>
        <v>5.0749365326182563E-3</v>
      </c>
    </row>
  </sheetData>
  <sheetProtection algorithmName="SHA-512" hashValue="1HYMhwWDqwOvUqVv0iRrdD6h380eXr+Cmtm2oZfz3rwiIMtDndFVRCtrhcqAML1nZKJ8PH4o4yy2K4Ppt2p/XA==" saltValue="Ri/kWF42is8EVjJprJXQDw==" spinCount="100000" sheet="1" objects="1" scenarios="1"/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4C4D1-0C8E-47B0-9721-562C5D5B41A7}">
  <dimension ref="A1:Z12"/>
  <sheetViews>
    <sheetView showGridLines="0" topLeftCell="B1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9" width="13.28515625" style="2" hidden="1" customWidth="1"/>
    <col min="10" max="54" width="13.28515625" style="2" customWidth="1"/>
    <col min="55" max="16384" width="9.140625" style="2"/>
  </cols>
  <sheetData>
    <row r="1" spans="1:26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68</v>
      </c>
      <c r="F1" s="3" t="s">
        <v>33</v>
      </c>
      <c r="G1" s="3" t="s">
        <v>34</v>
      </c>
      <c r="H1" s="15" t="s">
        <v>69</v>
      </c>
      <c r="I1" s="15" t="s">
        <v>70</v>
      </c>
      <c r="J1" s="10" t="s">
        <v>35</v>
      </c>
      <c r="K1" s="10" t="s">
        <v>36</v>
      </c>
      <c r="L1" s="10" t="s">
        <v>71</v>
      </c>
      <c r="M1" s="10" t="s">
        <v>72</v>
      </c>
      <c r="N1" s="10" t="s">
        <v>39</v>
      </c>
      <c r="O1" s="10" t="s">
        <v>40</v>
      </c>
      <c r="P1" s="11" t="s">
        <v>41</v>
      </c>
      <c r="Q1" s="11" t="s">
        <v>42</v>
      </c>
      <c r="R1" s="11" t="s">
        <v>43</v>
      </c>
      <c r="S1" s="11" t="s">
        <v>45</v>
      </c>
      <c r="T1" s="11" t="s">
        <v>46</v>
      </c>
      <c r="U1" s="3" t="s">
        <v>47</v>
      </c>
      <c r="V1" s="3" t="s">
        <v>48</v>
      </c>
      <c r="W1" s="3" t="s">
        <v>49</v>
      </c>
      <c r="X1" s="3" t="s">
        <v>94</v>
      </c>
      <c r="Y1" s="3" t="s">
        <v>52</v>
      </c>
      <c r="Z1" s="3" t="s">
        <v>53</v>
      </c>
    </row>
    <row r="2" spans="1:26">
      <c r="A2" s="2" t="s">
        <v>24</v>
      </c>
      <c r="B2" s="2" t="s">
        <v>97</v>
      </c>
      <c r="C2" s="2" t="s">
        <v>82</v>
      </c>
      <c r="D2" s="2" t="s">
        <v>74</v>
      </c>
      <c r="E2" s="12">
        <v>10000</v>
      </c>
      <c r="F2" s="12">
        <v>2931964.5187999997</v>
      </c>
      <c r="G2" s="14">
        <f>IFERROR(Table17[[#This Row],[Volume]]/(Table17[[#This Row],[CD]]*366),0)</f>
        <v>0.80108320185792348</v>
      </c>
      <c r="H2" s="16">
        <f>MIN(Table17[[#This Row],[CD]],inputs!$P$12)</f>
        <v>10000</v>
      </c>
      <c r="I2" s="16">
        <f>MAX(0,Table17[[#This Row],[CD]]-inputs!$P$12)</f>
        <v>0</v>
      </c>
      <c r="J2" s="19">
        <f>12*VLOOKUP(Table17[[#This Row],[newrate]],rates,2,0)</f>
        <v>18000</v>
      </c>
      <c r="K2" s="19">
        <f>Table17[[#This Row],[Volume]]*(VLOOKUP(Table17[[#This Row],[newrate]],rates,3,0))/100</f>
        <v>1958.5522985583998</v>
      </c>
      <c r="L2" s="19">
        <f>12*Table17[[#This Row],[CD - Tier 1]]*VLOOKUP(Table17[[#This Row],[newrate]],rates,4,0)/100</f>
        <v>31055.64</v>
      </c>
      <c r="M2" s="19">
        <f>12*Table17[[#This Row],[CD - Tier 2]]*VLOOKUP(Table17[[#This Row],[newrate]],rates,5,0)/100</f>
        <v>0</v>
      </c>
      <c r="N2" s="19">
        <f>Table17[[#This Row],[Volume]]*VLOOKUP(Table17[[#This Row],[newrate]],rates,8,0)/100</f>
        <v>422258.59803305718</v>
      </c>
      <c r="O2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473272.7903316156</v>
      </c>
      <c r="P2" s="21">
        <v>16499.15128078917</v>
      </c>
      <c r="Q2" s="21">
        <v>42171.12</v>
      </c>
      <c r="R2" s="21">
        <v>21256.742697499994</v>
      </c>
      <c r="S2" s="21">
        <v>422258.59803305718</v>
      </c>
      <c r="T2" s="22">
        <f>Table17[[#This Row],[Current Customer Charge]]+Table17[[#This Row],[Current Demand Delivery Charge]]+Table17[[#This Row],[Current Volumetric Delivery Charge]]+Table17[[#This Row],[Current Gas Supply Commodity Charge]]</f>
        <v>502185.61201134633</v>
      </c>
      <c r="U2" s="23">
        <f>Table17[[#This Row],[Proposed Customer Charge]]-Table17[[#This Row],[Current Customer Charge]]</f>
        <v>1500.8487192108296</v>
      </c>
      <c r="V2" s="23">
        <f>Table17[[#This Row],[Proposed Demand Delivery Charge - Tier 1]]+Table17[[#This Row],[Proposed Demand Delivery Charge - Tier 2]]-Table17[[#This Row],[Current Demand Delivery Charge]]</f>
        <v>-11115.480000000003</v>
      </c>
      <c r="W2" s="23">
        <f>Table17[[#This Row],[Proposed Volumetric Delivery Charge]]-Table17[[#This Row],[Current Volumetric Delivery Charge]]</f>
        <v>-19298.190398941595</v>
      </c>
      <c r="X2" s="25">
        <f>Table17[[#This Row],[Proposed Gas Supply Commodity Charge]]-Table17[[#This Row],[Current Gas Supply Commodity Charge]]</f>
        <v>0</v>
      </c>
      <c r="Y2" s="24">
        <f>Table17[[#This Row],[Proposed Total Bill ($)]]-Table17[[#This Row],[Current Total Bill ($)]]</f>
        <v>-28912.821679730725</v>
      </c>
      <c r="Z2" s="18">
        <f>Table17[[#This Row],[Total Bill Impact ($)]]/Table17[[#This Row],[Current Total Bill ($)]]</f>
        <v>-5.7573974618527049E-2</v>
      </c>
    </row>
    <row r="3" spans="1:26">
      <c r="A3" s="2" t="s">
        <v>24</v>
      </c>
      <c r="B3" s="2" t="s">
        <v>97</v>
      </c>
      <c r="C3" s="2" t="s">
        <v>82</v>
      </c>
      <c r="D3" s="2" t="s">
        <v>75</v>
      </c>
      <c r="E3" s="12">
        <v>14000</v>
      </c>
      <c r="F3" s="12">
        <v>3997922.7299999995</v>
      </c>
      <c r="G3" s="14">
        <f>IFERROR(Table17[[#This Row],[Volume]]/(Table17[[#This Row],[CD]]*366),0)</f>
        <v>0.78023472482435585</v>
      </c>
      <c r="H3" s="16">
        <f>MIN(Table17[[#This Row],[CD]],inputs!$P$12)</f>
        <v>14000</v>
      </c>
      <c r="I3" s="16">
        <f>MAX(0,Table17[[#This Row],[CD]]-inputs!$P$12)</f>
        <v>0</v>
      </c>
      <c r="J3" s="19">
        <f>12*VLOOKUP(Table17[[#This Row],[newrate]],rates,2,0)</f>
        <v>18000</v>
      </c>
      <c r="K3" s="19">
        <f>Table17[[#This Row],[Volume]]*(VLOOKUP(Table17[[#This Row],[newrate]],rates,3,0))/100</f>
        <v>2670.6123836399997</v>
      </c>
      <c r="L3" s="19">
        <f>12*Table17[[#This Row],[CD - Tier 1]]*VLOOKUP(Table17[[#This Row],[newrate]],rates,4,0)/100</f>
        <v>43477.895999999993</v>
      </c>
      <c r="M3" s="19">
        <f>12*Table17[[#This Row],[CD - Tier 2]]*VLOOKUP(Table17[[#This Row],[newrate]],rates,5,0)/100</f>
        <v>0</v>
      </c>
      <c r="N3" s="19">
        <f>Table17[[#This Row],[Volume]]*VLOOKUP(Table17[[#This Row],[newrate]],rates,8,0)/100</f>
        <v>575776.83365186991</v>
      </c>
      <c r="O3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639925.34203550988</v>
      </c>
      <c r="P3" s="21">
        <v>16499.15128078917</v>
      </c>
      <c r="Q3" s="21">
        <v>59039.567999999999</v>
      </c>
      <c r="R3" s="21">
        <v>28984.93979249999</v>
      </c>
      <c r="S3" s="21">
        <v>575776.83365186991</v>
      </c>
      <c r="T3" s="22">
        <f>Table17[[#This Row],[Current Customer Charge]]+Table17[[#This Row],[Current Demand Delivery Charge]]+Table17[[#This Row],[Current Volumetric Delivery Charge]]+Table17[[#This Row],[Current Gas Supply Commodity Charge]]</f>
        <v>680300.49272515904</v>
      </c>
      <c r="U3" s="23">
        <f>Table17[[#This Row],[Proposed Customer Charge]]-Table17[[#This Row],[Current Customer Charge]]</f>
        <v>1500.8487192108296</v>
      </c>
      <c r="V3" s="23">
        <f>Table17[[#This Row],[Proposed Demand Delivery Charge - Tier 1]]+Table17[[#This Row],[Proposed Demand Delivery Charge - Tier 2]]-Table17[[#This Row],[Current Demand Delivery Charge]]</f>
        <v>-15561.672000000006</v>
      </c>
      <c r="W3" s="23">
        <f>Table17[[#This Row],[Proposed Volumetric Delivery Charge]]-Table17[[#This Row],[Current Volumetric Delivery Charge]]</f>
        <v>-26314.32740885999</v>
      </c>
      <c r="X3" s="25">
        <f>Table17[[#This Row],[Proposed Gas Supply Commodity Charge]]-Table17[[#This Row],[Current Gas Supply Commodity Charge]]</f>
        <v>0</v>
      </c>
      <c r="Y3" s="24">
        <f>Table17[[#This Row],[Proposed Total Bill ($)]]-Table17[[#This Row],[Current Total Bill ($)]]</f>
        <v>-40375.150689649163</v>
      </c>
      <c r="Z3" s="18">
        <f>Table17[[#This Row],[Total Bill Impact ($)]]/Table17[[#This Row],[Current Total Bill ($)]]</f>
        <v>-5.934899521814796E-2</v>
      </c>
    </row>
    <row r="4" spans="1:26">
      <c r="A4" s="2" t="s">
        <v>24</v>
      </c>
      <c r="B4" s="2" t="s">
        <v>97</v>
      </c>
      <c r="C4" s="2" t="s">
        <v>82</v>
      </c>
      <c r="D4" s="2" t="s">
        <v>76</v>
      </c>
      <c r="E4" s="12">
        <v>23000</v>
      </c>
      <c r="F4" s="12">
        <v>5896455.8196999999</v>
      </c>
      <c r="G4" s="14">
        <f>IFERROR(Table17[[#This Row],[Volume]]/(Table17[[#This Row],[CD]]*366),0)</f>
        <v>0.70045804463055361</v>
      </c>
      <c r="H4" s="16">
        <f>MIN(Table17[[#This Row],[CD]],inputs!$P$12)</f>
        <v>23000</v>
      </c>
      <c r="I4" s="16">
        <f>MAX(0,Table17[[#This Row],[CD]]-inputs!$P$12)</f>
        <v>0</v>
      </c>
      <c r="J4" s="19">
        <f>12*VLOOKUP(Table17[[#This Row],[newrate]],rates,2,0)</f>
        <v>18000</v>
      </c>
      <c r="K4" s="19">
        <f>Table17[[#This Row],[Volume]]*(VLOOKUP(Table17[[#This Row],[newrate]],rates,3,0))/100</f>
        <v>3938.8324875595995</v>
      </c>
      <c r="L4" s="19">
        <f>12*Table17[[#This Row],[CD - Tier 1]]*VLOOKUP(Table17[[#This Row],[newrate]],rates,4,0)/100</f>
        <v>71427.972000000009</v>
      </c>
      <c r="M4" s="19">
        <f>12*Table17[[#This Row],[CD - Tier 2]]*VLOOKUP(Table17[[#This Row],[newrate]],rates,5,0)/100</f>
        <v>0</v>
      </c>
      <c r="N4" s="19">
        <f>Table17[[#This Row],[Volume]]*VLOOKUP(Table17[[#This Row],[newrate]],rates,8,0)/100</f>
        <v>849201.67069737415</v>
      </c>
      <c r="O4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942568.47518493375</v>
      </c>
      <c r="P4" s="21">
        <v>16499.15128078917</v>
      </c>
      <c r="Q4" s="21">
        <v>96993.576000000001</v>
      </c>
      <c r="R4" s="21">
        <v>42749.304694999999</v>
      </c>
      <c r="S4" s="21">
        <v>849201.67069737415</v>
      </c>
      <c r="T4" s="22">
        <f>Table17[[#This Row],[Current Customer Charge]]+Table17[[#This Row],[Current Demand Delivery Charge]]+Table17[[#This Row],[Current Volumetric Delivery Charge]]+Table17[[#This Row],[Current Gas Supply Commodity Charge]]</f>
        <v>1005443.7026731633</v>
      </c>
      <c r="U4" s="23">
        <f>Table17[[#This Row],[Proposed Customer Charge]]-Table17[[#This Row],[Current Customer Charge]]</f>
        <v>1500.8487192108296</v>
      </c>
      <c r="V4" s="23">
        <f>Table17[[#This Row],[Proposed Demand Delivery Charge - Tier 1]]+Table17[[#This Row],[Proposed Demand Delivery Charge - Tier 2]]-Table17[[#This Row],[Current Demand Delivery Charge]]</f>
        <v>-25565.603999999992</v>
      </c>
      <c r="W4" s="23">
        <f>Table17[[#This Row],[Proposed Volumetric Delivery Charge]]-Table17[[#This Row],[Current Volumetric Delivery Charge]]</f>
        <v>-38810.472207440398</v>
      </c>
      <c r="X4" s="25">
        <f>Table17[[#This Row],[Proposed Gas Supply Commodity Charge]]-Table17[[#This Row],[Current Gas Supply Commodity Charge]]</f>
        <v>0</v>
      </c>
      <c r="Y4" s="24">
        <f>Table17[[#This Row],[Proposed Total Bill ($)]]-Table17[[#This Row],[Current Total Bill ($)]]</f>
        <v>-62875.227488229517</v>
      </c>
      <c r="Z4" s="18">
        <f>Table17[[#This Row],[Total Bill Impact ($)]]/Table17[[#This Row],[Current Total Bill ($)]]</f>
        <v>-6.2534806594405801E-2</v>
      </c>
    </row>
    <row r="5" spans="1:26">
      <c r="A5" s="2" t="s">
        <v>24</v>
      </c>
      <c r="B5" s="2" t="s">
        <v>97</v>
      </c>
      <c r="C5" s="2" t="s">
        <v>82</v>
      </c>
      <c r="D5" s="2" t="s">
        <v>77</v>
      </c>
      <c r="E5" s="12">
        <v>40950</v>
      </c>
      <c r="F5" s="12">
        <v>4776076.5627000006</v>
      </c>
      <c r="G5" s="14">
        <f>IFERROR(Table17[[#This Row],[Volume]]/(Table17[[#This Row],[CD]]*366),0)</f>
        <v>0.31866641063672213</v>
      </c>
      <c r="H5" s="16">
        <f>MIN(Table17[[#This Row],[CD]],inputs!$P$12)</f>
        <v>30000</v>
      </c>
      <c r="I5" s="16">
        <f>MAX(0,Table17[[#This Row],[CD]]-inputs!$P$12)</f>
        <v>10950</v>
      </c>
      <c r="J5" s="19">
        <f>12*VLOOKUP(Table17[[#This Row],[newrate]],rates,2,0)</f>
        <v>18000</v>
      </c>
      <c r="K5" s="19">
        <f>Table17[[#This Row],[Volume]]*(VLOOKUP(Table17[[#This Row],[newrate]],rates,3,0))/100</f>
        <v>3190.4191438836006</v>
      </c>
      <c r="L5" s="19">
        <f>12*Table17[[#This Row],[CD - Tier 1]]*VLOOKUP(Table17[[#This Row],[newrate]],rates,4,0)/100</f>
        <v>93166.92</v>
      </c>
      <c r="M5" s="19">
        <f>12*Table17[[#This Row],[CD - Tier 2]]*VLOOKUP(Table17[[#This Row],[newrate]],rates,5,0)/100</f>
        <v>17277.917399999998</v>
      </c>
      <c r="N5" s="19">
        <f>Table17[[#This Row],[Volume]]*VLOOKUP(Table17[[#This Row],[newrate]],rates,8,0)/100</f>
        <v>687845.77048349148</v>
      </c>
      <c r="O5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819481.02702737506</v>
      </c>
      <c r="P5" s="21">
        <v>16499.15128078917</v>
      </c>
      <c r="Q5" s="21">
        <v>172690.73639999999</v>
      </c>
      <c r="R5" s="21">
        <v>34626.555059999991</v>
      </c>
      <c r="S5" s="21">
        <v>687845.77048349148</v>
      </c>
      <c r="T5" s="22">
        <f>Table17[[#This Row],[Current Customer Charge]]+Table17[[#This Row],[Current Demand Delivery Charge]]+Table17[[#This Row],[Current Volumetric Delivery Charge]]+Table17[[#This Row],[Current Gas Supply Commodity Charge]]</f>
        <v>911662.21322428063</v>
      </c>
      <c r="U5" s="23">
        <f>Table17[[#This Row],[Proposed Customer Charge]]-Table17[[#This Row],[Current Customer Charge]]</f>
        <v>1500.8487192108296</v>
      </c>
      <c r="V5" s="23">
        <f>Table17[[#This Row],[Proposed Demand Delivery Charge - Tier 1]]+Table17[[#This Row],[Proposed Demand Delivery Charge - Tier 2]]-Table17[[#This Row],[Current Demand Delivery Charge]]</f>
        <v>-62245.899000000005</v>
      </c>
      <c r="W5" s="23">
        <f>Table17[[#This Row],[Proposed Volumetric Delivery Charge]]-Table17[[#This Row],[Current Volumetric Delivery Charge]]</f>
        <v>-31436.135916116393</v>
      </c>
      <c r="X5" s="25">
        <f>Table17[[#This Row],[Proposed Gas Supply Commodity Charge]]-Table17[[#This Row],[Current Gas Supply Commodity Charge]]</f>
        <v>0</v>
      </c>
      <c r="Y5" s="24">
        <f>Table17[[#This Row],[Proposed Total Bill ($)]]-Table17[[#This Row],[Current Total Bill ($)]]</f>
        <v>-92181.186196905561</v>
      </c>
      <c r="Z5" s="18">
        <f>Table17[[#This Row],[Total Bill Impact ($)]]/Table17[[#This Row],[Current Total Bill ($)]]</f>
        <v>-0.1011133124305853</v>
      </c>
    </row>
    <row r="6" spans="1:26">
      <c r="A6" s="2" t="s">
        <v>24</v>
      </c>
      <c r="B6" s="2" t="s">
        <v>97</v>
      </c>
      <c r="C6" s="2" t="s">
        <v>82</v>
      </c>
      <c r="D6" s="2" t="s">
        <v>78</v>
      </c>
      <c r="E6" s="12">
        <v>90000</v>
      </c>
      <c r="F6" s="12">
        <v>4753790.45297</v>
      </c>
      <c r="G6" s="14">
        <f>IFERROR(Table17[[#This Row],[Volume]]/(Table17[[#This Row],[CD]]*366),0)</f>
        <v>0.14431665005980571</v>
      </c>
      <c r="H6" s="16">
        <f>MIN(Table17[[#This Row],[CD]],inputs!$P$12)</f>
        <v>30000</v>
      </c>
      <c r="I6" s="16">
        <f>MAX(0,Table17[[#This Row],[CD]]-inputs!$P$12)</f>
        <v>60000</v>
      </c>
      <c r="J6" s="19">
        <f>12*VLOOKUP(Table17[[#This Row],[newrate]],rates,2,0)</f>
        <v>18000</v>
      </c>
      <c r="K6" s="19">
        <f>Table17[[#This Row],[Volume]]*(VLOOKUP(Table17[[#This Row],[newrate]],rates,3,0))/100</f>
        <v>3175.5320225839596</v>
      </c>
      <c r="L6" s="19">
        <f>12*Table17[[#This Row],[CD - Tier 1]]*VLOOKUP(Table17[[#This Row],[newrate]],rates,4,0)/100</f>
        <v>93166.92</v>
      </c>
      <c r="M6" s="19">
        <f>12*Table17[[#This Row],[CD - Tier 2]]*VLOOKUP(Table17[[#This Row],[newrate]],rates,5,0)/100</f>
        <v>94673.52</v>
      </c>
      <c r="N6" s="19">
        <f>Table17[[#This Row],[Volume]]*VLOOKUP(Table17[[#This Row],[newrate]],rates,8,0)/100</f>
        <v>684636.14724628639</v>
      </c>
      <c r="O6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893652.11926887033</v>
      </c>
      <c r="P6" s="21">
        <v>16499.15128078917</v>
      </c>
      <c r="Q6" s="21">
        <v>344795.28</v>
      </c>
      <c r="R6" s="21">
        <v>34077.805830019985</v>
      </c>
      <c r="S6" s="21">
        <v>684636.14724628639</v>
      </c>
      <c r="T6" s="22">
        <f>Table17[[#This Row],[Current Customer Charge]]+Table17[[#This Row],[Current Demand Delivery Charge]]+Table17[[#This Row],[Current Volumetric Delivery Charge]]+Table17[[#This Row],[Current Gas Supply Commodity Charge]]</f>
        <v>1080008.3843570957</v>
      </c>
      <c r="U6" s="23">
        <f>Table17[[#This Row],[Proposed Customer Charge]]-Table17[[#This Row],[Current Customer Charge]]</f>
        <v>1500.8487192108296</v>
      </c>
      <c r="V6" s="23">
        <f>Table17[[#This Row],[Proposed Demand Delivery Charge - Tier 1]]+Table17[[#This Row],[Proposed Demand Delivery Charge - Tier 2]]-Table17[[#This Row],[Current Demand Delivery Charge]]</f>
        <v>-156954.84000000003</v>
      </c>
      <c r="W6" s="23">
        <f>Table17[[#This Row],[Proposed Volumetric Delivery Charge]]-Table17[[#This Row],[Current Volumetric Delivery Charge]]</f>
        <v>-30902.273807436024</v>
      </c>
      <c r="X6" s="25">
        <f>Table17[[#This Row],[Proposed Gas Supply Commodity Charge]]-Table17[[#This Row],[Current Gas Supply Commodity Charge]]</f>
        <v>0</v>
      </c>
      <c r="Y6" s="24">
        <f>Table17[[#This Row],[Proposed Total Bill ($)]]-Table17[[#This Row],[Current Total Bill ($)]]</f>
        <v>-186356.26508822537</v>
      </c>
      <c r="Z6" s="18">
        <f>Table17[[#This Row],[Total Bill Impact ($)]]/Table17[[#This Row],[Current Total Bill ($)]]</f>
        <v>-0.17255075774171791</v>
      </c>
    </row>
    <row r="7" spans="1:26">
      <c r="A7" s="2" t="s">
        <v>24</v>
      </c>
      <c r="B7" s="2" t="s">
        <v>97</v>
      </c>
      <c r="C7" s="2" t="s">
        <v>82</v>
      </c>
      <c r="D7" s="2" t="s">
        <v>79</v>
      </c>
      <c r="E7" s="12">
        <v>969500</v>
      </c>
      <c r="F7" s="12">
        <v>100133789.29232</v>
      </c>
      <c r="G7" s="14">
        <f>IFERROR(Table17[[#This Row],[Volume]]/(Table17[[#This Row],[CD]]*366),0)</f>
        <v>0.28219658404371584</v>
      </c>
      <c r="H7" s="16">
        <f>MIN(Table17[[#This Row],[CD]],inputs!$P$12)</f>
        <v>30000</v>
      </c>
      <c r="I7" s="16">
        <f>MAX(0,Table17[[#This Row],[CD]]-inputs!$P$12)</f>
        <v>939500</v>
      </c>
      <c r="J7" s="19">
        <f>12*VLOOKUP(Table17[[#This Row],[newrate]],rates,2,0)</f>
        <v>18000</v>
      </c>
      <c r="K7" s="19">
        <f>Table17[[#This Row],[Volume]]*(VLOOKUP(Table17[[#This Row],[newrate]],rates,3,0))/100</f>
        <v>66889.371247269752</v>
      </c>
      <c r="L7" s="19">
        <f>12*Table17[[#This Row],[CD - Tier 1]]*VLOOKUP(Table17[[#This Row],[newrate]],rates,4,0)/100</f>
        <v>93166.92</v>
      </c>
      <c r="M7" s="19">
        <f>12*Table17[[#This Row],[CD - Tier 2]]*VLOOKUP(Table17[[#This Row],[newrate]],rates,5,0)/100</f>
        <v>1482429.534</v>
      </c>
      <c r="N7" s="19">
        <f>Table17[[#This Row],[Volume]]*VLOOKUP(Table17[[#This Row],[newrate]],rates,8,0)/100</f>
        <v>14421168.200090632</v>
      </c>
      <c r="O7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16081654.025337901</v>
      </c>
      <c r="P7" s="21">
        <v>16499.15128078917</v>
      </c>
      <c r="Q7" s="21">
        <v>2525842.7039999999</v>
      </c>
      <c r="R7" s="21">
        <v>541134.32775217993</v>
      </c>
      <c r="S7" s="21">
        <v>14421168.200090632</v>
      </c>
      <c r="T7" s="22">
        <f>Table17[[#This Row],[Current Customer Charge]]+Table17[[#This Row],[Current Demand Delivery Charge]]+Table17[[#This Row],[Current Volumetric Delivery Charge]]+Table17[[#This Row],[Current Gas Supply Commodity Charge]]</f>
        <v>17504644.383123599</v>
      </c>
      <c r="U7" s="23">
        <f>Table17[[#This Row],[Proposed Customer Charge]]-Table17[[#This Row],[Current Customer Charge]]</f>
        <v>1500.8487192108296</v>
      </c>
      <c r="V7" s="23">
        <f>Table17[[#This Row],[Proposed Demand Delivery Charge - Tier 1]]+Table17[[#This Row],[Proposed Demand Delivery Charge - Tier 2]]-Table17[[#This Row],[Current Demand Delivery Charge]]</f>
        <v>-950246.25</v>
      </c>
      <c r="W7" s="23">
        <f>Table17[[#This Row],[Proposed Volumetric Delivery Charge]]-Table17[[#This Row],[Current Volumetric Delivery Charge]]</f>
        <v>-474244.95650491019</v>
      </c>
      <c r="X7" s="25">
        <f>Table17[[#This Row],[Proposed Gas Supply Commodity Charge]]-Table17[[#This Row],[Current Gas Supply Commodity Charge]]</f>
        <v>0</v>
      </c>
      <c r="Y7" s="24">
        <f>Table17[[#This Row],[Proposed Total Bill ($)]]-Table17[[#This Row],[Current Total Bill ($)]]</f>
        <v>-1422990.357785698</v>
      </c>
      <c r="Z7" s="18">
        <f>Table17[[#This Row],[Total Bill Impact ($)]]/Table17[[#This Row],[Current Total Bill ($)]]</f>
        <v>-8.129216033418063E-2</v>
      </c>
    </row>
    <row r="8" spans="1:26">
      <c r="A8" s="2" t="s">
        <v>24</v>
      </c>
      <c r="B8" s="2" t="s">
        <v>97</v>
      </c>
      <c r="C8" s="2" t="s">
        <v>73</v>
      </c>
      <c r="D8" s="2" t="s">
        <v>74</v>
      </c>
      <c r="E8" s="12">
        <v>100000</v>
      </c>
      <c r="F8" s="12">
        <v>27602559.125</v>
      </c>
      <c r="G8" s="14">
        <f>IFERROR(Table17[[#This Row],[Volume]]/(Table17[[#This Row],[CD]]*366),0)</f>
        <v>0.75416828210382514</v>
      </c>
      <c r="H8" s="16">
        <f>MIN(Table17[[#This Row],[CD]],inputs!$P$12)</f>
        <v>30000</v>
      </c>
      <c r="I8" s="16">
        <f>MAX(0,Table17[[#This Row],[CD]]-inputs!$P$12)</f>
        <v>70000</v>
      </c>
      <c r="J8" s="19">
        <f>12*VLOOKUP(Table17[[#This Row],[newrate]],rates,2,0)</f>
        <v>18000</v>
      </c>
      <c r="K8" s="19">
        <f>Table17[[#This Row],[Volume]]*(VLOOKUP(Table17[[#This Row],[newrate]],rates,3,0))/100</f>
        <v>18438.509495499999</v>
      </c>
      <c r="L8" s="19">
        <f>12*Table17[[#This Row],[CD - Tier 1]]*VLOOKUP(Table17[[#This Row],[newrate]],rates,4,0)/100</f>
        <v>93166.92</v>
      </c>
      <c r="M8" s="19">
        <f>12*Table17[[#This Row],[CD - Tier 2]]*VLOOKUP(Table17[[#This Row],[newrate]],rates,5,0)/100</f>
        <v>110452.44</v>
      </c>
      <c r="N8" s="19">
        <f>Table17[[#This Row],[Volume]]*VLOOKUP(Table17[[#This Row],[newrate]],rates,8,0)/100</f>
        <v>3975292.962623375</v>
      </c>
      <c r="O8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4215350.8321188753</v>
      </c>
      <c r="P8" s="21">
        <v>23031.951280789166</v>
      </c>
      <c r="Q8" s="21">
        <v>238544.4</v>
      </c>
      <c r="R8" s="21">
        <v>102323.20035687499</v>
      </c>
      <c r="S8" s="21">
        <v>3975292.962623375</v>
      </c>
      <c r="T8" s="22">
        <f>Table17[[#This Row],[Current Customer Charge]]+Table17[[#This Row],[Current Demand Delivery Charge]]+Table17[[#This Row],[Current Volumetric Delivery Charge]]+Table17[[#This Row],[Current Gas Supply Commodity Charge]]</f>
        <v>4339192.514261039</v>
      </c>
      <c r="U8" s="23">
        <f>Table17[[#This Row],[Proposed Customer Charge]]-Table17[[#This Row],[Current Customer Charge]]</f>
        <v>-5031.951280789166</v>
      </c>
      <c r="V8" s="23">
        <f>Table17[[#This Row],[Proposed Demand Delivery Charge - Tier 1]]+Table17[[#This Row],[Proposed Demand Delivery Charge - Tier 2]]-Table17[[#This Row],[Current Demand Delivery Charge]]</f>
        <v>-34925.040000000008</v>
      </c>
      <c r="W8" s="23">
        <f>Table17[[#This Row],[Proposed Volumetric Delivery Charge]]-Table17[[#This Row],[Current Volumetric Delivery Charge]]</f>
        <v>-83884.690861374998</v>
      </c>
      <c r="X8" s="25">
        <f>Table17[[#This Row],[Proposed Gas Supply Commodity Charge]]-Table17[[#This Row],[Current Gas Supply Commodity Charge]]</f>
        <v>0</v>
      </c>
      <c r="Y8" s="24">
        <f>Table17[[#This Row],[Proposed Total Bill ($)]]-Table17[[#This Row],[Current Total Bill ($)]]</f>
        <v>-123841.68214216363</v>
      </c>
      <c r="Z8" s="18">
        <f>Table17[[#This Row],[Total Bill Impact ($)]]/Table17[[#This Row],[Current Total Bill ($)]]</f>
        <v>-2.8540259906687678E-2</v>
      </c>
    </row>
    <row r="9" spans="1:26">
      <c r="A9" s="2" t="s">
        <v>24</v>
      </c>
      <c r="B9" s="2" t="s">
        <v>97</v>
      </c>
      <c r="C9" s="2" t="s">
        <v>73</v>
      </c>
      <c r="D9" s="2" t="s">
        <v>75</v>
      </c>
      <c r="E9" s="12">
        <v>162800</v>
      </c>
      <c r="F9" s="12">
        <v>46722373.348000005</v>
      </c>
      <c r="G9" s="14">
        <f>IFERROR(Table17[[#This Row],[Volume]]/(Table17[[#This Row],[CD]]*366),0)</f>
        <v>0.78413241880479589</v>
      </c>
      <c r="H9" s="16">
        <f>MIN(Table17[[#This Row],[CD]],inputs!$P$12)</f>
        <v>30000</v>
      </c>
      <c r="I9" s="16">
        <f>MAX(0,Table17[[#This Row],[CD]]-inputs!$P$12)</f>
        <v>132800</v>
      </c>
      <c r="J9" s="19">
        <f>12*VLOOKUP(Table17[[#This Row],[newrate]],rates,2,0)</f>
        <v>18000</v>
      </c>
      <c r="K9" s="19">
        <f>Table17[[#This Row],[Volume]]*(VLOOKUP(Table17[[#This Row],[newrate]],rates,3,0))/100</f>
        <v>31210.545396464</v>
      </c>
      <c r="L9" s="19">
        <f>12*Table17[[#This Row],[CD - Tier 1]]*VLOOKUP(Table17[[#This Row],[newrate]],rates,4,0)/100</f>
        <v>93166.92</v>
      </c>
      <c r="M9" s="19">
        <f>12*Table17[[#This Row],[CD - Tier 2]]*VLOOKUP(Table17[[#This Row],[newrate]],rates,5,0)/100</f>
        <v>209544.05760000003</v>
      </c>
      <c r="N9" s="19">
        <f>Table17[[#This Row],[Volume]]*VLOOKUP(Table17[[#This Row],[newrate]],rates,8,0)/100</f>
        <v>6728909.4872056125</v>
      </c>
      <c r="O9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7080831.0102020763</v>
      </c>
      <c r="P9" s="21">
        <v>23031.951280789166</v>
      </c>
      <c r="Q9" s="21">
        <v>388350.28320000001</v>
      </c>
      <c r="R9" s="21">
        <v>133392.37590854001</v>
      </c>
      <c r="S9" s="21">
        <v>6728909.4872056125</v>
      </c>
      <c r="T9" s="22">
        <f>Table17[[#This Row],[Current Customer Charge]]+Table17[[#This Row],[Current Demand Delivery Charge]]+Table17[[#This Row],[Current Volumetric Delivery Charge]]+Table17[[#This Row],[Current Gas Supply Commodity Charge]]</f>
        <v>7273684.097594942</v>
      </c>
      <c r="U9" s="23">
        <f>Table17[[#This Row],[Proposed Customer Charge]]-Table17[[#This Row],[Current Customer Charge]]</f>
        <v>-5031.951280789166</v>
      </c>
      <c r="V9" s="23">
        <f>Table17[[#This Row],[Proposed Demand Delivery Charge - Tier 1]]+Table17[[#This Row],[Proposed Demand Delivery Charge - Tier 2]]-Table17[[#This Row],[Current Demand Delivery Charge]]</f>
        <v>-85639.305599999963</v>
      </c>
      <c r="W9" s="23">
        <f>Table17[[#This Row],[Proposed Volumetric Delivery Charge]]-Table17[[#This Row],[Current Volumetric Delivery Charge]]</f>
        <v>-102181.83051207601</v>
      </c>
      <c r="X9" s="25">
        <f>Table17[[#This Row],[Proposed Gas Supply Commodity Charge]]-Table17[[#This Row],[Current Gas Supply Commodity Charge]]</f>
        <v>0</v>
      </c>
      <c r="Y9" s="24">
        <f>Table17[[#This Row],[Proposed Total Bill ($)]]-Table17[[#This Row],[Current Total Bill ($)]]</f>
        <v>-192853.08739286568</v>
      </c>
      <c r="Z9" s="18">
        <f>Table17[[#This Row],[Total Bill Impact ($)]]/Table17[[#This Row],[Current Total Bill ($)]]</f>
        <v>-2.6513811268849708E-2</v>
      </c>
    </row>
    <row r="10" spans="1:26">
      <c r="A10" s="2" t="s">
        <v>24</v>
      </c>
      <c r="B10" s="2" t="s">
        <v>97</v>
      </c>
      <c r="C10" s="2" t="s">
        <v>73</v>
      </c>
      <c r="D10" s="2" t="s">
        <v>76</v>
      </c>
      <c r="E10" s="12">
        <v>228000</v>
      </c>
      <c r="F10" s="12">
        <v>73676074.998999998</v>
      </c>
      <c r="G10" s="14">
        <f>IFERROR(Table17[[#This Row],[Volume]]/(Table17[[#This Row],[CD]]*366),0)</f>
        <v>0.8828980322955613</v>
      </c>
      <c r="H10" s="16">
        <f>MIN(Table17[[#This Row],[CD]],inputs!$P$12)</f>
        <v>30000</v>
      </c>
      <c r="I10" s="16">
        <f>MAX(0,Table17[[#This Row],[CD]]-inputs!$P$12)</f>
        <v>198000</v>
      </c>
      <c r="J10" s="19">
        <f>12*VLOOKUP(Table17[[#This Row],[newrate]],rates,2,0)</f>
        <v>18000</v>
      </c>
      <c r="K10" s="19">
        <f>Table17[[#This Row],[Volume]]*(VLOOKUP(Table17[[#This Row],[newrate]],rates,3,0))/100</f>
        <v>49215.618099331994</v>
      </c>
      <c r="L10" s="19">
        <f>12*Table17[[#This Row],[CD - Tier 1]]*VLOOKUP(Table17[[#This Row],[newrate]],rates,4,0)/100</f>
        <v>93166.92</v>
      </c>
      <c r="M10" s="19">
        <f>12*Table17[[#This Row],[CD - Tier 2]]*VLOOKUP(Table17[[#This Row],[newrate]],rates,5,0)/100</f>
        <v>312422.61600000004</v>
      </c>
      <c r="N10" s="19">
        <f>Table17[[#This Row],[Volume]]*VLOOKUP(Table17[[#This Row],[newrate]],rates,8,0)/100</f>
        <v>10610754.64528098</v>
      </c>
      <c r="O10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11083559.799380312</v>
      </c>
      <c r="P10" s="21">
        <v>23031.951280789166</v>
      </c>
      <c r="Q10" s="21">
        <v>543881.23199999996</v>
      </c>
      <c r="R10" s="21">
        <v>210345.19412214498</v>
      </c>
      <c r="S10" s="21">
        <v>10610754.64528098</v>
      </c>
      <c r="T10" s="22">
        <f>Table17[[#This Row],[Current Customer Charge]]+Table17[[#This Row],[Current Demand Delivery Charge]]+Table17[[#This Row],[Current Volumetric Delivery Charge]]+Table17[[#This Row],[Current Gas Supply Commodity Charge]]</f>
        <v>11388013.022683913</v>
      </c>
      <c r="U10" s="23">
        <f>Table17[[#This Row],[Proposed Customer Charge]]-Table17[[#This Row],[Current Customer Charge]]</f>
        <v>-5031.951280789166</v>
      </c>
      <c r="V10" s="23">
        <f>Table17[[#This Row],[Proposed Demand Delivery Charge - Tier 1]]+Table17[[#This Row],[Proposed Demand Delivery Charge - Tier 2]]-Table17[[#This Row],[Current Demand Delivery Charge]]</f>
        <v>-138291.69599999994</v>
      </c>
      <c r="W10" s="23">
        <f>Table17[[#This Row],[Proposed Volumetric Delivery Charge]]-Table17[[#This Row],[Current Volumetric Delivery Charge]]</f>
        <v>-161129.57602281298</v>
      </c>
      <c r="X10" s="25">
        <f>Table17[[#This Row],[Proposed Gas Supply Commodity Charge]]-Table17[[#This Row],[Current Gas Supply Commodity Charge]]</f>
        <v>0</v>
      </c>
      <c r="Y10" s="24">
        <f>Table17[[#This Row],[Proposed Total Bill ($)]]-Table17[[#This Row],[Current Total Bill ($)]]</f>
        <v>-304453.22330360115</v>
      </c>
      <c r="Z10" s="18">
        <f>Table17[[#This Row],[Total Bill Impact ($)]]/Table17[[#This Row],[Current Total Bill ($)]]</f>
        <v>-2.6734534171778457E-2</v>
      </c>
    </row>
    <row r="11" spans="1:26">
      <c r="A11" s="2" t="s">
        <v>24</v>
      </c>
      <c r="B11" s="2" t="s">
        <v>97</v>
      </c>
      <c r="C11" s="2" t="s">
        <v>73</v>
      </c>
      <c r="D11" s="2" t="s">
        <v>78</v>
      </c>
      <c r="E11" s="12">
        <v>240000</v>
      </c>
      <c r="F11" s="12">
        <v>82218240</v>
      </c>
      <c r="G11" s="14">
        <f>IFERROR(Table17[[#This Row],[Volume]]/(Table17[[#This Row],[CD]]*366),0)</f>
        <v>0.93600000000000005</v>
      </c>
      <c r="H11" s="16">
        <f>MIN(Table17[[#This Row],[CD]],inputs!$P$12)</f>
        <v>30000</v>
      </c>
      <c r="I11" s="16">
        <f>MAX(0,Table17[[#This Row],[CD]]-inputs!$P$12)</f>
        <v>210000</v>
      </c>
      <c r="J11" s="19">
        <f>12*VLOOKUP(Table17[[#This Row],[newrate]],rates,2,0)</f>
        <v>18000</v>
      </c>
      <c r="K11" s="19">
        <f>Table17[[#This Row],[Volume]]*(VLOOKUP(Table17[[#This Row],[newrate]],rates,3,0))/100</f>
        <v>54921.784319999999</v>
      </c>
      <c r="L11" s="19">
        <f>12*Table17[[#This Row],[CD - Tier 1]]*VLOOKUP(Table17[[#This Row],[newrate]],rates,4,0)/100</f>
        <v>93166.92</v>
      </c>
      <c r="M11" s="19">
        <f>12*Table17[[#This Row],[CD - Tier 2]]*VLOOKUP(Table17[[#This Row],[newrate]],rates,5,0)/100</f>
        <v>331357.32</v>
      </c>
      <c r="N11" s="19">
        <f>Table17[[#This Row],[Volume]]*VLOOKUP(Table17[[#This Row],[newrate]],rates,8,0)/100</f>
        <v>11840988.706559999</v>
      </c>
      <c r="O11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12338434.73088</v>
      </c>
      <c r="P11" s="21">
        <v>23031.951280789166</v>
      </c>
      <c r="Q11" s="21">
        <v>572506.55999999994</v>
      </c>
      <c r="R11" s="21">
        <v>234733.07519999999</v>
      </c>
      <c r="S11" s="21">
        <v>11840988.706559999</v>
      </c>
      <c r="T11" s="22">
        <f>Table17[[#This Row],[Current Customer Charge]]+Table17[[#This Row],[Current Demand Delivery Charge]]+Table17[[#This Row],[Current Volumetric Delivery Charge]]+Table17[[#This Row],[Current Gas Supply Commodity Charge]]</f>
        <v>12671260.293040788</v>
      </c>
      <c r="U11" s="23">
        <f>Table17[[#This Row],[Proposed Customer Charge]]-Table17[[#This Row],[Current Customer Charge]]</f>
        <v>-5031.951280789166</v>
      </c>
      <c r="V11" s="23">
        <f>Table17[[#This Row],[Proposed Demand Delivery Charge - Tier 1]]+Table17[[#This Row],[Proposed Demand Delivery Charge - Tier 2]]-Table17[[#This Row],[Current Demand Delivery Charge]]</f>
        <v>-147982.31999999995</v>
      </c>
      <c r="W11" s="23">
        <f>Table17[[#This Row],[Proposed Volumetric Delivery Charge]]-Table17[[#This Row],[Current Volumetric Delivery Charge]]</f>
        <v>-179811.29087999999</v>
      </c>
      <c r="X11" s="25">
        <f>Table17[[#This Row],[Proposed Gas Supply Commodity Charge]]-Table17[[#This Row],[Current Gas Supply Commodity Charge]]</f>
        <v>0</v>
      </c>
      <c r="Y11" s="24">
        <f>Table17[[#This Row],[Proposed Total Bill ($)]]-Table17[[#This Row],[Current Total Bill ($)]]</f>
        <v>-332825.5621607881</v>
      </c>
      <c r="Z11" s="18">
        <f>Table17[[#This Row],[Total Bill Impact ($)]]/Table17[[#This Row],[Current Total Bill ($)]]</f>
        <v>-2.6266176723050982E-2</v>
      </c>
    </row>
    <row r="12" spans="1:26">
      <c r="A12" s="2" t="s">
        <v>24</v>
      </c>
      <c r="B12" s="2" t="s">
        <v>97</v>
      </c>
      <c r="C12" s="2" t="s">
        <v>73</v>
      </c>
      <c r="D12" s="2" t="s">
        <v>79</v>
      </c>
      <c r="E12" s="12">
        <v>310000</v>
      </c>
      <c r="F12" s="12">
        <v>86999999.998999998</v>
      </c>
      <c r="G12" s="14">
        <f>IFERROR(Table17[[#This Row],[Volume]]/(Table17[[#This Row],[CD]]*366),0)</f>
        <v>0.76679005816146661</v>
      </c>
      <c r="H12" s="16">
        <f>MIN(Table17[[#This Row],[CD]],inputs!$P$12)</f>
        <v>30000</v>
      </c>
      <c r="I12" s="16">
        <f>MAX(0,Table17[[#This Row],[CD]]-inputs!$P$12)</f>
        <v>280000</v>
      </c>
      <c r="J12" s="19">
        <f>12*VLOOKUP(Table17[[#This Row],[newrate]],rates,2,0)</f>
        <v>18000</v>
      </c>
      <c r="K12" s="19">
        <f>Table17[[#This Row],[Volume]]*(VLOOKUP(Table17[[#This Row],[newrate]],rates,3,0))/100</f>
        <v>58115.999999332002</v>
      </c>
      <c r="L12" s="19">
        <f>12*Table17[[#This Row],[CD - Tier 1]]*VLOOKUP(Table17[[#This Row],[newrate]],rates,4,0)/100</f>
        <v>93166.92</v>
      </c>
      <c r="M12" s="19">
        <f>12*Table17[[#This Row],[CD - Tier 2]]*VLOOKUP(Table17[[#This Row],[newrate]],rates,5,0)/100</f>
        <v>441809.76</v>
      </c>
      <c r="N12" s="19">
        <f>Table17[[#This Row],[Volume]]*VLOOKUP(Table17[[#This Row],[newrate]],rates,8,0)/100</f>
        <v>12529652.99985598</v>
      </c>
      <c r="O12" s="20">
        <f>Table17[[#This Row],[Proposed Customer Charge]]+Table17[[#This Row],[Proposed Volumetric Delivery Charge]]+Table17[[#This Row],[Proposed Demand Delivery Charge - Tier 1]]+Table17[[#This Row],[Proposed Demand Delivery Charge - Tier 2]]+Table17[[#This Row],[Proposed Gas Supply Commodity Charge]]</f>
        <v>13140745.679855313</v>
      </c>
      <c r="P12" s="21">
        <v>23031.951280789166</v>
      </c>
      <c r="Q12" s="21">
        <v>739487.64</v>
      </c>
      <c r="R12" s="21">
        <v>248384.99999714497</v>
      </c>
      <c r="S12" s="21">
        <v>12529652.99985598</v>
      </c>
      <c r="T12" s="22">
        <f>Table17[[#This Row],[Current Customer Charge]]+Table17[[#This Row],[Current Demand Delivery Charge]]+Table17[[#This Row],[Current Volumetric Delivery Charge]]+Table17[[#This Row],[Current Gas Supply Commodity Charge]]</f>
        <v>13540557.591133915</v>
      </c>
      <c r="U12" s="23">
        <f>Table17[[#This Row],[Proposed Customer Charge]]-Table17[[#This Row],[Current Customer Charge]]</f>
        <v>-5031.951280789166</v>
      </c>
      <c r="V12" s="23">
        <f>Table17[[#This Row],[Proposed Demand Delivery Charge - Tier 1]]+Table17[[#This Row],[Proposed Demand Delivery Charge - Tier 2]]-Table17[[#This Row],[Current Demand Delivery Charge]]</f>
        <v>-204510.95999999996</v>
      </c>
      <c r="W12" s="23">
        <f>Table17[[#This Row],[Proposed Volumetric Delivery Charge]]-Table17[[#This Row],[Current Volumetric Delivery Charge]]</f>
        <v>-190268.99999781296</v>
      </c>
      <c r="X12" s="25">
        <f>Table17[[#This Row],[Proposed Gas Supply Commodity Charge]]-Table17[[#This Row],[Current Gas Supply Commodity Charge]]</f>
        <v>0</v>
      </c>
      <c r="Y12" s="24">
        <f>Table17[[#This Row],[Proposed Total Bill ($)]]-Table17[[#This Row],[Current Total Bill ($)]]</f>
        <v>-399811.91127860174</v>
      </c>
      <c r="Z12" s="18">
        <f>Table17[[#This Row],[Total Bill Impact ($)]]/Table17[[#This Row],[Current Total Bill ($)]]</f>
        <v>-2.9526990198719034E-2</v>
      </c>
    </row>
  </sheetData>
  <sheetProtection algorithmName="SHA-512" hashValue="fyyOIuKT+WaWiz17MkxKRIGJnKiX5CWrRbb6b1mBFaUN4uLP50l5ivRJUUOH3PGjl6EmIR1zOCMwx++M3heKbg==" saltValue="RRIYf2nDYuXUHwUHeNyDOw==" spinCount="100000" sheet="1" objects="1" scenarios="1"/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99B6-46D3-47B9-954D-F51A17461FE6}">
  <dimension ref="A1:W8"/>
  <sheetViews>
    <sheetView showGridLines="0" topLeftCell="B1" zoomScale="80" zoomScaleNormal="80" workbookViewId="0">
      <pane ySplit="1" topLeftCell="A2" activePane="bottomLeft" state="frozen"/>
      <selection pane="bottomLeft" activeCell="B2" sqref="B2"/>
      <selection activeCell="B2" sqref="B2"/>
    </sheetView>
  </sheetViews>
  <sheetFormatPr defaultColWidth="9.140625" defaultRowHeight="13.15"/>
  <cols>
    <col min="1" max="1" width="9.5703125" style="2" hidden="1" customWidth="1"/>
    <col min="2" max="2" width="20" style="2" customWidth="1"/>
    <col min="3" max="3" width="18.85546875" style="2" customWidth="1"/>
    <col min="4" max="4" width="21.140625" style="2" customWidth="1"/>
    <col min="5" max="7" width="13.85546875" style="2" customWidth="1"/>
    <col min="8" max="54" width="13.28515625" style="2" customWidth="1"/>
    <col min="55" max="16384" width="9.140625" style="2"/>
  </cols>
  <sheetData>
    <row r="1" spans="1:23" s="3" customFormat="1" ht="85.15" customHeight="1">
      <c r="A1" s="3" t="s">
        <v>28</v>
      </c>
      <c r="B1" s="3" t="s">
        <v>29</v>
      </c>
      <c r="C1" s="3" t="s">
        <v>30</v>
      </c>
      <c r="D1" s="3" t="s">
        <v>31</v>
      </c>
      <c r="E1" s="3" t="s">
        <v>68</v>
      </c>
      <c r="F1" s="3" t="s">
        <v>33</v>
      </c>
      <c r="G1" s="3" t="s">
        <v>34</v>
      </c>
      <c r="H1" s="10" t="s">
        <v>35</v>
      </c>
      <c r="I1" s="10" t="s">
        <v>36</v>
      </c>
      <c r="J1" s="10" t="s">
        <v>37</v>
      </c>
      <c r="K1" s="10" t="s">
        <v>39</v>
      </c>
      <c r="L1" s="10" t="s">
        <v>40</v>
      </c>
      <c r="M1" s="11" t="s">
        <v>41</v>
      </c>
      <c r="N1" s="11" t="s">
        <v>42</v>
      </c>
      <c r="O1" s="11" t="s">
        <v>43</v>
      </c>
      <c r="P1" s="11" t="s">
        <v>45</v>
      </c>
      <c r="Q1" s="11" t="s">
        <v>46</v>
      </c>
      <c r="R1" s="3" t="s">
        <v>47</v>
      </c>
      <c r="S1" s="3" t="s">
        <v>48</v>
      </c>
      <c r="T1" s="3" t="s">
        <v>49</v>
      </c>
      <c r="U1" s="3" t="s">
        <v>94</v>
      </c>
      <c r="V1" s="3" t="s">
        <v>52</v>
      </c>
      <c r="W1" s="3" t="s">
        <v>53</v>
      </c>
    </row>
    <row r="2" spans="1:23">
      <c r="A2" s="2" t="s">
        <v>25</v>
      </c>
      <c r="B2" s="2" t="s">
        <v>54</v>
      </c>
      <c r="C2" s="2" t="s">
        <v>98</v>
      </c>
      <c r="D2" s="2" t="s">
        <v>99</v>
      </c>
      <c r="E2" s="12">
        <v>726345</v>
      </c>
      <c r="F2" s="12">
        <v>110066551.08000003</v>
      </c>
      <c r="G2" s="13">
        <f>IFERROR(Table128[[#This Row],[Volume]]/(Table128[[#This Row],[CD]]*366),0)</f>
        <v>0.41402953367799644</v>
      </c>
      <c r="H2" s="19">
        <f>12*VLOOKUP(Table128[[#This Row],[newrate]],rates,2,0)</f>
        <v>166541.76000000001</v>
      </c>
      <c r="I2" s="19">
        <f>Table128[[#This Row],[Volume]]*(VLOOKUP(Table128[[#This Row],[newrate]],rates,3,0))/100</f>
        <v>5833.5272072400012</v>
      </c>
      <c r="J2" s="19">
        <f>12*Table128[[#This Row],[CD]]*VLOOKUP(Table128[[#This Row],[newrate]],rates,4,0)/100</f>
        <v>1016275.7755800001</v>
      </c>
      <c r="K2" s="19">
        <f>Table128[[#This Row],[Volume]]*VLOOKUP(Table128[[#This Row],[newrate]],rates,8,0)/100</f>
        <v>15851674.619990522</v>
      </c>
      <c r="L2" s="20">
        <f>Table128[[#This Row],[Proposed Customer Charge]]+Table128[[#This Row],[Proposed Volumetric Delivery Charge]]+Table128[[#This Row],[Proposed Demand Delivery Charge]]+Table128[[#This Row],[Proposed Gas Supply Commodity Charge]]</f>
        <v>17040325.682777762</v>
      </c>
      <c r="M2" s="21">
        <v>6740.64</v>
      </c>
      <c r="N2" s="21">
        <v>1003959.8697599999</v>
      </c>
      <c r="O2" s="21">
        <v>0</v>
      </c>
      <c r="P2" s="21">
        <v>15851674.619990522</v>
      </c>
      <c r="Q2" s="22">
        <f>Table128[[#This Row],[Current Customer Charge]]+Table128[[#This Row],[Current Demand Delivery Charge]]+Table128[[#This Row],[Current Volumetric Delivery Charge]]+Table128[[#This Row],[Current Gas Supply Commodity Charge]]</f>
        <v>16862375.129750524</v>
      </c>
      <c r="R2" s="23">
        <f>Table128[[#This Row],[Proposed Customer Charge]]-Table128[[#This Row],[Current Customer Charge]]</f>
        <v>159801.12</v>
      </c>
      <c r="S2" s="23">
        <f>Table128[[#This Row],[Proposed Demand Delivery Charge]]-Table128[[#This Row],[Current Demand Delivery Charge]]</f>
        <v>12315.905820000218</v>
      </c>
      <c r="T2" s="25">
        <f>Table128[[#This Row],[Proposed Volumetric Delivery Charge]]-Table128[[#This Row],[Current Volumetric Delivery Charge]]</f>
        <v>5833.5272072400012</v>
      </c>
      <c r="U2" s="25">
        <f>Table128[[#This Row],[Proposed Gas Supply Commodity Charge]]-Table128[[#This Row],[Current Gas Supply Commodity Charge]]</f>
        <v>0</v>
      </c>
      <c r="V2" s="24">
        <f>Table128[[#This Row],[Proposed Total Bill ($)]]-Table128[[#This Row],[Current Total Bill ($)]]</f>
        <v>177950.5530272387</v>
      </c>
      <c r="W2" s="18">
        <f>Table128[[#This Row],[Total Bill Impact ($)]]/Table128[[#This Row],[Current Total Bill ($)]]</f>
        <v>1.0553113168101572E-2</v>
      </c>
    </row>
    <row r="3" spans="1:23">
      <c r="A3" s="2" t="s">
        <v>25</v>
      </c>
      <c r="B3" s="2" t="s">
        <v>54</v>
      </c>
      <c r="C3" s="2" t="s">
        <v>98</v>
      </c>
      <c r="D3" s="2" t="s">
        <v>100</v>
      </c>
      <c r="E3" s="12">
        <v>2785885</v>
      </c>
      <c r="F3" s="12">
        <v>315000000</v>
      </c>
      <c r="G3" s="14">
        <f>IFERROR(Table128[[#This Row],[Volume]]/(Table128[[#This Row],[CD]]*366),0)</f>
        <v>0.30893440960589474</v>
      </c>
      <c r="H3" s="19">
        <f>12*VLOOKUP(Table128[[#This Row],[newrate]],rates,2,0)</f>
        <v>166541.76000000001</v>
      </c>
      <c r="I3" s="19">
        <f>Table128[[#This Row],[Volume]]*(VLOOKUP(Table128[[#This Row],[newrate]],rates,3,0))/100</f>
        <v>16695</v>
      </c>
      <c r="J3" s="19">
        <f>12*Table128[[#This Row],[CD]]*VLOOKUP(Table128[[#This Row],[newrate]],rates,4,0)/100</f>
        <v>3897910.0001400001</v>
      </c>
      <c r="K3" s="19">
        <f>Table128[[#This Row],[Volume]]*VLOOKUP(Table128[[#This Row],[newrate]],rates,8,0)/100</f>
        <v>45365985</v>
      </c>
      <c r="L3" s="20">
        <f>Table128[[#This Row],[Proposed Customer Charge]]+Table128[[#This Row],[Proposed Volumetric Delivery Charge]]+Table128[[#This Row],[Proposed Demand Delivery Charge]]+Table128[[#This Row],[Proposed Gas Supply Commodity Charge]]</f>
        <v>49447131.760140002</v>
      </c>
      <c r="M3" s="21">
        <v>6740.64</v>
      </c>
      <c r="N3" s="21">
        <v>3850672.5340800001</v>
      </c>
      <c r="O3" s="21">
        <v>0</v>
      </c>
      <c r="P3" s="21">
        <v>45365985</v>
      </c>
      <c r="Q3" s="22">
        <f>Table128[[#This Row],[Current Customer Charge]]+Table128[[#This Row],[Current Demand Delivery Charge]]+Table128[[#This Row],[Current Volumetric Delivery Charge]]+Table128[[#This Row],[Current Gas Supply Commodity Charge]]</f>
        <v>49223398.174079999</v>
      </c>
      <c r="R3" s="23">
        <f>Table128[[#This Row],[Proposed Customer Charge]]-Table128[[#This Row],[Current Customer Charge]]</f>
        <v>159801.12</v>
      </c>
      <c r="S3" s="23">
        <f>Table128[[#This Row],[Proposed Demand Delivery Charge]]-Table128[[#This Row],[Current Demand Delivery Charge]]</f>
        <v>47237.466060000006</v>
      </c>
      <c r="T3" s="25">
        <f>Table128[[#This Row],[Proposed Volumetric Delivery Charge]]-Table128[[#This Row],[Current Volumetric Delivery Charge]]</f>
        <v>16695</v>
      </c>
      <c r="U3" s="25">
        <f>Table128[[#This Row],[Proposed Gas Supply Commodity Charge]]-Table128[[#This Row],[Current Gas Supply Commodity Charge]]</f>
        <v>0</v>
      </c>
      <c r="V3" s="24">
        <f>Table128[[#This Row],[Proposed Total Bill ($)]]-Table128[[#This Row],[Current Total Bill ($)]]</f>
        <v>223733.58606000245</v>
      </c>
      <c r="W3" s="18">
        <f>Table128[[#This Row],[Total Bill Impact ($)]]/Table128[[#This Row],[Current Total Bill ($)]]</f>
        <v>4.5452690053775242E-3</v>
      </c>
    </row>
    <row r="4" spans="1:23">
      <c r="A4" s="2" t="s">
        <v>26</v>
      </c>
      <c r="B4" s="2" t="s">
        <v>97</v>
      </c>
      <c r="C4" s="2" t="s">
        <v>82</v>
      </c>
      <c r="D4" s="2" t="s">
        <v>99</v>
      </c>
      <c r="E4" s="12">
        <v>70000</v>
      </c>
      <c r="F4" s="12">
        <v>16264644.9999</v>
      </c>
      <c r="G4" s="14">
        <f>IFERROR(Table128[[#This Row],[Volume]]/(Table128[[#This Row],[CD]]*366),0)</f>
        <v>0.63484172521077287</v>
      </c>
      <c r="H4" s="19">
        <f>12*VLOOKUP(Table128[[#This Row],[newrate]],rates,2,0)</f>
        <v>166541.76000000001</v>
      </c>
      <c r="I4" s="19">
        <f>Table128[[#This Row],[Volume]]*(VLOOKUP(Table128[[#This Row],[newrate]],rates,3,0))/100</f>
        <v>10718.4010549341</v>
      </c>
      <c r="J4" s="19">
        <f>12*Table128[[#This Row],[CD]]*VLOOKUP(Table128[[#This Row],[newrate]],rates,4,0)/100</f>
        <v>97941.48</v>
      </c>
      <c r="K4" s="19">
        <f>Table128[[#This Row],[Volume]]*VLOOKUP(Table128[[#This Row],[newrate]],rates,8,0)/100</f>
        <v>2342417.9082405982</v>
      </c>
      <c r="L4" s="20">
        <f>Table128[[#This Row],[Proposed Customer Charge]]+Table128[[#This Row],[Proposed Volumetric Delivery Charge]]+Table128[[#This Row],[Proposed Demand Delivery Charge]]+Table128[[#This Row],[Proposed Gas Supply Commodity Charge]]</f>
        <v>2617619.5492955325</v>
      </c>
      <c r="M4" s="21">
        <v>16499.15128078917</v>
      </c>
      <c r="N4" s="21">
        <v>295197.84000000003</v>
      </c>
      <c r="O4" s="21">
        <v>105547.43528999998</v>
      </c>
      <c r="P4" s="21">
        <v>2342417.9082405982</v>
      </c>
      <c r="Q4" s="22">
        <f>Table128[[#This Row],[Current Customer Charge]]+Table128[[#This Row],[Current Demand Delivery Charge]]+Table128[[#This Row],[Current Volumetric Delivery Charge]]+Table128[[#This Row],[Current Gas Supply Commodity Charge]]</f>
        <v>2759662.3348113876</v>
      </c>
      <c r="R4" s="23">
        <f>Table128[[#This Row],[Proposed Customer Charge]]-Table128[[#This Row],[Current Customer Charge]]</f>
        <v>150042.60871921084</v>
      </c>
      <c r="S4" s="23">
        <f>Table128[[#This Row],[Proposed Demand Delivery Charge]]-Table128[[#This Row],[Current Demand Delivery Charge]]</f>
        <v>-197256.36000000004</v>
      </c>
      <c r="T4" s="25">
        <f>Table128[[#This Row],[Proposed Volumetric Delivery Charge]]-Table128[[#This Row],[Current Volumetric Delivery Charge]]</f>
        <v>-94829.034235065876</v>
      </c>
      <c r="U4" s="25">
        <f>Table128[[#This Row],[Proposed Gas Supply Commodity Charge]]-Table128[[#This Row],[Current Gas Supply Commodity Charge]]</f>
        <v>0</v>
      </c>
      <c r="V4" s="24">
        <f>Table128[[#This Row],[Proposed Total Bill ($)]]-Table128[[#This Row],[Current Total Bill ($)]]</f>
        <v>-142042.78551585507</v>
      </c>
      <c r="W4" s="18">
        <f>Table128[[#This Row],[Total Bill Impact ($)]]/Table128[[#This Row],[Current Total Bill ($)]]</f>
        <v>-5.1471074458666749E-2</v>
      </c>
    </row>
    <row r="5" spans="1:23">
      <c r="A5" s="2" t="s">
        <v>26</v>
      </c>
      <c r="B5" s="2" t="s">
        <v>97</v>
      </c>
      <c r="C5" s="2" t="s">
        <v>82</v>
      </c>
      <c r="D5" s="2" t="s">
        <v>100</v>
      </c>
      <c r="E5" s="12">
        <v>3740000</v>
      </c>
      <c r="F5" s="12">
        <v>438641495.57999992</v>
      </c>
      <c r="G5" s="14">
        <f>IFERROR(Table128[[#This Row],[Volume]]/(Table128[[#This Row],[CD]]*366),0)</f>
        <v>0.32044760204260536</v>
      </c>
      <c r="H5" s="19">
        <f>12*VLOOKUP(Table128[[#This Row],[newrate]],rates,2,0)</f>
        <v>166541.76000000001</v>
      </c>
      <c r="I5" s="19">
        <f>Table128[[#This Row],[Volume]]*(VLOOKUP(Table128[[#This Row],[newrate]],rates,3,0))/100</f>
        <v>289064.74558721995</v>
      </c>
      <c r="J5" s="19">
        <f>12*Table128[[#This Row],[CD]]*VLOOKUP(Table128[[#This Row],[newrate]],rates,4,0)/100</f>
        <v>5232873.3600000003</v>
      </c>
      <c r="K5" s="19">
        <f>Table128[[#This Row],[Volume]]*VLOOKUP(Table128[[#This Row],[newrate]],rates,8,0)/100</f>
        <v>63172709.551936008</v>
      </c>
      <c r="L5" s="20">
        <f>Table128[[#This Row],[Proposed Customer Charge]]+Table128[[#This Row],[Proposed Volumetric Delivery Charge]]+Table128[[#This Row],[Proposed Demand Delivery Charge]]+Table128[[#This Row],[Proposed Gas Supply Commodity Charge]]</f>
        <v>68861189.417523235</v>
      </c>
      <c r="M5" s="21">
        <v>16499.15128078917</v>
      </c>
      <c r="N5" s="21">
        <v>9396328.0800000001</v>
      </c>
      <c r="O5" s="21">
        <v>2302751.8120071595</v>
      </c>
      <c r="P5" s="21">
        <v>63172709.551936008</v>
      </c>
      <c r="Q5" s="22">
        <f>Table128[[#This Row],[Current Customer Charge]]+Table128[[#This Row],[Current Demand Delivery Charge]]+Table128[[#This Row],[Current Volumetric Delivery Charge]]+Table128[[#This Row],[Current Gas Supply Commodity Charge]]</f>
        <v>74888288.595223963</v>
      </c>
      <c r="R5" s="23">
        <f>Table128[[#This Row],[Proposed Customer Charge]]-Table128[[#This Row],[Current Customer Charge]]</f>
        <v>150042.60871921084</v>
      </c>
      <c r="S5" s="23">
        <f>Table128[[#This Row],[Proposed Demand Delivery Charge]]-Table128[[#This Row],[Current Demand Delivery Charge]]</f>
        <v>-4163454.7199999997</v>
      </c>
      <c r="T5" s="25">
        <f>Table128[[#This Row],[Proposed Volumetric Delivery Charge]]-Table128[[#This Row],[Current Volumetric Delivery Charge]]</f>
        <v>-2013687.0664199395</v>
      </c>
      <c r="U5" s="25">
        <f>Table128[[#This Row],[Proposed Gas Supply Commodity Charge]]-Table128[[#This Row],[Current Gas Supply Commodity Charge]]</f>
        <v>0</v>
      </c>
      <c r="V5" s="24">
        <f>Table128[[#This Row],[Proposed Total Bill ($)]]-Table128[[#This Row],[Current Total Bill ($)]]</f>
        <v>-6027099.1777007282</v>
      </c>
      <c r="W5" s="18">
        <f>Table128[[#This Row],[Total Bill Impact ($)]]/Table128[[#This Row],[Current Total Bill ($)]]</f>
        <v>-8.0481197938406482E-2</v>
      </c>
    </row>
    <row r="6" spans="1:23">
      <c r="A6" s="2" t="s">
        <v>26</v>
      </c>
      <c r="B6" s="2" t="s">
        <v>97</v>
      </c>
      <c r="C6" s="2" t="s">
        <v>73</v>
      </c>
      <c r="D6" s="2" t="s">
        <v>89</v>
      </c>
      <c r="E6" s="12">
        <v>1400000</v>
      </c>
      <c r="F6" s="12">
        <v>491740087.76999998</v>
      </c>
      <c r="G6" s="14">
        <f>IFERROR(Table128[[#This Row],[Volume]]/(Table128[[#This Row],[CD]]*366),0)</f>
        <v>0.95968010884074939</v>
      </c>
      <c r="H6" s="19">
        <f>12*VLOOKUP(Table128[[#This Row],[newrate]],rates,2,0)</f>
        <v>166541.76000000001</v>
      </c>
      <c r="I6" s="19">
        <f>Table128[[#This Row],[Volume]]*(VLOOKUP(Table128[[#This Row],[newrate]],rates,3,0))/100</f>
        <v>324056.71784042998</v>
      </c>
      <c r="J6" s="19">
        <f>12*Table128[[#This Row],[CD]]*VLOOKUP(Table128[[#This Row],[newrate]],rates,4,0)/100</f>
        <v>1958829.6</v>
      </c>
      <c r="K6" s="19">
        <f>Table128[[#This Row],[Volume]]*VLOOKUP(Table128[[#This Row],[newrate]],rates,8,0)/100</f>
        <v>70819915.700547636</v>
      </c>
      <c r="L6" s="20">
        <f>Table128[[#This Row],[Proposed Customer Charge]]+Table128[[#This Row],[Proposed Volumetric Delivery Charge]]+Table128[[#This Row],[Proposed Demand Delivery Charge]]+Table128[[#This Row],[Proposed Gas Supply Commodity Charge]]</f>
        <v>73269343.778388068</v>
      </c>
      <c r="M6" s="21">
        <v>23031.951280789166</v>
      </c>
      <c r="N6" s="21">
        <v>3339621.6</v>
      </c>
      <c r="O6" s="21">
        <v>1403917.9505833497</v>
      </c>
      <c r="P6" s="21">
        <v>70819915.700547636</v>
      </c>
      <c r="Q6" s="22">
        <f>Table128[[#This Row],[Current Customer Charge]]+Table128[[#This Row],[Current Demand Delivery Charge]]+Table128[[#This Row],[Current Volumetric Delivery Charge]]+Table128[[#This Row],[Current Gas Supply Commodity Charge]]</f>
        <v>75586487.202411771</v>
      </c>
      <c r="R6" s="23">
        <f>Table128[[#This Row],[Proposed Customer Charge]]-Table128[[#This Row],[Current Customer Charge]]</f>
        <v>143509.80871921085</v>
      </c>
      <c r="S6" s="23">
        <f>Table128[[#This Row],[Proposed Demand Delivery Charge]]-Table128[[#This Row],[Current Demand Delivery Charge]]</f>
        <v>-1380792</v>
      </c>
      <c r="T6" s="25">
        <f>Table128[[#This Row],[Proposed Volumetric Delivery Charge]]-Table128[[#This Row],[Current Volumetric Delivery Charge]]</f>
        <v>-1079861.2327429196</v>
      </c>
      <c r="U6" s="25">
        <f>Table128[[#This Row],[Proposed Gas Supply Commodity Charge]]-Table128[[#This Row],[Current Gas Supply Commodity Charge]]</f>
        <v>0</v>
      </c>
      <c r="V6" s="24">
        <f>Table128[[#This Row],[Proposed Total Bill ($)]]-Table128[[#This Row],[Current Total Bill ($)]]</f>
        <v>-2317143.4240237027</v>
      </c>
      <c r="W6" s="18">
        <f>Table128[[#This Row],[Total Bill Impact ($)]]/Table128[[#This Row],[Current Total Bill ($)]]</f>
        <v>-3.0655524681530228E-2</v>
      </c>
    </row>
    <row r="7" spans="1:23">
      <c r="A7" s="2" t="s">
        <v>27</v>
      </c>
      <c r="B7" s="2" t="s">
        <v>62</v>
      </c>
      <c r="C7" s="2" t="s">
        <v>96</v>
      </c>
      <c r="D7" s="2" t="s">
        <v>99</v>
      </c>
      <c r="E7" s="12">
        <v>1414166.6666666667</v>
      </c>
      <c r="F7" s="12">
        <v>129999999.99000001</v>
      </c>
      <c r="G7" s="14">
        <f>IFERROR(Table128[[#This Row],[Volume]]/(Table128[[#This Row],[CD]]*366),0)</f>
        <v>0.25116647505240686</v>
      </c>
      <c r="H7" s="19">
        <f>12*VLOOKUP(Table128[[#This Row],[newrate]],rates,2,0)</f>
        <v>166541.76000000001</v>
      </c>
      <c r="I7" s="19">
        <f>Table128[[#This Row],[Volume]]*(VLOOKUP(Table128[[#This Row],[newrate]],rates,3,0))/100</f>
        <v>138579.99998933999</v>
      </c>
      <c r="J7" s="19">
        <f>12*Table128[[#This Row],[CD]]*VLOOKUP(Table128[[#This Row],[newrate]],rates,4,0)/100</f>
        <v>3771107.34</v>
      </c>
      <c r="K7" s="19">
        <f>Table128[[#This Row],[Volume]]*VLOOKUP(Table128[[#This Row],[newrate]],rates,8,0)/100</f>
        <v>18722469.99855981</v>
      </c>
      <c r="L7" s="20">
        <f>Table128[[#This Row],[Proposed Customer Charge]]+Table128[[#This Row],[Proposed Volumetric Delivery Charge]]+Table128[[#This Row],[Proposed Demand Delivery Charge]]+Table128[[#This Row],[Proposed Gas Supply Commodity Charge]]</f>
        <v>22798699.09854915</v>
      </c>
      <c r="M7" s="21">
        <v>83847.360000000001</v>
      </c>
      <c r="N7" s="21">
        <v>3404521.0850400003</v>
      </c>
      <c r="O7" s="21">
        <v>120539.58858085141</v>
      </c>
      <c r="P7" s="21">
        <v>18722469.99855981</v>
      </c>
      <c r="Q7" s="22">
        <f>Table128[[#This Row],[Current Customer Charge]]+Table128[[#This Row],[Current Demand Delivery Charge]]+Table128[[#This Row],[Current Volumetric Delivery Charge]]+Table128[[#This Row],[Current Gas Supply Commodity Charge]]</f>
        <v>22331378.032180663</v>
      </c>
      <c r="R7" s="23">
        <f>Table128[[#This Row],[Proposed Customer Charge]]-Table128[[#This Row],[Current Customer Charge]]</f>
        <v>82694.400000000009</v>
      </c>
      <c r="S7" s="23">
        <f>Table128[[#This Row],[Proposed Demand Delivery Charge]]-Table128[[#This Row],[Current Demand Delivery Charge]]</f>
        <v>366586.25495999958</v>
      </c>
      <c r="T7" s="25">
        <f>Table128[[#This Row],[Proposed Volumetric Delivery Charge]]-Table128[[#This Row],[Current Volumetric Delivery Charge]]</f>
        <v>18040.41140848858</v>
      </c>
      <c r="U7" s="25">
        <f>Table128[[#This Row],[Proposed Gas Supply Commodity Charge]]-Table128[[#This Row],[Current Gas Supply Commodity Charge]]</f>
        <v>0</v>
      </c>
      <c r="V7" s="24">
        <f>Table128[[#This Row],[Proposed Total Bill ($)]]-Table128[[#This Row],[Current Total Bill ($)]]</f>
        <v>467321.06636848673</v>
      </c>
      <c r="W7" s="18">
        <f>Table128[[#This Row],[Total Bill Impact ($)]]/Table128[[#This Row],[Current Total Bill ($)]]</f>
        <v>2.092665601267656E-2</v>
      </c>
    </row>
    <row r="8" spans="1:23">
      <c r="A8" s="2" t="s">
        <v>27</v>
      </c>
      <c r="B8" s="2" t="s">
        <v>62</v>
      </c>
      <c r="C8" s="2" t="s">
        <v>96</v>
      </c>
      <c r="D8" s="2" t="s">
        <v>100</v>
      </c>
      <c r="E8" s="12">
        <v>3480000</v>
      </c>
      <c r="F8" s="12">
        <v>368000000.00999999</v>
      </c>
      <c r="G8" s="14">
        <f>IFERROR(Table128[[#This Row],[Volume]]/(Table128[[#This Row],[CD]]*366),0)</f>
        <v>0.28892657497173546</v>
      </c>
      <c r="H8" s="19">
        <f>12*VLOOKUP(Table128[[#This Row],[newrate]],rates,2,0)</f>
        <v>166541.76000000001</v>
      </c>
      <c r="I8" s="19">
        <f>Table128[[#This Row],[Volume]]*(VLOOKUP(Table128[[#This Row],[newrate]],rates,3,0))/100</f>
        <v>392288.00001065998</v>
      </c>
      <c r="J8" s="19">
        <f>12*Table128[[#This Row],[CD]]*VLOOKUP(Table128[[#This Row],[newrate]],rates,4,0)/100</f>
        <v>9279990.7200000007</v>
      </c>
      <c r="K8" s="19">
        <f>Table128[[#This Row],[Volume]]*VLOOKUP(Table128[[#This Row],[newrate]],rates,8,0)/100</f>
        <v>52998992.00144019</v>
      </c>
      <c r="L8" s="20">
        <f>Table128[[#This Row],[Proposed Customer Charge]]+Table128[[#This Row],[Proposed Volumetric Delivery Charge]]+Table128[[#This Row],[Proposed Demand Delivery Charge]]+Table128[[#This Row],[Proposed Gas Supply Commodity Charge]]</f>
        <v>62837812.481450848</v>
      </c>
      <c r="M8" s="21">
        <v>83847.360000000001</v>
      </c>
      <c r="N8" s="21">
        <v>8016204.7850400005</v>
      </c>
      <c r="O8" s="21">
        <v>341219.75847977627</v>
      </c>
      <c r="P8" s="21">
        <v>52998992.00144019</v>
      </c>
      <c r="Q8" s="22">
        <f>Table128[[#This Row],[Current Customer Charge]]+Table128[[#This Row],[Current Demand Delivery Charge]]+Table128[[#This Row],[Current Volumetric Delivery Charge]]+Table128[[#This Row],[Current Gas Supply Commodity Charge]]</f>
        <v>61440263.904959969</v>
      </c>
      <c r="R8" s="23">
        <f>Table128[[#This Row],[Proposed Customer Charge]]-Table128[[#This Row],[Current Customer Charge]]</f>
        <v>82694.400000000009</v>
      </c>
      <c r="S8" s="23">
        <f>Table128[[#This Row],[Proposed Demand Delivery Charge]]-Table128[[#This Row],[Current Demand Delivery Charge]]</f>
        <v>1263785.9349600002</v>
      </c>
      <c r="T8" s="25">
        <f>Table128[[#This Row],[Proposed Volumetric Delivery Charge]]-Table128[[#This Row],[Current Volumetric Delivery Charge]]</f>
        <v>51068.241530883708</v>
      </c>
      <c r="U8" s="25">
        <f>Table128[[#This Row],[Proposed Gas Supply Commodity Charge]]-Table128[[#This Row],[Current Gas Supply Commodity Charge]]</f>
        <v>0</v>
      </c>
      <c r="V8" s="24">
        <f>Table128[[#This Row],[Proposed Total Bill ($)]]-Table128[[#This Row],[Current Total Bill ($)]]</f>
        <v>1397548.5764908791</v>
      </c>
      <c r="W8" s="18">
        <f>Table128[[#This Row],[Total Bill Impact ($)]]/Table128[[#This Row],[Current Total Bill ($)]]</f>
        <v>2.2746461158641887E-2</v>
      </c>
    </row>
  </sheetData>
  <sheetProtection algorithmName="SHA-512" hashValue="F9bUxTYE4kkDUwMf7sOJlUWV8FNiuZ1aN2AJLMhxZSa/ssdl10mAvaijaI8LXjY+1/a4M+FrRJ9FCpGWz/8QNw==" saltValue="51w8TgBlkC94xaWfBUdXfA==" spinCount="100000" sheet="1" objects="1" scenarios="1"/>
  <phoneticPr fontId="2" type="noConversion"/>
  <pageMargins left="0.7" right="0.7" top="0.75" bottom="0.75" header="0.3" footer="0.3"/>
  <pageSetup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48D24-2967-4B10-8B00-15762D659F69}"/>
</file>

<file path=customXml/itemProps2.xml><?xml version="1.0" encoding="utf-8"?>
<ds:datastoreItem xmlns:ds="http://schemas.openxmlformats.org/officeDocument/2006/customXml" ds:itemID="{B1DC7999-375F-4525-BCB5-6B9FA97ECB86}"/>
</file>

<file path=customXml/itemProps3.xml><?xml version="1.0" encoding="utf-8"?>
<ds:datastoreItem xmlns:ds="http://schemas.openxmlformats.org/officeDocument/2006/customXml" ds:itemID="{5D882B86-226A-4710-A664-68137B06A890}"/>
</file>

<file path=customXml/itemProps4.xml><?xml version="1.0" encoding="utf-8"?>
<ds:datastoreItem xmlns:ds="http://schemas.openxmlformats.org/officeDocument/2006/customXml" ds:itemID="{B78ED9B9-28F6-4730-9BC7-8B5E0D30CB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Laura Sheehan</cp:lastModifiedBy>
  <cp:revision/>
  <dcterms:created xsi:type="dcterms:W3CDTF">2022-08-14T12:45:20Z</dcterms:created>
  <dcterms:modified xsi:type="dcterms:W3CDTF">2025-07-03T15:14:44Z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2022-08-14T12:45:20Z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307d7adb-0d9a-4b5c-8a1e-182198631963</vt:lpwstr>
  </property>
  <property fmtid="{D5CDD505-2E9C-101B-9397-08002B2CF9AE}" pid="8" name="MSIP_Label_b1a6f161-e42b-4c47-8f69-f6a81e023e2d_ContentBits">
    <vt:lpwstr>0</vt:lpwstr>
  </property>
  <property fmtid="{D5CDD505-2E9C-101B-9397-08002B2CF9AE}" pid="9" name="rates" linkTarget="prop_rates">
    <vt:lpwstr>E10</vt:lpwstr>
  </property>
  <property fmtid="{D5CDD505-2E9C-101B-9397-08002B2CF9AE}" pid="10" name="ContentTypeId">
    <vt:lpwstr>0x010100B03FF908193E414D9892E49E70D7829E</vt:lpwstr>
  </property>
  <property fmtid="{D5CDD505-2E9C-101B-9397-08002B2CF9AE}" pid="11" name="_dlc_DocIdItemGuid">
    <vt:lpwstr>8b8e98f9-c09d-4d49-b3f9-24d4a121f9a7</vt:lpwstr>
  </property>
</Properties>
</file>