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lsheehan_spectraenergy_com/Documents/Phase 3 IR - Live Excels/Live Excel/"/>
    </mc:Choice>
  </mc:AlternateContent>
  <xr:revisionPtr revIDLastSave="0" documentId="8_{3BE82E1A-6042-4DE0-BC96-F68F25B05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externalReferences>
    <externalReference r:id="rId8"/>
  </externalReference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K4170" i="5"/>
  <c r="J4170" i="5"/>
  <c r="I4170" i="5"/>
  <c r="H4170" i="5"/>
  <c r="L4169" i="5"/>
  <c r="K4169" i="5"/>
  <c r="J4169" i="5"/>
  <c r="I4169" i="5"/>
  <c r="H4169" i="5"/>
  <c r="L4168" i="5"/>
  <c r="K4168" i="5"/>
  <c r="J4168" i="5"/>
  <c r="I4168" i="5"/>
  <c r="H4168" i="5"/>
  <c r="L4167" i="5"/>
  <c r="K4167" i="5"/>
  <c r="J4167" i="5"/>
  <c r="I4167" i="5"/>
  <c r="H4167" i="5"/>
  <c r="L4166" i="5"/>
  <c r="K4166" i="5"/>
  <c r="J4166" i="5"/>
  <c r="I4166" i="5"/>
  <c r="H4166" i="5"/>
  <c r="L4165" i="5"/>
  <c r="K4165" i="5"/>
  <c r="J4165" i="5"/>
  <c r="I4165" i="5"/>
  <c r="H4165" i="5"/>
  <c r="L4164" i="5"/>
  <c r="K4164" i="5"/>
  <c r="J4164" i="5"/>
  <c r="I4164" i="5"/>
  <c r="H4164" i="5"/>
  <c r="L4163" i="5"/>
  <c r="K4163" i="5"/>
  <c r="J4163" i="5"/>
  <c r="I4163" i="5"/>
  <c r="H4163" i="5"/>
  <c r="L4162" i="5"/>
  <c r="K4162" i="5"/>
  <c r="J4162" i="5"/>
  <c r="I4162" i="5"/>
  <c r="H4162" i="5"/>
  <c r="L4161" i="5"/>
  <c r="K4161" i="5"/>
  <c r="J4161" i="5"/>
  <c r="I4161" i="5"/>
  <c r="H4161" i="5"/>
  <c r="L4160" i="5"/>
  <c r="K4160" i="5"/>
  <c r="J4160" i="5"/>
  <c r="I4160" i="5"/>
  <c r="H4160" i="5"/>
  <c r="L4159" i="5"/>
  <c r="K4159" i="5"/>
  <c r="J4159" i="5"/>
  <c r="I4159" i="5"/>
  <c r="H4159" i="5"/>
  <c r="L4158" i="5"/>
  <c r="K4158" i="5"/>
  <c r="J4158" i="5"/>
  <c r="I4158" i="5"/>
  <c r="H4158" i="5"/>
  <c r="L4157" i="5"/>
  <c r="K4157" i="5"/>
  <c r="J4157" i="5"/>
  <c r="I4157" i="5"/>
  <c r="H4157" i="5"/>
  <c r="L4156" i="5"/>
  <c r="K4156" i="5"/>
  <c r="J4156" i="5"/>
  <c r="I4156" i="5"/>
  <c r="H4156" i="5"/>
  <c r="L4155" i="5"/>
  <c r="K4155" i="5"/>
  <c r="J4155" i="5"/>
  <c r="I4155" i="5"/>
  <c r="H4155" i="5"/>
  <c r="L4154" i="5"/>
  <c r="K4154" i="5"/>
  <c r="J4154" i="5"/>
  <c r="I4154" i="5"/>
  <c r="H4154" i="5"/>
  <c r="L4153" i="5"/>
  <c r="K4153" i="5"/>
  <c r="J4153" i="5"/>
  <c r="I4153" i="5"/>
  <c r="H4153" i="5"/>
  <c r="L4152" i="5"/>
  <c r="K4152" i="5"/>
  <c r="J4152" i="5"/>
  <c r="I4152" i="5"/>
  <c r="H4152" i="5"/>
  <c r="L4151" i="5"/>
  <c r="K4151" i="5"/>
  <c r="J4151" i="5"/>
  <c r="I4151" i="5"/>
  <c r="H4151" i="5"/>
  <c r="L4150" i="5"/>
  <c r="K4150" i="5"/>
  <c r="J4150" i="5"/>
  <c r="I4150" i="5"/>
  <c r="H4150" i="5"/>
  <c r="L4149" i="5"/>
  <c r="K4149" i="5"/>
  <c r="J4149" i="5"/>
  <c r="I4149" i="5"/>
  <c r="H4149" i="5"/>
  <c r="L4148" i="5"/>
  <c r="K4148" i="5"/>
  <c r="J4148" i="5"/>
  <c r="I4148" i="5"/>
  <c r="H4148" i="5"/>
  <c r="L4147" i="5"/>
  <c r="K4147" i="5"/>
  <c r="J4147" i="5"/>
  <c r="I4147" i="5"/>
  <c r="H4147" i="5"/>
  <c r="L4146" i="5"/>
  <c r="K4146" i="5"/>
  <c r="J4146" i="5"/>
  <c r="I4146" i="5"/>
  <c r="H4146" i="5"/>
  <c r="L4145" i="5"/>
  <c r="K4145" i="5"/>
  <c r="J4145" i="5"/>
  <c r="I4145" i="5"/>
  <c r="H4145" i="5"/>
  <c r="L4144" i="5"/>
  <c r="K4144" i="5"/>
  <c r="J4144" i="5"/>
  <c r="I4144" i="5"/>
  <c r="H4144" i="5"/>
  <c r="L4143" i="5"/>
  <c r="K4143" i="5"/>
  <c r="J4143" i="5"/>
  <c r="I4143" i="5"/>
  <c r="H4143" i="5"/>
  <c r="L4142" i="5"/>
  <c r="K4142" i="5"/>
  <c r="J4142" i="5"/>
  <c r="I4142" i="5"/>
  <c r="H4142" i="5"/>
  <c r="L4141" i="5"/>
  <c r="K4141" i="5"/>
  <c r="J4141" i="5"/>
  <c r="I4141" i="5"/>
  <c r="H4141" i="5"/>
  <c r="L4140" i="5"/>
  <c r="K4140" i="5"/>
  <c r="J4140" i="5"/>
  <c r="I4140" i="5"/>
  <c r="H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K21" i="3" l="1"/>
  <c r="D25" i="3" s="1"/>
  <c r="C16" i="6" s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V92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07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T123" i="4" l="1"/>
  <c r="W123" i="4"/>
  <c r="T107" i="4"/>
  <c r="V107" i="4"/>
  <c r="U92" i="4"/>
  <c r="W92" i="4"/>
  <c r="G49" i="4"/>
  <c r="G35" i="4"/>
  <c r="I54" i="4"/>
  <c r="N54" i="4" s="1"/>
  <c r="I40" i="4"/>
  <c r="N40" i="4" s="1"/>
  <c r="H59" i="4"/>
  <c r="K58" i="4" s="1"/>
  <c r="H45" i="4"/>
  <c r="K44" i="4" s="1"/>
  <c r="G48" i="4"/>
  <c r="G34" i="4"/>
  <c r="I53" i="4"/>
  <c r="N53" i="4" s="1"/>
  <c r="I39" i="4"/>
  <c r="H58" i="4"/>
  <c r="K57" i="4" s="1"/>
  <c r="H44" i="4"/>
  <c r="K43" i="4" s="1"/>
  <c r="G47" i="4"/>
  <c r="G33" i="4"/>
  <c r="I52" i="4"/>
  <c r="N52" i="4" s="1"/>
  <c r="I38" i="4"/>
  <c r="N38" i="4" s="1"/>
  <c r="H57" i="4"/>
  <c r="K56" i="4" s="1"/>
  <c r="H43" i="4"/>
  <c r="K42" i="4" s="1"/>
  <c r="G38" i="4"/>
  <c r="G60" i="4"/>
  <c r="G46" i="4"/>
  <c r="G32" i="4"/>
  <c r="I51" i="4"/>
  <c r="I37" i="4"/>
  <c r="H56" i="4"/>
  <c r="K55" i="4" s="1"/>
  <c r="H42" i="4"/>
  <c r="K41" i="4" s="1"/>
  <c r="G59" i="4"/>
  <c r="G45" i="4"/>
  <c r="G31" i="4"/>
  <c r="I50" i="4"/>
  <c r="I36" i="4"/>
  <c r="N36" i="4" s="1"/>
  <c r="H55" i="4"/>
  <c r="K54" i="4" s="1"/>
  <c r="L54" i="4" s="1"/>
  <c r="M54" i="4" s="1"/>
  <c r="H41" i="4"/>
  <c r="K40" i="4" s="1"/>
  <c r="L40" i="4" s="1"/>
  <c r="M40" i="4" s="1"/>
  <c r="O40" i="4" s="1"/>
  <c r="G52" i="4"/>
  <c r="G58" i="4"/>
  <c r="G44" i="4"/>
  <c r="I49" i="4"/>
  <c r="N49" i="4" s="1"/>
  <c r="I35" i="4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L38" i="4" s="1"/>
  <c r="G51" i="4"/>
  <c r="G56" i="4"/>
  <c r="G42" i="4"/>
  <c r="I47" i="4"/>
  <c r="N47" i="4" s="1"/>
  <c r="I33" i="4"/>
  <c r="H52" i="4"/>
  <c r="K51" i="4" s="1"/>
  <c r="H38" i="4"/>
  <c r="K37" i="4" s="1"/>
  <c r="G55" i="4"/>
  <c r="G41" i="4"/>
  <c r="I60" i="4"/>
  <c r="N60" i="4" s="1"/>
  <c r="I46" i="4"/>
  <c r="I32" i="4"/>
  <c r="H51" i="4"/>
  <c r="K50" i="4" s="1"/>
  <c r="H37" i="4"/>
  <c r="K36" i="4" s="1"/>
  <c r="L36" i="4" s="1"/>
  <c r="G53" i="4"/>
  <c r="G39" i="4"/>
  <c r="I58" i="4"/>
  <c r="I44" i="4"/>
  <c r="H49" i="4"/>
  <c r="K48" i="4" s="1"/>
  <c r="H35" i="4"/>
  <c r="K34" i="4" s="1"/>
  <c r="I57" i="4"/>
  <c r="I43" i="4"/>
  <c r="N43" i="4" s="1"/>
  <c r="H48" i="4"/>
  <c r="K47" i="4" s="1"/>
  <c r="L47" i="4" s="1"/>
  <c r="M47" i="4" s="1"/>
  <c r="H34" i="4"/>
  <c r="K33" i="4" s="1"/>
  <c r="L33" i="4" s="1"/>
  <c r="M33" i="4" s="1"/>
  <c r="G37" i="4"/>
  <c r="I56" i="4"/>
  <c r="I42" i="4"/>
  <c r="H61" i="4"/>
  <c r="K60" i="4" s="1"/>
  <c r="H47" i="4"/>
  <c r="K46" i="4" s="1"/>
  <c r="H33" i="4"/>
  <c r="K32" i="4" s="1"/>
  <c r="G54" i="4"/>
  <c r="G40" i="4"/>
  <c r="I59" i="4"/>
  <c r="I45" i="4"/>
  <c r="N45" i="4" s="1"/>
  <c r="I31" i="4"/>
  <c r="H50" i="4"/>
  <c r="K49" i="4" s="1"/>
  <c r="H36" i="4"/>
  <c r="K35" i="4" s="1"/>
  <c r="G50" i="4"/>
  <c r="G36" i="4"/>
  <c r="I55" i="4"/>
  <c r="I41" i="4"/>
  <c r="H60" i="4"/>
  <c r="K59" i="4" s="1"/>
  <c r="H46" i="4"/>
  <c r="K45" i="4" s="1"/>
  <c r="H32" i="4"/>
  <c r="K31" i="4" s="1"/>
  <c r="U120" i="4"/>
  <c r="T120" i="4"/>
  <c r="P40" i="4"/>
  <c r="Q40" i="4" s="1"/>
  <c r="O52" i="4"/>
  <c r="O49" i="4"/>
  <c r="P43" i="4"/>
  <c r="Q43" i="4" s="1"/>
  <c r="O43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N29" i="4" s="1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L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W116" i="4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4" i="4" l="1"/>
  <c r="M4" i="4" s="1"/>
  <c r="L5" i="4"/>
  <c r="M5" i="4" s="1"/>
  <c r="L16" i="4"/>
  <c r="M16" i="4" s="1"/>
  <c r="L9" i="4"/>
  <c r="M9" i="4" s="1"/>
  <c r="N25" i="4"/>
  <c r="L19" i="4"/>
  <c r="M19" i="4" s="1"/>
  <c r="N32" i="4"/>
  <c r="N24" i="4"/>
  <c r="L13" i="4"/>
  <c r="M13" i="4" s="1"/>
  <c r="L6" i="4"/>
  <c r="M6" i="4" s="1"/>
  <c r="M36" i="4"/>
  <c r="P36" i="4" s="1"/>
  <c r="Q36" i="4" s="1"/>
  <c r="O54" i="4"/>
  <c r="L17" i="4"/>
  <c r="M17" i="4" s="1"/>
  <c r="P54" i="4"/>
  <c r="Q54" i="4" s="1"/>
  <c r="O47" i="4"/>
  <c r="N35" i="4"/>
  <c r="P47" i="4"/>
  <c r="Q47" i="4" s="1"/>
  <c r="N33" i="4"/>
  <c r="N27" i="4"/>
  <c r="M38" i="4"/>
  <c r="L35" i="4"/>
  <c r="M35" i="4" s="1"/>
  <c r="L49" i="4"/>
  <c r="M49" i="4" s="1"/>
  <c r="P49" i="4" s="1"/>
  <c r="Q49" i="4" s="1"/>
  <c r="L39" i="4"/>
  <c r="M39" i="4" s="1"/>
  <c r="L41" i="4"/>
  <c r="M41" i="4" s="1"/>
  <c r="O41" i="4" s="1"/>
  <c r="L43" i="4"/>
  <c r="M43" i="4" s="1"/>
  <c r="N31" i="4"/>
  <c r="N57" i="4"/>
  <c r="P57" i="4"/>
  <c r="Q57" i="4" s="1"/>
  <c r="O57" i="4"/>
  <c r="L37" i="4"/>
  <c r="M37" i="4"/>
  <c r="P37" i="4" s="1"/>
  <c r="Q37" i="4" s="1"/>
  <c r="L53" i="4"/>
  <c r="M53" i="4"/>
  <c r="O53" i="4" s="1"/>
  <c r="L55" i="4"/>
  <c r="M55" i="4" s="1"/>
  <c r="O55" i="4" s="1"/>
  <c r="L57" i="4"/>
  <c r="M57" i="4" s="1"/>
  <c r="L34" i="4"/>
  <c r="M34" i="4"/>
  <c r="P34" i="4" s="1"/>
  <c r="Q34" i="4" s="1"/>
  <c r="L51" i="4"/>
  <c r="M51" i="4"/>
  <c r="O51" i="4" s="1"/>
  <c r="N37" i="4"/>
  <c r="O37" i="4"/>
  <c r="N39" i="4"/>
  <c r="P60" i="4"/>
  <c r="Q60" i="4" s="1"/>
  <c r="N59" i="4"/>
  <c r="L48" i="4"/>
  <c r="M48" i="4" s="1"/>
  <c r="P51" i="4"/>
  <c r="Q51" i="4" s="1"/>
  <c r="N51" i="4"/>
  <c r="N44" i="4"/>
  <c r="P44" i="4"/>
  <c r="Q44" i="4" s="1"/>
  <c r="N58" i="4"/>
  <c r="P58" i="4"/>
  <c r="Q58" i="4" s="1"/>
  <c r="O58" i="4"/>
  <c r="L31" i="4"/>
  <c r="M31" i="4" s="1"/>
  <c r="O31" i="4" s="1"/>
  <c r="L32" i="4"/>
  <c r="M32" i="4" s="1"/>
  <c r="L44" i="4"/>
  <c r="M44" i="4"/>
  <c r="O44" i="4" s="1"/>
  <c r="P33" i="4"/>
  <c r="Q33" i="4" s="1"/>
  <c r="L45" i="4"/>
  <c r="M45" i="4"/>
  <c r="P45" i="4" s="1"/>
  <c r="Q45" i="4" s="1"/>
  <c r="L46" i="4"/>
  <c r="M46" i="4" s="1"/>
  <c r="L58" i="4"/>
  <c r="M58" i="4"/>
  <c r="O33" i="4"/>
  <c r="L59" i="4"/>
  <c r="M59" i="4" s="1"/>
  <c r="O59" i="4" s="1"/>
  <c r="L60" i="4"/>
  <c r="M60" i="4" s="1"/>
  <c r="O60" i="4" s="1"/>
  <c r="L42" i="4"/>
  <c r="M42" i="4"/>
  <c r="O45" i="4"/>
  <c r="N41" i="4"/>
  <c r="N42" i="4"/>
  <c r="P42" i="4"/>
  <c r="Q42" i="4" s="1"/>
  <c r="O42" i="4"/>
  <c r="L50" i="4"/>
  <c r="M50" i="4" s="1"/>
  <c r="O50" i="4" s="1"/>
  <c r="L52" i="4"/>
  <c r="M52" i="4"/>
  <c r="P52" i="4" s="1"/>
  <c r="Q52" i="4" s="1"/>
  <c r="L56" i="4"/>
  <c r="M56" i="4"/>
  <c r="N55" i="4"/>
  <c r="P55" i="4"/>
  <c r="Q55" i="4" s="1"/>
  <c r="N56" i="4"/>
  <c r="P56" i="4"/>
  <c r="Q56" i="4" s="1"/>
  <c r="O56" i="4"/>
  <c r="O34" i="4"/>
  <c r="N34" i="4"/>
  <c r="N50" i="4"/>
  <c r="P53" i="4"/>
  <c r="Q53" i="4" s="1"/>
  <c r="N46" i="4"/>
  <c r="N48" i="4"/>
  <c r="O36" i="4"/>
  <c r="P38" i="4"/>
  <c r="Q38" i="4" s="1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B6" i="6"/>
  <c r="M12" i="4"/>
  <c r="N4" i="4"/>
  <c r="M7" i="4"/>
  <c r="M18" i="4"/>
  <c r="N6" i="4"/>
  <c r="N7" i="4"/>
  <c r="N12" i="4"/>
  <c r="M11" i="4"/>
  <c r="N18" i="4"/>
  <c r="N15" i="4"/>
  <c r="N16" i="4"/>
  <c r="N11" i="4"/>
  <c r="M15" i="4"/>
  <c r="N9" i="4"/>
  <c r="N10" i="4"/>
  <c r="M8" i="4"/>
  <c r="M10" i="4"/>
  <c r="N8" i="4"/>
  <c r="M3" i="4"/>
  <c r="N3" i="4"/>
  <c r="M14" i="4"/>
  <c r="M20" i="4"/>
  <c r="N14" i="4"/>
  <c r="N19" i="4"/>
  <c r="P32" i="4" l="1"/>
  <c r="Q32" i="4" s="1"/>
  <c r="O32" i="4"/>
  <c r="O35" i="4"/>
  <c r="P35" i="4"/>
  <c r="Q35" i="4" s="1"/>
  <c r="P31" i="4"/>
  <c r="Q31" i="4" s="1"/>
  <c r="O39" i="4"/>
  <c r="P39" i="4"/>
  <c r="Q39" i="4" s="1"/>
  <c r="P50" i="4"/>
  <c r="Q50" i="4" s="1"/>
  <c r="O46" i="4"/>
  <c r="P46" i="4"/>
  <c r="Q46" i="4" s="1"/>
  <c r="P48" i="4"/>
  <c r="Q48" i="4" s="1"/>
  <c r="O48" i="4"/>
  <c r="P41" i="4"/>
  <c r="Q41" i="4" s="1"/>
  <c r="P59" i="4"/>
  <c r="Q59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R28" i="4" l="1"/>
  <c r="J29" i="4"/>
  <c r="V27" i="4"/>
  <c r="U27" i="4"/>
  <c r="T27" i="4"/>
  <c r="W27" i="4"/>
  <c r="R29" i="4" l="1"/>
  <c r="J30" i="4"/>
  <c r="V28" i="4"/>
  <c r="T28" i="4"/>
  <c r="U28" i="4"/>
  <c r="W28" i="4"/>
  <c r="R30" i="4" l="1"/>
  <c r="J31" i="4"/>
  <c r="W30" i="4"/>
  <c r="T30" i="4"/>
  <c r="V30" i="4"/>
  <c r="U30" i="4"/>
  <c r="W29" i="4"/>
  <c r="U29" i="4"/>
  <c r="V29" i="4"/>
  <c r="T29" i="4"/>
  <c r="R31" i="4" l="1"/>
  <c r="J32" i="4"/>
  <c r="R32" i="4" l="1"/>
  <c r="J33" i="4"/>
  <c r="V31" i="4"/>
  <c r="W31" i="4"/>
  <c r="U31" i="4"/>
  <c r="T31" i="4"/>
  <c r="Z47" i="4" l="1"/>
  <c r="Z35" i="4"/>
  <c r="Z60" i="4"/>
  <c r="Z58" i="4"/>
  <c r="Z48" i="4"/>
  <c r="Z46" i="4"/>
  <c r="Z34" i="4"/>
  <c r="Z59" i="4"/>
  <c r="AA35" i="4"/>
  <c r="AA47" i="4"/>
  <c r="AA60" i="4"/>
  <c r="AA34" i="4"/>
  <c r="AA48" i="4"/>
  <c r="AA59" i="4"/>
  <c r="AA46" i="4"/>
  <c r="AA58" i="4"/>
  <c r="Y35" i="4"/>
  <c r="Y47" i="4"/>
  <c r="Y60" i="4"/>
  <c r="Y59" i="4"/>
  <c r="Y34" i="4"/>
  <c r="Y58" i="4"/>
  <c r="Y48" i="4"/>
  <c r="Y46" i="4"/>
  <c r="R33" i="4"/>
  <c r="J34" i="4"/>
  <c r="T32" i="4"/>
  <c r="W32" i="4"/>
  <c r="V32" i="4"/>
  <c r="U32" i="4"/>
  <c r="Y42" i="4"/>
  <c r="Y55" i="4"/>
  <c r="Y41" i="4"/>
  <c r="Y43" i="4"/>
  <c r="Y32" i="4"/>
  <c r="Y56" i="4"/>
  <c r="Y40" i="4"/>
  <c r="Y39" i="4"/>
  <c r="Y54" i="4"/>
  <c r="Y44" i="4"/>
  <c r="Y31" i="4"/>
  <c r="Y45" i="4"/>
  <c r="Y37" i="4"/>
  <c r="Y36" i="4"/>
  <c r="Y57" i="4"/>
  <c r="Y33" i="4"/>
  <c r="Y52" i="4"/>
  <c r="Y51" i="4"/>
  <c r="Y50" i="4"/>
  <c r="Y49" i="4"/>
  <c r="Y53" i="4"/>
  <c r="Y38" i="4"/>
  <c r="Y30" i="4"/>
  <c r="Z51" i="4"/>
  <c r="Z37" i="4"/>
  <c r="Z40" i="4"/>
  <c r="Z32" i="4"/>
  <c r="Z55" i="4"/>
  <c r="Z56" i="4"/>
  <c r="Z54" i="4"/>
  <c r="Z41" i="4"/>
  <c r="Z39" i="4"/>
  <c r="Z42" i="4"/>
  <c r="Z44" i="4"/>
  <c r="Z31" i="4"/>
  <c r="Z36" i="4"/>
  <c r="Z52" i="4"/>
  <c r="Z33" i="4"/>
  <c r="Z45" i="4"/>
  <c r="Z53" i="4"/>
  <c r="Z38" i="4"/>
  <c r="Z49" i="4"/>
  <c r="Z57" i="4"/>
  <c r="Z50" i="4"/>
  <c r="Z43" i="4"/>
  <c r="Z30" i="4"/>
  <c r="AA42" i="4"/>
  <c r="AA56" i="4"/>
  <c r="AA55" i="4"/>
  <c r="AA51" i="4"/>
  <c r="AA43" i="4"/>
  <c r="AA40" i="4"/>
  <c r="AA32" i="4"/>
  <c r="AA54" i="4"/>
  <c r="AA41" i="4"/>
  <c r="AA53" i="4"/>
  <c r="AA44" i="4"/>
  <c r="AA31" i="4"/>
  <c r="AA52" i="4"/>
  <c r="AA57" i="4"/>
  <c r="AA36" i="4"/>
  <c r="AA45" i="4"/>
  <c r="AA50" i="4"/>
  <c r="AA38" i="4"/>
  <c r="AA33" i="4"/>
  <c r="AA49" i="4"/>
  <c r="AA37" i="4"/>
  <c r="AA39" i="4"/>
  <c r="AA30" i="4"/>
  <c r="R34" i="4" l="1"/>
  <c r="J35" i="4"/>
  <c r="U33" i="4"/>
  <c r="V33" i="4"/>
  <c r="T33" i="4"/>
  <c r="W33" i="4"/>
  <c r="AE34" i="4" l="1"/>
  <c r="AI34" i="4" s="1"/>
  <c r="AE46" i="4"/>
  <c r="AI46" i="4" s="1"/>
  <c r="AD31" i="4"/>
  <c r="AH31" i="4" s="1"/>
  <c r="AC46" i="4"/>
  <c r="AG46" i="4" s="1"/>
  <c r="AE35" i="4"/>
  <c r="AI35" i="4" s="1"/>
  <c r="AD58" i="4"/>
  <c r="AH58" i="4" s="1"/>
  <c r="AE58" i="4"/>
  <c r="AI58" i="4" s="1"/>
  <c r="AD47" i="4"/>
  <c r="AH47" i="4" s="1"/>
  <c r="AC35" i="4"/>
  <c r="AG35" i="4" s="1"/>
  <c r="AD48" i="4"/>
  <c r="AH48" i="4" s="1"/>
  <c r="AD55" i="4"/>
  <c r="AH55" i="4" s="1"/>
  <c r="AD46" i="4"/>
  <c r="AH46" i="4" s="1"/>
  <c r="AE59" i="4"/>
  <c r="AI59" i="4" s="1"/>
  <c r="AE48" i="4"/>
  <c r="AI48" i="4" s="1"/>
  <c r="AE47" i="4"/>
  <c r="AI47" i="4" s="1"/>
  <c r="AD60" i="4"/>
  <c r="AH60" i="4" s="1"/>
  <c r="AC58" i="4"/>
  <c r="AG58" i="4" s="1"/>
  <c r="AE60" i="4"/>
  <c r="AI60" i="4" s="1"/>
  <c r="AD34" i="4"/>
  <c r="AH34" i="4" s="1"/>
  <c r="AC59" i="4"/>
  <c r="AG59" i="4" s="1"/>
  <c r="AD35" i="4"/>
  <c r="AH35" i="4" s="1"/>
  <c r="AC34" i="4"/>
  <c r="AG34" i="4" s="1"/>
  <c r="AC48" i="4"/>
  <c r="AG48" i="4" s="1"/>
  <c r="AC47" i="4"/>
  <c r="AG47" i="4" s="1"/>
  <c r="AE31" i="4"/>
  <c r="AI31" i="4" s="1"/>
  <c r="AC60" i="4"/>
  <c r="AG60" i="4" s="1"/>
  <c r="AD59" i="4"/>
  <c r="AH59" i="4" s="1"/>
  <c r="R35" i="4"/>
  <c r="J36" i="4"/>
  <c r="U34" i="4"/>
  <c r="W34" i="4"/>
  <c r="V34" i="4"/>
  <c r="T34" i="4"/>
  <c r="AC42" i="4"/>
  <c r="AG42" i="4" s="1"/>
  <c r="AD39" i="4"/>
  <c r="AH39" i="4" s="1"/>
  <c r="AC52" i="4"/>
  <c r="AG52" i="4" s="1"/>
  <c r="AD54" i="4"/>
  <c r="AH54" i="4" s="1"/>
  <c r="AE40" i="4"/>
  <c r="AI40" i="4" s="1"/>
  <c r="AD36" i="4"/>
  <c r="AH36" i="4" s="1"/>
  <c r="AC40" i="4"/>
  <c r="AG40" i="4" s="1"/>
  <c r="AC57" i="4"/>
  <c r="AG57" i="4" s="1"/>
  <c r="AC41" i="4"/>
  <c r="AG41" i="4" s="1"/>
  <c r="AD44" i="4"/>
  <c r="AH44" i="4" s="1"/>
  <c r="AC44" i="4"/>
  <c r="AG44" i="4" s="1"/>
  <c r="AD41" i="4"/>
  <c r="AH41" i="4" s="1"/>
  <c r="AE52" i="4"/>
  <c r="AI52" i="4" s="1"/>
  <c r="AD45" i="4"/>
  <c r="AH45" i="4" s="1"/>
  <c r="AC45" i="4"/>
  <c r="AG45" i="4" s="1"/>
  <c r="AC43" i="4"/>
  <c r="AG43" i="4" s="1"/>
  <c r="AE55" i="4"/>
  <c r="AI55" i="4" s="1"/>
  <c r="AE43" i="4"/>
  <c r="AI43" i="4" s="1"/>
  <c r="AD32" i="4"/>
  <c r="AH32" i="4" s="1"/>
  <c r="AE36" i="4"/>
  <c r="AI36" i="4" s="1"/>
  <c r="AD43" i="4"/>
  <c r="AH43" i="4" s="1"/>
  <c r="AC56" i="4"/>
  <c r="AG56" i="4" s="1"/>
  <c r="AE51" i="4"/>
  <c r="AI51" i="4" s="1"/>
  <c r="AE32" i="4"/>
  <c r="AI32" i="4" s="1"/>
  <c r="AE50" i="4"/>
  <c r="AI50" i="4" s="1"/>
  <c r="AC30" i="4"/>
  <c r="AG30" i="4" s="1"/>
  <c r="AE49" i="4"/>
  <c r="AI49" i="4" s="1"/>
  <c r="AD30" i="4"/>
  <c r="AH30" i="4" s="1"/>
  <c r="AE37" i="4"/>
  <c r="AI37" i="4" s="1"/>
  <c r="AE38" i="4"/>
  <c r="AI38" i="4" s="1"/>
  <c r="AD56" i="4"/>
  <c r="AH56" i="4" s="1"/>
  <c r="AE56" i="4"/>
  <c r="AI56" i="4" s="1"/>
  <c r="AD51" i="4"/>
  <c r="AH51" i="4" s="1"/>
  <c r="AD33" i="4"/>
  <c r="AH33" i="4" s="1"/>
  <c r="AE42" i="4"/>
  <c r="AI42" i="4" s="1"/>
  <c r="AC51" i="4"/>
  <c r="AG51" i="4" s="1"/>
  <c r="AC49" i="4"/>
  <c r="AG49" i="4" s="1"/>
  <c r="AE54" i="4"/>
  <c r="AI54" i="4" s="1"/>
  <c r="AE44" i="4"/>
  <c r="AI44" i="4" s="1"/>
  <c r="AC39" i="4"/>
  <c r="AG39" i="4" s="1"/>
  <c r="AD57" i="4"/>
  <c r="AH57" i="4" s="1"/>
  <c r="AC55" i="4"/>
  <c r="AG55" i="4" s="1"/>
  <c r="AC53" i="4"/>
  <c r="AG53" i="4" s="1"/>
  <c r="AD53" i="4"/>
  <c r="AH53" i="4" s="1"/>
  <c r="AD40" i="4"/>
  <c r="AH40" i="4" s="1"/>
  <c r="AE39" i="4"/>
  <c r="AI39" i="4" s="1"/>
  <c r="AC38" i="4"/>
  <c r="AG38" i="4" s="1"/>
  <c r="AC54" i="4"/>
  <c r="AG54" i="4" s="1"/>
  <c r="AD52" i="4"/>
  <c r="AH52" i="4" s="1"/>
  <c r="AE33" i="4"/>
  <c r="AI33" i="4" s="1"/>
  <c r="AC32" i="4"/>
  <c r="AG32" i="4" s="1"/>
  <c r="AE45" i="4"/>
  <c r="AI45" i="4" s="1"/>
  <c r="AC37" i="4"/>
  <c r="AG37" i="4" s="1"/>
  <c r="AC31" i="4"/>
  <c r="AG31" i="4" s="1"/>
  <c r="AD42" i="4"/>
  <c r="AH42" i="4" s="1"/>
  <c r="AE57" i="4"/>
  <c r="AI57" i="4" s="1"/>
  <c r="AC36" i="4"/>
  <c r="AG36" i="4" s="1"/>
  <c r="AE30" i="4"/>
  <c r="AI30" i="4" s="1"/>
  <c r="AD37" i="4"/>
  <c r="AH37" i="4" s="1"/>
  <c r="AE53" i="4"/>
  <c r="AI53" i="4" s="1"/>
  <c r="AC33" i="4"/>
  <c r="AG33" i="4" s="1"/>
  <c r="AD38" i="4"/>
  <c r="AH38" i="4" s="1"/>
  <c r="AD50" i="4"/>
  <c r="AH50" i="4" s="1"/>
  <c r="AE41" i="4"/>
  <c r="AI41" i="4" s="1"/>
  <c r="AC50" i="4"/>
  <c r="AG50" i="4" s="1"/>
  <c r="AD49" i="4"/>
  <c r="AH49" i="4" s="1"/>
  <c r="R36" i="4" l="1"/>
  <c r="J37" i="4"/>
  <c r="T35" i="4"/>
  <c r="U35" i="4"/>
  <c r="V35" i="4"/>
  <c r="W35" i="4"/>
  <c r="R37" i="4" l="1"/>
  <c r="J38" i="4"/>
  <c r="W36" i="4"/>
  <c r="T36" i="4"/>
  <c r="U36" i="4"/>
  <c r="V36" i="4"/>
  <c r="R38" i="4" l="1"/>
  <c r="J39" i="4"/>
  <c r="V37" i="4"/>
  <c r="U37" i="4"/>
  <c r="T37" i="4"/>
  <c r="W37" i="4"/>
  <c r="R39" i="4" l="1"/>
  <c r="J40" i="4"/>
  <c r="W38" i="4"/>
  <c r="T38" i="4"/>
  <c r="U38" i="4"/>
  <c r="V38" i="4"/>
  <c r="R40" i="4" l="1"/>
  <c r="J41" i="4"/>
  <c r="U39" i="4"/>
  <c r="W39" i="4"/>
  <c r="V39" i="4"/>
  <c r="T39" i="4"/>
  <c r="R41" i="4" l="1"/>
  <c r="J42" i="4"/>
  <c r="W40" i="4"/>
  <c r="T40" i="4"/>
  <c r="V40" i="4"/>
  <c r="U40" i="4"/>
  <c r="R42" i="4" l="1"/>
  <c r="J43" i="4"/>
  <c r="V41" i="4"/>
  <c r="T41" i="4"/>
  <c r="U41" i="4"/>
  <c r="W41" i="4"/>
  <c r="R43" i="4" l="1"/>
  <c r="J44" i="4"/>
  <c r="W42" i="4"/>
  <c r="U42" i="4"/>
  <c r="V42" i="4"/>
  <c r="T42" i="4"/>
  <c r="R44" i="4" l="1"/>
  <c r="J45" i="4"/>
  <c r="W43" i="4"/>
  <c r="U43" i="4"/>
  <c r="V43" i="4"/>
  <c r="T43" i="4"/>
  <c r="R45" i="4" l="1"/>
  <c r="J46" i="4"/>
  <c r="U44" i="4"/>
  <c r="V44" i="4"/>
  <c r="W44" i="4"/>
  <c r="T44" i="4"/>
  <c r="R46" i="4" l="1"/>
  <c r="J47" i="4"/>
  <c r="U45" i="4"/>
  <c r="W45" i="4"/>
  <c r="T45" i="4"/>
  <c r="V45" i="4"/>
  <c r="R47" i="4" l="1"/>
  <c r="J48" i="4"/>
  <c r="W46" i="4"/>
  <c r="T46" i="4"/>
  <c r="U46" i="4"/>
  <c r="V46" i="4"/>
  <c r="R48" i="4" l="1"/>
  <c r="J49" i="4"/>
  <c r="W47" i="4"/>
  <c r="T47" i="4"/>
  <c r="V47" i="4"/>
  <c r="U47" i="4"/>
  <c r="R49" i="4" l="1"/>
  <c r="J50" i="4"/>
  <c r="T48" i="4"/>
  <c r="V48" i="4"/>
  <c r="U48" i="4"/>
  <c r="W48" i="4"/>
  <c r="R50" i="4" l="1"/>
  <c r="J51" i="4"/>
  <c r="V49" i="4"/>
  <c r="U49" i="4"/>
  <c r="W49" i="4"/>
  <c r="T49" i="4"/>
  <c r="R51" i="4" l="1"/>
  <c r="J52" i="4"/>
  <c r="W50" i="4"/>
  <c r="T50" i="4"/>
  <c r="U50" i="4"/>
  <c r="V50" i="4"/>
  <c r="R52" i="4" l="1"/>
  <c r="J53" i="4"/>
  <c r="V51" i="4"/>
  <c r="W51" i="4"/>
  <c r="T51" i="4"/>
  <c r="U51" i="4"/>
  <c r="R53" i="4" l="1"/>
  <c r="J54" i="4"/>
  <c r="V52" i="4"/>
  <c r="T52" i="4"/>
  <c r="W52" i="4"/>
  <c r="U52" i="4"/>
  <c r="R54" i="4" l="1"/>
  <c r="J55" i="4"/>
  <c r="T53" i="4"/>
  <c r="W53" i="4"/>
  <c r="V53" i="4"/>
  <c r="U53" i="4"/>
  <c r="J56" i="4" l="1"/>
  <c r="R55" i="4"/>
  <c r="U54" i="4"/>
  <c r="W54" i="4"/>
  <c r="T54" i="4"/>
  <c r="V54" i="4"/>
  <c r="U55" i="4" l="1"/>
  <c r="T55" i="4"/>
  <c r="V55" i="4"/>
  <c r="W55" i="4"/>
  <c r="R56" i="4"/>
  <c r="J57" i="4"/>
  <c r="R57" i="4" l="1"/>
  <c r="J58" i="4"/>
  <c r="U56" i="4"/>
  <c r="T56" i="4"/>
  <c r="W56" i="4"/>
  <c r="V56" i="4"/>
  <c r="J59" i="4" l="1"/>
  <c r="R58" i="4"/>
  <c r="U57" i="4"/>
  <c r="T57" i="4"/>
  <c r="W57" i="4"/>
  <c r="V57" i="4"/>
  <c r="T58" i="4" l="1"/>
  <c r="U58" i="4"/>
  <c r="W58" i="4"/>
  <c r="V58" i="4"/>
  <c r="R59" i="4"/>
  <c r="J60" i="4"/>
  <c r="R60" i="4" s="1"/>
  <c r="V60" i="4" l="1"/>
  <c r="U60" i="4"/>
  <c r="T60" i="4"/>
  <c r="W60" i="4"/>
  <c r="U59" i="4"/>
  <c r="W59" i="4"/>
  <c r="T59" i="4"/>
  <c r="V59" i="4"/>
  <c r="L8" i="3" l="1"/>
  <c r="L7" i="3"/>
  <c r="L6" i="3"/>
  <c r="L3" i="3"/>
  <c r="N8" i="3"/>
  <c r="N6" i="3"/>
  <c r="N3" i="3"/>
  <c r="N5" i="3" s="1"/>
  <c r="N10" i="3" s="1"/>
  <c r="N7" i="3"/>
  <c r="K3" i="3"/>
  <c r="K5" i="3" s="1"/>
  <c r="K10" i="3" s="1"/>
  <c r="K8" i="3"/>
  <c r="K7" i="3"/>
  <c r="K6" i="3"/>
  <c r="M8" i="3"/>
  <c r="M3" i="3"/>
  <c r="M5" i="3" s="1"/>
  <c r="M10" i="3" s="1"/>
  <c r="M7" i="3"/>
  <c r="M6" i="3"/>
  <c r="K4" i="3" l="1"/>
  <c r="K9" i="3" s="1"/>
  <c r="X94" i="4"/>
  <c r="AB94" i="4" s="1"/>
  <c r="AF94" i="4" s="1"/>
  <c r="X76" i="4"/>
  <c r="AB76" i="4" s="1"/>
  <c r="AF76" i="4" s="1"/>
  <c r="X122" i="4"/>
  <c r="AB122" i="4" s="1"/>
  <c r="AF122" i="4" s="1"/>
  <c r="X78" i="4"/>
  <c r="AB78" i="4" s="1"/>
  <c r="AF78" i="4" s="1"/>
  <c r="X67" i="4"/>
  <c r="AB67" i="4" s="1"/>
  <c r="AF67" i="4" s="1"/>
  <c r="X116" i="4"/>
  <c r="AB116" i="4" s="1"/>
  <c r="AF116" i="4" s="1"/>
  <c r="X119" i="4"/>
  <c r="AB119" i="4" s="1"/>
  <c r="AF119" i="4" s="1"/>
  <c r="X63" i="4"/>
  <c r="AB63" i="4" s="1"/>
  <c r="AF63" i="4" s="1"/>
  <c r="X75" i="4"/>
  <c r="AB75" i="4" s="1"/>
  <c r="AF75" i="4" s="1"/>
  <c r="X128" i="4"/>
  <c r="AB128" i="4" s="1"/>
  <c r="AF128" i="4" s="1"/>
  <c r="X117" i="4"/>
  <c r="AB117" i="4" s="1"/>
  <c r="AF117" i="4" s="1"/>
  <c r="X113" i="4"/>
  <c r="AB113" i="4" s="1"/>
  <c r="AF113" i="4" s="1"/>
  <c r="X93" i="4"/>
  <c r="AB93" i="4" s="1"/>
  <c r="AF93" i="4" s="1"/>
  <c r="X129" i="4"/>
  <c r="AB129" i="4" s="1"/>
  <c r="AF129" i="4" s="1"/>
  <c r="X114" i="4"/>
  <c r="AB114" i="4" s="1"/>
  <c r="AF114" i="4" s="1"/>
  <c r="X70" i="4"/>
  <c r="AB70" i="4" s="1"/>
  <c r="AF70" i="4" s="1"/>
  <c r="X66" i="4"/>
  <c r="AB66" i="4" s="1"/>
  <c r="AF66" i="4" s="1"/>
  <c r="X92" i="4"/>
  <c r="AB92" i="4" s="1"/>
  <c r="AF92" i="4" s="1"/>
  <c r="X88" i="4"/>
  <c r="AB88" i="4" s="1"/>
  <c r="AF88" i="4" s="1"/>
  <c r="X133" i="4"/>
  <c r="AB133" i="4" s="1"/>
  <c r="AF133" i="4" s="1"/>
  <c r="X62" i="4"/>
  <c r="AB62" i="4" s="1"/>
  <c r="AF62" i="4" s="1"/>
  <c r="X64" i="4"/>
  <c r="AB64" i="4" s="1"/>
  <c r="AF64" i="4" s="1"/>
  <c r="X127" i="4"/>
  <c r="AB127" i="4" s="1"/>
  <c r="AF127" i="4" s="1"/>
  <c r="X84" i="4"/>
  <c r="AB84" i="4" s="1"/>
  <c r="AF84" i="4" s="1"/>
  <c r="X79" i="4"/>
  <c r="AB79" i="4" s="1"/>
  <c r="AF79" i="4" s="1"/>
  <c r="X125" i="4"/>
  <c r="AB125" i="4" s="1"/>
  <c r="AF125" i="4" s="1"/>
  <c r="X110" i="4"/>
  <c r="AB110" i="4" s="1"/>
  <c r="AF110" i="4" s="1"/>
  <c r="X100" i="4"/>
  <c r="AB100" i="4" s="1"/>
  <c r="AF100" i="4" s="1"/>
  <c r="X73" i="4"/>
  <c r="AB73" i="4" s="1"/>
  <c r="AF73" i="4" s="1"/>
  <c r="X65" i="4"/>
  <c r="AB65" i="4" s="1"/>
  <c r="AF65" i="4" s="1"/>
  <c r="X111" i="4"/>
  <c r="AB111" i="4" s="1"/>
  <c r="AF111" i="4" s="1"/>
  <c r="X72" i="4"/>
  <c r="AB72" i="4" s="1"/>
  <c r="AF72" i="4" s="1"/>
  <c r="X95" i="4"/>
  <c r="AB95" i="4" s="1"/>
  <c r="AF95" i="4" s="1"/>
  <c r="X87" i="4"/>
  <c r="AB87" i="4" s="1"/>
  <c r="AF87" i="4" s="1"/>
  <c r="X98" i="4"/>
  <c r="AB98" i="4" s="1"/>
  <c r="AF98" i="4" s="1"/>
  <c r="X90" i="4"/>
  <c r="AB90" i="4" s="1"/>
  <c r="AF90" i="4" s="1"/>
  <c r="X85" i="4"/>
  <c r="AB85" i="4" s="1"/>
  <c r="AF85" i="4" s="1"/>
  <c r="X97" i="4"/>
  <c r="AB97" i="4" s="1"/>
  <c r="AF97" i="4" s="1"/>
  <c r="X112" i="4"/>
  <c r="AB112" i="4" s="1"/>
  <c r="AF112" i="4" s="1"/>
  <c r="X124" i="4"/>
  <c r="AB124" i="4" s="1"/>
  <c r="AF124" i="4" s="1"/>
  <c r="X132" i="4"/>
  <c r="AB132" i="4" s="1"/>
  <c r="AF132" i="4" s="1"/>
  <c r="X86" i="4"/>
  <c r="AB86" i="4" s="1"/>
  <c r="AF86" i="4" s="1"/>
  <c r="X99" i="4"/>
  <c r="AB99" i="4" s="1"/>
  <c r="AF99" i="4" s="1"/>
  <c r="X77" i="4"/>
  <c r="AB77" i="4" s="1"/>
  <c r="AF77" i="4" s="1"/>
  <c r="X82" i="4"/>
  <c r="AB82" i="4" s="1"/>
  <c r="AF82" i="4" s="1"/>
  <c r="X81" i="4"/>
  <c r="AB81" i="4" s="1"/>
  <c r="AF81" i="4" s="1"/>
  <c r="X69" i="4"/>
  <c r="AB69" i="4" s="1"/>
  <c r="AF69" i="4" s="1"/>
  <c r="X120" i="4"/>
  <c r="AB120" i="4" s="1"/>
  <c r="AF120" i="4" s="1"/>
  <c r="X80" i="4"/>
  <c r="AB80" i="4" s="1"/>
  <c r="AF80" i="4" s="1"/>
  <c r="X68" i="4"/>
  <c r="AB68" i="4" s="1"/>
  <c r="AF68" i="4" s="1"/>
  <c r="X104" i="4"/>
  <c r="AB104" i="4" s="1"/>
  <c r="AF104" i="4" s="1"/>
  <c r="X103" i="4"/>
  <c r="AB103" i="4" s="1"/>
  <c r="AF103" i="4" s="1"/>
  <c r="X71" i="4"/>
  <c r="AB71" i="4" s="1"/>
  <c r="AF71" i="4" s="1"/>
  <c r="X130" i="4"/>
  <c r="AB130" i="4" s="1"/>
  <c r="AF130" i="4" s="1"/>
  <c r="X115" i="4"/>
  <c r="AB115" i="4" s="1"/>
  <c r="AF115" i="4" s="1"/>
  <c r="X105" i="4"/>
  <c r="AB105" i="4" s="1"/>
  <c r="AF105" i="4" s="1"/>
  <c r="X96" i="4"/>
  <c r="AB96" i="4" s="1"/>
  <c r="AF96" i="4" s="1"/>
  <c r="X83" i="4"/>
  <c r="AB83" i="4" s="1"/>
  <c r="AF83" i="4" s="1"/>
  <c r="X101" i="4"/>
  <c r="AB101" i="4" s="1"/>
  <c r="AF101" i="4" s="1"/>
  <c r="X61" i="4"/>
  <c r="AB61" i="4" s="1"/>
  <c r="AF61" i="4" s="1"/>
  <c r="X74" i="4"/>
  <c r="AB74" i="4" s="1"/>
  <c r="AF74" i="4" s="1"/>
  <c r="X123" i="4"/>
  <c r="AB123" i="4" s="1"/>
  <c r="AF123" i="4" s="1"/>
  <c r="X89" i="4"/>
  <c r="AB89" i="4" s="1"/>
  <c r="AF89" i="4" s="1"/>
  <c r="X107" i="4"/>
  <c r="AB107" i="4" s="1"/>
  <c r="AF107" i="4" s="1"/>
  <c r="X91" i="4"/>
  <c r="AB91" i="4" s="1"/>
  <c r="AF91" i="4" s="1"/>
  <c r="X131" i="4"/>
  <c r="AB131" i="4" s="1"/>
  <c r="AF131" i="4" s="1"/>
  <c r="X118" i="4"/>
  <c r="AB118" i="4" s="1"/>
  <c r="AF118" i="4" s="1"/>
  <c r="X102" i="4"/>
  <c r="AB102" i="4" s="1"/>
  <c r="AF102" i="4" s="1"/>
  <c r="X121" i="4"/>
  <c r="AB121" i="4" s="1"/>
  <c r="AF121" i="4" s="1"/>
  <c r="X109" i="4"/>
  <c r="AB109" i="4" s="1"/>
  <c r="AF109" i="4" s="1"/>
  <c r="X126" i="4"/>
  <c r="AB126" i="4" s="1"/>
  <c r="AF126" i="4" s="1"/>
  <c r="X108" i="4"/>
  <c r="AB108" i="4" s="1"/>
  <c r="AF108" i="4" s="1"/>
  <c r="X106" i="4"/>
  <c r="AB106" i="4" s="1"/>
  <c r="AF106" i="4" s="1"/>
  <c r="K14" i="3"/>
  <c r="X57" i="4"/>
  <c r="AB57" i="4" s="1"/>
  <c r="AF57" i="4" s="1"/>
  <c r="X24" i="4"/>
  <c r="AB24" i="4" s="1"/>
  <c r="AF24" i="4" s="1"/>
  <c r="X31" i="4"/>
  <c r="AB31" i="4" s="1"/>
  <c r="AF31" i="4" s="1"/>
  <c r="X53" i="4"/>
  <c r="AB53" i="4" s="1"/>
  <c r="AF53" i="4" s="1"/>
  <c r="X32" i="4"/>
  <c r="AB32" i="4" s="1"/>
  <c r="AF32" i="4" s="1"/>
  <c r="X33" i="4"/>
  <c r="AB33" i="4" s="1"/>
  <c r="AF33" i="4" s="1"/>
  <c r="X42" i="4"/>
  <c r="AB42" i="4" s="1"/>
  <c r="AF42" i="4" s="1"/>
  <c r="X51" i="4"/>
  <c r="AB51" i="4" s="1"/>
  <c r="AF51" i="4" s="1"/>
  <c r="X45" i="4"/>
  <c r="AB45" i="4" s="1"/>
  <c r="AF45" i="4" s="1"/>
  <c r="X26" i="4"/>
  <c r="AB26" i="4" s="1"/>
  <c r="AF26" i="4" s="1"/>
  <c r="X59" i="4"/>
  <c r="AB59" i="4" s="1"/>
  <c r="AF59" i="4" s="1"/>
  <c r="X41" i="4"/>
  <c r="AB41" i="4" s="1"/>
  <c r="AF41" i="4" s="1"/>
  <c r="X54" i="4"/>
  <c r="AB54" i="4" s="1"/>
  <c r="AF54" i="4" s="1"/>
  <c r="X29" i="4"/>
  <c r="AB29" i="4" s="1"/>
  <c r="AF29" i="4" s="1"/>
  <c r="X55" i="4"/>
  <c r="AB55" i="4" s="1"/>
  <c r="AF55" i="4" s="1"/>
  <c r="X44" i="4"/>
  <c r="AB44" i="4" s="1"/>
  <c r="AF44" i="4" s="1"/>
  <c r="X58" i="4"/>
  <c r="AB58" i="4" s="1"/>
  <c r="AF58" i="4" s="1"/>
  <c r="X56" i="4"/>
  <c r="AB56" i="4" s="1"/>
  <c r="AF56" i="4" s="1"/>
  <c r="X48" i="4"/>
  <c r="AB48" i="4" s="1"/>
  <c r="AF48" i="4" s="1"/>
  <c r="X37" i="4"/>
  <c r="AB37" i="4" s="1"/>
  <c r="AF37" i="4" s="1"/>
  <c r="X46" i="4"/>
  <c r="AB46" i="4" s="1"/>
  <c r="AF46" i="4" s="1"/>
  <c r="X30" i="4"/>
  <c r="AB30" i="4" s="1"/>
  <c r="AF30" i="4" s="1"/>
  <c r="X50" i="4"/>
  <c r="AB50" i="4" s="1"/>
  <c r="AF50" i="4" s="1"/>
  <c r="X27" i="4"/>
  <c r="AB27" i="4" s="1"/>
  <c r="AF27" i="4" s="1"/>
  <c r="X28" i="4"/>
  <c r="AB28" i="4" s="1"/>
  <c r="AF28" i="4" s="1"/>
  <c r="X43" i="4"/>
  <c r="AB43" i="4" s="1"/>
  <c r="AF43" i="4" s="1"/>
  <c r="X38" i="4"/>
  <c r="AB38" i="4" s="1"/>
  <c r="AF38" i="4" s="1"/>
  <c r="X39" i="4"/>
  <c r="AB39" i="4" s="1"/>
  <c r="AF39" i="4" s="1"/>
  <c r="X49" i="4"/>
  <c r="AB49" i="4" s="1"/>
  <c r="AF49" i="4" s="1"/>
  <c r="X52" i="4"/>
  <c r="AB52" i="4" s="1"/>
  <c r="AF52" i="4" s="1"/>
  <c r="X35" i="4"/>
  <c r="AB35" i="4" s="1"/>
  <c r="AF35" i="4" s="1"/>
  <c r="X34" i="4"/>
  <c r="AB34" i="4" s="1"/>
  <c r="AF34" i="4" s="1"/>
  <c r="X23" i="4"/>
  <c r="AB23" i="4" s="1"/>
  <c r="AF23" i="4" s="1"/>
  <c r="X60" i="4"/>
  <c r="AB60" i="4" s="1"/>
  <c r="AF60" i="4" s="1"/>
  <c r="X40" i="4"/>
  <c r="AB40" i="4" s="1"/>
  <c r="AF40" i="4" s="1"/>
  <c r="X47" i="4"/>
  <c r="AB47" i="4" s="1"/>
  <c r="AF47" i="4" s="1"/>
  <c r="X25" i="4"/>
  <c r="AB25" i="4" s="1"/>
  <c r="AF25" i="4" s="1"/>
  <c r="X36" i="4"/>
  <c r="AB36" i="4" s="1"/>
  <c r="AF36" i="4" s="1"/>
  <c r="L4" i="3"/>
  <c r="L9" i="3" s="1"/>
  <c r="K12" i="3"/>
  <c r="K13" i="3" s="1"/>
  <c r="L5" i="3"/>
  <c r="L10" i="3" s="1"/>
  <c r="M4" i="3"/>
  <c r="M9" i="3" s="1"/>
  <c r="M12" i="3" s="1"/>
  <c r="M13" i="3" s="1"/>
  <c r="N4" i="3"/>
  <c r="N9" i="3" s="1"/>
  <c r="N12" i="3" s="1"/>
  <c r="N13" i="3" s="1"/>
  <c r="Z23" i="4" l="1"/>
  <c r="Z29" i="4"/>
  <c r="AA23" i="4"/>
  <c r="AA29" i="4"/>
  <c r="AA27" i="4"/>
  <c r="AA28" i="4"/>
  <c r="AA26" i="4"/>
  <c r="AA25" i="4"/>
  <c r="AA24" i="4"/>
  <c r="Z28" i="4"/>
  <c r="Z26" i="4"/>
  <c r="Z27" i="4"/>
  <c r="Z25" i="4"/>
  <c r="Z24" i="4"/>
  <c r="X20" i="4"/>
  <c r="X16" i="4"/>
  <c r="X2" i="4"/>
  <c r="X3" i="4"/>
  <c r="X21" i="4"/>
  <c r="X13" i="4"/>
  <c r="X10" i="4"/>
  <c r="X19" i="4"/>
  <c r="X17" i="4"/>
  <c r="X6" i="4"/>
  <c r="K15" i="3"/>
  <c r="X4" i="4"/>
  <c r="N14" i="3"/>
  <c r="L14" i="3"/>
  <c r="AA15" i="4"/>
  <c r="AA21" i="4"/>
  <c r="AA18" i="4"/>
  <c r="AA2" i="4"/>
  <c r="AA20" i="4"/>
  <c r="AA10" i="4"/>
  <c r="AA6" i="4"/>
  <c r="AA8" i="4"/>
  <c r="AA4" i="4"/>
  <c r="AA7" i="4"/>
  <c r="AA9" i="4"/>
  <c r="AA17" i="4"/>
  <c r="AA3" i="4"/>
  <c r="AA14" i="4"/>
  <c r="AA11" i="4"/>
  <c r="AA5" i="4"/>
  <c r="AA22" i="4"/>
  <c r="AA12" i="4"/>
  <c r="AA13" i="4"/>
  <c r="AA16" i="4"/>
  <c r="AA19" i="4"/>
  <c r="N15" i="3"/>
  <c r="Z22" i="4"/>
  <c r="Z7" i="4"/>
  <c r="Z4" i="4"/>
  <c r="Z11" i="4"/>
  <c r="Z3" i="4"/>
  <c r="Z8" i="4"/>
  <c r="Z17" i="4"/>
  <c r="Z9" i="4"/>
  <c r="Z15" i="4"/>
  <c r="Z18" i="4"/>
  <c r="Z5" i="4"/>
  <c r="Z20" i="4"/>
  <c r="Z21" i="4"/>
  <c r="Z13" i="4"/>
  <c r="Z6" i="4"/>
  <c r="Z12" i="4"/>
  <c r="Z2" i="4"/>
  <c r="Z19" i="4"/>
  <c r="Z10" i="4"/>
  <c r="Z14" i="4"/>
  <c r="Z16" i="4"/>
  <c r="M15" i="3"/>
  <c r="X8" i="4"/>
  <c r="X11" i="4"/>
  <c r="X18" i="4"/>
  <c r="X15" i="4"/>
  <c r="L12" i="3"/>
  <c r="L13" i="3" s="1"/>
  <c r="X9" i="4"/>
  <c r="X14" i="4"/>
  <c r="X7" i="4"/>
  <c r="X22" i="4"/>
  <c r="X12" i="4"/>
  <c r="M14" i="3"/>
  <c r="X5" i="4"/>
  <c r="Y29" i="4" l="1"/>
  <c r="Y23" i="4"/>
  <c r="Y28" i="4"/>
  <c r="Y27" i="4"/>
  <c r="Y24" i="4"/>
  <c r="Y25" i="4"/>
  <c r="Y26" i="4"/>
  <c r="M11" i="3"/>
  <c r="AD18" i="4" s="1"/>
  <c r="AH18" i="4" s="1"/>
  <c r="K11" i="3"/>
  <c r="AB5" i="4" s="1"/>
  <c r="AF5" i="4" s="1"/>
  <c r="N11" i="3"/>
  <c r="AE12" i="4" s="1"/>
  <c r="AI12" i="4" s="1"/>
  <c r="Y11" i="4"/>
  <c r="Y14" i="4"/>
  <c r="Y20" i="4"/>
  <c r="Y12" i="4"/>
  <c r="Y8" i="4"/>
  <c r="Y13" i="4"/>
  <c r="Y15" i="4"/>
  <c r="Y2" i="4"/>
  <c r="Y18" i="4"/>
  <c r="Y5" i="4"/>
  <c r="Y3" i="4"/>
  <c r="Y7" i="4"/>
  <c r="Y4" i="4"/>
  <c r="Y19" i="4"/>
  <c r="Y6" i="4"/>
  <c r="Y17" i="4"/>
  <c r="Y9" i="4"/>
  <c r="Y10" i="4"/>
  <c r="Y16" i="4"/>
  <c r="Y21" i="4"/>
  <c r="Y22" i="4"/>
  <c r="L15" i="3"/>
  <c r="AD29" i="4" l="1"/>
  <c r="AH29" i="4" s="1"/>
  <c r="AE26" i="4"/>
  <c r="AI26" i="4" s="1"/>
  <c r="AE24" i="4"/>
  <c r="AI24" i="4" s="1"/>
  <c r="AD28" i="4"/>
  <c r="AH28" i="4" s="1"/>
  <c r="AD26" i="4"/>
  <c r="AH26" i="4" s="1"/>
  <c r="AE23" i="4"/>
  <c r="AI23" i="4" s="1"/>
  <c r="AE28" i="4"/>
  <c r="AI28" i="4" s="1"/>
  <c r="AE27" i="4"/>
  <c r="AI27" i="4" s="1"/>
  <c r="AE29" i="4"/>
  <c r="AI29" i="4" s="1"/>
  <c r="AE25" i="4"/>
  <c r="AI25" i="4" s="1"/>
  <c r="AD23" i="4"/>
  <c r="AH23" i="4" s="1"/>
  <c r="AD27" i="4"/>
  <c r="AH27" i="4" s="1"/>
  <c r="AD24" i="4"/>
  <c r="AH24" i="4" s="1"/>
  <c r="AD25" i="4"/>
  <c r="AH25" i="4" s="1"/>
  <c r="AB15" i="4"/>
  <c r="AF15" i="4" s="1"/>
  <c r="AE22" i="4"/>
  <c r="AI22" i="4" s="1"/>
  <c r="AE2" i="4"/>
  <c r="AI2" i="4" s="1"/>
  <c r="AE17" i="4"/>
  <c r="AI17" i="4" s="1"/>
  <c r="L11" i="3"/>
  <c r="AC17" i="4" s="1"/>
  <c r="AG17" i="4" s="1"/>
  <c r="AE18" i="4"/>
  <c r="AI18" i="4" s="1"/>
  <c r="AE3" i="4"/>
  <c r="AI3" i="4" s="1"/>
  <c r="AD20" i="4"/>
  <c r="AH20" i="4" s="1"/>
  <c r="AE14" i="4"/>
  <c r="AI14" i="4" s="1"/>
  <c r="AD2" i="4"/>
  <c r="AH2" i="4" s="1"/>
  <c r="AD5" i="4"/>
  <c r="AH5" i="4" s="1"/>
  <c r="AD15" i="4"/>
  <c r="AH15" i="4" s="1"/>
  <c r="AE20" i="4"/>
  <c r="AI20" i="4" s="1"/>
  <c r="AE8" i="4"/>
  <c r="AI8" i="4" s="1"/>
  <c r="AB14" i="4"/>
  <c r="AF14" i="4" s="1"/>
  <c r="AB16" i="4"/>
  <c r="AF16" i="4" s="1"/>
  <c r="AB19" i="4"/>
  <c r="AF19" i="4" s="1"/>
  <c r="AB17" i="4"/>
  <c r="AF17" i="4" s="1"/>
  <c r="AB4" i="4"/>
  <c r="AF4" i="4" s="1"/>
  <c r="AB21" i="4"/>
  <c r="AF21" i="4" s="1"/>
  <c r="AB20" i="4"/>
  <c r="AF20" i="4" s="1"/>
  <c r="AB2" i="4"/>
  <c r="AF2" i="4" s="1"/>
  <c r="AB10" i="4"/>
  <c r="AF10" i="4" s="1"/>
  <c r="AB6" i="4"/>
  <c r="AF6" i="4" s="1"/>
  <c r="AB13" i="4"/>
  <c r="AF13" i="4" s="1"/>
  <c r="AB3" i="4"/>
  <c r="AF3" i="4" s="1"/>
  <c r="AE7" i="4"/>
  <c r="AI7" i="4" s="1"/>
  <c r="AE21" i="4"/>
  <c r="AI21" i="4" s="1"/>
  <c r="AD22" i="4"/>
  <c r="AH22" i="4" s="1"/>
  <c r="AD9" i="4"/>
  <c r="AH9" i="4" s="1"/>
  <c r="AE6" i="4"/>
  <c r="AI6" i="4" s="1"/>
  <c r="AD7" i="4"/>
  <c r="AH7" i="4" s="1"/>
  <c r="AE19" i="4"/>
  <c r="AI19" i="4" s="1"/>
  <c r="AE11" i="4"/>
  <c r="AI11" i="4" s="1"/>
  <c r="AD21" i="4"/>
  <c r="AH21" i="4" s="1"/>
  <c r="AE10" i="4"/>
  <c r="AI10" i="4" s="1"/>
  <c r="AE4" i="4"/>
  <c r="AI4" i="4" s="1"/>
  <c r="AB9" i="4"/>
  <c r="AF9" i="4" s="1"/>
  <c r="AB7" i="4"/>
  <c r="AF7" i="4" s="1"/>
  <c r="AD3" i="4"/>
  <c r="AH3" i="4" s="1"/>
  <c r="AE16" i="4"/>
  <c r="AI16" i="4" s="1"/>
  <c r="AD12" i="4"/>
  <c r="AH12" i="4" s="1"/>
  <c r="AD17" i="4"/>
  <c r="AH17" i="4" s="1"/>
  <c r="AB18" i="4"/>
  <c r="AF18" i="4" s="1"/>
  <c r="AD6" i="4"/>
  <c r="AH6" i="4" s="1"/>
  <c r="AD11" i="4"/>
  <c r="AH11" i="4" s="1"/>
  <c r="AE13" i="4"/>
  <c r="AI13" i="4" s="1"/>
  <c r="AB22" i="4"/>
  <c r="AF22" i="4" s="1"/>
  <c r="AB8" i="4"/>
  <c r="AF8" i="4" s="1"/>
  <c r="AD13" i="4"/>
  <c r="AH13" i="4" s="1"/>
  <c r="AB11" i="4"/>
  <c r="AF11" i="4" s="1"/>
  <c r="AE15" i="4"/>
  <c r="AI15" i="4" s="1"/>
  <c r="AB12" i="4"/>
  <c r="AF12" i="4" s="1"/>
  <c r="AD19" i="4"/>
  <c r="AH19" i="4" s="1"/>
  <c r="AE5" i="4"/>
  <c r="AI5" i="4" s="1"/>
  <c r="AD8" i="4"/>
  <c r="AH8" i="4" s="1"/>
  <c r="AD14" i="4"/>
  <c r="AH14" i="4" s="1"/>
  <c r="AD16" i="4"/>
  <c r="AH16" i="4" s="1"/>
  <c r="AD4" i="4"/>
  <c r="AH4" i="4" s="1"/>
  <c r="AE9" i="4"/>
  <c r="AI9" i="4" s="1"/>
  <c r="AD10" i="4"/>
  <c r="AH10" i="4" s="1"/>
  <c r="AC27" i="4" l="1"/>
  <c r="AG27" i="4" s="1"/>
  <c r="AC29" i="4"/>
  <c r="AG29" i="4" s="1"/>
  <c r="AC23" i="4"/>
  <c r="AG23" i="4" s="1"/>
  <c r="AC25" i="4"/>
  <c r="AG25" i="4" s="1"/>
  <c r="AC28" i="4"/>
  <c r="AG28" i="4" s="1"/>
  <c r="AC24" i="4"/>
  <c r="AG24" i="4" s="1"/>
  <c r="AC26" i="4"/>
  <c r="AG26" i="4" s="1"/>
  <c r="AC4" i="4"/>
  <c r="AG4" i="4" s="1"/>
  <c r="AC19" i="4"/>
  <c r="AG19" i="4" s="1"/>
  <c r="AC8" i="4"/>
  <c r="AG8" i="4" s="1"/>
  <c r="AC7" i="4"/>
  <c r="AG7" i="4" s="1"/>
  <c r="AC10" i="4"/>
  <c r="AG10" i="4" s="1"/>
  <c r="D3" i="3"/>
  <c r="D4" i="3" s="1"/>
  <c r="D9" i="3" s="1"/>
  <c r="D8" i="3"/>
  <c r="D6" i="3"/>
  <c r="D7" i="3"/>
  <c r="AC6" i="4"/>
  <c r="AG6" i="4" s="1"/>
  <c r="F7" i="3"/>
  <c r="F6" i="3"/>
  <c r="F8" i="3"/>
  <c r="F3" i="3"/>
  <c r="F5" i="3" s="1"/>
  <c r="F10" i="3" s="1"/>
  <c r="AC2" i="4"/>
  <c r="AG2" i="4" s="1"/>
  <c r="AC13" i="4"/>
  <c r="AG13" i="4" s="1"/>
  <c r="AC11" i="4"/>
  <c r="AG11" i="4" s="1"/>
  <c r="AC18" i="4"/>
  <c r="AG18" i="4" s="1"/>
  <c r="AC22" i="4"/>
  <c r="AG22" i="4" s="1"/>
  <c r="G6" i="3"/>
  <c r="G3" i="3"/>
  <c r="G4" i="3" s="1"/>
  <c r="G9" i="3" s="1"/>
  <c r="G7" i="3"/>
  <c r="G8" i="3"/>
  <c r="AC14" i="4"/>
  <c r="AG14" i="4" s="1"/>
  <c r="AC15" i="4"/>
  <c r="AG15" i="4" s="1"/>
  <c r="AC9" i="4"/>
  <c r="AG9" i="4" s="1"/>
  <c r="AC12" i="4"/>
  <c r="AG12" i="4" s="1"/>
  <c r="AC16" i="4"/>
  <c r="AG16" i="4" s="1"/>
  <c r="AC21" i="4"/>
  <c r="AG21" i="4" s="1"/>
  <c r="AC5" i="4"/>
  <c r="AG5" i="4" s="1"/>
  <c r="AC3" i="4"/>
  <c r="AG3" i="4" s="1"/>
  <c r="AC20" i="4"/>
  <c r="AG20" i="4" s="1"/>
  <c r="D5" i="3" l="1"/>
  <c r="D10" i="3" s="1"/>
  <c r="D12" i="3"/>
  <c r="E7" i="3"/>
  <c r="E6" i="3"/>
  <c r="E3" i="3"/>
  <c r="E5" i="3" s="1"/>
  <c r="E10" i="3" s="1"/>
  <c r="E8" i="3"/>
  <c r="F4" i="3"/>
  <c r="F9" i="3" s="1"/>
  <c r="F12" i="3" s="1"/>
  <c r="F13" i="3" s="1"/>
  <c r="F15" i="3" s="1"/>
  <c r="G5" i="3"/>
  <c r="G10" i="3" s="1"/>
  <c r="G12" i="3" s="1"/>
  <c r="D13" i="3"/>
  <c r="D15" i="3" s="1"/>
  <c r="D14" i="3"/>
  <c r="F14" i="3" l="1"/>
  <c r="G13" i="3"/>
  <c r="G15" i="3" s="1"/>
  <c r="G14" i="3"/>
  <c r="E4" i="3"/>
  <c r="E9" i="3" s="1"/>
  <c r="E12" i="3" s="1"/>
  <c r="E13" i="3" l="1"/>
  <c r="E15" i="3" s="1"/>
  <c r="E14" i="3"/>
  <c r="B6" i="1" l="1"/>
  <c r="B5" i="1"/>
  <c r="B7" i="1"/>
  <c r="B4" i="1"/>
  <c r="D23" i="3"/>
  <c r="S3" i="4" l="1"/>
  <c r="S13" i="4"/>
  <c r="S41" i="4"/>
  <c r="S99" i="4"/>
  <c r="S121" i="4"/>
  <c r="S15" i="4"/>
  <c r="S46" i="4"/>
  <c r="S47" i="4"/>
  <c r="S97" i="4"/>
  <c r="S66" i="4"/>
  <c r="S29" i="4"/>
  <c r="S71" i="4"/>
  <c r="S94" i="4"/>
  <c r="S4" i="4"/>
  <c r="S44" i="4"/>
  <c r="S86" i="4"/>
  <c r="S82" i="4"/>
  <c r="S116" i="4"/>
  <c r="S110" i="4"/>
  <c r="S32" i="4"/>
  <c r="S106" i="4"/>
  <c r="S70" i="4"/>
  <c r="S25" i="4"/>
  <c r="S63" i="4"/>
  <c r="S124" i="4"/>
  <c r="S128" i="4"/>
  <c r="S5" i="4"/>
  <c r="S88" i="4"/>
  <c r="S74" i="4"/>
  <c r="S130" i="4"/>
  <c r="S84" i="4"/>
  <c r="S50" i="4"/>
  <c r="S118" i="4"/>
  <c r="S108" i="4"/>
  <c r="S39" i="4"/>
  <c r="S72" i="4"/>
  <c r="S76" i="4"/>
  <c r="S78" i="4"/>
  <c r="S125" i="4"/>
  <c r="S75" i="4"/>
  <c r="S104" i="4"/>
  <c r="S6" i="4"/>
  <c r="S132" i="4"/>
  <c r="S123" i="4"/>
  <c r="S55" i="4"/>
  <c r="S91" i="4"/>
  <c r="S56" i="4"/>
  <c r="S14" i="4"/>
  <c r="S23" i="4"/>
  <c r="S33" i="4"/>
  <c r="S11" i="4"/>
  <c r="S111" i="4"/>
  <c r="S122" i="4"/>
  <c r="S93" i="4"/>
  <c r="S30" i="4"/>
  <c r="S57" i="4"/>
  <c r="S12" i="4"/>
  <c r="S64" i="4"/>
  <c r="S115" i="4"/>
  <c r="S20" i="4"/>
  <c r="S19" i="4"/>
  <c r="S120" i="4"/>
  <c r="S34" i="4"/>
  <c r="S89" i="4"/>
  <c r="S8" i="4"/>
  <c r="S129" i="4"/>
  <c r="S107" i="4"/>
  <c r="S73" i="4"/>
  <c r="S95" i="4"/>
  <c r="S105" i="4"/>
  <c r="S80" i="4"/>
  <c r="S45" i="4"/>
  <c r="S65" i="4"/>
  <c r="S127" i="4"/>
  <c r="S61" i="4"/>
  <c r="S98" i="4"/>
  <c r="S102" i="4"/>
  <c r="S16" i="4"/>
  <c r="S112" i="4"/>
  <c r="S87" i="4"/>
  <c r="S68" i="4"/>
  <c r="S35" i="4"/>
  <c r="S79" i="4"/>
  <c r="S43" i="4"/>
  <c r="S81" i="4"/>
  <c r="S114" i="4"/>
  <c r="S85" i="4"/>
  <c r="S48" i="4"/>
  <c r="S60" i="4"/>
  <c r="S21" i="4"/>
  <c r="S58" i="4"/>
  <c r="S2" i="4"/>
  <c r="S113" i="4"/>
  <c r="S27" i="4"/>
  <c r="S109" i="4"/>
  <c r="S7" i="4"/>
  <c r="S117" i="4"/>
  <c r="S9" i="4"/>
  <c r="S52" i="4"/>
  <c r="S10" i="4"/>
  <c r="S49" i="4"/>
  <c r="S101" i="4"/>
  <c r="S22" i="4"/>
  <c r="S103" i="4"/>
  <c r="S53" i="4"/>
  <c r="S42" i="4"/>
  <c r="S77" i="4"/>
  <c r="S126" i="4"/>
  <c r="S26" i="4"/>
  <c r="S59" i="4"/>
  <c r="S18" i="4"/>
  <c r="S36" i="4"/>
  <c r="S40" i="4"/>
  <c r="S28" i="4"/>
  <c r="S38" i="4"/>
  <c r="S119" i="4"/>
  <c r="S54" i="4"/>
  <c r="S83" i="4"/>
  <c r="S17" i="4"/>
  <c r="S31" i="4"/>
  <c r="S24" i="4"/>
  <c r="S69" i="4"/>
  <c r="S100" i="4"/>
  <c r="S62" i="4"/>
  <c r="S133" i="4"/>
  <c r="S90" i="4"/>
  <c r="S67" i="4"/>
  <c r="S92" i="4"/>
  <c r="S37" i="4"/>
  <c r="S131" i="4"/>
  <c r="S96" i="4"/>
  <c r="S51" i="4"/>
  <c r="B8" i="1"/>
  <c r="B17" i="6"/>
  <c r="B18" i="6"/>
  <c r="B15" i="6"/>
  <c r="B16" i="6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<sst xmlns="http://schemas.openxmlformats.org/spreadsheetml/2006/main" count="229" uniqueCount="127">
  <si>
    <t>Weather Zone</t>
  </si>
  <si>
    <t>Ottawa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</si>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</sst>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5.7263273125342087</c:v>
                </c:pt>
                <c:pt idx="1">
                  <c:v>1.9674355495251017</c:v>
                </c:pt>
                <c:pt idx="2">
                  <c:v>8.2678899082568815</c:v>
                </c:pt>
                <c:pt idx="3">
                  <c:v>11.619047619047619</c:v>
                </c:pt>
                <c:pt idx="4">
                  <c:v>18.245347839533942</c:v>
                </c:pt>
                <c:pt idx="5">
                  <c:v>18.453427337748991</c:v>
                </c:pt>
                <c:pt idx="6">
                  <c:v>19.077665832394146</c:v>
                </c:pt>
                <c:pt idx="7">
                  <c:v>21.324924254364635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17.795967718345985</c:v>
                </c:pt>
                <c:pt idx="1">
                  <c:v>11.686206901895588</c:v>
                </c:pt>
                <c:pt idx="2">
                  <c:v>-1.1852458969491426</c:v>
                </c:pt>
                <c:pt idx="3">
                  <c:v>-4.6854838555858978</c:v>
                </c:pt>
                <c:pt idx="4">
                  <c:v>-1.6147540788181494</c:v>
                </c:pt>
                <c:pt idx="5">
                  <c:v>10.200000009189049</c:v>
                </c:pt>
                <c:pt idx="6">
                  <c:v>17.649999996647239</c:v>
                </c:pt>
                <c:pt idx="7">
                  <c:v>12.776785684350347</c:v>
                </c:pt>
                <c:pt idx="8">
                  <c:v>-1.1516129432186002</c:v>
                </c:pt>
                <c:pt idx="9">
                  <c:v>-4.8523809190780396</c:v>
                </c:pt>
                <c:pt idx="10">
                  <c:v>-0.52711865861537088</c:v>
                </c:pt>
                <c:pt idx="11">
                  <c:v>12.282258038078584</c:v>
                </c:pt>
                <c:pt idx="12">
                  <c:v>15.209243698593447</c:v>
                </c:pt>
                <c:pt idx="13">
                  <c:v>0.25967740628027158</c:v>
                </c:pt>
                <c:pt idx="14">
                  <c:v>-4.9063491821289063</c:v>
                </c:pt>
                <c:pt idx="15">
                  <c:v>-1.310000006357829</c:v>
                </c:pt>
                <c:pt idx="16">
                  <c:v>13.044999987011156</c:v>
                </c:pt>
                <c:pt idx="17">
                  <c:v>24.26984135640992</c:v>
                </c:pt>
                <c:pt idx="18">
                  <c:v>12.54745764424235</c:v>
                </c:pt>
                <c:pt idx="19">
                  <c:v>-1.9116666475931803</c:v>
                </c:pt>
                <c:pt idx="20">
                  <c:v>-4.5328124910593033</c:v>
                </c:pt>
                <c:pt idx="21">
                  <c:v>-0.77499996026357021</c:v>
                </c:pt>
                <c:pt idx="22">
                  <c:v>10.696610182523727</c:v>
                </c:pt>
                <c:pt idx="23">
                  <c:v>20.695161263067877</c:v>
                </c:pt>
                <c:pt idx="24">
                  <c:v>11.87704917312157</c:v>
                </c:pt>
                <c:pt idx="25">
                  <c:v>0.95423731561434444</c:v>
                </c:pt>
                <c:pt idx="26">
                  <c:v>-4.8903225775687922</c:v>
                </c:pt>
                <c:pt idx="27">
                  <c:v>0.41612907378904307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10.225806451612904</c:v>
                </c:pt>
                <c:pt idx="1">
                  <c:v>7.0172413793103452</c:v>
                </c:pt>
                <c:pt idx="2">
                  <c:v>1.9344262295081966</c:v>
                </c:pt>
                <c:pt idx="3">
                  <c:v>1.2580645161290323</c:v>
                </c:pt>
                <c:pt idx="4">
                  <c:v>2.262295081967213</c:v>
                </c:pt>
                <c:pt idx="5">
                  <c:v>7.7333333333333334</c:v>
                </c:pt>
                <c:pt idx="6">
                  <c:v>10.71875</c:v>
                </c:pt>
                <c:pt idx="7">
                  <c:v>7.9642857142857144</c:v>
                </c:pt>
                <c:pt idx="8">
                  <c:v>2.403225806451613</c:v>
                </c:pt>
                <c:pt idx="9">
                  <c:v>1.8253968253968254</c:v>
                </c:pt>
                <c:pt idx="10">
                  <c:v>3.4576271186440679</c:v>
                </c:pt>
                <c:pt idx="11">
                  <c:v>8.2903225806451619</c:v>
                </c:pt>
                <c:pt idx="12">
                  <c:v>8.8319327731092443</c:v>
                </c:pt>
                <c:pt idx="13">
                  <c:v>1.9516129032258065</c:v>
                </c:pt>
                <c:pt idx="14">
                  <c:v>1.4603174603174602</c:v>
                </c:pt>
                <c:pt idx="15">
                  <c:v>2.0499999999999998</c:v>
                </c:pt>
                <c:pt idx="16">
                  <c:v>8.75</c:v>
                </c:pt>
                <c:pt idx="17">
                  <c:v>11.619047619047619</c:v>
                </c:pt>
                <c:pt idx="18">
                  <c:v>6.9491525423728815</c:v>
                </c:pt>
                <c:pt idx="19">
                  <c:v>1.4166666666666667</c:v>
                </c:pt>
                <c:pt idx="20">
                  <c:v>1.171875</c:v>
                </c:pt>
                <c:pt idx="21">
                  <c:v>3.35</c:v>
                </c:pt>
                <c:pt idx="22">
                  <c:v>9.4237288135593218</c:v>
                </c:pt>
                <c:pt idx="23">
                  <c:v>13.758064516129032</c:v>
                </c:pt>
                <c:pt idx="24">
                  <c:v>9.5245901639344268</c:v>
                </c:pt>
                <c:pt idx="25">
                  <c:v>3.1186440677966103</c:v>
                </c:pt>
                <c:pt idx="26">
                  <c:v>1.1612903225806452</c:v>
                </c:pt>
                <c:pt idx="27">
                  <c:v>3.4516129032258065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17.795967718345985</c:v>
                </c:pt>
                <c:pt idx="1">
                  <c:v>11.686206901895588</c:v>
                </c:pt>
                <c:pt idx="2">
                  <c:v>10.200000009189049</c:v>
                </c:pt>
                <c:pt idx="3">
                  <c:v>17.649999996647239</c:v>
                </c:pt>
                <c:pt idx="4">
                  <c:v>12.776785684350347</c:v>
                </c:pt>
                <c:pt idx="5">
                  <c:v>12.282258038078584</c:v>
                </c:pt>
                <c:pt idx="6">
                  <c:v>15.209243698593447</c:v>
                </c:pt>
                <c:pt idx="7">
                  <c:v>0.25967740628027158</c:v>
                </c:pt>
                <c:pt idx="8">
                  <c:v>13.044999987011156</c:v>
                </c:pt>
                <c:pt idx="9">
                  <c:v>24.26984135640992</c:v>
                </c:pt>
                <c:pt idx="10">
                  <c:v>12.54745764424235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10.225806451612904</c:v>
                </c:pt>
                <c:pt idx="1">
                  <c:v>7.0172413793103452</c:v>
                </c:pt>
                <c:pt idx="2">
                  <c:v>7.7333333333333334</c:v>
                </c:pt>
                <c:pt idx="3">
                  <c:v>10.71875</c:v>
                </c:pt>
                <c:pt idx="4">
                  <c:v>7.9642857142857144</c:v>
                </c:pt>
                <c:pt idx="5">
                  <c:v>8.2903225806451619</c:v>
                </c:pt>
                <c:pt idx="6">
                  <c:v>8.8319327731092443</c:v>
                </c:pt>
                <c:pt idx="7">
                  <c:v>1.9516129032258065</c:v>
                </c:pt>
                <c:pt idx="8">
                  <c:v>8.75</c:v>
                </c:pt>
                <c:pt idx="9">
                  <c:v>11.619047619047619</c:v>
                </c:pt>
                <c:pt idx="10">
                  <c:v>6.9491525423728815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rca365-my.sharepoint.com/Users/atbozzo/Library/Containers/com.microsoft.Outlook/Data/tmp/Outlook%20Temp/Enbridge%20DDD%20Calculation%20AllWx%20EGI_LondonRes05%20v2.xlsx" TargetMode="External"/><Relationship Id="rId1" Type="http://schemas.openxmlformats.org/officeDocument/2006/relationships/externalLinkPath" Target="https://enbridge.sharepoint.com/Users/atbozzo/Library/Containers/com.microsoft.Outlook/Data/tmp/Outlook%20Temp/Enbridge%20DDD%20Calculation%20AllWx%20EGI_LondonRes0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mption Data Input"/>
      <sheetName val="Output Summary"/>
      <sheetName val="DDD Model Summary"/>
      <sheetName val="DDD Model Calculations"/>
      <sheetName val="WorkingData"/>
      <sheetName val="Weather Data"/>
    </sheetNames>
    <sheetDataSet>
      <sheetData sheetId="0"/>
      <sheetData sheetId="1"/>
      <sheetData sheetId="2"/>
      <sheetData sheetId="3">
        <row r="20">
          <cell r="D20">
            <v>18</v>
          </cell>
        </row>
      </sheetData>
      <sheetData sheetId="4"/>
      <sheetData sheetId="5">
        <row r="4139">
          <cell r="D4139">
            <v>7.4000000953674316</v>
          </cell>
          <cell r="E4139">
            <v>7.5999999046325684</v>
          </cell>
          <cell r="F4139">
            <v>4.6999998092651367</v>
          </cell>
          <cell r="G4139">
            <v>-0.5</v>
          </cell>
        </row>
        <row r="4140">
          <cell r="D4140">
            <v>7.8000001907348633</v>
          </cell>
          <cell r="E4140">
            <v>11.100000381469727</v>
          </cell>
          <cell r="F4140">
            <v>6.9000000953674316</v>
          </cell>
          <cell r="G4140">
            <v>4.8000001907348633</v>
          </cell>
        </row>
        <row r="4141">
          <cell r="D4141">
            <v>13.899999618530273</v>
          </cell>
          <cell r="E4141">
            <v>13.199999809265137</v>
          </cell>
          <cell r="F4141">
            <v>14.600000381469727</v>
          </cell>
          <cell r="G4141">
            <v>3.5</v>
          </cell>
        </row>
        <row r="4142">
          <cell r="D4142">
            <v>8.1000003814697266</v>
          </cell>
          <cell r="E4142">
            <v>8.8999996185302734</v>
          </cell>
          <cell r="F4142">
            <v>10.800000190734863</v>
          </cell>
          <cell r="G4142">
            <v>8.5</v>
          </cell>
        </row>
        <row r="4143">
          <cell r="D4143">
            <v>9.8000001907348633</v>
          </cell>
          <cell r="E4143">
            <v>9.6999998092651367</v>
          </cell>
          <cell r="F4143">
            <v>13</v>
          </cell>
          <cell r="G4143">
            <v>5.5999999046325684</v>
          </cell>
        </row>
        <row r="4144">
          <cell r="D4144">
            <v>15.300000190734863</v>
          </cell>
          <cell r="E4144">
            <v>15.800000190734863</v>
          </cell>
          <cell r="F4144">
            <v>14.899999618530273</v>
          </cell>
          <cell r="G4144">
            <v>7.0999999046325684</v>
          </cell>
        </row>
        <row r="4145">
          <cell r="D4145">
            <v>14.300000190734863</v>
          </cell>
          <cell r="E4145">
            <v>13.5</v>
          </cell>
          <cell r="F4145">
            <v>17.899999618530273</v>
          </cell>
          <cell r="G4145">
            <v>10.800000190734863</v>
          </cell>
        </row>
        <row r="4146">
          <cell r="D4146">
            <v>15.300000190734863</v>
          </cell>
          <cell r="E4146">
            <v>12.800000190734863</v>
          </cell>
          <cell r="F4146">
            <v>13.100000381469727</v>
          </cell>
          <cell r="G4146">
            <v>6.0999999046325684</v>
          </cell>
        </row>
        <row r="4147">
          <cell r="D4147">
            <v>9.6000003814697266</v>
          </cell>
          <cell r="E4147">
            <v>8.6999998092651367</v>
          </cell>
          <cell r="F4147">
            <v>8.3999996185302734</v>
          </cell>
          <cell r="G4147">
            <v>2.7999999523162842</v>
          </cell>
        </row>
        <row r="4148">
          <cell r="D4148">
            <v>10.5</v>
          </cell>
          <cell r="E4148">
            <v>8.6000003814697266</v>
          </cell>
          <cell r="F4148">
            <v>9.5</v>
          </cell>
          <cell r="G4148">
            <v>10.800000190734863</v>
          </cell>
        </row>
        <row r="4149">
          <cell r="D4149">
            <v>13.600000381469727</v>
          </cell>
          <cell r="E4149">
            <v>11.699999809265137</v>
          </cell>
          <cell r="F4149">
            <v>14.100000381469727</v>
          </cell>
          <cell r="G4149">
            <v>8.5</v>
          </cell>
        </row>
        <row r="4150">
          <cell r="D4150">
            <v>9.6000003814697266</v>
          </cell>
          <cell r="E4150">
            <v>12</v>
          </cell>
          <cell r="F4150">
            <v>9.8000001907348633</v>
          </cell>
          <cell r="G4150">
            <v>13.399999618530273</v>
          </cell>
        </row>
        <row r="4151">
          <cell r="D4151">
            <v>16.200000762939453</v>
          </cell>
          <cell r="E4151">
            <v>16.299999237060547</v>
          </cell>
          <cell r="F4151">
            <v>15.800000190734863</v>
          </cell>
          <cell r="G4151">
            <v>11.800000190734863</v>
          </cell>
        </row>
        <row r="4152">
          <cell r="D4152">
            <v>18.899999618530273</v>
          </cell>
          <cell r="E4152">
            <v>18.600000381469727</v>
          </cell>
          <cell r="F4152">
            <v>18</v>
          </cell>
          <cell r="G4152">
            <v>15.5</v>
          </cell>
        </row>
        <row r="4153">
          <cell r="D4153">
            <v>17.5</v>
          </cell>
          <cell r="E4153">
            <v>20.200000762939453</v>
          </cell>
          <cell r="F4153">
            <v>18.299999237060547</v>
          </cell>
          <cell r="G4153">
            <v>14.199999809265137</v>
          </cell>
        </row>
        <row r="4154">
          <cell r="D4154">
            <v>18.5</v>
          </cell>
          <cell r="E4154">
            <v>19</v>
          </cell>
          <cell r="F4154">
            <v>18.700000762939453</v>
          </cell>
          <cell r="G4154">
            <v>12.300000190734863</v>
          </cell>
        </row>
        <row r="4155">
          <cell r="D4155">
            <v>20.799999237060547</v>
          </cell>
          <cell r="E4155">
            <v>21.200000762939453</v>
          </cell>
          <cell r="F4155">
            <v>20</v>
          </cell>
          <cell r="G4155">
            <v>12.5</v>
          </cell>
        </row>
        <row r="4156">
          <cell r="D4156">
            <v>16.299999237060547</v>
          </cell>
          <cell r="E4156">
            <v>15.5</v>
          </cell>
          <cell r="F4156">
            <v>16.799999237060547</v>
          </cell>
          <cell r="G4156">
            <v>7.1999998092651367</v>
          </cell>
        </row>
        <row r="4157">
          <cell r="D4157">
            <v>13.300000190734863</v>
          </cell>
          <cell r="E4157">
            <v>9.6000003814697266</v>
          </cell>
          <cell r="F4157">
            <v>10.100000381469727</v>
          </cell>
          <cell r="G4157">
            <v>0.69999998807907104</v>
          </cell>
        </row>
        <row r="4158">
          <cell r="D4158">
            <v>9.6999998092651367</v>
          </cell>
          <cell r="E4158">
            <v>8.6000003814697266</v>
          </cell>
          <cell r="F4158">
            <v>8.1000003814697266</v>
          </cell>
          <cell r="G4158">
            <v>3.0999999046325684</v>
          </cell>
        </row>
        <row r="4159">
          <cell r="D4159">
            <v>8.8000001907348633</v>
          </cell>
          <cell r="E4159">
            <v>9.3999996185302734</v>
          </cell>
          <cell r="F4159">
            <v>7.8000001907348633</v>
          </cell>
          <cell r="G4159">
            <v>8.3000001907348633</v>
          </cell>
        </row>
        <row r="4160">
          <cell r="D4160">
            <v>9</v>
          </cell>
          <cell r="E4160">
            <v>9</v>
          </cell>
          <cell r="F4160">
            <v>10.899999618530273</v>
          </cell>
          <cell r="G4160">
            <v>9.8000001907348633</v>
          </cell>
        </row>
        <row r="4161">
          <cell r="D4161">
            <v>8.6999998092651367</v>
          </cell>
          <cell r="E4161">
            <v>8.8999996185302734</v>
          </cell>
          <cell r="F4161">
            <v>9</v>
          </cell>
          <cell r="G4161">
            <v>6.1999998092651367</v>
          </cell>
        </row>
        <row r="4162">
          <cell r="D4162">
            <v>10.5</v>
          </cell>
          <cell r="E4162">
            <v>8.1000003814697266</v>
          </cell>
          <cell r="F4162">
            <v>8.8000001907348633</v>
          </cell>
          <cell r="G4162">
            <v>9.1999998092651367</v>
          </cell>
        </row>
        <row r="4163">
          <cell r="D4163">
            <v>11.399999618530273</v>
          </cell>
          <cell r="E4163">
            <v>9.3999996185302734</v>
          </cell>
          <cell r="F4163">
            <v>9.3000001907348633</v>
          </cell>
          <cell r="G4163">
            <v>9</v>
          </cell>
        </row>
        <row r="4164">
          <cell r="D4164">
            <v>12.600000381469727</v>
          </cell>
          <cell r="E4164">
            <v>10.5</v>
          </cell>
          <cell r="F4164">
            <v>13.199999809265137</v>
          </cell>
          <cell r="G4164">
            <v>10.899999618530273</v>
          </cell>
        </row>
        <row r="4165">
          <cell r="D4165">
            <v>14.300000190734863</v>
          </cell>
          <cell r="E4165">
            <v>13.5</v>
          </cell>
          <cell r="F4165">
            <v>15.699999809265137</v>
          </cell>
          <cell r="G4165">
            <v>11.399999618530273</v>
          </cell>
        </row>
        <row r="4166">
          <cell r="D4166">
            <v>15.699999809265137</v>
          </cell>
          <cell r="E4166">
            <v>14.699999809265137</v>
          </cell>
          <cell r="F4166">
            <v>16.899999618530273</v>
          </cell>
          <cell r="G4166">
            <v>12.199999809265137</v>
          </cell>
        </row>
        <row r="4167">
          <cell r="D4167">
            <v>13.899999618530273</v>
          </cell>
          <cell r="E4167">
            <v>12.699999809265137</v>
          </cell>
          <cell r="F4167">
            <v>17.700000762939453</v>
          </cell>
          <cell r="G4167">
            <v>14.600000381469727</v>
          </cell>
        </row>
        <row r="4168">
          <cell r="D4168">
            <v>15.5</v>
          </cell>
          <cell r="E4168">
            <v>15</v>
          </cell>
          <cell r="F4168">
            <v>15.699999809265137</v>
          </cell>
          <cell r="G4168">
            <v>16.700000762939453</v>
          </cell>
        </row>
        <row r="4169">
          <cell r="D4169">
            <v>18.899999618530273</v>
          </cell>
          <cell r="E4169">
            <v>16.600000381469727</v>
          </cell>
          <cell r="F4169">
            <v>17.700000762939453</v>
          </cell>
          <cell r="G4169">
            <v>13.699999809265137</v>
          </cell>
        </row>
        <row r="4170">
          <cell r="D4170">
            <v>10.600000381469727</v>
          </cell>
          <cell r="E4170">
            <v>9.6999998092651367</v>
          </cell>
          <cell r="F4170">
            <v>11.300000190734863</v>
          </cell>
          <cell r="G4170">
            <v>10.100000381469727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21" activePane="bottomRight" state="frozen"/>
      <selection pane="topRight" activeCell="D1" sqref="D1"/>
      <selection pane="bottomLeft" activeCell="A2" sqref="A2"/>
      <selection pane="bottomRight" activeCell="A3" sqref="A3"/>
    </sheetView>
  </sheetViews>
  <sheetFormatPr defaultColWidth="10.62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45771</v>
      </c>
      <c r="B3" s="11">
        <v>45741</v>
      </c>
      <c r="C3" s="11">
        <v>45770</v>
      </c>
      <c r="D3" s="12">
        <v>30</v>
      </c>
      <c r="E3" s="12">
        <v>30367</v>
      </c>
      <c r="F3" s="15" t="s">
        <v>9</v>
      </c>
      <c r="G3" s="19">
        <v>249</v>
      </c>
      <c r="M3" s="2"/>
      <c r="N3" s="2"/>
      <c r="O3" s="2"/>
      <c r="U3" s="2"/>
      <c r="V3" s="2"/>
      <c r="W3" s="2"/>
    </row>
    <row r="4" spans="1:23" x14ac:dyDescent="0.25">
      <c r="A4" s="11">
        <v>45741</v>
      </c>
      <c r="B4" s="11">
        <v>45713</v>
      </c>
      <c r="C4" s="11">
        <v>45740</v>
      </c>
      <c r="D4" s="12">
        <v>28</v>
      </c>
      <c r="E4" s="12">
        <v>30120</v>
      </c>
      <c r="F4" s="15" t="s">
        <v>10</v>
      </c>
      <c r="G4" s="19">
        <v>244</v>
      </c>
      <c r="M4" s="2"/>
      <c r="N4" s="2"/>
      <c r="O4" s="2"/>
      <c r="U4" s="2"/>
      <c r="V4" s="2"/>
      <c r="W4" s="2"/>
    </row>
    <row r="5" spans="1:23" x14ac:dyDescent="0.25">
      <c r="A5" s="11">
        <v>45713</v>
      </c>
      <c r="B5" s="11">
        <v>45680</v>
      </c>
      <c r="C5" s="11">
        <v>45712</v>
      </c>
      <c r="D5" s="12">
        <v>33</v>
      </c>
      <c r="E5" s="12">
        <v>29878</v>
      </c>
      <c r="F5" s="15" t="s">
        <v>10</v>
      </c>
      <c r="G5" s="19">
        <v>398</v>
      </c>
      <c r="M5" s="2"/>
      <c r="N5" s="2"/>
      <c r="O5" s="2"/>
      <c r="U5" s="2"/>
      <c r="V5" s="2"/>
      <c r="W5" s="2"/>
    </row>
    <row r="6" spans="1:23" x14ac:dyDescent="0.25">
      <c r="A6" s="11">
        <v>45680</v>
      </c>
      <c r="B6" s="11">
        <v>45647</v>
      </c>
      <c r="C6" s="11">
        <v>45679</v>
      </c>
      <c r="D6" s="12">
        <v>33</v>
      </c>
      <c r="E6" s="12">
        <v>29483</v>
      </c>
      <c r="F6" s="15" t="s">
        <v>10</v>
      </c>
      <c r="G6" s="19">
        <v>377</v>
      </c>
      <c r="M6" s="2"/>
      <c r="N6" s="2"/>
      <c r="O6" s="2"/>
      <c r="U6" s="2"/>
      <c r="V6" s="2"/>
      <c r="W6" s="2"/>
    </row>
    <row r="7" spans="1:23" x14ac:dyDescent="0.25">
      <c r="A7" s="11">
        <v>45649</v>
      </c>
      <c r="B7" s="11">
        <v>45619</v>
      </c>
      <c r="C7" s="11">
        <v>45646</v>
      </c>
      <c r="D7" s="12">
        <v>28</v>
      </c>
      <c r="E7" s="12">
        <v>29109</v>
      </c>
      <c r="F7" s="15" t="s">
        <v>9</v>
      </c>
      <c r="G7" s="19">
        <v>232</v>
      </c>
      <c r="M7" s="2"/>
      <c r="N7" s="2"/>
      <c r="O7" s="2"/>
      <c r="U7" s="2"/>
      <c r="V7" s="2"/>
      <c r="W7" s="2"/>
    </row>
    <row r="8" spans="1:23" x14ac:dyDescent="0.25">
      <c r="A8" s="11">
        <v>45621</v>
      </c>
      <c r="B8" s="11">
        <v>45589</v>
      </c>
      <c r="C8" s="11">
        <v>45618</v>
      </c>
      <c r="D8" s="12">
        <v>30</v>
      </c>
      <c r="E8" s="12">
        <v>28879</v>
      </c>
      <c r="F8" s="15" t="s">
        <v>10</v>
      </c>
      <c r="G8" s="19">
        <v>175</v>
      </c>
      <c r="M8" s="2"/>
      <c r="N8" s="2"/>
      <c r="O8" s="2"/>
      <c r="U8" s="2"/>
      <c r="V8" s="2"/>
      <c r="W8" s="2"/>
    </row>
    <row r="9" spans="1:23" x14ac:dyDescent="0.25">
      <c r="A9" s="11">
        <v>45589</v>
      </c>
      <c r="B9" s="11">
        <v>45556</v>
      </c>
      <c r="C9" s="11">
        <v>45588</v>
      </c>
      <c r="D9" s="12">
        <v>33</v>
      </c>
      <c r="E9" s="12">
        <v>28705</v>
      </c>
      <c r="F9" s="15" t="s">
        <v>9</v>
      </c>
      <c r="G9" s="19">
        <v>64</v>
      </c>
      <c r="M9" s="2"/>
      <c r="N9" s="2"/>
      <c r="O9" s="2"/>
      <c r="U9" s="2"/>
      <c r="V9" s="2"/>
      <c r="W9" s="2"/>
    </row>
    <row r="10" spans="1:23" x14ac:dyDescent="0.25">
      <c r="A10" s="11">
        <v>45558</v>
      </c>
      <c r="B10" s="11">
        <v>45528</v>
      </c>
      <c r="C10" s="11">
        <v>45555</v>
      </c>
      <c r="D10" s="12">
        <v>28</v>
      </c>
      <c r="E10" s="12">
        <v>28641</v>
      </c>
      <c r="F10" s="15" t="s">
        <v>10</v>
      </c>
      <c r="G10" s="19">
        <v>54</v>
      </c>
      <c r="M10" s="2"/>
      <c r="N10" s="2"/>
      <c r="O10" s="2"/>
      <c r="U10" s="2"/>
      <c r="V10" s="2"/>
      <c r="W10" s="2"/>
    </row>
    <row r="11" spans="1:23" x14ac:dyDescent="0.25">
      <c r="A11" s="11">
        <v>45527</v>
      </c>
      <c r="B11" s="11">
        <v>45497</v>
      </c>
      <c r="C11" s="11">
        <v>45527</v>
      </c>
      <c r="D11" s="12">
        <v>31</v>
      </c>
      <c r="E11" s="12">
        <v>28587</v>
      </c>
      <c r="F11" s="15" t="s">
        <v>9</v>
      </c>
      <c r="G11" s="19">
        <v>18</v>
      </c>
      <c r="M11" s="2"/>
      <c r="N11" s="2"/>
      <c r="O11" s="2"/>
      <c r="U11" s="2"/>
      <c r="V11" s="2"/>
      <c r="W11" s="2"/>
    </row>
    <row r="12" spans="1:23" x14ac:dyDescent="0.25">
      <c r="A12" s="11">
        <v>45497</v>
      </c>
      <c r="B12" s="11">
        <v>45466</v>
      </c>
      <c r="C12" s="11">
        <v>45496</v>
      </c>
      <c r="D12" s="12">
        <v>31</v>
      </c>
      <c r="E12" s="12">
        <v>28569</v>
      </c>
      <c r="F12" s="15" t="s">
        <v>10</v>
      </c>
      <c r="G12" s="19">
        <v>60</v>
      </c>
      <c r="M12" s="2"/>
      <c r="N12" s="2"/>
      <c r="O12" s="2"/>
      <c r="U12" s="2"/>
      <c r="V12" s="2"/>
      <c r="W12" s="2"/>
    </row>
    <row r="13" spans="1:23" x14ac:dyDescent="0.25">
      <c r="A13" s="11">
        <v>45467</v>
      </c>
      <c r="B13" s="11">
        <v>45436</v>
      </c>
      <c r="C13" s="11">
        <v>45465</v>
      </c>
      <c r="D13" s="12">
        <v>30</v>
      </c>
      <c r="E13" s="12">
        <v>28509</v>
      </c>
      <c r="F13" s="15" t="s">
        <v>9</v>
      </c>
      <c r="G13" s="19">
        <v>93</v>
      </c>
      <c r="M13" s="2"/>
      <c r="N13" s="2"/>
      <c r="O13" s="2"/>
      <c r="U13" s="2"/>
      <c r="V13" s="2"/>
      <c r="W13" s="2"/>
    </row>
    <row r="14" spans="1:23" x14ac:dyDescent="0.25">
      <c r="A14" s="11">
        <v>45436</v>
      </c>
      <c r="B14" s="11">
        <v>45405</v>
      </c>
      <c r="C14" s="11">
        <v>45435</v>
      </c>
      <c r="D14" s="12">
        <v>31</v>
      </c>
      <c r="E14" s="12">
        <v>28417</v>
      </c>
      <c r="F14" s="15" t="s">
        <v>10</v>
      </c>
      <c r="G14" s="19">
        <v>45</v>
      </c>
      <c r="M14" s="2"/>
      <c r="N14" s="2"/>
      <c r="O14" s="2"/>
      <c r="U14" s="2"/>
      <c r="V14" s="2"/>
      <c r="W14" s="2"/>
    </row>
    <row r="15" spans="1:23" x14ac:dyDescent="0.25">
      <c r="A15" s="11">
        <v>45405</v>
      </c>
      <c r="B15" s="11">
        <v>45373</v>
      </c>
      <c r="C15" s="11">
        <v>45404</v>
      </c>
      <c r="D15" s="12">
        <v>32</v>
      </c>
      <c r="E15" s="12">
        <v>28372</v>
      </c>
      <c r="F15" s="15" t="s">
        <v>9</v>
      </c>
      <c r="G15" s="19">
        <v>230</v>
      </c>
      <c r="M15" s="2"/>
      <c r="N15" s="2"/>
      <c r="O15" s="2"/>
      <c r="U15" s="2"/>
      <c r="V15" s="2"/>
      <c r="W15" s="2"/>
    </row>
    <row r="16" spans="1:23" x14ac:dyDescent="0.25">
      <c r="A16" s="11">
        <v>45373</v>
      </c>
      <c r="B16" s="11">
        <v>45345</v>
      </c>
      <c r="C16" s="11">
        <v>45372</v>
      </c>
      <c r="D16" s="12">
        <v>28</v>
      </c>
      <c r="E16" s="12">
        <v>28144</v>
      </c>
      <c r="F16" s="15" t="s">
        <v>10</v>
      </c>
      <c r="G16" s="19">
        <v>234</v>
      </c>
      <c r="M16" s="2"/>
      <c r="N16" s="2"/>
      <c r="O16" s="2"/>
      <c r="U16" s="2"/>
      <c r="V16" s="2"/>
      <c r="W16" s="2"/>
    </row>
    <row r="17" spans="1:23" x14ac:dyDescent="0.25">
      <c r="A17" s="11">
        <v>45344</v>
      </c>
      <c r="B17" s="11">
        <v>45315</v>
      </c>
      <c r="C17" s="11">
        <v>45344</v>
      </c>
      <c r="D17" s="12">
        <v>30</v>
      </c>
      <c r="E17" s="12">
        <v>27912</v>
      </c>
      <c r="F17" s="15" t="s">
        <v>9</v>
      </c>
      <c r="G17" s="19">
        <v>320</v>
      </c>
      <c r="M17" s="2"/>
      <c r="N17" s="2"/>
      <c r="O17" s="2"/>
      <c r="U17" s="2"/>
      <c r="V17" s="2"/>
      <c r="W17" s="2"/>
    </row>
    <row r="18" spans="1:23" x14ac:dyDescent="0.25">
      <c r="A18" s="11">
        <v>45315</v>
      </c>
      <c r="B18" s="11">
        <v>45281</v>
      </c>
      <c r="C18" s="11">
        <v>45314</v>
      </c>
      <c r="D18" s="12">
        <v>34</v>
      </c>
      <c r="E18" s="12">
        <v>27595</v>
      </c>
      <c r="F18" s="15" t="s">
        <v>10</v>
      </c>
      <c r="G18" s="19">
        <v>366</v>
      </c>
      <c r="M18" s="2"/>
      <c r="N18" s="2"/>
      <c r="O18" s="2"/>
      <c r="U18" s="2"/>
      <c r="V18" s="2"/>
      <c r="W18" s="2"/>
    </row>
    <row r="19" spans="1:23" x14ac:dyDescent="0.25">
      <c r="A19" s="11">
        <v>45281</v>
      </c>
      <c r="B19" s="11">
        <v>45253</v>
      </c>
      <c r="C19" s="11">
        <v>45280</v>
      </c>
      <c r="D19" s="12">
        <v>28</v>
      </c>
      <c r="E19" s="12">
        <v>27232</v>
      </c>
      <c r="F19" s="15" t="s">
        <v>9</v>
      </c>
      <c r="G19" s="19">
        <v>235</v>
      </c>
      <c r="M19" s="2"/>
      <c r="N19" s="2"/>
      <c r="O19" s="2"/>
      <c r="U19" s="2"/>
      <c r="V19" s="2"/>
      <c r="W19" s="2"/>
    </row>
    <row r="20" spans="1:23" x14ac:dyDescent="0.25">
      <c r="A20" s="11">
        <v>45253</v>
      </c>
      <c r="B20" s="11">
        <v>45225</v>
      </c>
      <c r="C20" s="11">
        <v>45252</v>
      </c>
      <c r="D20" s="12">
        <v>28</v>
      </c>
      <c r="E20" s="12">
        <v>26999</v>
      </c>
      <c r="F20" s="15" t="s">
        <v>10</v>
      </c>
      <c r="G20" s="19">
        <v>211</v>
      </c>
      <c r="M20" s="2"/>
      <c r="N20" s="2"/>
      <c r="O20" s="2"/>
      <c r="U20" s="2"/>
      <c r="V20" s="2"/>
      <c r="W20" s="2"/>
    </row>
    <row r="21" spans="1:23" x14ac:dyDescent="0.25">
      <c r="A21" s="11">
        <v>45225</v>
      </c>
      <c r="B21" s="11">
        <v>45192</v>
      </c>
      <c r="C21" s="11">
        <v>45224</v>
      </c>
      <c r="D21" s="12">
        <v>33</v>
      </c>
      <c r="E21" s="12">
        <v>26790</v>
      </c>
      <c r="F21" s="15" t="s">
        <v>9</v>
      </c>
      <c r="G21" s="19">
        <v>107</v>
      </c>
      <c r="M21" s="2"/>
      <c r="N21" s="2"/>
      <c r="O21" s="2"/>
      <c r="U21" s="2"/>
      <c r="V21" s="2"/>
      <c r="W21" s="2"/>
    </row>
    <row r="22" spans="1:23" x14ac:dyDescent="0.25">
      <c r="A22" s="11">
        <v>45194</v>
      </c>
      <c r="B22" s="11">
        <v>45163</v>
      </c>
      <c r="C22" s="11">
        <v>45191</v>
      </c>
      <c r="D22" s="12">
        <v>29</v>
      </c>
      <c r="E22" s="12">
        <v>26684</v>
      </c>
      <c r="F22" s="15" t="s">
        <v>10</v>
      </c>
      <c r="G22" s="19">
        <v>42</v>
      </c>
      <c r="M22" s="2"/>
      <c r="N22" s="2"/>
      <c r="O22" s="2"/>
      <c r="U22" s="2"/>
      <c r="V22" s="2"/>
      <c r="W22" s="2"/>
    </row>
    <row r="23" spans="1:23" x14ac:dyDescent="0.25">
      <c r="A23" s="11">
        <v>45162</v>
      </c>
      <c r="B23" s="11">
        <v>45129</v>
      </c>
      <c r="C23" s="11">
        <v>45162</v>
      </c>
      <c r="D23" s="12">
        <v>34</v>
      </c>
      <c r="E23" s="12">
        <v>26642</v>
      </c>
      <c r="F23" s="15" t="s">
        <v>9</v>
      </c>
      <c r="G23" s="19">
        <v>76</v>
      </c>
      <c r="M23" s="2"/>
      <c r="N23" s="2"/>
      <c r="O23" s="2"/>
      <c r="U23" s="2"/>
      <c r="V23" s="2"/>
      <c r="W23" s="2"/>
    </row>
    <row r="24" spans="1:23" x14ac:dyDescent="0.25">
      <c r="A24" s="11">
        <v>45131</v>
      </c>
      <c r="B24" s="11">
        <v>45100</v>
      </c>
      <c r="C24" s="11">
        <v>45128</v>
      </c>
      <c r="D24" s="12">
        <v>29</v>
      </c>
      <c r="E24" s="12">
        <v>26567</v>
      </c>
      <c r="F24" s="15" t="s">
        <v>10</v>
      </c>
      <c r="G24" s="19">
        <v>39</v>
      </c>
      <c r="M24" s="2"/>
      <c r="N24" s="2"/>
      <c r="O24" s="2"/>
      <c r="U24" s="2"/>
      <c r="V24" s="2"/>
      <c r="W24" s="2"/>
    </row>
    <row r="25" spans="1:23" x14ac:dyDescent="0.25">
      <c r="A25" s="11">
        <v>45100</v>
      </c>
      <c r="B25" s="11">
        <v>45071</v>
      </c>
      <c r="C25" s="11">
        <v>45099</v>
      </c>
      <c r="D25" s="12">
        <v>29</v>
      </c>
      <c r="E25" s="12">
        <v>26528</v>
      </c>
      <c r="F25" s="15" t="s">
        <v>9</v>
      </c>
      <c r="G25" s="19">
        <v>76</v>
      </c>
      <c r="M25" s="2"/>
      <c r="N25" s="2"/>
      <c r="O25" s="2"/>
      <c r="U25" s="2"/>
      <c r="V25" s="2"/>
      <c r="W25" s="2"/>
    </row>
    <row r="26" spans="1:23" x14ac:dyDescent="0.25">
      <c r="A26" s="11">
        <v>45071</v>
      </c>
      <c r="B26" s="11">
        <v>45041</v>
      </c>
      <c r="C26" s="11">
        <v>45070</v>
      </c>
      <c r="D26" s="12">
        <v>30</v>
      </c>
      <c r="E26" s="12">
        <v>26453</v>
      </c>
      <c r="F26" s="15" t="s">
        <v>10</v>
      </c>
      <c r="G26" s="19">
        <v>128</v>
      </c>
      <c r="M26" s="2"/>
      <c r="N26" s="2"/>
      <c r="O26" s="2"/>
      <c r="U26" s="2"/>
      <c r="V26" s="2"/>
      <c r="W26" s="2"/>
    </row>
    <row r="27" spans="1:23" x14ac:dyDescent="0.25">
      <c r="A27" s="11">
        <v>45041</v>
      </c>
      <c r="B27" s="11">
        <v>45009</v>
      </c>
      <c r="C27" s="11">
        <v>45040</v>
      </c>
      <c r="D27" s="12">
        <v>32</v>
      </c>
      <c r="E27" s="12">
        <v>26326</v>
      </c>
      <c r="F27" s="15" t="s">
        <v>9</v>
      </c>
      <c r="G27" s="19">
        <v>201</v>
      </c>
      <c r="M27" s="2"/>
      <c r="N27" s="2"/>
      <c r="O27" s="2"/>
      <c r="U27" s="2"/>
      <c r="V27" s="2"/>
      <c r="W27" s="2"/>
    </row>
    <row r="28" spans="1:23" x14ac:dyDescent="0.25">
      <c r="A28" s="11">
        <v>45009</v>
      </c>
      <c r="B28" s="11">
        <v>44979</v>
      </c>
      <c r="C28" s="11">
        <v>45008</v>
      </c>
      <c r="D28" s="12">
        <v>30</v>
      </c>
      <c r="E28" s="12">
        <v>26127</v>
      </c>
      <c r="F28" s="15" t="s">
        <v>10</v>
      </c>
      <c r="G28" s="19">
        <v>313</v>
      </c>
      <c r="M28" s="2"/>
      <c r="N28" s="2"/>
      <c r="O28" s="2"/>
      <c r="U28" s="2"/>
      <c r="V28" s="2"/>
      <c r="W28" s="2"/>
    </row>
    <row r="29" spans="1:23" x14ac:dyDescent="0.25">
      <c r="A29" s="11">
        <v>44980</v>
      </c>
      <c r="B29" s="11">
        <v>44951</v>
      </c>
      <c r="C29" s="11">
        <v>44978</v>
      </c>
      <c r="D29" s="12">
        <v>28</v>
      </c>
      <c r="E29" s="12">
        <v>25817</v>
      </c>
      <c r="F29" s="15" t="s">
        <v>9</v>
      </c>
      <c r="G29" s="19">
        <v>233</v>
      </c>
      <c r="M29" s="2"/>
      <c r="N29" s="2"/>
      <c r="O29" s="2"/>
      <c r="U29" s="2"/>
      <c r="V29" s="2"/>
      <c r="W29" s="2"/>
    </row>
    <row r="30" spans="1:23" x14ac:dyDescent="0.25">
      <c r="A30" s="11">
        <v>44951</v>
      </c>
      <c r="B30" s="11">
        <v>44917</v>
      </c>
      <c r="C30" s="11">
        <v>44950</v>
      </c>
      <c r="D30" s="12">
        <v>34</v>
      </c>
      <c r="E30" s="12">
        <v>25586</v>
      </c>
      <c r="F30" s="15" t="s">
        <v>10</v>
      </c>
      <c r="G30" s="19">
        <v>356</v>
      </c>
      <c r="M30" s="2"/>
      <c r="N30" s="2"/>
      <c r="O30" s="2"/>
      <c r="U30" s="2"/>
      <c r="V30" s="2"/>
      <c r="W30" s="2"/>
    </row>
    <row r="31" spans="1:23" x14ac:dyDescent="0.25">
      <c r="A31" s="11">
        <v>44917</v>
      </c>
      <c r="B31" s="11">
        <v>44888</v>
      </c>
      <c r="C31" s="11">
        <v>44916</v>
      </c>
      <c r="D31" s="12">
        <v>29</v>
      </c>
      <c r="E31" s="12">
        <v>25233</v>
      </c>
      <c r="F31" s="15" t="s">
        <v>10</v>
      </c>
      <c r="G31" s="19">
        <v>274</v>
      </c>
      <c r="M31" s="2"/>
      <c r="N31" s="2"/>
      <c r="O31" s="2"/>
      <c r="U31" s="2"/>
      <c r="V31" s="2"/>
      <c r="W31" s="2"/>
    </row>
    <row r="32" spans="1:23" x14ac:dyDescent="0.25">
      <c r="A32" s="11">
        <v>44888</v>
      </c>
      <c r="B32" s="11">
        <v>44860</v>
      </c>
      <c r="C32" s="11">
        <v>44887</v>
      </c>
      <c r="D32" s="12">
        <v>28</v>
      </c>
      <c r="E32" s="12">
        <v>24961</v>
      </c>
      <c r="F32" s="15" t="s">
        <v>10</v>
      </c>
      <c r="G32" s="19">
        <v>188</v>
      </c>
      <c r="M32" s="2"/>
      <c r="N32" s="2"/>
      <c r="O32" s="2"/>
      <c r="U32" s="2"/>
      <c r="V32" s="2"/>
      <c r="W32" s="2"/>
    </row>
    <row r="33" spans="1:23" x14ac:dyDescent="0.25">
      <c r="A33" s="11">
        <v>44859</v>
      </c>
      <c r="B33" s="11">
        <v>44828</v>
      </c>
      <c r="C33" s="11">
        <v>44859</v>
      </c>
      <c r="D33" s="12">
        <v>32</v>
      </c>
      <c r="E33" s="12">
        <v>24775</v>
      </c>
      <c r="F33" s="15" t="s">
        <v>9</v>
      </c>
      <c r="G33" s="19">
        <v>81</v>
      </c>
      <c r="M33" s="2"/>
      <c r="N33" s="2"/>
      <c r="O33" s="2"/>
      <c r="U33" s="2"/>
      <c r="V33" s="2"/>
      <c r="W33" s="2"/>
    </row>
    <row r="34" spans="1:23" x14ac:dyDescent="0.25">
      <c r="A34" s="11">
        <v>44830</v>
      </c>
      <c r="B34" s="11">
        <v>44798</v>
      </c>
      <c r="C34" s="11">
        <v>44827</v>
      </c>
      <c r="D34" s="12">
        <v>30</v>
      </c>
      <c r="E34" s="12">
        <v>24695</v>
      </c>
      <c r="F34" s="15" t="s">
        <v>10</v>
      </c>
      <c r="G34" s="19">
        <v>40</v>
      </c>
      <c r="M34" s="2"/>
      <c r="N34" s="2"/>
      <c r="O34" s="2"/>
      <c r="U34" s="2"/>
      <c r="V34" s="2"/>
      <c r="W34" s="2"/>
    </row>
    <row r="35" spans="1:23" x14ac:dyDescent="0.25">
      <c r="A35" s="11">
        <v>44798</v>
      </c>
      <c r="B35" s="11">
        <v>44765</v>
      </c>
      <c r="C35" s="11">
        <v>44797</v>
      </c>
      <c r="D35" s="12">
        <v>33</v>
      </c>
      <c r="E35" s="12">
        <v>24655</v>
      </c>
      <c r="F35" s="15" t="s">
        <v>9</v>
      </c>
      <c r="G35" s="19">
        <v>52</v>
      </c>
      <c r="M35" s="2"/>
      <c r="N35" s="2"/>
      <c r="O35" s="2"/>
      <c r="U35" s="2"/>
      <c r="V35" s="2"/>
      <c r="W35" s="2"/>
    </row>
    <row r="36" spans="1:23" x14ac:dyDescent="0.25">
      <c r="A36" s="11">
        <v>44767</v>
      </c>
      <c r="B36" s="11">
        <v>44735</v>
      </c>
      <c r="C36" s="11">
        <v>44764</v>
      </c>
      <c r="D36" s="12">
        <v>30</v>
      </c>
      <c r="E36" s="12">
        <v>24603</v>
      </c>
      <c r="F36" s="15" t="s">
        <v>10</v>
      </c>
      <c r="G36" s="19">
        <v>40</v>
      </c>
      <c r="M36" s="2"/>
      <c r="N36" s="2"/>
      <c r="O36" s="2"/>
      <c r="U36" s="2"/>
      <c r="V36" s="2"/>
      <c r="W36" s="2"/>
    </row>
    <row r="37" spans="1:23" x14ac:dyDescent="0.25">
      <c r="A37" s="11">
        <v>44735</v>
      </c>
      <c r="B37" s="11">
        <v>44706</v>
      </c>
      <c r="C37" s="11">
        <v>44734</v>
      </c>
      <c r="D37" s="12">
        <v>29</v>
      </c>
      <c r="E37" s="12">
        <v>24563</v>
      </c>
      <c r="F37" s="15" t="s">
        <v>9</v>
      </c>
      <c r="G37" s="19">
        <v>5</v>
      </c>
      <c r="M37" s="2"/>
      <c r="N37" s="2"/>
      <c r="O37" s="2"/>
      <c r="U37" s="2"/>
      <c r="V37" s="2"/>
      <c r="W37" s="2"/>
    </row>
    <row r="38" spans="1:23" x14ac:dyDescent="0.25">
      <c r="A38" s="11">
        <v>44706</v>
      </c>
      <c r="B38" s="11">
        <v>44675</v>
      </c>
      <c r="C38" s="11">
        <v>44705</v>
      </c>
      <c r="D38" s="12">
        <v>31</v>
      </c>
      <c r="E38" s="12">
        <v>24558</v>
      </c>
      <c r="F38" s="15" t="s">
        <v>10</v>
      </c>
      <c r="G38" s="19">
        <v>118</v>
      </c>
      <c r="M38" s="2"/>
      <c r="N38" s="2"/>
      <c r="O38" s="2"/>
      <c r="U38" s="2"/>
      <c r="V38" s="2"/>
      <c r="W38" s="2"/>
    </row>
    <row r="39" spans="1:23" x14ac:dyDescent="0.25">
      <c r="A39" s="11">
        <v>44676</v>
      </c>
      <c r="B39" s="11">
        <v>44644</v>
      </c>
      <c r="C39" s="11">
        <v>44674</v>
      </c>
      <c r="D39" s="12">
        <v>31</v>
      </c>
      <c r="E39" s="12">
        <v>24441</v>
      </c>
      <c r="F39" s="15" t="s">
        <v>9</v>
      </c>
      <c r="G39" s="19">
        <v>222</v>
      </c>
      <c r="M39" s="2"/>
      <c r="N39" s="2"/>
      <c r="O39" s="2"/>
      <c r="U39" s="2"/>
      <c r="V39" s="2"/>
      <c r="W39" s="2"/>
    </row>
    <row r="40" spans="1:23" x14ac:dyDescent="0.25">
      <c r="A40" s="11">
        <v>44644</v>
      </c>
      <c r="B40" s="11">
        <v>44615</v>
      </c>
      <c r="C40" s="11">
        <v>44643</v>
      </c>
      <c r="D40" s="12">
        <v>29</v>
      </c>
      <c r="E40" s="12">
        <v>24221</v>
      </c>
      <c r="F40" s="15" t="s">
        <v>10</v>
      </c>
      <c r="G40" s="19">
        <v>303</v>
      </c>
      <c r="M40" s="2"/>
      <c r="N40" s="2"/>
      <c r="O40" s="2"/>
      <c r="U40" s="2"/>
      <c r="V40" s="2"/>
      <c r="W40" s="2"/>
    </row>
    <row r="41" spans="1:23" x14ac:dyDescent="0.25">
      <c r="A41" s="11">
        <v>44615</v>
      </c>
      <c r="B41" s="11">
        <v>44586</v>
      </c>
      <c r="C41" s="11">
        <v>44614</v>
      </c>
      <c r="D41" s="12">
        <v>29</v>
      </c>
      <c r="E41" s="12">
        <v>23920</v>
      </c>
      <c r="F41" s="15" t="s">
        <v>9</v>
      </c>
      <c r="G41" s="19">
        <v>265</v>
      </c>
      <c r="M41" s="2"/>
      <c r="N41" s="2"/>
      <c r="O41" s="2"/>
      <c r="U41" s="2"/>
      <c r="V41" s="2"/>
      <c r="W41" s="2"/>
    </row>
    <row r="42" spans="1:23" x14ac:dyDescent="0.25">
      <c r="A42" s="11">
        <v>44586</v>
      </c>
      <c r="B42" s="11">
        <v>44552</v>
      </c>
      <c r="C42" s="11">
        <v>44585</v>
      </c>
      <c r="D42" s="12">
        <v>34</v>
      </c>
      <c r="E42" s="12">
        <v>23657</v>
      </c>
      <c r="F42" s="15" t="s">
        <v>10</v>
      </c>
      <c r="G42" s="19">
        <v>467</v>
      </c>
      <c r="M42" s="2"/>
      <c r="N42" s="2"/>
      <c r="O42" s="2"/>
      <c r="U42" s="2"/>
      <c r="V42" s="2"/>
      <c r="W42" s="2"/>
    </row>
    <row r="43" spans="1:23" x14ac:dyDescent="0.25">
      <c r="A43" s="11">
        <v>44553</v>
      </c>
      <c r="B43" s="11">
        <v>44524</v>
      </c>
      <c r="C43" s="11">
        <v>44551</v>
      </c>
      <c r="D43" s="12">
        <v>28</v>
      </c>
      <c r="E43" s="12">
        <v>23194</v>
      </c>
      <c r="F43" s="15" t="s">
        <v>9</v>
      </c>
      <c r="G43" s="19">
        <v>191</v>
      </c>
      <c r="M43" s="2"/>
      <c r="N43" s="2"/>
      <c r="O43" s="2"/>
      <c r="U43" s="2"/>
      <c r="V43" s="2"/>
      <c r="W43" s="2"/>
    </row>
    <row r="44" spans="1:23" x14ac:dyDescent="0.25">
      <c r="A44" s="11">
        <v>44524</v>
      </c>
      <c r="B44" s="11">
        <v>44493</v>
      </c>
      <c r="C44" s="11">
        <v>44523</v>
      </c>
      <c r="D44" s="12">
        <v>31</v>
      </c>
      <c r="E44" s="12">
        <v>23005</v>
      </c>
      <c r="F44" s="15" t="s">
        <v>10</v>
      </c>
      <c r="G44" s="19">
        <v>219</v>
      </c>
      <c r="M44" s="2"/>
      <c r="N44" s="2"/>
      <c r="O44" s="2"/>
      <c r="U44" s="2"/>
      <c r="V44" s="2"/>
      <c r="W44" s="2"/>
    </row>
    <row r="45" spans="1:23" x14ac:dyDescent="0.25">
      <c r="A45" s="11">
        <v>44494</v>
      </c>
      <c r="B45" s="11">
        <v>44463</v>
      </c>
      <c r="C45" s="11">
        <v>44492</v>
      </c>
      <c r="D45" s="12">
        <v>30</v>
      </c>
      <c r="E45" s="12">
        <v>22788</v>
      </c>
      <c r="F45" s="15" t="s">
        <v>9</v>
      </c>
      <c r="G45" s="19">
        <v>37</v>
      </c>
      <c r="M45" s="2"/>
      <c r="O45" s="2"/>
      <c r="U45" s="2"/>
      <c r="W45" s="2"/>
    </row>
    <row r="46" spans="1:23" x14ac:dyDescent="0.25">
      <c r="A46" s="11">
        <v>44463</v>
      </c>
      <c r="B46" s="11">
        <v>44433</v>
      </c>
      <c r="C46" s="11">
        <v>44462</v>
      </c>
      <c r="D46" s="12">
        <v>30</v>
      </c>
      <c r="E46" s="12">
        <v>22751</v>
      </c>
      <c r="F46" s="15" t="s">
        <v>10</v>
      </c>
      <c r="G46" s="19">
        <v>48</v>
      </c>
      <c r="M46" s="2"/>
      <c r="O46" s="2"/>
      <c r="U46" s="2"/>
      <c r="W46" s="2"/>
    </row>
    <row r="47" spans="1:23" x14ac:dyDescent="0.25">
      <c r="A47" s="11">
        <v>44433</v>
      </c>
      <c r="B47" s="11">
        <v>44400</v>
      </c>
      <c r="C47" s="11">
        <v>44432</v>
      </c>
      <c r="D47" s="12">
        <v>33</v>
      </c>
      <c r="E47" s="12">
        <v>22703</v>
      </c>
      <c r="F47" s="15" t="s">
        <v>9</v>
      </c>
      <c r="G47" s="19">
        <v>25</v>
      </c>
      <c r="M47" s="2"/>
      <c r="O47" s="2"/>
      <c r="U47" s="2"/>
      <c r="W47" s="2"/>
    </row>
    <row r="48" spans="1:23" x14ac:dyDescent="0.25">
      <c r="A48" s="11">
        <v>44400</v>
      </c>
      <c r="B48" s="11">
        <v>44369</v>
      </c>
      <c r="C48" s="11">
        <v>44399</v>
      </c>
      <c r="D48" s="12">
        <v>31</v>
      </c>
      <c r="E48" s="12">
        <v>22678</v>
      </c>
      <c r="F48" s="15" t="s">
        <v>10</v>
      </c>
      <c r="G48" s="19">
        <v>50</v>
      </c>
      <c r="M48" s="2"/>
      <c r="O48" s="2"/>
      <c r="U48" s="2"/>
      <c r="W48" s="2"/>
    </row>
    <row r="49" spans="1:23" x14ac:dyDescent="0.25">
      <c r="A49" s="11">
        <v>44370</v>
      </c>
      <c r="B49" s="11">
        <v>44338</v>
      </c>
      <c r="C49" s="11">
        <v>44368</v>
      </c>
      <c r="D49" s="12">
        <v>31</v>
      </c>
      <c r="E49" s="12">
        <v>22628</v>
      </c>
      <c r="F49" s="15" t="s">
        <v>9</v>
      </c>
      <c r="G49" s="5">
        <v>85</v>
      </c>
      <c r="M49" s="2"/>
      <c r="O49" s="2"/>
      <c r="U49" s="2"/>
      <c r="W49" s="2"/>
    </row>
    <row r="50" spans="1:23" x14ac:dyDescent="0.25">
      <c r="A50" s="11">
        <v>44341</v>
      </c>
      <c r="B50" s="11">
        <v>44309</v>
      </c>
      <c r="C50" s="11">
        <v>44337</v>
      </c>
      <c r="D50" s="12">
        <v>29</v>
      </c>
      <c r="E50" s="12">
        <v>22544</v>
      </c>
      <c r="F50" s="15" t="s">
        <v>10</v>
      </c>
      <c r="G50" s="5">
        <v>116</v>
      </c>
      <c r="M50" s="2"/>
      <c r="O50" s="2"/>
      <c r="U50" s="2"/>
      <c r="W50" s="2"/>
    </row>
    <row r="51" spans="1:23" x14ac:dyDescent="0.25">
      <c r="A51" s="11">
        <v>44309</v>
      </c>
      <c r="B51" s="11">
        <v>44279</v>
      </c>
      <c r="C51" s="11">
        <v>44308</v>
      </c>
      <c r="D51" s="12">
        <v>30</v>
      </c>
      <c r="E51" s="12">
        <v>22429</v>
      </c>
      <c r="F51" s="15" t="s">
        <v>9</v>
      </c>
      <c r="G51" s="5">
        <v>273</v>
      </c>
      <c r="M51" s="2"/>
      <c r="O51" s="2"/>
      <c r="U51" s="2"/>
      <c r="W51" s="2"/>
    </row>
    <row r="52" spans="1:23" x14ac:dyDescent="0.25">
      <c r="A52" s="11">
        <v>44279</v>
      </c>
      <c r="B52" s="11">
        <v>44250</v>
      </c>
      <c r="C52" s="11">
        <v>44278</v>
      </c>
      <c r="D52" s="12">
        <v>29</v>
      </c>
      <c r="E52" s="12">
        <v>22159</v>
      </c>
      <c r="F52" s="15" t="s">
        <v>10</v>
      </c>
      <c r="G52" s="5">
        <v>283</v>
      </c>
      <c r="M52" s="2"/>
      <c r="O52" s="2"/>
      <c r="U52" s="2"/>
      <c r="W52" s="2"/>
    </row>
    <row r="53" spans="1:23" x14ac:dyDescent="0.25">
      <c r="A53" s="11">
        <v>44250</v>
      </c>
      <c r="B53" s="11">
        <v>44219</v>
      </c>
      <c r="C53" s="11">
        <v>44249</v>
      </c>
      <c r="D53" s="12">
        <v>31</v>
      </c>
      <c r="E53" s="12">
        <v>21878</v>
      </c>
      <c r="F53" s="15" t="s">
        <v>9</v>
      </c>
      <c r="G53" s="5">
        <v>524</v>
      </c>
      <c r="M53" s="2"/>
      <c r="O53" s="2"/>
      <c r="U53" s="2"/>
      <c r="W53" s="2"/>
    </row>
    <row r="54" spans="1:23" x14ac:dyDescent="0.25">
      <c r="A54" s="11">
        <v>44222</v>
      </c>
      <c r="B54" s="11">
        <v>44188</v>
      </c>
      <c r="C54" s="11">
        <v>44218</v>
      </c>
      <c r="D54" s="12">
        <v>31</v>
      </c>
      <c r="E54" s="12">
        <v>21358</v>
      </c>
      <c r="F54" s="15" t="s">
        <v>10</v>
      </c>
      <c r="G54" s="5">
        <v>329</v>
      </c>
      <c r="M54" s="2"/>
      <c r="O54" s="2"/>
      <c r="U54" s="2"/>
      <c r="W54" s="2"/>
    </row>
    <row r="55" spans="1:23" x14ac:dyDescent="0.25">
      <c r="A55" s="11">
        <v>44188</v>
      </c>
      <c r="B55" s="11">
        <v>44159</v>
      </c>
      <c r="C55" s="11">
        <v>44187</v>
      </c>
      <c r="D55" s="12">
        <v>29</v>
      </c>
      <c r="E55" s="12">
        <v>21032</v>
      </c>
      <c r="F55" s="15" t="s">
        <v>9</v>
      </c>
      <c r="G55" s="5">
        <v>363</v>
      </c>
      <c r="M55" s="2"/>
      <c r="O55" s="2"/>
      <c r="U55" s="2"/>
      <c r="W55" s="2"/>
    </row>
    <row r="56" spans="1:23" x14ac:dyDescent="0.25">
      <c r="A56" s="11">
        <v>44159</v>
      </c>
      <c r="B56" s="11">
        <v>44127</v>
      </c>
      <c r="C56" s="11">
        <v>44158</v>
      </c>
      <c r="D56" s="12">
        <v>32</v>
      </c>
      <c r="E56" s="12">
        <v>20672</v>
      </c>
      <c r="F56" s="15" t="s">
        <v>10</v>
      </c>
      <c r="G56" s="5">
        <v>218</v>
      </c>
      <c r="M56" s="2"/>
      <c r="O56" s="2"/>
      <c r="U56" s="2"/>
      <c r="W56" s="2"/>
    </row>
    <row r="57" spans="1:23" x14ac:dyDescent="0.25">
      <c r="A57" s="11">
        <v>44130</v>
      </c>
      <c r="B57" s="11">
        <v>44098</v>
      </c>
      <c r="C57" s="11">
        <v>44126</v>
      </c>
      <c r="D57" s="12">
        <v>29</v>
      </c>
      <c r="E57" s="12">
        <v>20456</v>
      </c>
      <c r="F57" s="15" t="s">
        <v>9</v>
      </c>
      <c r="G57" s="5">
        <v>134</v>
      </c>
      <c r="M57" s="2"/>
      <c r="O57" s="2"/>
      <c r="U57" s="2"/>
      <c r="W57" s="2"/>
    </row>
    <row r="58" spans="1:23" x14ac:dyDescent="0.25">
      <c r="A58" s="11">
        <v>44098</v>
      </c>
      <c r="B58" s="11">
        <v>44068</v>
      </c>
      <c r="C58" s="11">
        <v>44097</v>
      </c>
      <c r="D58" s="12">
        <v>30</v>
      </c>
      <c r="E58" s="12">
        <v>20323</v>
      </c>
      <c r="F58" s="15" t="s">
        <v>10</v>
      </c>
      <c r="G58" s="5">
        <v>50</v>
      </c>
      <c r="M58" s="2"/>
      <c r="O58" s="2"/>
      <c r="U58" s="2"/>
      <c r="W58" s="2"/>
    </row>
    <row r="59" spans="1:23" x14ac:dyDescent="0.25">
      <c r="A59" s="11">
        <v>44068</v>
      </c>
      <c r="B59" s="11">
        <v>44036</v>
      </c>
      <c r="C59" s="11">
        <v>44067</v>
      </c>
      <c r="D59" s="12">
        <v>32</v>
      </c>
      <c r="E59" s="12">
        <v>20273</v>
      </c>
      <c r="F59" s="15" t="s">
        <v>9</v>
      </c>
      <c r="G59" s="5">
        <v>22</v>
      </c>
      <c r="M59" s="2"/>
      <c r="O59" s="2"/>
      <c r="U59" s="2"/>
      <c r="W59" s="2"/>
    </row>
    <row r="60" spans="1:23" x14ac:dyDescent="0.25">
      <c r="A60" s="11">
        <v>44036</v>
      </c>
      <c r="B60" s="11">
        <v>44006</v>
      </c>
      <c r="C60" s="11">
        <v>44035</v>
      </c>
      <c r="D60" s="12">
        <v>30</v>
      </c>
      <c r="E60" s="12">
        <v>20251</v>
      </c>
      <c r="F60" s="15" t="s">
        <v>10</v>
      </c>
      <c r="G60" s="5">
        <v>50</v>
      </c>
      <c r="M60" s="2"/>
      <c r="O60" s="2"/>
      <c r="U60" s="2"/>
      <c r="W60" s="2"/>
    </row>
    <row r="61" spans="1:23" x14ac:dyDescent="0.25">
      <c r="A61" s="11">
        <v>44006</v>
      </c>
      <c r="B61" s="11">
        <v>43977</v>
      </c>
      <c r="C61" s="11">
        <v>44005</v>
      </c>
      <c r="D61" s="12">
        <v>29</v>
      </c>
      <c r="E61" s="12">
        <v>20201</v>
      </c>
      <c r="F61" s="15" t="s">
        <v>9</v>
      </c>
      <c r="G61" s="5">
        <v>69</v>
      </c>
      <c r="M61" s="2"/>
      <c r="O61" s="2"/>
      <c r="U61" s="2"/>
      <c r="W61" s="2"/>
    </row>
    <row r="62" spans="1:23" x14ac:dyDescent="0.25">
      <c r="A62" s="11">
        <v>43977</v>
      </c>
      <c r="B62" s="11">
        <v>43944</v>
      </c>
      <c r="C62" s="11">
        <v>43976</v>
      </c>
      <c r="D62" s="12">
        <v>33</v>
      </c>
      <c r="E62" s="12">
        <v>20133</v>
      </c>
      <c r="F62" s="15" t="s">
        <v>10</v>
      </c>
      <c r="G62" s="5">
        <v>145</v>
      </c>
      <c r="M62" s="2"/>
      <c r="O62" s="2"/>
      <c r="U62" s="2"/>
      <c r="W62" s="2"/>
    </row>
    <row r="63" spans="1:23" x14ac:dyDescent="0.25">
      <c r="A63" s="4">
        <v>43944</v>
      </c>
      <c r="B63" s="4">
        <v>43915</v>
      </c>
      <c r="C63" s="4">
        <v>43943</v>
      </c>
      <c r="D63" s="5">
        <v>29</v>
      </c>
      <c r="E63" s="5">
        <v>19989</v>
      </c>
      <c r="F63" s="16" t="s">
        <v>9</v>
      </c>
      <c r="G63" s="5">
        <v>243</v>
      </c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625" defaultRowHeight="15.75" x14ac:dyDescent="0.25"/>
  <cols>
    <col min="1" max="1" width="47" customWidth="1"/>
    <col min="2" max="2" width="10.125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Ottawa</v>
      </c>
    </row>
    <row r="5" spans="1:3" x14ac:dyDescent="0.25">
      <c r="A5" s="23" t="s">
        <v>12</v>
      </c>
      <c r="B5" s="23"/>
    </row>
    <row r="6" spans="1:3" x14ac:dyDescent="0.25">
      <c r="A6" t="s">
        <v>13</v>
      </c>
      <c r="B6" s="7">
        <f>SUM(WorkingData!$G$2:$G$133)/SUM(WorkingData!$I$2:$I$133)</f>
        <v>5.7263273125342087</v>
      </c>
    </row>
    <row r="7" spans="1:3" x14ac:dyDescent="0.25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1.9674355495251017</v>
      </c>
    </row>
    <row r="8" spans="1:3" x14ac:dyDescent="0.25">
      <c r="A8" t="s">
        <v>15</v>
      </c>
      <c r="B8" s="7">
        <f>SUMPRODUCT(WorkingData!$G$2:$G$133,WorkingData!$Q$2:$Q$133)/SUMPRODUCT(WorkingData!$I$2:$I$133,WorkingData!$Q$2:$Q$133)</f>
        <v>8.2678899082568815</v>
      </c>
    </row>
    <row r="9" spans="1:3" x14ac:dyDescent="0.25">
      <c r="A9" t="s">
        <v>16</v>
      </c>
      <c r="B9" s="13">
        <f>SUMPRODUCT(WorkingData!$G$2:$G$133,WorkingData!$Q$2:$Q$133)/SUMPRODUCT(WorkingData!$M$2:$M$133,WorkingData!$Q$2:$Q$133)</f>
        <v>0.4705538353344535</v>
      </c>
    </row>
    <row r="10" spans="1:3" x14ac:dyDescent="0.25">
      <c r="A10" t="s">
        <v>17</v>
      </c>
      <c r="B10" s="7">
        <f>_xlfn.XLOOKUP(MAX(WorkingData!$O$2:$O$133),WorkingData!$O$2:$O$133,WorkingData!$N$2:$N$133)</f>
        <v>11.619047619047619</v>
      </c>
    </row>
    <row r="11" spans="1:3" x14ac:dyDescent="0.25">
      <c r="A11" t="s">
        <v>18</v>
      </c>
      <c r="B11" s="14">
        <f>_xlfn.XLOOKUP(MAX(WorkingData!$O$2:$O$133),WorkingData!$O$2:$O$133,WorkingData!$O$2:$O$133)</f>
        <v>29.26984135640992</v>
      </c>
    </row>
    <row r="12" spans="1:3" x14ac:dyDescent="0.25">
      <c r="A12" t="s">
        <v>19</v>
      </c>
      <c r="B12" s="14"/>
    </row>
    <row r="14" spans="1:3" x14ac:dyDescent="0.25">
      <c r="A14" s="17" t="s">
        <v>20</v>
      </c>
      <c r="B14" s="17" t="s">
        <v>21</v>
      </c>
      <c r="C14" s="17" t="s">
        <v>22</v>
      </c>
    </row>
    <row r="15" spans="1:3" x14ac:dyDescent="0.25">
      <c r="A15" t="s">
        <v>23</v>
      </c>
      <c r="B15" s="7">
        <f>'DDD Model Summary'!$B$6+(C15-5)*'DDD Model Summary'!$B$5</f>
        <v>18.245347839533942</v>
      </c>
      <c r="C15" s="14">
        <f>'DDD Model Calculations'!D26</f>
        <v>42.600000381469727</v>
      </c>
    </row>
    <row r="16" spans="1:3" x14ac:dyDescent="0.25">
      <c r="A16" t="s">
        <v>24</v>
      </c>
      <c r="B16" s="7">
        <f>'DDD Model Summary'!$B$6+(C16-5)*'DDD Model Summary'!$B$5</f>
        <v>18.453427337748991</v>
      </c>
      <c r="C16" s="14">
        <f>'DDD Model Calculations'!D25</f>
        <v>43.100000381469727</v>
      </c>
    </row>
    <row r="17" spans="1:3" x14ac:dyDescent="0.25">
      <c r="A17" t="s">
        <v>25</v>
      </c>
      <c r="B17" s="7">
        <f>'DDD Model Summary'!$B$6+(C17-5)*'DDD Model Summary'!$B$5</f>
        <v>19.077665832394146</v>
      </c>
      <c r="C17" s="14">
        <f>'DDD Model Calculations'!D24</f>
        <v>44.600000381469727</v>
      </c>
    </row>
    <row r="18" spans="1:3" x14ac:dyDescent="0.25">
      <c r="A18" t="s">
        <v>26</v>
      </c>
      <c r="B18" s="7">
        <f>'DDD Model Summary'!$B$6+(C18-5)*'DDD Model Summary'!$B$5</f>
        <v>21.324924254364635</v>
      </c>
      <c r="C18" s="14">
        <f>'DDD Model Calculations'!D21</f>
        <v>50</v>
      </c>
    </row>
    <row r="19" spans="1:3" x14ac:dyDescent="0.25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A27" sqref="A27"/>
    </sheetView>
  </sheetViews>
  <sheetFormatPr defaultColWidth="10.625" defaultRowHeight="15.75" x14ac:dyDescent="0.25"/>
  <cols>
    <col min="1" max="1" width="40" customWidth="1"/>
    <col min="2" max="2" width="10.125" customWidth="1"/>
  </cols>
  <sheetData>
    <row r="1" spans="1:2" x14ac:dyDescent="0.25">
      <c r="A1" t="s">
        <v>27</v>
      </c>
    </row>
    <row r="3" spans="1:2" x14ac:dyDescent="0.25">
      <c r="A3" t="s">
        <v>0</v>
      </c>
      <c r="B3" t="str">
        <f>'DDD Model Calculations'!D19</f>
        <v>Ottawa</v>
      </c>
    </row>
    <row r="4" spans="1:2" x14ac:dyDescent="0.25">
      <c r="A4" t="s">
        <v>28</v>
      </c>
      <c r="B4" s="6" t="str">
        <f>_xlfn.XLOOKUP(MAX('DDD Model Calculations'!$D$14:$G$14),'DDD Model Calculations'!$D$14:$G$14,'DDD Model Calculations'!$D2:$G2)</f>
        <v>4 years</v>
      </c>
    </row>
    <row r="5" spans="1:2" x14ac:dyDescent="0.25">
      <c r="A5" t="s">
        <v>29</v>
      </c>
      <c r="B5" s="13">
        <f>_xlfn.XLOOKUP(MAX('DDD Model Calculations'!$D$14:$G$14),'DDD Model Calculations'!$D$14:$G$14,'DDD Model Calculations'!$D12:$G12)</f>
        <v>0.41615899643010151</v>
      </c>
    </row>
    <row r="6" spans="1:2" x14ac:dyDescent="0.25">
      <c r="A6" t="s">
        <v>30</v>
      </c>
      <c r="B6" s="13">
        <f>_xlfn.XLOOKUP(MAX('DDD Model Calculations'!$D$14:$G$14),'DDD Model Calculations'!$D$14:$G$14,'DDD Model Calculations'!$D13:$G13)</f>
        <v>2.5977694150100668</v>
      </c>
    </row>
    <row r="7" spans="1:2" x14ac:dyDescent="0.25">
      <c r="A7" t="s">
        <v>31</v>
      </c>
      <c r="B7" s="13">
        <f>_xlfn.XLOOKUP(MAX('DDD Model Calculations'!$D$14:$G$14),'DDD Model Calculations'!$D$14:$G$14,'DDD Model Calculations'!$D14:$G14)</f>
        <v>0.92315599634210432</v>
      </c>
    </row>
    <row r="8" spans="1:2" x14ac:dyDescent="0.25">
      <c r="A8" t="s">
        <v>26</v>
      </c>
      <c r="B8" s="7">
        <f>B6+(B10)*B5</f>
        <v>21.324924254364635</v>
      </c>
    </row>
    <row r="9" spans="1:2" x14ac:dyDescent="0.25">
      <c r="A9" t="s">
        <v>32</v>
      </c>
      <c r="B9">
        <f>'DDD Model Calculations'!D21</f>
        <v>50</v>
      </c>
    </row>
    <row r="10" spans="1:2" x14ac:dyDescent="0.25">
      <c r="A10" t="s">
        <v>33</v>
      </c>
      <c r="B10">
        <f>B9-5</f>
        <v>45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31"/>
  <sheetViews>
    <sheetView workbookViewId="0">
      <selection activeCell="A32" sqref="A32"/>
    </sheetView>
  </sheetViews>
  <sheetFormatPr defaultColWidth="10.62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 x14ac:dyDescent="0.25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 x14ac:dyDescent="0.25">
      <c r="C3" t="s">
        <v>42</v>
      </c>
      <c r="D3">
        <f>SUMPRODUCT(WorkingData!$Q$2:$Q$133,WorkingData!T$2:T$133,WorkingData!AF$2:AF$133)</f>
        <v>0</v>
      </c>
      <c r="E3">
        <f>SUMPRODUCT(WorkingData!$Q$2:$Q$133,WorkingData!U$2:U$133,WorkingData!AG$2:AG$133)</f>
        <v>5</v>
      </c>
      <c r="F3">
        <f>SUMPRODUCT(WorkingData!$Q$2:$Q$133,WorkingData!V$2:V$133,WorkingData!AH$2:AH$133)</f>
        <v>11</v>
      </c>
      <c r="G3">
        <f>SUMPRODUCT(WorkingData!$Q$2:$Q$133,WorkingData!W$2:W$133,WorkingData!AI$2:AI$133)</f>
        <v>16</v>
      </c>
      <c r="J3" t="s">
        <v>42</v>
      </c>
      <c r="K3">
        <f>SUMPRODUCT(WorkingData!$Q$2:$Q$133,WorkingData!T$2:T$133)</f>
        <v>2</v>
      </c>
      <c r="L3">
        <f>SUMPRODUCT(WorkingData!$Q$2:$Q$133,WorkingData!U$2:U$133)</f>
        <v>5</v>
      </c>
      <c r="M3">
        <f>SUMPRODUCT(WorkingData!$Q$2:$Q$133,WorkingData!V$2:V$133)</f>
        <v>11</v>
      </c>
      <c r="N3">
        <f>SUMPRODUCT(WorkingData!$Q$2:$Q$133,WorkingData!W$2:W$133)</f>
        <v>16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 x14ac:dyDescent="0.25">
      <c r="B4" t="s">
        <v>45</v>
      </c>
      <c r="C4" t="s">
        <v>46</v>
      </c>
      <c r="D4" s="3" t="e">
        <f>SUMPRODUCT(WorkingData!$Q$2:$Q$133,WorkingData!T$2:T$133,WorkingData!$N$2:$N$133,WorkingData!AF$2:AF$133)/D$3</f>
        <v>#DIV/0!</v>
      </c>
      <c r="E4" s="3">
        <f>SUMPRODUCT(WorkingData!$Q$2:$Q$133,WorkingData!U$2:U$133,WorkingData!$N$2:$N$133,WorkingData!AG$2:AG$133)/E$3</f>
        <v>8.7318833757084597</v>
      </c>
      <c r="F4" s="3">
        <f>SUMPRODUCT(WorkingData!$Q$2:$Q$133,WorkingData!V$2:V$133,WorkingData!$N$2:$N$133,WorkingData!AH$2:AH$133)/F$3</f>
        <v>8.1864986633584564</v>
      </c>
      <c r="G4" s="3">
        <f>SUMPRODUCT(WorkingData!$Q$2:$Q$133,WorkingData!W$2:W$133,WorkingData!$N$2:$N$133,WorkingData!AI$2:AI$133)/G$3</f>
        <v>8.0830078600992632</v>
      </c>
      <c r="I4" t="s">
        <v>45</v>
      </c>
      <c r="J4" t="s">
        <v>46</v>
      </c>
      <c r="K4" s="3">
        <f>SUMPRODUCT(WorkingData!$Q$2:$Q$133,WorkingData!T$2:T$133,WorkingData!$N$2:$N$133)/K$3</f>
        <v>8.6215239154616246</v>
      </c>
      <c r="L4" s="3">
        <f>SUMPRODUCT(WorkingData!$Q$2:$Q$133,WorkingData!U$2:U$133,WorkingData!$N$2:$N$133)/L$3</f>
        <v>8.7318833757084597</v>
      </c>
      <c r="M4" s="3">
        <f>SUMPRODUCT(WorkingData!$Q$2:$Q$133,WorkingData!V$2:V$133,WorkingData!$N$2:$N$133)/M$3</f>
        <v>8.1864986633584564</v>
      </c>
      <c r="N4" s="3">
        <f>SUMPRODUCT(WorkingData!$Q$2:$Q$133,WorkingData!W$2:W$133,WorkingData!$N$2:$N$133)/N$3</f>
        <v>8.0830078600992632</v>
      </c>
      <c r="P4" s="3" t="s">
        <v>47</v>
      </c>
      <c r="Q4" cm="1">
        <f t="array" aca="1" ref="Q4:Q31" ca="1">OFFSET(WorkingData!$P$2,0,0,COUNTIF(WorkingData!$P$2:$P$132,"&gt;=-5"))</f>
        <v>17.795967718345985</v>
      </c>
      <c r="R4" cm="1">
        <f t="array" aca="1" ref="R4:R31" ca="1">OFFSET(WorkingData!$O$2,0,0,COUNTIF(WorkingData!$O$2:$O$132,"&gt;=0"))</f>
        <v>22.795967718345985</v>
      </c>
      <c r="S4" cm="1">
        <f t="array" aca="1" ref="S4:S31" ca="1">OFFSET(WorkingData!$N$2,0,0,COUNTIF(WorkingData!$N$2:$N$132,"&gt;=0"))</f>
        <v>10.225806451612904</v>
      </c>
      <c r="U4" cm="1">
        <f t="array" ref="U4:Z14">_xlfn._xlws.FILTER(WorkingData!N2:S132,(WorkingData!Q2:Q132=1)*(WorkingData!R2:R132&lt;=D23)*(WorkingData!S2:S132=1))</f>
        <v>10.225806451612904</v>
      </c>
      <c r="V4">
        <v>22.795967718345985</v>
      </c>
      <c r="W4">
        <v>17.795967718345985</v>
      </c>
      <c r="X4">
        <v>1</v>
      </c>
      <c r="Y4">
        <v>1</v>
      </c>
      <c r="Z4">
        <v>1</v>
      </c>
      <c r="AB4" cm="1">
        <f t="array" aca="1" ref="AB4:AB14" ca="1">OFFSET(W4,0,0,COUNTIF(W4:W134,"&gt;=0"))</f>
        <v>17.795967718345985</v>
      </c>
      <c r="AC4" cm="1">
        <f t="array" aca="1" ref="AC4:AC14" ca="1">OFFSET(U4,0,0,COUNTIF(U4:U134,"&gt;=0"))</f>
        <v>10.225806451612904</v>
      </c>
    </row>
    <row r="5" spans="2:29" x14ac:dyDescent="0.25">
      <c r="B5" t="s">
        <v>48</v>
      </c>
      <c r="C5" t="s">
        <v>49</v>
      </c>
      <c r="D5" s="3" t="e">
        <f>SUMPRODUCT(WorkingData!$Q$2:$Q$133,WorkingData!T$2:T$133,WorkingData!$P$2:$P$133,WorkingData!AF$2:AF$133)/D$3</f>
        <v>#DIV/0!</v>
      </c>
      <c r="E5" s="3">
        <f>SUMPRODUCT(WorkingData!$Q$2:$Q$133,WorkingData!U$2:U$133,WorkingData!$P$2:$P$133,WorkingData!AG$2:AG$133)/E$3</f>
        <v>14.021792062085641</v>
      </c>
      <c r="F5" s="3">
        <f>SUMPRODUCT(WorkingData!$Q$2:$Q$133,WorkingData!V$2:V$133,WorkingData!$P$2:$P$133,WorkingData!AH$2:AH$133)/F$3</f>
        <v>13.429312585549447</v>
      </c>
      <c r="G5" s="3">
        <f>SUMPRODUCT(WorkingData!$Q$2:$Q$133,WorkingData!W$2:W$133,WorkingData!$P$2:$P$133,WorkingData!AI$2:AI$133)/G$3</f>
        <v>12.022601590572531</v>
      </c>
      <c r="I5" t="s">
        <v>48</v>
      </c>
      <c r="J5" t="s">
        <v>49</v>
      </c>
      <c r="K5" s="3">
        <f>SUMPRODUCT(WorkingData!$Q$2:$Q$133,WorkingData!T$2:T$133,WorkingData!$P$2:$P$133)/K$3</f>
        <v>14.741087310120786</v>
      </c>
      <c r="L5" s="3">
        <f>SUMPRODUCT(WorkingData!$Q$2:$Q$133,WorkingData!U$2:U$133,WorkingData!$P$2:$P$133)/L$3</f>
        <v>14.021792062085641</v>
      </c>
      <c r="M5" s="3">
        <f>SUMPRODUCT(WorkingData!$Q$2:$Q$133,WorkingData!V$2:V$133,WorkingData!$P$2:$P$133)/M$3</f>
        <v>13.429312585549447</v>
      </c>
      <c r="N5" s="3">
        <f>SUMPRODUCT(WorkingData!$Q$2:$Q$133,WorkingData!W$2:W$133,WorkingData!$P$2:$P$133)/N$3</f>
        <v>12.022601590572531</v>
      </c>
      <c r="Q5">
        <f ca="1"/>
        <v>11.686206901895588</v>
      </c>
      <c r="R5">
        <f ca="1"/>
        <v>16.686206901895588</v>
      </c>
      <c r="S5">
        <f ca="1"/>
        <v>7.0172413793103452</v>
      </c>
      <c r="U5">
        <v>7.0172413793103452</v>
      </c>
      <c r="V5">
        <v>16.686206901895588</v>
      </c>
      <c r="W5">
        <v>11.686206901895588</v>
      </c>
      <c r="X5">
        <v>1</v>
      </c>
      <c r="Y5">
        <v>1</v>
      </c>
      <c r="Z5">
        <v>1</v>
      </c>
      <c r="AB5">
        <f ca="1"/>
        <v>11.686206901895588</v>
      </c>
      <c r="AC5">
        <f ca="1"/>
        <v>7.0172413793103452</v>
      </c>
    </row>
    <row r="6" spans="2:29" x14ac:dyDescent="0.25">
      <c r="C6" t="s">
        <v>50</v>
      </c>
      <c r="D6" s="3">
        <f>SUMPRODUCT(WorkingData!$Q$2:$Q$133,WorkingData!T$2:T$133,WorkingData!$N$2:$N$133,WorkingData!$P$2:$P$133,WorkingData!AF$2:AF$133)</f>
        <v>0</v>
      </c>
      <c r="E6" s="3">
        <f>SUMPRODUCT(WorkingData!$Q$2:$Q$133,WorkingData!U$2:U$133,WorkingData!$N$2:$N$133,WorkingData!$P$2:$P$133,WorkingData!AG$2:AG$133)</f>
        <v>633.80696538160748</v>
      </c>
      <c r="F6" s="3">
        <f>SUMPRODUCT(WorkingData!$Q$2:$Q$133,WorkingData!V$2:V$133,WorkingData!$N$2:$N$133,WorkingData!$P$2:$P$133,WorkingData!AH$2:AH$133)</f>
        <v>1353.7950436905949</v>
      </c>
      <c r="G6" s="3">
        <f>SUMPRODUCT(WorkingData!$Q$2:$Q$133,WorkingData!W$2:W$133,WorkingData!$N$2:$N$133,WorkingData!$P$2:$P$133,WorkingData!AI$2:AI$133)</f>
        <v>1856.8586298590255</v>
      </c>
      <c r="J6" t="s">
        <v>50</v>
      </c>
      <c r="K6" s="3">
        <f>SUMPRODUCT(WorkingData!$Q$2:$Q$133,WorkingData!T$2:T$133,WorkingData!$N$2:$N$133,WorkingData!$P$2:$P$133)</f>
        <v>263.98305614612121</v>
      </c>
      <c r="L6" s="3">
        <f>SUMPRODUCT(WorkingData!$Q$2:$Q$133,WorkingData!U$2:U$133,WorkingData!$N$2:$N$133,WorkingData!$P$2:$P$133)</f>
        <v>633.80696538160748</v>
      </c>
      <c r="M6" s="3">
        <f>SUMPRODUCT(WorkingData!$Q$2:$Q$133,WorkingData!V$2:V$133,WorkingData!$N$2:$N$133,WorkingData!$P$2:$P$133)</f>
        <v>1353.7950436905949</v>
      </c>
      <c r="N6" s="3">
        <f>SUMPRODUCT(WorkingData!$Q$2:$Q$133,WorkingData!W$2:W$133,WorkingData!$N$2:$N$133,WorkingData!$P$2:$P$133)</f>
        <v>1856.8586298590255</v>
      </c>
      <c r="Q6">
        <f ca="1"/>
        <v>-1.1852458969491426</v>
      </c>
      <c r="R6">
        <f ca="1"/>
        <v>3.8147541030508574</v>
      </c>
      <c r="S6">
        <f ca="1"/>
        <v>1.9344262295081966</v>
      </c>
      <c r="U6">
        <v>7.7333333333333334</v>
      </c>
      <c r="V6">
        <v>15.200000009189049</v>
      </c>
      <c r="W6">
        <v>10.200000009189049</v>
      </c>
      <c r="X6">
        <v>1</v>
      </c>
      <c r="Y6">
        <v>2</v>
      </c>
      <c r="Z6">
        <v>1</v>
      </c>
      <c r="AB6">
        <f ca="1"/>
        <v>10.200000009189049</v>
      </c>
      <c r="AC6">
        <f ca="1"/>
        <v>7.7333333333333334</v>
      </c>
    </row>
    <row r="7" spans="2:29" x14ac:dyDescent="0.25">
      <c r="C7" t="s">
        <v>51</v>
      </c>
      <c r="D7" s="3">
        <f>SUMPRODUCT(WorkingData!$Q$2:$Q$133,WorkingData!T$2:T$133,WorkingData!$P$2:$P$133,WorkingData!$P$2:$P$133,WorkingData!AF$2:AF$133)</f>
        <v>0</v>
      </c>
      <c r="E7" s="3">
        <f>SUMPRODUCT(WorkingData!$Q$2:$Q$133,WorkingData!U$2:U$133,WorkingData!$P$2:$P$133,WorkingData!$P$2:$P$133,WorkingData!AG$2:AG$133)</f>
        <v>1032.0726512792485</v>
      </c>
      <c r="F7" s="3">
        <f>SUMPRODUCT(WorkingData!$Q$2:$Q$133,WorkingData!V$2:V$133,WorkingData!$P$2:$P$133,WorkingData!$P$2:$P$133,WorkingData!AH$2:AH$133)</f>
        <v>2330.9509574922131</v>
      </c>
      <c r="G7" s="3">
        <f>SUMPRODUCT(WorkingData!$Q$2:$Q$133,WorkingData!W$2:W$133,WorkingData!$P$2:$P$133,WorkingData!$P$2:$P$133,WorkingData!AI$2:AI$133)</f>
        <v>3015.80615591478</v>
      </c>
      <c r="J7" t="s">
        <v>51</v>
      </c>
      <c r="K7" s="3">
        <f>SUMPRODUCT(WorkingData!$Q$2:$Q$133,WorkingData!T$2:T$133,WorkingData!$P$2:$P$133,WorkingData!$P$2:$P$133)</f>
        <v>453.26389878632449</v>
      </c>
      <c r="L7" s="3">
        <f>SUMPRODUCT(WorkingData!$Q$2:$Q$133,WorkingData!U$2:U$133,WorkingData!$P$2:$P$133,WorkingData!$P$2:$P$133)</f>
        <v>1032.0726512792485</v>
      </c>
      <c r="M7" s="3">
        <f>SUMPRODUCT(WorkingData!$Q$2:$Q$133,WorkingData!V$2:V$133,WorkingData!$P$2:$P$133,WorkingData!$P$2:$P$133)</f>
        <v>2330.9509574922131</v>
      </c>
      <c r="N7" s="3">
        <f>SUMPRODUCT(WorkingData!$Q$2:$Q$133,WorkingData!W$2:W$133,WorkingData!$P$2:$P$133,WorkingData!$P$2:$P$133)</f>
        <v>3015.80615591478</v>
      </c>
      <c r="Q7">
        <f ca="1"/>
        <v>-4.6854838555858978</v>
      </c>
      <c r="R7">
        <f ca="1"/>
        <v>0.31451614441410186</v>
      </c>
      <c r="S7">
        <f ca="1"/>
        <v>1.2580645161290323</v>
      </c>
      <c r="U7">
        <v>10.71875</v>
      </c>
      <c r="V7">
        <v>22.649999996647239</v>
      </c>
      <c r="W7">
        <v>17.649999996647239</v>
      </c>
      <c r="X7">
        <v>1</v>
      </c>
      <c r="Y7">
        <v>2</v>
      </c>
      <c r="Z7">
        <v>1</v>
      </c>
      <c r="AB7">
        <f ca="1"/>
        <v>17.649999996647239</v>
      </c>
      <c r="AC7">
        <f ca="1"/>
        <v>10.71875</v>
      </c>
    </row>
    <row r="8" spans="2:29" x14ac:dyDescent="0.25">
      <c r="C8" t="s">
        <v>52</v>
      </c>
      <c r="D8" s="3">
        <f>SUMPRODUCT(WorkingData!$Q$2:$Q$133,WorkingData!T$2:T$133,WorkingData!$N$2:$N$133,WorkingData!$N$2:$N$133,WorkingData!AF$2:AF$133)</f>
        <v>0</v>
      </c>
      <c r="E8" s="3">
        <f>SUMPRODUCT(WorkingData!$Q$2:$Q$133,WorkingData!U$2:U$133,WorkingData!$N$2:$N$133,WorkingData!$N$2:$N$133,WorkingData!AG$2:AG$133)</f>
        <v>391.93468710707339</v>
      </c>
      <c r="F8" s="3">
        <f>SUMPRODUCT(WorkingData!$Q$2:$Q$133,WorkingData!V$2:V$133,WorkingData!$N$2:$N$133,WorkingData!$N$2:$N$133,WorkingData!AH$2:AH$133)</f>
        <v>802.33145366185067</v>
      </c>
      <c r="G8" s="3">
        <f>SUMPRODUCT(WorkingData!$Q$2:$Q$133,WorkingData!W$2:W$133,WorkingData!$N$2:$N$133,WorkingData!$N$2:$N$133,WorkingData!AI$2:AI$133)</f>
        <v>1192.7798478895618</v>
      </c>
      <c r="J8" t="s">
        <v>52</v>
      </c>
      <c r="K8" s="3">
        <f>SUMPRODUCT(WorkingData!$Q$2:$Q$133,WorkingData!T$2:T$133,WorkingData!$N$2:$N$133,WorkingData!$N$2:$N$133)</f>
        <v>153.80879416135346</v>
      </c>
      <c r="L8" s="3">
        <f>SUMPRODUCT(WorkingData!$Q$2:$Q$133,WorkingData!U$2:U$133,WorkingData!$N$2:$N$133,WorkingData!$N$2:$N$133)</f>
        <v>391.93468710707339</v>
      </c>
      <c r="M8" s="3">
        <f>SUMPRODUCT(WorkingData!$Q$2:$Q$133,WorkingData!V$2:V$133,WorkingData!$N$2:$N$133,WorkingData!$N$2:$N$133)</f>
        <v>802.33145366185067</v>
      </c>
      <c r="N8" s="3">
        <f>SUMPRODUCT(WorkingData!$Q$2:$Q$133,WorkingData!W$2:W$133,WorkingData!$N$2:$N$133,WorkingData!$N$2:$N$133)</f>
        <v>1192.7798478895618</v>
      </c>
      <c r="Q8">
        <f ca="1"/>
        <v>-1.6147540788181494</v>
      </c>
      <c r="R8">
        <f ca="1"/>
        <v>3.3852459211818506</v>
      </c>
      <c r="S8">
        <f ca="1"/>
        <v>2.262295081967213</v>
      </c>
      <c r="U8">
        <v>7.9642857142857144</v>
      </c>
      <c r="V8">
        <v>17.776785684350347</v>
      </c>
      <c r="W8">
        <v>12.776785684350347</v>
      </c>
      <c r="X8">
        <v>1</v>
      </c>
      <c r="Y8">
        <v>2</v>
      </c>
      <c r="Z8">
        <v>1</v>
      </c>
      <c r="AB8">
        <f ca="1"/>
        <v>12.776785684350347</v>
      </c>
      <c r="AC8">
        <f ca="1"/>
        <v>7.9642857142857144</v>
      </c>
    </row>
    <row r="9" spans="2:29" x14ac:dyDescent="0.25">
      <c r="C9" t="s">
        <v>53</v>
      </c>
      <c r="D9" s="3" t="e">
        <f t="shared" ref="D9:G10" si="0">D4*D$3</f>
        <v>#DIV/0!</v>
      </c>
      <c r="E9" s="3">
        <f t="shared" si="0"/>
        <v>43.659416878542302</v>
      </c>
      <c r="F9" s="3">
        <f t="shared" si="0"/>
        <v>90.051485296943014</v>
      </c>
      <c r="G9" s="3">
        <f t="shared" si="0"/>
        <v>129.32812576158821</v>
      </c>
      <c r="J9" t="s">
        <v>53</v>
      </c>
      <c r="K9" s="3">
        <f t="shared" ref="K9:N10" si="1">K4*K$3</f>
        <v>17.243047830923249</v>
      </c>
      <c r="L9" s="3">
        <f t="shared" si="1"/>
        <v>43.659416878542302</v>
      </c>
      <c r="M9" s="3">
        <f t="shared" si="1"/>
        <v>90.051485296943014</v>
      </c>
      <c r="N9" s="3">
        <f t="shared" si="1"/>
        <v>129.32812576158821</v>
      </c>
      <c r="Q9">
        <f ca="1"/>
        <v>10.200000009189049</v>
      </c>
      <c r="R9">
        <f ca="1"/>
        <v>15.200000009189049</v>
      </c>
      <c r="S9">
        <f ca="1"/>
        <v>7.7333333333333334</v>
      </c>
      <c r="U9">
        <v>8.2903225806451619</v>
      </c>
      <c r="V9">
        <v>17.282258038078584</v>
      </c>
      <c r="W9">
        <v>12.282258038078584</v>
      </c>
      <c r="X9">
        <v>1</v>
      </c>
      <c r="Y9">
        <v>3</v>
      </c>
      <c r="Z9">
        <v>1</v>
      </c>
      <c r="AB9">
        <f ca="1"/>
        <v>12.282258038078584</v>
      </c>
      <c r="AC9">
        <f ca="1"/>
        <v>8.2903225806451619</v>
      </c>
    </row>
    <row r="10" spans="2:29" x14ac:dyDescent="0.25">
      <c r="C10" t="s">
        <v>54</v>
      </c>
      <c r="D10" s="3" t="e">
        <f t="shared" si="0"/>
        <v>#DIV/0!</v>
      </c>
      <c r="E10" s="3">
        <f t="shared" si="0"/>
        <v>70.108960310428202</v>
      </c>
      <c r="F10" s="3">
        <f t="shared" si="0"/>
        <v>147.72243844104392</v>
      </c>
      <c r="G10" s="3">
        <f t="shared" si="0"/>
        <v>192.3616254491605</v>
      </c>
      <c r="J10" t="s">
        <v>54</v>
      </c>
      <c r="K10" s="3">
        <f t="shared" si="1"/>
        <v>29.482174620241572</v>
      </c>
      <c r="L10" s="3">
        <f t="shared" si="1"/>
        <v>70.108960310428202</v>
      </c>
      <c r="M10" s="3">
        <f t="shared" si="1"/>
        <v>147.72243844104392</v>
      </c>
      <c r="N10" s="3">
        <f t="shared" si="1"/>
        <v>192.3616254491605</v>
      </c>
      <c r="Q10">
        <f ca="1"/>
        <v>17.649999996647239</v>
      </c>
      <c r="R10">
        <f ca="1"/>
        <v>22.649999996647239</v>
      </c>
      <c r="S10">
        <f ca="1"/>
        <v>10.71875</v>
      </c>
      <c r="U10">
        <v>8.8319327731092443</v>
      </c>
      <c r="V10">
        <v>20.209243698593447</v>
      </c>
      <c r="W10">
        <v>15.209243698593447</v>
      </c>
      <c r="X10">
        <v>1</v>
      </c>
      <c r="Y10">
        <v>3</v>
      </c>
      <c r="Z10">
        <v>1</v>
      </c>
      <c r="AB10">
        <f ca="1"/>
        <v>15.209243698593447</v>
      </c>
      <c r="AC10">
        <f ca="1"/>
        <v>8.8319327731092443</v>
      </c>
    </row>
    <row r="11" spans="2:29" x14ac:dyDescent="0.25">
      <c r="J11" t="s">
        <v>55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>
        <f>IF(L3&gt;=3,SQRT(SUMPRODUCT(WorkingData!Y$2:Y$133,WorkingData!Y$2:Y$133,WorkingData!$Q$2:$Q$133,WorkingData!U$2:U$133)/('DDD Model Calculations'!L3-2)),"Insufficient Data")</f>
        <v>0.62369485182907902</v>
      </c>
      <c r="M11" s="8">
        <f>IF(M3&gt;=3,SQRT(SUMPRODUCT(WorkingData!Z$2:Z$133,WorkingData!Z$2:Z$133,WorkingData!$Q$2:$Q$133,WorkingData!V$2:V$133)/('DDD Model Calculations'!M3-2)),"Insufficient Data")</f>
        <v>0.74568928790751443</v>
      </c>
      <c r="N11" s="8">
        <f>IF(N3&gt;=3,SQRT(SUMPRODUCT(WorkingData!AA$2:AA$133,WorkingData!AA$2:AA$133,WorkingData!$Q$2:$Q$133,WorkingData!W$2:W$133)/('DDD Model Calculations'!N3-2)),"Insufficient Data")</f>
        <v>1.1246509260223976</v>
      </c>
      <c r="P11" s="8" t="s">
        <v>56</v>
      </c>
      <c r="Q11">
        <f ca="1"/>
        <v>12.776785684350347</v>
      </c>
      <c r="R11">
        <f ca="1"/>
        <v>17.776785684350347</v>
      </c>
      <c r="S11">
        <f ca="1"/>
        <v>7.9642857142857144</v>
      </c>
      <c r="U11">
        <v>1.9516129032258065</v>
      </c>
      <c r="V11">
        <v>5.2596774062802716</v>
      </c>
      <c r="W11">
        <v>0.25967740628027158</v>
      </c>
      <c r="X11">
        <v>1</v>
      </c>
      <c r="Y11">
        <v>3</v>
      </c>
      <c r="Z11">
        <v>1</v>
      </c>
      <c r="AB11">
        <f ca="1"/>
        <v>0.25967740628027158</v>
      </c>
      <c r="AC11">
        <f ca="1"/>
        <v>1.9516129032258065</v>
      </c>
    </row>
    <row r="12" spans="2:29" x14ac:dyDescent="0.25">
      <c r="B12" s="6" t="s">
        <v>29</v>
      </c>
      <c r="C12" t="s">
        <v>57</v>
      </c>
      <c r="D12" s="9" t="str">
        <f>IF(D3&gt;=3,(D$3*D6-D9*D10)/(D$3*D7-D10^2),"Insufficient Data")</f>
        <v>Insufficient Data</v>
      </c>
      <c r="E12" s="9">
        <f>IF(E3&gt;=3,(E$3*E6-E9*E10)/(E$3*E7-E10^2),"Insufficient Data")</f>
        <v>0.44112546462193974</v>
      </c>
      <c r="F12" s="9">
        <f>IF(F3&gt;=3,(F$3*F6-F9*F10)/(F$3*F7-F10^2),"Insufficient Data")</f>
        <v>0.41615899643010151</v>
      </c>
      <c r="G12" s="9">
        <f>IF(G3&gt;=3,(G$3*G6-G9*G10)/(G$3*G7-G10^2),"Insufficient Data")</f>
        <v>0.42951209037683796</v>
      </c>
      <c r="I12" s="6" t="s">
        <v>29</v>
      </c>
      <c r="J12" t="s">
        <v>57</v>
      </c>
      <c r="K12" s="9" t="str">
        <f>IF(K3&gt;=3,(K$3*K6-K9*K10)/(K$3*K7-K10^2),"Insufficient Data")</f>
        <v>Insufficient Data</v>
      </c>
      <c r="L12" s="9">
        <f>IF(L3&gt;=3,(L$3*L6-L9*L10)/(L$3*L7-L10^2),"Insufficient Data")</f>
        <v>0.44112546462193974</v>
      </c>
      <c r="M12" s="9">
        <f>IF(M3&gt;=3,(M$3*M6-M9*M10)/(M$3*M7-M10^2),"Insufficient Data")</f>
        <v>0.41615899643010151</v>
      </c>
      <c r="N12" s="9">
        <f>IF(N3&gt;=3,(N$3*N6-N9*N10)/(N$3*N7-N10^2),"Insufficient Data")</f>
        <v>0.42951209037683796</v>
      </c>
      <c r="P12" s="9" t="s">
        <v>58</v>
      </c>
      <c r="Q12">
        <f ca="1"/>
        <v>-1.1516129432186002</v>
      </c>
      <c r="R12">
        <f ca="1"/>
        <v>3.8483870567813998</v>
      </c>
      <c r="S12">
        <f ca="1"/>
        <v>2.403225806451613</v>
      </c>
      <c r="U12">
        <v>8.75</v>
      </c>
      <c r="V12">
        <v>18.044999987011156</v>
      </c>
      <c r="W12">
        <v>13.044999987011156</v>
      </c>
      <c r="X12">
        <v>1</v>
      </c>
      <c r="Y12">
        <v>4</v>
      </c>
      <c r="Z12">
        <v>1</v>
      </c>
      <c r="AB12">
        <f ca="1"/>
        <v>13.044999987011156</v>
      </c>
      <c r="AC12">
        <f ca="1"/>
        <v>8.75</v>
      </c>
    </row>
    <row r="13" spans="2:29" x14ac:dyDescent="0.25">
      <c r="B13" s="6" t="s">
        <v>59</v>
      </c>
      <c r="C13" t="s">
        <v>60</v>
      </c>
      <c r="D13" s="9" t="str">
        <f>IF(D3&gt;=3,D4-D5*D12,"Insufficient Data")</f>
        <v>Insufficient Data</v>
      </c>
      <c r="E13" s="9">
        <f>IF(E3&gt;=3,E4-E5*E12,"Insufficient Data")</f>
        <v>2.5465138374887051</v>
      </c>
      <c r="F13" s="9">
        <f>IF(F3&gt;=3,F4-F5*F12,"Insufficient Data")</f>
        <v>2.5977694150100668</v>
      </c>
      <c r="G13" s="9">
        <f>IF(G3&gt;=3,G4-G5*G12,"Insufficient Data")</f>
        <v>2.9191551191645582</v>
      </c>
      <c r="I13" s="6" t="s">
        <v>59</v>
      </c>
      <c r="J13" t="s">
        <v>60</v>
      </c>
      <c r="K13" s="9" t="str">
        <f>IF(K3&gt;=3,K4-K5*K12,"Insufficient Data")</f>
        <v>Insufficient Data</v>
      </c>
      <c r="L13" s="9">
        <f>IF(L3&gt;=3,L4-L5*L12,"Insufficient Data")</f>
        <v>2.5465138374887051</v>
      </c>
      <c r="M13" s="9">
        <f>IF(M3&gt;=3,M4-M5*M12,"Insufficient Data")</f>
        <v>2.5977694150100668</v>
      </c>
      <c r="N13" s="9">
        <f>IF(N3&gt;=3,N4-N5*N12,"Insufficient Data")</f>
        <v>2.9191551191645582</v>
      </c>
      <c r="Q13">
        <f ca="1"/>
        <v>-4.8523809190780396</v>
      </c>
      <c r="R13">
        <f ca="1"/>
        <v>0.14761908092196024</v>
      </c>
      <c r="S13">
        <f ca="1"/>
        <v>1.8253968253968254</v>
      </c>
      <c r="U13">
        <v>11.619047619047619</v>
      </c>
      <c r="V13">
        <v>29.26984135640992</v>
      </c>
      <c r="W13">
        <v>24.26984135640992</v>
      </c>
      <c r="X13">
        <v>1</v>
      </c>
      <c r="Y13">
        <v>4</v>
      </c>
      <c r="Z13">
        <v>1</v>
      </c>
      <c r="AB13">
        <f ca="1"/>
        <v>24.26984135640992</v>
      </c>
      <c r="AC13">
        <f ca="1"/>
        <v>11.619047619047619</v>
      </c>
    </row>
    <row r="14" spans="2:29" x14ac:dyDescent="0.25">
      <c r="C14" t="s">
        <v>61</v>
      </c>
      <c r="D14" s="10" t="str">
        <f>IF(D3&gt;=3,(((D6/D3)-D4*D5)/SQRT((D7/D3-D5^2)*(D8/D3-D4^2)))^2,"Insufficient Data")</f>
        <v>Insufficient Data</v>
      </c>
      <c r="E14" s="10">
        <f>IF(E3&gt;=3,(((E6/E3)-E4*E5)/SQRT((E7/E3-E5^2)*(E8/E3-E4^2)))^2,"Insufficient Data")</f>
        <v>0.89099449068769643</v>
      </c>
      <c r="F14" s="10">
        <f>IF(F3&gt;=3,(((F6/F3)-F4*F5)/SQRT((F7/F3-F5^2)*(F8/F3-F4^2)))^2,"Insufficient Data")</f>
        <v>0.92315599634210432</v>
      </c>
      <c r="G14" s="10">
        <f>IF(G3&gt;=3,(((G6/G3)-G4*G5)/SQRT((G7/G3-G5^2)*(G8/G3-G4^2)))^2,"Insufficient Data")</f>
        <v>0.87988193579743257</v>
      </c>
      <c r="J14" t="s">
        <v>61</v>
      </c>
      <c r="K14" t="str">
        <f>IF(K3&gt;=3,(((K6/K3)-K4*K5)/SQRT((K7/K3-K5^2)*(K8/K3-K4^2)))^2,"Insufficient Data")</f>
        <v>Insufficient Data</v>
      </c>
      <c r="L14">
        <f>IF(L3&gt;=3,(((L6/L3)-L4*L5)/SQRT((L7/L3-L5^2)*(L8/L3-L4^2)))^2,"Insufficient Data")</f>
        <v>0.89099449068769643</v>
      </c>
      <c r="M14">
        <f>IF(M3&gt;=3,(((M6/M3)-M4*M5)/SQRT((M7/M3-M5^2)*(M8/M3-M4^2)))^2,"Insufficient Data")</f>
        <v>0.92315599634210432</v>
      </c>
      <c r="N14">
        <f>IF(N3&gt;=3,(((N6/N3)-N4*N5)/SQRT((N7/N3-N5^2)*(N8/N3-N4^2)))^2,"Insufficient Data")</f>
        <v>0.87988193579743257</v>
      </c>
      <c r="P14" s="10" t="s">
        <v>62</v>
      </c>
      <c r="Q14">
        <f ca="1"/>
        <v>-0.52711865861537088</v>
      </c>
      <c r="R14">
        <f ca="1"/>
        <v>4.4728813413846291</v>
      </c>
      <c r="S14">
        <f ca="1"/>
        <v>3.4576271186440679</v>
      </c>
      <c r="U14">
        <v>6.9491525423728815</v>
      </c>
      <c r="V14">
        <v>17.54745764424235</v>
      </c>
      <c r="W14">
        <v>12.54745764424235</v>
      </c>
      <c r="X14">
        <v>1</v>
      </c>
      <c r="Y14">
        <v>4</v>
      </c>
      <c r="Z14">
        <v>1</v>
      </c>
      <c r="AB14">
        <f ca="1"/>
        <v>12.54745764424235</v>
      </c>
      <c r="AC14">
        <f ca="1"/>
        <v>6.9491525423728815</v>
      </c>
    </row>
    <row r="15" spans="2:29" x14ac:dyDescent="0.25">
      <c r="C15" t="s">
        <v>63</v>
      </c>
      <c r="D15" t="str">
        <f>IF(D3&gt;=3,D13+D12*($D$21-5),"Insufficient Data")</f>
        <v>Insufficient Data</v>
      </c>
      <c r="E15">
        <f>IF(E3&gt;=3,E13+E12*($D$21-5),"Insufficient Data")</f>
        <v>22.397159745475996</v>
      </c>
      <c r="F15">
        <f>IF(F3&gt;=3,F13+F12*($D$21-5),"Insufficient Data")</f>
        <v>21.324924254364635</v>
      </c>
      <c r="G15">
        <f>IF(G3&gt;=3,G13+G12*($D$21-5),"Insufficient Data")</f>
        <v>22.247199186122266</v>
      </c>
      <c r="J15" t="s">
        <v>63</v>
      </c>
      <c r="K15" t="str">
        <f>IF(K3&gt;=3,K13+K12*($D$21-5),"Insufficient Data")</f>
        <v>Insufficient Data</v>
      </c>
      <c r="L15">
        <f>IF(L3&gt;=3,L13+L12*($D$21-5),"Insufficient Data")</f>
        <v>22.397159745475996</v>
      </c>
      <c r="M15">
        <f>IF(M3&gt;=3,M13+M12*($D$21-5),"Insufficient Data")</f>
        <v>21.324924254364635</v>
      </c>
      <c r="N15">
        <f>IF(N3&gt;=3,N13+N12*($D$21-5),"Insufficient Data")</f>
        <v>22.247199186122266</v>
      </c>
      <c r="Q15">
        <f ca="1"/>
        <v>12.282258038078584</v>
      </c>
      <c r="R15">
        <f ca="1"/>
        <v>17.282258038078584</v>
      </c>
      <c r="S15">
        <f ca="1"/>
        <v>8.2903225806451619</v>
      </c>
    </row>
    <row r="16" spans="2:29" x14ac:dyDescent="0.25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15.209243698593447</v>
      </c>
      <c r="R16">
        <f ca="1"/>
        <v>20.209243698593447</v>
      </c>
      <c r="S16">
        <f ca="1"/>
        <v>8.8319327731092443</v>
      </c>
    </row>
    <row r="17" spans="3:19" x14ac:dyDescent="0.25">
      <c r="J17" t="s">
        <v>65</v>
      </c>
      <c r="Q17">
        <f ca="1"/>
        <v>0.25967740628027158</v>
      </c>
      <c r="R17">
        <f ca="1"/>
        <v>5.2596774062802716</v>
      </c>
      <c r="S17">
        <f ca="1"/>
        <v>1.9516129032258065</v>
      </c>
    </row>
    <row r="18" spans="3:19" x14ac:dyDescent="0.25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-4.9063491821289063</v>
      </c>
      <c r="R18">
        <f ca="1"/>
        <v>9.365081787109375E-2</v>
      </c>
      <c r="S18">
        <f ca="1"/>
        <v>1.4603174603174602</v>
      </c>
    </row>
    <row r="19" spans="3:19" x14ac:dyDescent="0.25">
      <c r="C19" t="s">
        <v>67</v>
      </c>
      <c r="D19" t="str">
        <f>'Consumption Data Input'!B1</f>
        <v>Ottawa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-1.310000006357829</v>
      </c>
      <c r="R19">
        <f ca="1"/>
        <v>3.689999993642171</v>
      </c>
      <c r="S19">
        <f ca="1"/>
        <v>2.0499999999999998</v>
      </c>
    </row>
    <row r="20" spans="3:19" x14ac:dyDescent="0.25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13.044999987011156</v>
      </c>
      <c r="R20">
        <f ca="1"/>
        <v>18.044999987011156</v>
      </c>
      <c r="S20">
        <f ca="1"/>
        <v>8.75</v>
      </c>
    </row>
    <row r="21" spans="3:19" x14ac:dyDescent="0.25">
      <c r="C21" t="s">
        <v>69</v>
      </c>
      <c r="D21">
        <f>VLOOKUP(D19,$G$19:$I$22,3,FALSE)</f>
        <v>50</v>
      </c>
      <c r="G21" t="s">
        <v>1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24.26984135640992</v>
      </c>
      <c r="R21">
        <f ca="1"/>
        <v>29.26984135640992</v>
      </c>
      <c r="S21">
        <f ca="1"/>
        <v>11.619047619047619</v>
      </c>
    </row>
    <row r="22" spans="3:19" x14ac:dyDescent="0.25">
      <c r="C22" t="s">
        <v>76</v>
      </c>
      <c r="D22">
        <f>VLOOKUP(D19,$G$19:$I$22,2,FALSE)</f>
        <v>4</v>
      </c>
      <c r="G22" t="s">
        <v>77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12.54745764424235</v>
      </c>
      <c r="R22">
        <f ca="1"/>
        <v>17.54745764424235</v>
      </c>
      <c r="S22">
        <f ca="1"/>
        <v>6.9491525423728815</v>
      </c>
    </row>
    <row r="23" spans="3:19" x14ac:dyDescent="0.25">
      <c r="C23" t="s">
        <v>78</v>
      </c>
      <c r="D23">
        <f>_xlfn.XLOOKUP(MAX('DDD Model Calculations'!$D$14:$G$14),'DDD Model Calculations'!$D$14:$G$14,'DDD Model Calculations'!$D16:$G16)</f>
        <v>4</v>
      </c>
      <c r="Q23">
        <f ca="1"/>
        <v>-1.9116666475931803</v>
      </c>
      <c r="R23">
        <f ca="1"/>
        <v>3.0883333524068197</v>
      </c>
      <c r="S23">
        <f ca="1"/>
        <v>1.4166666666666667</v>
      </c>
    </row>
    <row r="24" spans="3:19" x14ac:dyDescent="0.25">
      <c r="C24" t="s">
        <v>70</v>
      </c>
      <c r="D24">
        <f>VLOOKUP($D$19,$G$19:$L22,4,FALSE)</f>
        <v>44.600000381469727</v>
      </c>
      <c r="Q24">
        <f ca="1"/>
        <v>-4.5328124910593033</v>
      </c>
      <c r="R24">
        <f ca="1"/>
        <v>0.46718750894069672</v>
      </c>
      <c r="S24">
        <f ca="1"/>
        <v>1.171875</v>
      </c>
    </row>
    <row r="25" spans="3:19" x14ac:dyDescent="0.25">
      <c r="C25" t="s">
        <v>79</v>
      </c>
      <c r="D25">
        <f>VLOOKUP($D$19,$G$19:$L23,5,FALSE)</f>
        <v>43.100000381469727</v>
      </c>
      <c r="Q25">
        <f ca="1"/>
        <v>-0.77499996026357021</v>
      </c>
      <c r="R25">
        <f ca="1"/>
        <v>4.2250000397364298</v>
      </c>
      <c r="S25">
        <f ca="1"/>
        <v>3.35</v>
      </c>
    </row>
    <row r="26" spans="3:19" x14ac:dyDescent="0.25">
      <c r="C26" t="s">
        <v>80</v>
      </c>
      <c r="D26">
        <f>VLOOKUP($D$19,$G$19:$L24,6,FALSE)</f>
        <v>42.600000381469727</v>
      </c>
      <c r="Q26">
        <f ca="1"/>
        <v>10.696610182523727</v>
      </c>
      <c r="R26">
        <f ca="1"/>
        <v>15.696610182523727</v>
      </c>
      <c r="S26">
        <f ca="1"/>
        <v>9.4237288135593218</v>
      </c>
    </row>
    <row r="27" spans="3:19" x14ac:dyDescent="0.25">
      <c r="Q27">
        <f ca="1"/>
        <v>20.695161263067877</v>
      </c>
      <c r="R27">
        <f ca="1"/>
        <v>25.695161263067877</v>
      </c>
      <c r="S27">
        <f ca="1"/>
        <v>13.758064516129032</v>
      </c>
    </row>
    <row r="28" spans="3:19" x14ac:dyDescent="0.25">
      <c r="Q28">
        <f ca="1"/>
        <v>11.87704917312157</v>
      </c>
      <c r="R28">
        <f ca="1"/>
        <v>16.87704917312157</v>
      </c>
      <c r="S28">
        <f ca="1"/>
        <v>9.5245901639344268</v>
      </c>
    </row>
    <row r="29" spans="3:19" x14ac:dyDescent="0.25">
      <c r="Q29">
        <f ca="1"/>
        <v>0.95423731561434444</v>
      </c>
      <c r="R29">
        <f ca="1"/>
        <v>5.9542373156143444</v>
      </c>
      <c r="S29">
        <f ca="1"/>
        <v>3.1186440677966103</v>
      </c>
    </row>
    <row r="30" spans="3:19" x14ac:dyDescent="0.25">
      <c r="Q30">
        <f ca="1"/>
        <v>-4.8903225775687922</v>
      </c>
      <c r="R30">
        <f ca="1"/>
        <v>0.10967742243120747</v>
      </c>
      <c r="S30">
        <f ca="1"/>
        <v>1.1612903225806452</v>
      </c>
    </row>
    <row r="31" spans="3:19" x14ac:dyDescent="0.25">
      <c r="Q31">
        <f ca="1"/>
        <v>0.41612907378904307</v>
      </c>
      <c r="R31">
        <f ca="1"/>
        <v>5.4161290737890431</v>
      </c>
      <c r="S31">
        <f ca="1"/>
        <v>3.4516129032258065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625" defaultRowHeight="15.75" x14ac:dyDescent="0.25"/>
  <cols>
    <col min="2" max="3" width="10.625" style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 x14ac:dyDescent="0.25">
      <c r="A2" s="2" cm="1">
        <f t="array" ref="A2:F30">_xlfn._xlws.SORT(_xlfn._xlws.FILTER('Accumulated Input Data'!A2:F134,('Accumulated Input Data'!D2:D134="A")+('Accumulated Input Data'!D2:D134="01")),1,-1)</f>
        <v>45770</v>
      </c>
      <c r="B2" s="1">
        <v>30</v>
      </c>
      <c r="C2" s="1">
        <v>30367</v>
      </c>
      <c r="D2" t="str">
        <v>A</v>
      </c>
      <c r="E2">
        <v>249</v>
      </c>
      <c r="F2">
        <v>10705</v>
      </c>
      <c r="G2">
        <f>IF(F3&gt;0,F2-F3,"")</f>
        <v>1268</v>
      </c>
      <c r="H2" s="2">
        <f>IF(A2&lt;&gt;"",DATE(YEAR(A2),MONTH(A2),DAY(A2)),"")</f>
        <v>45770</v>
      </c>
      <c r="I2">
        <f>IF(A3&gt;0,A2-A3,"")</f>
        <v>124</v>
      </c>
      <c r="J2">
        <f>I2</f>
        <v>124</v>
      </c>
      <c r="K2">
        <f>IF(AND($H3&gt;0,$H3&lt;&gt;""),VLOOKUP($H3,'Weather Data'!$L$2:$P$4170,'DDD Model Calculations'!$D$22,FALSE),"")</f>
        <v>47540.400011330843</v>
      </c>
      <c r="L2">
        <f>IF(AND($K2&gt;0,$K2&lt;&gt;""),VLOOKUP($H2,'Weather Data'!$L$2:$P$4170,'DDD Model Calculations'!$D$22,FALSE),"")</f>
        <v>50367.100008405745</v>
      </c>
      <c r="M2">
        <f>L2-K2</f>
        <v>2826.6999970749021</v>
      </c>
      <c r="N2">
        <f t="shared" ref="N2:N33" si="0">IF(AND($I2&gt;0,$I2&lt;&gt;""),G2/$I2,"")</f>
        <v>10.225806451612904</v>
      </c>
      <c r="O2">
        <f t="shared" ref="O2:O33" si="1">IF(AND($I2&gt;0,$I2&lt;&gt;""),$M2/$I2,"")</f>
        <v>22.795967718345985</v>
      </c>
      <c r="P2">
        <f>IF(AND($I2&gt;0,$I2&lt;&gt;""),$M2/$I2-5,"")</f>
        <v>17.795967718345985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 t="str">
        <f>IF(AND($N2&gt;0,$N2&lt;&gt;"",'DDD Model Calculations'!$K$3&gt;=3),$N2-('DDD Model Calculations'!K$13+'DDD Model Calculations'!K$12*WorkingData!$P2),"")</f>
        <v/>
      </c>
      <c r="Y2">
        <f>IF(AND($N2&gt;0,$N2&lt;&gt;""),$N2-('DDD Model Calculations'!L$13+'DDD Model Calculations'!L$12*WorkingData!$P2),"")</f>
        <v>-0.17096191402821503</v>
      </c>
      <c r="Z2">
        <f>IF(AND($N2&gt;0,$N2&lt;&gt;""),$N2-('DDD Model Calculations'!M$13+'DDD Model Calculations'!M$12*WorkingData!$P2),"")</f>
        <v>0.22208497043348885</v>
      </c>
      <c r="AA2">
        <f>IF(AND($N2&gt;0,$N2&lt;&gt;""),$N2-('DDD Model Calculations'!N$13+'DDD Model Calculations'!N$12*WorkingData!$P2),"")</f>
        <v>-0.33693196253716451</v>
      </c>
      <c r="AB2" t="str">
        <f>IF(X2&lt;&gt;"",X2/'DDD Model Calculations'!K$11,"")</f>
        <v/>
      </c>
      <c r="AC2">
        <f>IF(Y2&lt;&gt;"",Y2/'DDD Model Calculations'!L$11,"")</f>
        <v>-0.27411147218362231</v>
      </c>
      <c r="AD2">
        <f>IF(Z2&lt;&gt;"",Z2/'DDD Model Calculations'!M$11,"")</f>
        <v>0.29782507813231907</v>
      </c>
      <c r="AE2">
        <f>IF(AA2&lt;&gt;"",AA2/'DDD Model Calculations'!N$11,"")</f>
        <v>-0.29958803637747988</v>
      </c>
      <c r="AF2" t="str">
        <f t="shared" ref="AF2:AF33" si="8">IF(AB2="","",IF(ABS(AB2)&gt;2,0,1))</f>
        <v/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 x14ac:dyDescent="0.25">
      <c r="A3" s="2">
        <v>45646</v>
      </c>
      <c r="B3" s="1">
        <v>28</v>
      </c>
      <c r="C3" s="1">
        <v>29109</v>
      </c>
      <c r="D3" t="str">
        <v>A</v>
      </c>
      <c r="E3">
        <v>232</v>
      </c>
      <c r="F3">
        <v>9437</v>
      </c>
      <c r="G3">
        <f t="shared" ref="G3:G66" si="12">IF(F4&gt;0,F3-F4,"")</f>
        <v>407</v>
      </c>
      <c r="H3" s="2">
        <f t="shared" ref="H3:H66" si="13">IF(A3&lt;&gt;"",DATE(YEAR(A3),MONTH(A3),DAY(A3)),"")</f>
        <v>45646</v>
      </c>
      <c r="I3">
        <f t="shared" ref="I3:I66" si="14">IF(A4&gt;0,A3-A4,"")</f>
        <v>58</v>
      </c>
      <c r="J3">
        <f t="shared" ref="J3:J34" si="15">IF(AND(I3&gt;0,I3&lt;&gt;""),I3+J2,"")</f>
        <v>182</v>
      </c>
      <c r="K3">
        <f>IF(AND($H4&gt;0,$H4&lt;&gt;""),VLOOKUP($H4,'Weather Data'!$L$2:$P$4170,'DDD Model Calculations'!$D$22,FALSE),"")</f>
        <v>46572.600011020899</v>
      </c>
      <c r="L3">
        <f>IF(AND($K3&gt;0,$K3&lt;&gt;""),VLOOKUP($H3,'Weather Data'!$L$2:$P$4170,'DDD Model Calculations'!$D$22,FALSE),"")</f>
        <v>47540.400011330843</v>
      </c>
      <c r="M3">
        <f t="shared" ref="M3:M34" si="16">IF(AND(K3&gt;0,K3&lt;&gt;""),L3-K3,"")</f>
        <v>967.80000030994415</v>
      </c>
      <c r="N3">
        <f t="shared" si="0"/>
        <v>7.0172413793103452</v>
      </c>
      <c r="O3">
        <f t="shared" si="1"/>
        <v>16.686206901895588</v>
      </c>
      <c r="P3">
        <f t="shared" ref="P3:P34" si="17">IF(AND($I3&gt;0,$I3&lt;&gt;""),M3/$I3-5,"")</f>
        <v>11.686206901895588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 t="str">
        <f>IF(AND($N3&gt;0,$N3&lt;&gt;"",'DDD Model Calculations'!$K$3&gt;=3),$N3-('DDD Model Calculations'!K$13+'DDD Model Calculations'!K$12*WorkingData!$P3),"")</f>
        <v/>
      </c>
      <c r="Y3">
        <f>IF(AND($N3&gt;0,$N3&lt;&gt;""),$N3-('DDD Model Calculations'!L$13+'DDD Model Calculations'!L$12*WorkingData!$P3),"")</f>
        <v>-0.68435590744516972</v>
      </c>
      <c r="Z3">
        <f>IF(AND($N3&gt;0,$N3&lt;&gt;""),$N3-('DDD Model Calculations'!M$13+'DDD Model Calculations'!M$12*WorkingData!$P3),"")</f>
        <v>-0.44384817206711524</v>
      </c>
      <c r="AA3">
        <f>IF(AND($N3&gt;0,$N3&lt;&gt;""),$N3-('DDD Model Calculations'!N$13+'DDD Model Calculations'!N$12*WorkingData!$P3),"")</f>
        <v>-0.92128089486361819</v>
      </c>
      <c r="AB3" t="str">
        <f>IF(X3&lt;&gt;"",X3/'DDD Model Calculations'!K$11,"")</f>
        <v/>
      </c>
      <c r="AC3">
        <f>IF(Y3&lt;&gt;"",Y3/'DDD Model Calculations'!L$11,"")</f>
        <v>-1.0972607925786031</v>
      </c>
      <c r="AD3">
        <f>IF(Z3&lt;&gt;"",Z3/'DDD Model Calculations'!M$11,"")</f>
        <v>-0.59521865107195204</v>
      </c>
      <c r="AE3">
        <f>IF(AA3&lt;&gt;"",AA3/'DDD Model Calculations'!N$11,"")</f>
        <v>-0.8191705297589118</v>
      </c>
      <c r="AF3" t="str">
        <f t="shared" si="8"/>
        <v/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25">
      <c r="A4" s="2">
        <v>45588</v>
      </c>
      <c r="B4" s="1">
        <v>33</v>
      </c>
      <c r="C4" s="1">
        <v>28705</v>
      </c>
      <c r="D4" t="str">
        <v>A</v>
      </c>
      <c r="E4">
        <v>64</v>
      </c>
      <c r="F4">
        <v>9030</v>
      </c>
      <c r="G4">
        <f t="shared" si="12"/>
        <v>118</v>
      </c>
      <c r="H4" s="2">
        <f t="shared" si="13"/>
        <v>45588</v>
      </c>
      <c r="I4">
        <f t="shared" si="14"/>
        <v>61</v>
      </c>
      <c r="J4">
        <f t="shared" si="15"/>
        <v>243</v>
      </c>
      <c r="K4">
        <f>IF(AND($H5&gt;0,$H5&lt;&gt;""),VLOOKUP($H5,'Weather Data'!$L$2:$P$4170,'DDD Model Calculations'!$D$22,FALSE),"")</f>
        <v>46339.900010734797</v>
      </c>
      <c r="L4">
        <f>IF(AND($K4&gt;0,$K4&lt;&gt;""),VLOOKUP($H4,'Weather Data'!$L$2:$P$4170,'DDD Model Calculations'!$D$22,FALSE),"")</f>
        <v>46572.600011020899</v>
      </c>
      <c r="M4">
        <f t="shared" si="16"/>
        <v>232.70000028610229</v>
      </c>
      <c r="N4">
        <f t="shared" si="0"/>
        <v>1.9344262295081966</v>
      </c>
      <c r="O4">
        <f t="shared" si="1"/>
        <v>3.8147541030508574</v>
      </c>
      <c r="P4">
        <f t="shared" si="17"/>
        <v>-1.1852458969491426</v>
      </c>
      <c r="Q4">
        <f t="shared" si="2"/>
        <v>0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 t="str">
        <f>IF(AND($N4&gt;0,$N4&lt;&gt;"",'DDD Model Calculations'!$K$3&gt;=3),$N4-('DDD Model Calculations'!K$13+'DDD Model Calculations'!K$12*WorkingData!$P4),"")</f>
        <v/>
      </c>
      <c r="Y4">
        <f>IF(AND($N4&gt;0,$N4&lt;&gt;""),$N4-('DDD Model Calculations'!L$13+'DDD Model Calculations'!L$12*WorkingData!$P4),"")</f>
        <v>-8.9245460997569914E-2</v>
      </c>
      <c r="Z4">
        <f>IF(AND($N4&gt;0,$N4&lt;&gt;""),$N4-('DDD Model Calculations'!M$13+'DDD Model Calculations'!M$12*WorkingData!$P4),"")</f>
        <v>-0.17009244250461952</v>
      </c>
      <c r="AA4">
        <f>IF(AND($N4&gt;0,$N4&lt;&gt;""),$N4-('DDD Model Calculations'!N$13+'DDD Model Calculations'!N$12*WorkingData!$P4),"")</f>
        <v>-0.47565144684716509</v>
      </c>
      <c r="AB4" t="str">
        <f>IF(X4&lt;&gt;"",X4/'DDD Model Calculations'!K$11,"")</f>
        <v/>
      </c>
      <c r="AC4">
        <f>IF(Y4&lt;&gt;"",Y4/'DDD Model Calculations'!L$11,"")</f>
        <v>-0.14309154666876625</v>
      </c>
      <c r="AD4">
        <f>IF(Z4&lt;&gt;"",Z4/'DDD Model Calculations'!M$11,"")</f>
        <v>-0.22810096009548092</v>
      </c>
      <c r="AE4">
        <f>IF(AA4&lt;&gt;"",AA4/'DDD Model Calculations'!N$11,"")</f>
        <v>-0.42293251696277218</v>
      </c>
      <c r="AF4" t="str">
        <f t="shared" si="8"/>
        <v/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25">
      <c r="A5" s="2">
        <v>45527</v>
      </c>
      <c r="B5" s="1">
        <v>31</v>
      </c>
      <c r="C5" s="1">
        <v>28587</v>
      </c>
      <c r="D5" t="str">
        <v>A</v>
      </c>
      <c r="E5">
        <v>18</v>
      </c>
      <c r="F5">
        <v>8912</v>
      </c>
      <c r="G5">
        <f t="shared" si="12"/>
        <v>78</v>
      </c>
      <c r="H5" s="2">
        <f t="shared" si="13"/>
        <v>45527</v>
      </c>
      <c r="I5">
        <f t="shared" si="14"/>
        <v>62</v>
      </c>
      <c r="J5">
        <f t="shared" si="15"/>
        <v>305</v>
      </c>
      <c r="K5">
        <f>IF(AND($H6&gt;0,$H6&lt;&gt;""),VLOOKUP($H6,'Weather Data'!$L$2:$P$4170,'DDD Model Calculations'!$D$22,FALSE),"")</f>
        <v>46320.400009781122</v>
      </c>
      <c r="L5">
        <f>IF(AND($K5&gt;0,$K5&lt;&gt;""),VLOOKUP($H5,'Weather Data'!$L$2:$P$4170,'DDD Model Calculations'!$D$22,FALSE),"")</f>
        <v>46339.900010734797</v>
      </c>
      <c r="M5">
        <f t="shared" si="16"/>
        <v>19.500000953674316</v>
      </c>
      <c r="N5">
        <f t="shared" si="0"/>
        <v>1.2580645161290323</v>
      </c>
      <c r="O5">
        <f t="shared" si="1"/>
        <v>0.31451614441410186</v>
      </c>
      <c r="P5">
        <f t="shared" si="17"/>
        <v>-4.6854838555858978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 t="str">
        <f>IF(AND($N5&gt;0,$N5&lt;&gt;"",'DDD Model Calculations'!$K$3&gt;=3),$N5-('DDD Model Calculations'!K$13+'DDD Model Calculations'!K$12*WorkingData!$P5),"")</f>
        <v/>
      </c>
      <c r="Y5">
        <f>IF(AND($N5&gt;0,$N5&lt;&gt;""),$N5-('DDD Model Calculations'!L$13+'DDD Model Calculations'!L$12*WorkingData!$P5),"")</f>
        <v>0.77843692141425413</v>
      </c>
      <c r="Z5">
        <f>IF(AND($N5&gt;0,$N5&lt;&gt;""),$N5-('DDD Model Calculations'!M$13+'DDD Model Calculations'!M$12*WorkingData!$P5),"")</f>
        <v>0.61020136024903548</v>
      </c>
      <c r="AA5">
        <f>IF(AND($N5&gt;0,$N5&lt;&gt;""),$N5-('DDD Model Calculations'!N$13+'DDD Model Calculations'!N$12*WorkingData!$P5),"")</f>
        <v>0.35138136220409932</v>
      </c>
      <c r="AB5" t="str">
        <f>IF(X5&lt;&gt;"",X5/'DDD Model Calculations'!K$11,"")</f>
        <v/>
      </c>
      <c r="AC5">
        <f>IF(Y5&lt;&gt;"",Y5/'DDD Model Calculations'!L$11,"")</f>
        <v>1.2481054142604684</v>
      </c>
      <c r="AD5">
        <f>IF(Z5&lt;&gt;"",Z5/'DDD Model Calculations'!M$11,"")</f>
        <v>0.81830511735166145</v>
      </c>
      <c r="AE5">
        <f>IF(AA5&lt;&gt;"",AA5/'DDD Model Calculations'!N$11,"")</f>
        <v>0.31243593374065431</v>
      </c>
      <c r="AF5" t="str">
        <f t="shared" si="8"/>
        <v/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 x14ac:dyDescent="0.25">
      <c r="A6" s="2">
        <v>45465</v>
      </c>
      <c r="B6" s="1">
        <v>30</v>
      </c>
      <c r="C6" s="1">
        <v>28509</v>
      </c>
      <c r="D6" t="str">
        <v>A</v>
      </c>
      <c r="E6">
        <v>93</v>
      </c>
      <c r="F6">
        <v>8834</v>
      </c>
      <c r="G6">
        <f t="shared" si="12"/>
        <v>138</v>
      </c>
      <c r="H6" s="2">
        <f t="shared" si="13"/>
        <v>45465</v>
      </c>
      <c r="I6">
        <f t="shared" si="14"/>
        <v>61</v>
      </c>
      <c r="J6">
        <f t="shared" si="15"/>
        <v>366</v>
      </c>
      <c r="K6">
        <f>IF(AND($H7&gt;0,$H7&lt;&gt;""),VLOOKUP($H7,'Weather Data'!$L$2:$P$4170,'DDD Model Calculations'!$D$22,FALSE),"")</f>
        <v>46113.900008589029</v>
      </c>
      <c r="L6">
        <f>IF(AND($K6&gt;0,$K6&lt;&gt;""),VLOOKUP($H6,'Weather Data'!$L$2:$P$4170,'DDD Model Calculations'!$D$22,FALSE),"")</f>
        <v>46320.400009781122</v>
      </c>
      <c r="M6">
        <f t="shared" si="16"/>
        <v>206.5000011920929</v>
      </c>
      <c r="N6">
        <f t="shared" si="0"/>
        <v>2.262295081967213</v>
      </c>
      <c r="O6">
        <f t="shared" si="1"/>
        <v>3.3852459211818506</v>
      </c>
      <c r="P6">
        <f t="shared" si="17"/>
        <v>-1.6147540788181494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 t="str">
        <f>IF(AND($N6&gt;0,$N6&lt;&gt;"",'DDD Model Calculations'!$K$3&gt;=3),$N6-('DDD Model Calculations'!K$13+'DDD Model Calculations'!K$12*WorkingData!$P6),"")</f>
        <v/>
      </c>
      <c r="Y6">
        <f>IF(AND($N6&gt;0,$N6&lt;&gt;""),$N6-('DDD Model Calculations'!L$13+'DDD Model Calculations'!L$12*WorkingData!$P6),"")</f>
        <v>0.42809038774733632</v>
      </c>
      <c r="Z6">
        <f>IF(AND($N6&gt;0,$N6&lt;&gt;""),$N6-('DDD Model Calculations'!M$13+'DDD Model Calculations'!M$12*WorkingData!$P6),"")</f>
        <v>0.33652010387952025</v>
      </c>
      <c r="AA6">
        <f>IF(AND($N6&gt;0,$N6&lt;&gt;""),$N6-('DDD Model Calculations'!N$13+'DDD Model Calculations'!N$12*WorkingData!$P6),"")</f>
        <v>3.6696362640363578E-2</v>
      </c>
      <c r="AB6" t="str">
        <f>IF(X6&lt;&gt;"",X6/'DDD Model Calculations'!K$11,"")</f>
        <v/>
      </c>
      <c r="AC6">
        <f>IF(Y6&lt;&gt;"",Y6/'DDD Model Calculations'!L$11,"")</f>
        <v>0.68637794025699717</v>
      </c>
      <c r="AD6">
        <f>IF(Z6&lt;&gt;"",Z6/'DDD Model Calculations'!M$11,"")</f>
        <v>0.45128729798953182</v>
      </c>
      <c r="AE6">
        <f>IF(AA6&lt;&gt;"",AA6/'DDD Model Calculations'!N$11,"")</f>
        <v>3.262911343535653E-2</v>
      </c>
      <c r="AF6" t="str">
        <f t="shared" si="8"/>
        <v/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25">
      <c r="A7" s="2">
        <v>45404</v>
      </c>
      <c r="B7" s="1">
        <v>32</v>
      </c>
      <c r="C7" s="1">
        <v>28372</v>
      </c>
      <c r="D7" t="str">
        <v>A</v>
      </c>
      <c r="E7">
        <v>230</v>
      </c>
      <c r="F7">
        <v>8696</v>
      </c>
      <c r="G7">
        <f t="shared" si="12"/>
        <v>464</v>
      </c>
      <c r="H7" s="2">
        <f t="shared" si="13"/>
        <v>45404</v>
      </c>
      <c r="I7">
        <f t="shared" si="14"/>
        <v>60</v>
      </c>
      <c r="J7">
        <f t="shared" si="15"/>
        <v>426</v>
      </c>
      <c r="K7">
        <f>IF(AND($H8&gt;0,$H8&lt;&gt;""),VLOOKUP($H8,'Weather Data'!$L$2:$P$4170,'DDD Model Calculations'!$D$22,FALSE),"")</f>
        <v>45201.900008037686</v>
      </c>
      <c r="L7">
        <f>IF(AND($K7&gt;0,$K7&lt;&gt;""),VLOOKUP($H7,'Weather Data'!$L$2:$P$4170,'DDD Model Calculations'!$D$22,FALSE),"")</f>
        <v>46113.900008589029</v>
      </c>
      <c r="M7">
        <f t="shared" si="16"/>
        <v>912.00000055134296</v>
      </c>
      <c r="N7">
        <f t="shared" si="0"/>
        <v>7.7333333333333334</v>
      </c>
      <c r="O7">
        <f t="shared" si="1"/>
        <v>15.200000009189049</v>
      </c>
      <c r="P7">
        <f t="shared" si="17"/>
        <v>10.200000009189049</v>
      </c>
      <c r="Q7">
        <f t="shared" si="2"/>
        <v>1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 t="str">
        <f>IF(AND($N7&gt;0,$N7&lt;&gt;"",'DDD Model Calculations'!$K$3&gt;=3),$N7-('DDD Model Calculations'!K$13+'DDD Model Calculations'!K$12*WorkingData!$P7),"")</f>
        <v/>
      </c>
      <c r="Y7">
        <f>IF(AND($N7&gt;0,$N7&lt;&gt;""),$N7-('DDD Model Calculations'!L$13+'DDD Model Calculations'!L$12*WorkingData!$P7),"")</f>
        <v>0.68733975264731928</v>
      </c>
      <c r="Z7">
        <f>IF(AND($N7&gt;0,$N7&lt;&gt;""),$N7-('DDD Model Calculations'!M$13+'DDD Model Calculations'!M$12*WorkingData!$P7),"")</f>
        <v>0.89074215091212583</v>
      </c>
      <c r="AA7">
        <f>IF(AND($N7&gt;0,$N7&lt;&gt;""),$N7-('DDD Model Calculations'!N$13+'DDD Model Calculations'!N$12*WorkingData!$P7),"")</f>
        <v>0.4331548883782208</v>
      </c>
      <c r="AB7" t="str">
        <f>IF(X7&lt;&gt;"",X7/'DDD Model Calculations'!K$11,"")</f>
        <v/>
      </c>
      <c r="AC7">
        <f>IF(Y7&lt;&gt;"",Y7/'DDD Model Calculations'!L$11,"")</f>
        <v>1.1020449353262929</v>
      </c>
      <c r="AD7">
        <f>IF(Z7&lt;&gt;"",Z7/'DDD Model Calculations'!M$11,"")</f>
        <v>1.1945218542855103</v>
      </c>
      <c r="AE7">
        <f>IF(AA7&lt;&gt;"",AA7/'DDD Model Calculations'!N$11,"")</f>
        <v>0.38514607364453857</v>
      </c>
      <c r="AF7" t="str">
        <f t="shared" si="8"/>
        <v/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 x14ac:dyDescent="0.25">
      <c r="A8" s="2">
        <v>45344</v>
      </c>
      <c r="B8" s="1">
        <v>30</v>
      </c>
      <c r="C8" s="1">
        <v>27912</v>
      </c>
      <c r="D8" t="str">
        <v>A</v>
      </c>
      <c r="E8">
        <v>320</v>
      </c>
      <c r="F8">
        <v>8232</v>
      </c>
      <c r="G8">
        <f t="shared" si="12"/>
        <v>686</v>
      </c>
      <c r="H8" s="2">
        <f t="shared" si="13"/>
        <v>45344</v>
      </c>
      <c r="I8">
        <f t="shared" si="14"/>
        <v>64</v>
      </c>
      <c r="J8">
        <f t="shared" si="15"/>
        <v>490</v>
      </c>
      <c r="K8">
        <f>IF(AND($H9&gt;0,$H9&lt;&gt;""),VLOOKUP($H9,'Weather Data'!$L$2:$P$4170,'DDD Model Calculations'!$D$22,FALSE),"")</f>
        <v>43752.300008252263</v>
      </c>
      <c r="L8">
        <f>IF(AND($K8&gt;0,$K8&lt;&gt;""),VLOOKUP($H8,'Weather Data'!$L$2:$P$4170,'DDD Model Calculations'!$D$22,FALSE),"")</f>
        <v>45201.900008037686</v>
      </c>
      <c r="M8">
        <f t="shared" si="16"/>
        <v>1449.5999997854233</v>
      </c>
      <c r="N8">
        <f t="shared" si="0"/>
        <v>10.71875</v>
      </c>
      <c r="O8">
        <f t="shared" si="1"/>
        <v>22.649999996647239</v>
      </c>
      <c r="P8">
        <f t="shared" si="17"/>
        <v>17.649999996647239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 t="str">
        <f>IF(AND($N8&gt;0,$N8&lt;&gt;"",'DDD Model Calculations'!$K$3&gt;=3),$N8-('DDD Model Calculations'!K$13+'DDD Model Calculations'!K$12*WorkingData!$P8),"")</f>
        <v/>
      </c>
      <c r="Y8">
        <f>IF(AND($N8&gt;0,$N8&lt;&gt;""),$N8-('DDD Model Calculations'!L$13+'DDD Model Calculations'!L$12*WorkingData!$P8),"")</f>
        <v>0.38637171341304644</v>
      </c>
      <c r="Z8">
        <f>IF(AND($N8&gt;0,$N8&lt;&gt;""),$N8-('DDD Model Calculations'!M$13+'DDD Model Calculations'!M$12*WorkingData!$P8),"")</f>
        <v>0.77577429939392317</v>
      </c>
      <c r="AA8">
        <f>IF(AND($N8&gt;0,$N8&lt;&gt;""),$N8-('DDD Model Calculations'!N$13+'DDD Model Calculations'!N$12*WorkingData!$P8),"")</f>
        <v>0.21870648712430452</v>
      </c>
      <c r="AB8" t="str">
        <f>IF(X8&lt;&gt;"",X8/'DDD Model Calculations'!K$11,"")</f>
        <v/>
      </c>
      <c r="AC8">
        <f>IF(Y8&lt;&gt;"",Y8/'DDD Model Calculations'!L$11,"")</f>
        <v>0.61948838006270734</v>
      </c>
      <c r="AD8">
        <f>IF(Z8&lt;&gt;"",Z8/'DDD Model Calculations'!M$11,"")</f>
        <v>1.0403452375865967</v>
      </c>
      <c r="AE8">
        <f>IF(AA8&lt;&gt;"",AA8/'DDD Model Calculations'!N$11,"")</f>
        <v>0.19446610682819901</v>
      </c>
      <c r="AF8" t="str">
        <f t="shared" si="8"/>
        <v/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25">
      <c r="A9" s="2">
        <v>45280</v>
      </c>
      <c r="B9" s="1">
        <v>28</v>
      </c>
      <c r="C9" s="1">
        <v>27232</v>
      </c>
      <c r="D9" t="str">
        <v>A</v>
      </c>
      <c r="E9">
        <v>235</v>
      </c>
      <c r="F9">
        <v>7546</v>
      </c>
      <c r="G9">
        <f t="shared" si="12"/>
        <v>446</v>
      </c>
      <c r="H9" s="2">
        <f t="shared" si="13"/>
        <v>45280</v>
      </c>
      <c r="I9">
        <f t="shared" si="14"/>
        <v>56</v>
      </c>
      <c r="J9">
        <f t="shared" si="15"/>
        <v>546</v>
      </c>
      <c r="K9">
        <f>IF(AND($H10&gt;0,$H10&lt;&gt;""),VLOOKUP($H10,'Weather Data'!$L$2:$P$4170,'DDD Model Calculations'!$D$22,FALSE),"")</f>
        <v>42756.800009928644</v>
      </c>
      <c r="L9">
        <f>IF(AND($K9&gt;0,$K9&lt;&gt;""),VLOOKUP($H9,'Weather Data'!$L$2:$P$4170,'DDD Model Calculations'!$D$22,FALSE),"")</f>
        <v>43752.300008252263</v>
      </c>
      <c r="M9">
        <f t="shared" si="16"/>
        <v>995.49999832361937</v>
      </c>
      <c r="N9">
        <f t="shared" si="0"/>
        <v>7.9642857142857144</v>
      </c>
      <c r="O9">
        <f t="shared" si="1"/>
        <v>17.776785684350347</v>
      </c>
      <c r="P9">
        <f t="shared" si="17"/>
        <v>12.776785684350347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 t="str">
        <f>IF(AND($N9&gt;0,$N9&lt;&gt;"",'DDD Model Calculations'!$K$3&gt;=3),$N9-('DDD Model Calculations'!K$13+'DDD Model Calculations'!K$12*WorkingData!$P9),"")</f>
        <v/>
      </c>
      <c r="Y9">
        <f>IF(AND($N9&gt;0,$N9&lt;&gt;""),$N9-('DDD Model Calculations'!L$13+'DDD Model Calculations'!L$12*WorkingData!$P9),"")</f>
        <v>-0.21839364458698629</v>
      </c>
      <c r="Z9">
        <f>IF(AND($N9&gt;0,$N9&lt;&gt;""),$N9-('DDD Model Calculations'!M$13+'DDD Model Calculations'!M$12*WorkingData!$P9),"")</f>
        <v>4.9341991273919028E-2</v>
      </c>
      <c r="AA9">
        <f>IF(AND($N9&gt;0,$N9&lt;&gt;""),$N9-('DDD Model Calculations'!N$13+'DDD Model Calculations'!N$12*WorkingData!$P9),"")</f>
        <v>-0.44265333246101957</v>
      </c>
      <c r="AB9" t="str">
        <f>IF(X9&lt;&gt;"",X9/'DDD Model Calculations'!K$11,"")</f>
        <v/>
      </c>
      <c r="AC9">
        <f>IF(Y9&lt;&gt;"",Y9/'DDD Model Calculations'!L$11,"")</f>
        <v>-0.35016105062678338</v>
      </c>
      <c r="AD9">
        <f>IF(Z9&lt;&gt;"",Z9/'DDD Model Calculations'!M$11,"")</f>
        <v>6.6169639384760434E-2</v>
      </c>
      <c r="AE9">
        <f>IF(AA9&lt;&gt;"",AA9/'DDD Model Calculations'!N$11,"")</f>
        <v>-0.3935917556450792</v>
      </c>
      <c r="AF9" t="str">
        <f t="shared" si="8"/>
        <v/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 x14ac:dyDescent="0.25">
      <c r="A10" s="2">
        <v>45224</v>
      </c>
      <c r="B10" s="1">
        <v>33</v>
      </c>
      <c r="C10" s="1">
        <v>26790</v>
      </c>
      <c r="D10" t="str">
        <v>A</v>
      </c>
      <c r="E10">
        <v>107</v>
      </c>
      <c r="F10">
        <v>7100</v>
      </c>
      <c r="G10">
        <f t="shared" si="12"/>
        <v>149</v>
      </c>
      <c r="H10" s="2">
        <f t="shared" si="13"/>
        <v>45224</v>
      </c>
      <c r="I10">
        <f t="shared" si="14"/>
        <v>62</v>
      </c>
      <c r="J10">
        <f t="shared" si="15"/>
        <v>608</v>
      </c>
      <c r="K10">
        <f>IF(AND($H11&gt;0,$H11&lt;&gt;""),VLOOKUP($H11,'Weather Data'!$L$2:$P$4170,'DDD Model Calculations'!$D$22,FALSE),"")</f>
        <v>42518.200012408197</v>
      </c>
      <c r="L10">
        <f>IF(AND($K10&gt;0,$K10&lt;&gt;""),VLOOKUP($H10,'Weather Data'!$L$2:$P$4170,'DDD Model Calculations'!$D$22,FALSE),"")</f>
        <v>42756.800009928644</v>
      </c>
      <c r="M10">
        <f t="shared" si="16"/>
        <v>238.59999752044678</v>
      </c>
      <c r="N10">
        <f t="shared" si="0"/>
        <v>2.403225806451613</v>
      </c>
      <c r="O10">
        <f t="shared" si="1"/>
        <v>3.8483870567813998</v>
      </c>
      <c r="P10">
        <f t="shared" si="17"/>
        <v>-1.1516129432186002</v>
      </c>
      <c r="Q10">
        <f t="shared" si="2"/>
        <v>0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 t="str">
        <f>IF(AND($N10&gt;0,$N10&lt;&gt;"",'DDD Model Calculations'!$K$3&gt;=3),$N10-('DDD Model Calculations'!K$13+'DDD Model Calculations'!K$12*WorkingData!$P10),"")</f>
        <v/>
      </c>
      <c r="Y10">
        <f>IF(AND($N10&gt;0,$N10&lt;&gt;""),$N10-('DDD Model Calculations'!L$13+'DDD Model Calculations'!L$12*WorkingData!$P10),"")</f>
        <v>0.36471776360485242</v>
      </c>
      <c r="Z10">
        <f>IF(AND($N10&gt;0,$N10&lt;&gt;""),$N10-('DDD Model Calculations'!M$13+'DDD Model Calculations'!M$12*WorkingData!$P10),"")</f>
        <v>0.28471047816731421</v>
      </c>
      <c r="AA10">
        <f>IF(AND($N10&gt;0,$N10&lt;&gt;""),$N10-('DDD Model Calculations'!N$13+'DDD Model Calculations'!N$12*WorkingData!$P10),"")</f>
        <v>-2.12976301661012E-2</v>
      </c>
      <c r="AB10" t="str">
        <f>IF(X10&lt;&gt;"",X10/'DDD Model Calculations'!K$11,"")</f>
        <v/>
      </c>
      <c r="AC10">
        <f>IF(Y10&lt;&gt;"",Y10/'DDD Model Calculations'!L$11,"")</f>
        <v>0.58476955924080931</v>
      </c>
      <c r="AD10">
        <f>IF(Z10&lt;&gt;"",Z10/'DDD Model Calculations'!M$11,"")</f>
        <v>0.38180845934671115</v>
      </c>
      <c r="AE10">
        <f>IF(AA10&lt;&gt;"",AA10/'DDD Model Calculations'!N$11,"")</f>
        <v>-1.8937102769679359E-2</v>
      </c>
      <c r="AF10" t="str">
        <f t="shared" si="8"/>
        <v/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 x14ac:dyDescent="0.25">
      <c r="A11" s="2">
        <v>45162</v>
      </c>
      <c r="B11" s="1">
        <v>34</v>
      </c>
      <c r="C11" s="1">
        <v>26642</v>
      </c>
      <c r="D11" t="str">
        <v>A</v>
      </c>
      <c r="E11">
        <v>76</v>
      </c>
      <c r="F11">
        <v>6951</v>
      </c>
      <c r="G11">
        <f t="shared" si="12"/>
        <v>115</v>
      </c>
      <c r="H11" s="2">
        <f t="shared" si="13"/>
        <v>45162</v>
      </c>
      <c r="I11">
        <f t="shared" si="14"/>
        <v>63</v>
      </c>
      <c r="J11">
        <f t="shared" si="15"/>
        <v>671</v>
      </c>
      <c r="K11">
        <f>IF(AND($H12&gt;0,$H12&lt;&gt;""),VLOOKUP($H12,'Weather Data'!$L$2:$P$4170,'DDD Model Calculations'!$D$22,FALSE),"")</f>
        <v>42508.900010310113</v>
      </c>
      <c r="L11">
        <f>IF(AND($K11&gt;0,$K11&lt;&gt;""),VLOOKUP($H11,'Weather Data'!$L$2:$P$4170,'DDD Model Calculations'!$D$22,FALSE),"")</f>
        <v>42518.200012408197</v>
      </c>
      <c r="M11">
        <f t="shared" si="16"/>
        <v>9.3000020980834961</v>
      </c>
      <c r="N11">
        <f t="shared" si="0"/>
        <v>1.8253968253968254</v>
      </c>
      <c r="O11">
        <f t="shared" si="1"/>
        <v>0.14761908092196024</v>
      </c>
      <c r="P11">
        <f t="shared" si="17"/>
        <v>-4.8523809190780396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 t="str">
        <f>IF(AND($N11&gt;0,$N11&lt;&gt;"",'DDD Model Calculations'!$K$3&gt;=3),$N11-('DDD Model Calculations'!K$13+'DDD Model Calculations'!K$12*WorkingData!$P11),"")</f>
        <v/>
      </c>
      <c r="Y11">
        <f>IF(AND($N11&gt;0,$N11&lt;&gt;""),$N11-('DDD Model Calculations'!L$13+'DDD Model Calculations'!L$12*WorkingData!$P11),"")</f>
        <v>1.4193917753590555</v>
      </c>
      <c r="Z11">
        <f>IF(AND($N11&gt;0,$N11&lt;&gt;""),$N11-('DDD Model Calculations'!M$13+'DDD Model Calculations'!M$12*WorkingData!$P11),"")</f>
        <v>1.2469893839668493</v>
      </c>
      <c r="AA11">
        <f>IF(AND($N11&gt;0,$N11&lt;&gt;""),$N11-('DDD Model Calculations'!N$13+'DDD Model Calculations'!N$12*WorkingData!$P11),"")</f>
        <v>0.99039797809015817</v>
      </c>
      <c r="AB11" t="str">
        <f>IF(X11&lt;&gt;"",X11/'DDD Model Calculations'!K$11,"")</f>
        <v/>
      </c>
      <c r="AC11">
        <f>IF(Y11&lt;&gt;"",Y11/'DDD Model Calculations'!L$11,"")</f>
        <v>2.2757792070857654</v>
      </c>
      <c r="AD11">
        <f>IF(Z11&lt;&gt;"",Z11/'DDD Model Calculations'!M$11,"")</f>
        <v>1.6722640437360146</v>
      </c>
      <c r="AE11">
        <f>IF(AA11&lt;&gt;"",AA11/'DDD Model Calculations'!N$11,"")</f>
        <v>0.88062700627735424</v>
      </c>
      <c r="AF11" t="str">
        <f t="shared" si="8"/>
        <v/>
      </c>
      <c r="AG11">
        <f t="shared" si="9"/>
        <v>0</v>
      </c>
      <c r="AH11">
        <f t="shared" si="10"/>
        <v>1</v>
      </c>
      <c r="AI11">
        <f t="shared" si="11"/>
        <v>1</v>
      </c>
    </row>
    <row r="12" spans="1:35" x14ac:dyDescent="0.25">
      <c r="A12" s="2">
        <v>45099</v>
      </c>
      <c r="B12" s="1">
        <v>29</v>
      </c>
      <c r="C12" s="1">
        <v>26528</v>
      </c>
      <c r="D12" t="str">
        <v>A</v>
      </c>
      <c r="E12">
        <v>76</v>
      </c>
      <c r="F12">
        <v>6836</v>
      </c>
      <c r="G12">
        <f t="shared" si="12"/>
        <v>204</v>
      </c>
      <c r="H12" s="2">
        <f t="shared" si="13"/>
        <v>45099</v>
      </c>
      <c r="I12">
        <f t="shared" si="14"/>
        <v>59</v>
      </c>
      <c r="J12">
        <f t="shared" si="15"/>
        <v>730</v>
      </c>
      <c r="K12">
        <f>IF(AND($H13&gt;0,$H13&lt;&gt;""),VLOOKUP($H13,'Weather Data'!$L$2:$P$4170,'DDD Model Calculations'!$D$22,FALSE),"")</f>
        <v>42245.00001116842</v>
      </c>
      <c r="L12">
        <f>IF(AND($K12&gt;0,$K12&lt;&gt;""),VLOOKUP($H12,'Weather Data'!$L$2:$P$4170,'DDD Model Calculations'!$D$22,FALSE),"")</f>
        <v>42508.900010310113</v>
      </c>
      <c r="M12">
        <f t="shared" si="16"/>
        <v>263.89999914169312</v>
      </c>
      <c r="N12">
        <f t="shared" si="0"/>
        <v>3.4576271186440679</v>
      </c>
      <c r="O12">
        <f t="shared" si="1"/>
        <v>4.4728813413846291</v>
      </c>
      <c r="P12">
        <f t="shared" si="17"/>
        <v>-0.52711865861537088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 t="str">
        <f>IF(AND($N12&gt;0,$N12&lt;&gt;"",'DDD Model Calculations'!$K$3&gt;=3),$N12-('DDD Model Calculations'!K$13+'DDD Model Calculations'!K$12*WorkingData!$P12),"")</f>
        <v/>
      </c>
      <c r="Y12">
        <f>IF(AND($N12&gt;0,$N12&lt;&gt;""),$N12-('DDD Model Calculations'!L$13+'DDD Model Calculations'!L$12*WorkingData!$P12),"")</f>
        <v>1.1436387443479621</v>
      </c>
      <c r="Z12">
        <f>IF(AND($N12&gt;0,$N12&lt;&gt;""),$N12-('DDD Model Calculations'!M$13+'DDD Model Calculations'!M$12*WorkingData!$P12),"")</f>
        <v>1.0792228756029552</v>
      </c>
      <c r="AA12">
        <f>IF(AND($N12&gt;0,$N12&lt;&gt;""),$N12-('DDD Model Calculations'!N$13+'DDD Model Calculations'!N$12*WorkingData!$P12),"")</f>
        <v>0.76487583641803258</v>
      </c>
      <c r="AB12" t="str">
        <f>IF(X12&lt;&gt;"",X12/'DDD Model Calculations'!K$11,"")</f>
        <v/>
      </c>
      <c r="AC12">
        <f>IF(Y12&lt;&gt;"",Y12/'DDD Model Calculations'!L$11,"")</f>
        <v>1.8336510891408986</v>
      </c>
      <c r="AD12">
        <f>IF(Z12&lt;&gt;"",Z12/'DDD Model Calculations'!M$11,"")</f>
        <v>1.4472822569724346</v>
      </c>
      <c r="AE12">
        <f>IF(AA12&lt;&gt;"",AA12/'DDD Model Calculations'!N$11,"")</f>
        <v>0.68010065943145814</v>
      </c>
      <c r="AF12" t="str">
        <f t="shared" si="8"/>
        <v/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 x14ac:dyDescent="0.25">
      <c r="A13" s="2">
        <v>45040</v>
      </c>
      <c r="B13" s="1">
        <v>32</v>
      </c>
      <c r="C13" s="1">
        <v>26326</v>
      </c>
      <c r="D13" t="str">
        <v>A</v>
      </c>
      <c r="E13">
        <v>201</v>
      </c>
      <c r="F13">
        <v>6632</v>
      </c>
      <c r="G13">
        <f t="shared" si="12"/>
        <v>514</v>
      </c>
      <c r="H13" s="2">
        <f t="shared" si="13"/>
        <v>45040</v>
      </c>
      <c r="I13">
        <f t="shared" si="14"/>
        <v>62</v>
      </c>
      <c r="J13">
        <f t="shared" si="15"/>
        <v>792</v>
      </c>
      <c r="K13">
        <f>IF(AND($H14&gt;0,$H14&lt;&gt;""),VLOOKUP($H14,'Weather Data'!$L$2:$P$4170,'DDD Model Calculations'!$D$22,FALSE),"")</f>
        <v>41173.500012807548</v>
      </c>
      <c r="L13">
        <f>IF(AND($K13&gt;0,$K13&lt;&gt;""),VLOOKUP($H13,'Weather Data'!$L$2:$P$4170,'DDD Model Calculations'!$D$22,FALSE),"")</f>
        <v>42245.00001116842</v>
      </c>
      <c r="M13">
        <f t="shared" si="16"/>
        <v>1071.4999983608723</v>
      </c>
      <c r="N13">
        <f t="shared" si="0"/>
        <v>8.2903225806451619</v>
      </c>
      <c r="O13">
        <f t="shared" si="1"/>
        <v>17.282258038078584</v>
      </c>
      <c r="P13">
        <f t="shared" si="17"/>
        <v>12.282258038078584</v>
      </c>
      <c r="Q13">
        <f t="shared" si="2"/>
        <v>1</v>
      </c>
      <c r="R13">
        <f t="shared" si="3"/>
        <v>3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4"/>
        <v>0</v>
      </c>
      <c r="U13">
        <f t="shared" si="5"/>
        <v>0</v>
      </c>
      <c r="V13">
        <f t="shared" si="6"/>
        <v>1</v>
      </c>
      <c r="W13">
        <f t="shared" si="7"/>
        <v>1</v>
      </c>
      <c r="X13" t="str">
        <f>IF(AND($N13&gt;0,$N13&lt;&gt;"",'DDD Model Calculations'!$K$3&gt;=3),$N13-('DDD Model Calculations'!K$13+'DDD Model Calculations'!K$12*WorkingData!$P13),"")</f>
        <v/>
      </c>
      <c r="Y13">
        <f>IF(AND($N13&gt;0,$N13&lt;&gt;""),$N13-('DDD Model Calculations'!L$13+'DDD Model Calculations'!L$12*WorkingData!$P13),"")</f>
        <v>0.32579195950248696</v>
      </c>
      <c r="Z13">
        <f>IF(AND($N13&gt;0,$N13&lt;&gt;""),$N13-('DDD Model Calculations'!M$13+'DDD Model Calculations'!M$12*WorkingData!$P13),"")</f>
        <v>0.58118098661276374</v>
      </c>
      <c r="AA13">
        <f>IF(AND($N13&gt;0,$N13&lt;&gt;""),$N13-('DDD Model Calculations'!N$13+'DDD Model Calculations'!N$12*WorkingData!$P13),"")</f>
        <v>9.5789136997749935E-2</v>
      </c>
      <c r="AB13" t="str">
        <f>IF(X13&lt;&gt;"",X13/'DDD Model Calculations'!K$11,"")</f>
        <v/>
      </c>
      <c r="AC13">
        <f>IF(Y13&lt;&gt;"",Y13/'DDD Model Calculations'!L$11,"")</f>
        <v>0.52235794242497435</v>
      </c>
      <c r="AD13">
        <f>IF(Z13&lt;&gt;"",Z13/'DDD Model Calculations'!M$11,"")</f>
        <v>0.77938760290310871</v>
      </c>
      <c r="AE13">
        <f>IF(AA13&lt;&gt;"",AA13/'DDD Model Calculations'!N$11,"")</f>
        <v>8.5172327503016065E-2</v>
      </c>
      <c r="AF13" t="str">
        <f t="shared" si="8"/>
        <v/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 x14ac:dyDescent="0.25">
      <c r="A14" s="2">
        <v>44978</v>
      </c>
      <c r="B14" s="1">
        <v>28</v>
      </c>
      <c r="C14" s="1">
        <v>25817</v>
      </c>
      <c r="D14" t="str">
        <v>A</v>
      </c>
      <c r="E14">
        <v>233</v>
      </c>
      <c r="F14">
        <v>6118</v>
      </c>
      <c r="G14">
        <f t="shared" si="12"/>
        <v>1051</v>
      </c>
      <c r="H14" s="2">
        <f t="shared" si="13"/>
        <v>44978</v>
      </c>
      <c r="I14">
        <f t="shared" si="14"/>
        <v>119</v>
      </c>
      <c r="J14">
        <f t="shared" si="15"/>
        <v>911</v>
      </c>
      <c r="K14">
        <f>IF(AND($H15&gt;0,$H15&lt;&gt;""),VLOOKUP($H15,'Weather Data'!$L$2:$P$4170,'DDD Model Calculations'!$D$22,FALSE),"")</f>
        <v>38768.600012674928</v>
      </c>
      <c r="L14">
        <f>IF(AND($K14&gt;0,$K14&lt;&gt;""),VLOOKUP($H14,'Weather Data'!$L$2:$P$4170,'DDD Model Calculations'!$D$22,FALSE),"")</f>
        <v>41173.500012807548</v>
      </c>
      <c r="M14">
        <f t="shared" si="16"/>
        <v>2404.9000001326203</v>
      </c>
      <c r="N14">
        <f t="shared" si="0"/>
        <v>8.8319327731092443</v>
      </c>
      <c r="O14">
        <f t="shared" si="1"/>
        <v>20.209243698593447</v>
      </c>
      <c r="P14">
        <f t="shared" si="17"/>
        <v>15.209243698593447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 t="str">
        <f>IF(AND($N14&gt;0,$N14&lt;&gt;"",'DDD Model Calculations'!$K$3&gt;=3),$N14-('DDD Model Calculations'!K$13+'DDD Model Calculations'!K$12*WorkingData!$P14),"")</f>
        <v/>
      </c>
      <c r="Y14">
        <f>IF(AND($N14&gt;0,$N14&lt;&gt;""),$N14-('DDD Model Calculations'!L$13+'DDD Model Calculations'!L$12*WorkingData!$P14),"")</f>
        <v>-0.42376575746980549</v>
      </c>
      <c r="Z14">
        <f>IF(AND($N14&gt;0,$N14&lt;&gt;""),$N14-('DDD Model Calculations'!M$13+'DDD Model Calculations'!M$12*WorkingData!$P14),"")</f>
        <v>-9.5300235968316827E-2</v>
      </c>
      <c r="AA14">
        <f>IF(AND($N14&gt;0,$N14&lt;&gt;""),$N14-('DDD Model Calculations'!N$13+'DDD Model Calculations'!N$12*WorkingData!$P14),"")</f>
        <v>-0.61977640008893609</v>
      </c>
      <c r="AB14" t="str">
        <f>IF(X14&lt;&gt;"",X14/'DDD Model Calculations'!K$11,"")</f>
        <v/>
      </c>
      <c r="AC14">
        <f>IF(Y14&lt;&gt;"",Y14/'DDD Model Calculations'!L$11,"")</f>
        <v>-0.67944405221086668</v>
      </c>
      <c r="AD14">
        <f>IF(Z14&lt;&gt;"",Z14/'DDD Model Calculations'!M$11,"")</f>
        <v>-0.12780153545686529</v>
      </c>
      <c r="AE14">
        <f>IF(AA14&lt;&gt;"",AA14/'DDD Model Calculations'!N$11,"")</f>
        <v>-0.55108335017419718</v>
      </c>
      <c r="AF14" t="str">
        <f t="shared" si="8"/>
        <v/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25">
      <c r="A15" s="2">
        <v>44859</v>
      </c>
      <c r="B15" s="1">
        <v>32</v>
      </c>
      <c r="C15" s="1">
        <v>24775</v>
      </c>
      <c r="D15" t="str">
        <v>A</v>
      </c>
      <c r="E15">
        <v>81</v>
      </c>
      <c r="F15">
        <v>5067</v>
      </c>
      <c r="G15">
        <f t="shared" si="12"/>
        <v>121</v>
      </c>
      <c r="H15" s="2">
        <f t="shared" si="13"/>
        <v>44859</v>
      </c>
      <c r="I15">
        <f t="shared" si="14"/>
        <v>62</v>
      </c>
      <c r="J15">
        <f t="shared" si="15"/>
        <v>973</v>
      </c>
      <c r="K15">
        <f>IF(AND($H16&gt;0,$H16&lt;&gt;""),VLOOKUP($H16,'Weather Data'!$L$2:$P$4170,'DDD Model Calculations'!$D$22,FALSE),"")</f>
        <v>38442.500013485551</v>
      </c>
      <c r="L15">
        <f>IF(AND($K15&gt;0,$K15&lt;&gt;""),VLOOKUP($H15,'Weather Data'!$L$2:$P$4170,'DDD Model Calculations'!$D$22,FALSE),"")</f>
        <v>38768.600012674928</v>
      </c>
      <c r="M15">
        <f t="shared" si="16"/>
        <v>326.09999918937683</v>
      </c>
      <c r="N15">
        <f t="shared" si="0"/>
        <v>1.9516129032258065</v>
      </c>
      <c r="O15">
        <f t="shared" si="1"/>
        <v>5.2596774062802716</v>
      </c>
      <c r="P15">
        <f t="shared" si="17"/>
        <v>0.25967740628027158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 t="str">
        <f>IF(AND($N15&gt;0,$N15&lt;&gt;"",'DDD Model Calculations'!$K$3&gt;=3),$N15-('DDD Model Calculations'!K$13+'DDD Model Calculations'!K$12*WorkingData!$P15),"")</f>
        <v/>
      </c>
      <c r="Y15">
        <f>IF(AND($N15&gt;0,$N15&lt;&gt;""),$N15-('DDD Model Calculations'!L$13+'DDD Model Calculations'!L$12*WorkingData!$P15),"")</f>
        <v>-0.7094512507601034</v>
      </c>
      <c r="Z15">
        <f>IF(AND($N15&gt;0,$N15&lt;&gt;""),$N15-('DDD Model Calculations'!M$13+'DDD Model Calculations'!M$12*WorkingData!$P15),"")</f>
        <v>-0.75422360057742965</v>
      </c>
      <c r="AA15">
        <f>IF(AND($N15&gt;0,$N15&lt;&gt;""),$N15-('DDD Model Calculations'!N$13+'DDD Model Calculations'!N$12*WorkingData!$P15),"")</f>
        <v>-1.0790768015338266</v>
      </c>
      <c r="AB15" t="str">
        <f>IF(X15&lt;&gt;"",X15/'DDD Model Calculations'!K$11,"")</f>
        <v/>
      </c>
      <c r="AC15">
        <f>IF(Y15&lt;&gt;"",Y15/'DDD Model Calculations'!L$11,"")</f>
        <v>-1.137497365385542</v>
      </c>
      <c r="AD15">
        <f>IF(Z15&lt;&gt;"",Z15/'DDD Model Calculations'!M$11,"")</f>
        <v>-1.0114448642461573</v>
      </c>
      <c r="AE15">
        <f>IF(AA15&lt;&gt;"",AA15/'DDD Model Calculations'!N$11,"")</f>
        <v>-0.95947709335041853</v>
      </c>
      <c r="AF15" t="str">
        <f t="shared" si="8"/>
        <v/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 x14ac:dyDescent="0.25">
      <c r="A16" s="2">
        <v>44797</v>
      </c>
      <c r="B16" s="1">
        <v>33</v>
      </c>
      <c r="C16" s="1">
        <v>24655</v>
      </c>
      <c r="D16" t="str">
        <v>A</v>
      </c>
      <c r="E16">
        <v>52</v>
      </c>
      <c r="F16">
        <v>4946</v>
      </c>
      <c r="G16">
        <f t="shared" si="12"/>
        <v>92</v>
      </c>
      <c r="H16" s="2">
        <f t="shared" si="13"/>
        <v>44797</v>
      </c>
      <c r="I16">
        <f t="shared" si="14"/>
        <v>63</v>
      </c>
      <c r="J16">
        <f t="shared" si="15"/>
        <v>1036</v>
      </c>
      <c r="K16">
        <f>IF(AND($H17&gt;0,$H17&lt;&gt;""),VLOOKUP($H17,'Weather Data'!$L$2:$P$4170,'DDD Model Calculations'!$D$22,FALSE),"")</f>
        <v>38436.600011959672</v>
      </c>
      <c r="L16">
        <f>IF(AND($K16&gt;0,$K16&lt;&gt;""),VLOOKUP($H16,'Weather Data'!$L$2:$P$4170,'DDD Model Calculations'!$D$22,FALSE),"")</f>
        <v>38442.500013485551</v>
      </c>
      <c r="M16">
        <f t="shared" si="16"/>
        <v>5.9000015258789063</v>
      </c>
      <c r="N16">
        <f t="shared" si="0"/>
        <v>1.4603174603174602</v>
      </c>
      <c r="O16">
        <f t="shared" si="1"/>
        <v>9.365081787109375E-2</v>
      </c>
      <c r="P16">
        <f t="shared" si="17"/>
        <v>-4.9063491821289063</v>
      </c>
      <c r="Q16">
        <f t="shared" si="2"/>
        <v>0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 t="str">
        <f>IF(AND($N16&gt;0,$N16&lt;&gt;"",'DDD Model Calculations'!$K$3&gt;=3),$N16-('DDD Model Calculations'!K$13+'DDD Model Calculations'!K$12*WorkingData!$P16),"")</f>
        <v/>
      </c>
      <c r="Y16">
        <f>IF(AND($N16&gt;0,$N16&lt;&gt;""),$N16-('DDD Model Calculations'!L$13+'DDD Model Calculations'!L$12*WorkingData!$P16),"")</f>
        <v>1.0781191853928431</v>
      </c>
      <c r="Z16">
        <f>IF(AND($N16&gt;0,$N16&lt;&gt;""),$N16-('DDD Model Calculations'!M$13+'DDD Model Calculations'!M$12*WorkingData!$P16),"")</f>
        <v>0.90436939707780861</v>
      </c>
      <c r="AA16">
        <f>IF(AND($N16&gt;0,$N16&lt;&gt;""),$N16-('DDD Model Calculations'!N$13+'DDD Model Calculations'!N$12*WorkingData!$P16),"")</f>
        <v>0.64849863448777767</v>
      </c>
      <c r="AB16" t="str">
        <f>IF(X16&lt;&gt;"",X16/'DDD Model Calculations'!K$11,"")</f>
        <v/>
      </c>
      <c r="AC16">
        <f>IF(Y16&lt;&gt;"",Y16/'DDD Model Calculations'!L$11,"")</f>
        <v>1.7286004241194173</v>
      </c>
      <c r="AD16">
        <f>IF(Z16&lt;&gt;"",Z16/'DDD Model Calculations'!M$11,"")</f>
        <v>1.2127965517857551</v>
      </c>
      <c r="AE16">
        <f>IF(AA16&lt;&gt;"",AA16/'DDD Model Calculations'!N$11,"")</f>
        <v>0.57662214957787061</v>
      </c>
      <c r="AF16" t="str">
        <f t="shared" si="8"/>
        <v/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 x14ac:dyDescent="0.25">
      <c r="A17" s="2">
        <v>44734</v>
      </c>
      <c r="B17" s="1">
        <v>29</v>
      </c>
      <c r="C17" s="1">
        <v>24563</v>
      </c>
      <c r="D17" t="str">
        <v>A</v>
      </c>
      <c r="E17">
        <v>5</v>
      </c>
      <c r="F17">
        <v>4854</v>
      </c>
      <c r="G17">
        <f t="shared" si="12"/>
        <v>123</v>
      </c>
      <c r="H17" s="2">
        <f t="shared" si="13"/>
        <v>44734</v>
      </c>
      <c r="I17">
        <f t="shared" si="14"/>
        <v>60</v>
      </c>
      <c r="J17">
        <f t="shared" si="15"/>
        <v>1096</v>
      </c>
      <c r="K17">
        <f>IF(AND($H18&gt;0,$H18&lt;&gt;""),VLOOKUP($H18,'Weather Data'!$L$2:$P$4170,'DDD Model Calculations'!$D$22,FALSE),"")</f>
        <v>38215.200012341142</v>
      </c>
      <c r="L17">
        <f>IF(AND($K17&gt;0,$K17&lt;&gt;""),VLOOKUP($H17,'Weather Data'!$L$2:$P$4170,'DDD Model Calculations'!$D$22,FALSE),"")</f>
        <v>38436.600011959672</v>
      </c>
      <c r="M17">
        <f t="shared" si="16"/>
        <v>221.39999961853027</v>
      </c>
      <c r="N17">
        <f t="shared" si="0"/>
        <v>2.0499999999999998</v>
      </c>
      <c r="O17">
        <f t="shared" si="1"/>
        <v>3.689999993642171</v>
      </c>
      <c r="P17">
        <f t="shared" si="17"/>
        <v>-1.310000006357829</v>
      </c>
      <c r="Q17">
        <f t="shared" si="2"/>
        <v>0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 t="str">
        <f>IF(AND($N17&gt;0,$N17&lt;&gt;"",'DDD Model Calculations'!$K$3&gt;=3),$N17-('DDD Model Calculations'!K$13+'DDD Model Calculations'!K$12*WorkingData!$P17),"")</f>
        <v/>
      </c>
      <c r="Y17">
        <f>IF(AND($N17&gt;0,$N17&lt;&gt;""),$N17-('DDD Model Calculations'!L$13+'DDD Model Calculations'!L$12*WorkingData!$P17),"")</f>
        <v>8.1360523970636089E-2</v>
      </c>
      <c r="Z17">
        <f>IF(AND($N17&gt;0,$N17&lt;&gt;""),$N17-('DDD Model Calculations'!M$13+'DDD Model Calculations'!M$12*WorkingData!$P17),"")</f>
        <v>-2.6011270407662046E-3</v>
      </c>
      <c r="AA17">
        <f>IF(AND($N17&gt;0,$N17&lt;&gt;""),$N17-('DDD Model Calculations'!N$13+'DDD Model Calculations'!N$12*WorkingData!$P17),"")</f>
        <v>-0.30649427804013607</v>
      </c>
      <c r="AB17" t="str">
        <f>IF(X17&lt;&gt;"",X17/'DDD Model Calculations'!K$11,"")</f>
        <v/>
      </c>
      <c r="AC17">
        <f>IF(Y17&lt;&gt;"",Y17/'DDD Model Calculations'!L$11,"")</f>
        <v>0.13044924730745189</v>
      </c>
      <c r="AD17">
        <f>IF(Z17&lt;&gt;"",Z17/'DDD Model Calculations'!M$11,"")</f>
        <v>-3.4882183275895661E-3</v>
      </c>
      <c r="AE17">
        <f>IF(AA17&lt;&gt;"",AA17/'DDD Model Calculations'!N$11,"")</f>
        <v>-0.27252391915429963</v>
      </c>
      <c r="AF17" t="str">
        <f t="shared" si="8"/>
        <v/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 x14ac:dyDescent="0.25">
      <c r="A18" s="2">
        <v>44674</v>
      </c>
      <c r="B18" s="1">
        <v>31</v>
      </c>
      <c r="C18" s="1">
        <v>24441</v>
      </c>
      <c r="D18" t="str">
        <v>A</v>
      </c>
      <c r="E18">
        <v>222</v>
      </c>
      <c r="F18">
        <v>4731</v>
      </c>
      <c r="G18">
        <f t="shared" si="12"/>
        <v>525</v>
      </c>
      <c r="H18" s="2">
        <f t="shared" si="13"/>
        <v>44674</v>
      </c>
      <c r="I18">
        <f t="shared" si="14"/>
        <v>60</v>
      </c>
      <c r="J18">
        <f t="shared" si="15"/>
        <v>1156</v>
      </c>
      <c r="K18">
        <f>IF(AND($H19&gt;0,$H19&lt;&gt;""),VLOOKUP($H19,'Weather Data'!$L$2:$P$4170,'DDD Model Calculations'!$D$22,FALSE),"")</f>
        <v>37132.500013120472</v>
      </c>
      <c r="L18">
        <f>IF(AND($K18&gt;0,$K18&lt;&gt;""),VLOOKUP($H18,'Weather Data'!$L$2:$P$4170,'DDD Model Calculations'!$D$22,FALSE),"")</f>
        <v>38215.200012341142</v>
      </c>
      <c r="M18">
        <f t="shared" si="16"/>
        <v>1082.6999992206693</v>
      </c>
      <c r="N18">
        <f t="shared" si="0"/>
        <v>8.75</v>
      </c>
      <c r="O18">
        <f t="shared" si="1"/>
        <v>18.044999987011156</v>
      </c>
      <c r="P18">
        <f t="shared" si="17"/>
        <v>13.044999987011156</v>
      </c>
      <c r="Q18">
        <f t="shared" si="2"/>
        <v>1</v>
      </c>
      <c r="R18">
        <f t="shared" si="3"/>
        <v>4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 t="str">
        <f>IF(AND($N18&gt;0,$N18&lt;&gt;"",'DDD Model Calculations'!$K$3&gt;=3),$N18-('DDD Model Calculations'!K$13+'DDD Model Calculations'!K$12*WorkingData!$P18),"")</f>
        <v/>
      </c>
      <c r="Y18">
        <f>IF(AND($N18&gt;0,$N18&lt;&gt;""),$N18-('DDD Model Calculations'!L$13+'DDD Model Calculations'!L$12*WorkingData!$P18),"")</f>
        <v>0.44900448224780121</v>
      </c>
      <c r="Z18">
        <f>IF(AND($N18&gt;0,$N18&lt;&gt;""),$N18-('DDD Model Calculations'!M$13+'DDD Model Calculations'!M$12*WorkingData!$P18),"")</f>
        <v>0.7234364819646828</v>
      </c>
      <c r="AA18">
        <f>IF(AND($N18&gt;0,$N18&lt;&gt;""),$N18-('DDD Model Calculations'!N$13+'DDD Model Calculations'!N$12*WorkingData!$P18),"")</f>
        <v>0.22785966744845609</v>
      </c>
      <c r="AB18" t="str">
        <f>IF(X18&lt;&gt;"",X18/'DDD Model Calculations'!K$11,"")</f>
        <v/>
      </c>
      <c r="AC18">
        <f>IF(Y18&lt;&gt;"",Y18/'DDD Model Calculations'!L$11,"")</f>
        <v>0.71991051542437456</v>
      </c>
      <c r="AD18">
        <f>IF(Z18&lt;&gt;"",Z18/'DDD Model Calculations'!M$11,"")</f>
        <v>0.97015807213045069</v>
      </c>
      <c r="AE18">
        <f>IF(AA18&lt;&gt;"",AA18/'DDD Model Calculations'!N$11,"")</f>
        <v>0.20260479245265675</v>
      </c>
      <c r="AF18" t="str">
        <f t="shared" si="8"/>
        <v/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 x14ac:dyDescent="0.25">
      <c r="A19" s="2">
        <v>44614</v>
      </c>
      <c r="B19" s="1">
        <v>29</v>
      </c>
      <c r="C19" s="1">
        <v>23920</v>
      </c>
      <c r="D19" t="str">
        <v>A</v>
      </c>
      <c r="E19">
        <v>265</v>
      </c>
      <c r="F19">
        <v>4206</v>
      </c>
      <c r="G19">
        <f t="shared" si="12"/>
        <v>732</v>
      </c>
      <c r="H19" s="2">
        <f t="shared" si="13"/>
        <v>44614</v>
      </c>
      <c r="I19">
        <f t="shared" si="14"/>
        <v>63</v>
      </c>
      <c r="J19">
        <f t="shared" si="15"/>
        <v>1219</v>
      </c>
      <c r="K19">
        <f>IF(AND($H20&gt;0,$H20&lt;&gt;""),VLOOKUP($H20,'Weather Data'!$L$2:$P$4170,'DDD Model Calculations'!$D$22,FALSE),"")</f>
        <v>35288.500007666647</v>
      </c>
      <c r="L19">
        <f>IF(AND($K19&gt;0,$K19&lt;&gt;""),VLOOKUP($H19,'Weather Data'!$L$2:$P$4170,'DDD Model Calculations'!$D$22,FALSE),"")</f>
        <v>37132.500013120472</v>
      </c>
      <c r="M19">
        <f t="shared" si="16"/>
        <v>1844.000005453825</v>
      </c>
      <c r="N19">
        <f t="shared" si="0"/>
        <v>11.619047619047619</v>
      </c>
      <c r="O19">
        <f t="shared" si="1"/>
        <v>29.26984135640992</v>
      </c>
      <c r="P19">
        <f t="shared" si="17"/>
        <v>24.26984135640992</v>
      </c>
      <c r="Q19">
        <f t="shared" si="2"/>
        <v>1</v>
      </c>
      <c r="R19">
        <f t="shared" si="3"/>
        <v>4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 t="str">
        <f>IF(AND($N19&gt;0,$N19&lt;&gt;"",'DDD Model Calculations'!$K$3&gt;=3),$N19-('DDD Model Calculations'!K$13+'DDD Model Calculations'!K$12*WorkingData!$P19),"")</f>
        <v/>
      </c>
      <c r="Y19">
        <f>IF(AND($N19&gt;0,$N19&lt;&gt;""),$N19-('DDD Model Calculations'!L$13+'DDD Model Calculations'!L$12*WorkingData!$P19),"")</f>
        <v>-1.633511263088181</v>
      </c>
      <c r="Z19">
        <f>IF(AND($N19&gt;0,$N19&lt;&gt;""),$N19-('DDD Model Calculations'!M$13+'DDD Model Calculations'!M$12*WorkingData!$P19),"")</f>
        <v>-1.0788346183637731</v>
      </c>
      <c r="AA19">
        <f>IF(AND($N19&gt;0,$N19&lt;&gt;""),$N19-('DDD Model Calculations'!N$13+'DDD Model Calculations'!N$12*WorkingData!$P19),"")</f>
        <v>-1.7242977942227977</v>
      </c>
      <c r="AB19" t="str">
        <f>IF(X19&lt;&gt;"",X19/'DDD Model Calculations'!K$11,"")</f>
        <v/>
      </c>
      <c r="AC19">
        <f>IF(Y19&lt;&gt;"",Y19/'DDD Model Calculations'!L$11,"")</f>
        <v>-2.6190872961315352</v>
      </c>
      <c r="AD19">
        <f>IF(Z19&lt;&gt;"",Z19/'DDD Model Calculations'!M$11,"")</f>
        <v>-1.4467615880484228</v>
      </c>
      <c r="AE19">
        <f>IF(AA19&lt;&gt;"",AA19/'DDD Model Calculations'!N$11,"")</f>
        <v>-1.5331848792595562</v>
      </c>
      <c r="AF19" t="str">
        <f t="shared" si="8"/>
        <v/>
      </c>
      <c r="AG19">
        <f t="shared" si="9"/>
        <v>0</v>
      </c>
      <c r="AH19">
        <f t="shared" si="10"/>
        <v>1</v>
      </c>
      <c r="AI19">
        <f t="shared" si="11"/>
        <v>1</v>
      </c>
    </row>
    <row r="20" spans="1:35" x14ac:dyDescent="0.25">
      <c r="A20" s="2">
        <v>44551</v>
      </c>
      <c r="B20" s="1">
        <v>28</v>
      </c>
      <c r="C20" s="1">
        <v>23194</v>
      </c>
      <c r="D20" t="str">
        <v>A</v>
      </c>
      <c r="E20">
        <v>191</v>
      </c>
      <c r="F20">
        <v>3474</v>
      </c>
      <c r="G20">
        <f t="shared" si="12"/>
        <v>410</v>
      </c>
      <c r="H20" s="2">
        <f t="shared" si="13"/>
        <v>44551</v>
      </c>
      <c r="I20">
        <f t="shared" si="14"/>
        <v>59</v>
      </c>
      <c r="J20">
        <f t="shared" si="15"/>
        <v>1278</v>
      </c>
      <c r="K20">
        <f>IF(AND($H21&gt;0,$H21&lt;&gt;""),VLOOKUP($H21,'Weather Data'!$L$2:$P$4170,'DDD Model Calculations'!$D$22,FALSE),"")</f>
        <v>34253.200006656349</v>
      </c>
      <c r="L20">
        <f>IF(AND($K20&gt;0,$K20&lt;&gt;""),VLOOKUP($H20,'Weather Data'!$L$2:$P$4170,'DDD Model Calculations'!$D$22,FALSE),"")</f>
        <v>35288.500007666647</v>
      </c>
      <c r="M20">
        <f t="shared" si="16"/>
        <v>1035.3000010102987</v>
      </c>
      <c r="N20">
        <f t="shared" si="0"/>
        <v>6.9491525423728815</v>
      </c>
      <c r="O20">
        <f t="shared" si="1"/>
        <v>17.54745764424235</v>
      </c>
      <c r="P20">
        <f t="shared" si="17"/>
        <v>12.54745764424235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 t="str">
        <f>IF(AND($N20&gt;0,$N20&lt;&gt;"",'DDD Model Calculations'!$K$3&gt;=3),$N20-('DDD Model Calculations'!K$13+'DDD Model Calculations'!K$12*WorkingData!$P20),"")</f>
        <v/>
      </c>
      <c r="Y20">
        <f>IF(AND($N20&gt;0,$N20&lt;&gt;""),$N20-('DDD Model Calculations'!L$13+'DDD Model Calculations'!L$12*WorkingData!$P20),"")</f>
        <v>-1.13236437825634</v>
      </c>
      <c r="Z20">
        <f>IF(AND($N20&gt;0,$N20&lt;&gt;""),$N20-('DDD Model Calculations'!M$13+'DDD Model Calculations'!M$12*WorkingData!$P20),"")</f>
        <v>-0.87035425361428764</v>
      </c>
      <c r="AA20">
        <f>IF(AND($N20&gt;0,$N20&lt;&gt;""),$N20-('DDD Model Calculations'!N$13+'DDD Model Calculations'!N$12*WorkingData!$P20),"")</f>
        <v>-1.3592873384850437</v>
      </c>
      <c r="AB20" t="str">
        <f>IF(X20&lt;&gt;"",X20/'DDD Model Calculations'!K$11,"")</f>
        <v/>
      </c>
      <c r="AC20">
        <f>IF(Y20&lt;&gt;"",Y20/'DDD Model Calculations'!L$11,"")</f>
        <v>-1.8155743548876682</v>
      </c>
      <c r="AD20">
        <f>IF(Z20&lt;&gt;"",Z20/'DDD Model Calculations'!M$11,"")</f>
        <v>-1.167180845599374</v>
      </c>
      <c r="AE20">
        <f>IF(AA20&lt;&gt;"",AA20/'DDD Model Calculations'!N$11,"")</f>
        <v>-1.208630435483208</v>
      </c>
      <c r="AF20" t="str">
        <f t="shared" si="8"/>
        <v/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 x14ac:dyDescent="0.25">
      <c r="A21" s="2">
        <v>44492</v>
      </c>
      <c r="B21" s="1">
        <v>30</v>
      </c>
      <c r="C21" s="1">
        <v>22788</v>
      </c>
      <c r="D21" t="str">
        <v>A</v>
      </c>
      <c r="E21">
        <v>37</v>
      </c>
      <c r="F21">
        <v>3064</v>
      </c>
      <c r="G21">
        <f t="shared" si="12"/>
        <v>85</v>
      </c>
      <c r="H21" s="2">
        <f t="shared" si="13"/>
        <v>44492</v>
      </c>
      <c r="I21">
        <f t="shared" si="14"/>
        <v>60</v>
      </c>
      <c r="J21">
        <f t="shared" si="15"/>
        <v>1338</v>
      </c>
      <c r="K21">
        <f>IF(AND($H22&gt;0,$H22&lt;&gt;""),VLOOKUP($H22,'Weather Data'!$L$2:$P$4170,'DDD Model Calculations'!$D$22,FALSE),"")</f>
        <v>34067.90000551194</v>
      </c>
      <c r="L21">
        <f>IF(AND($K21&gt;0,$K21&lt;&gt;""),VLOOKUP($H21,'Weather Data'!$L$2:$P$4170,'DDD Model Calculations'!$D$22,FALSE),"")</f>
        <v>34253.200006656349</v>
      </c>
      <c r="M21">
        <f t="shared" si="16"/>
        <v>185.30000114440918</v>
      </c>
      <c r="N21">
        <f t="shared" si="0"/>
        <v>1.4166666666666667</v>
      </c>
      <c r="O21">
        <f t="shared" si="1"/>
        <v>3.0883333524068197</v>
      </c>
      <c r="P21">
        <f t="shared" si="17"/>
        <v>-1.9116666475931803</v>
      </c>
      <c r="Q21">
        <f t="shared" si="2"/>
        <v>0</v>
      </c>
      <c r="R21">
        <f t="shared" si="3"/>
        <v>4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4"/>
        <v>0</v>
      </c>
      <c r="U21">
        <f t="shared" si="5"/>
        <v>0</v>
      </c>
      <c r="V21">
        <f t="shared" si="6"/>
        <v>1</v>
      </c>
      <c r="W21">
        <f t="shared" si="7"/>
        <v>1</v>
      </c>
      <c r="X21" t="str">
        <f>IF(AND($N21&gt;0,$N21&lt;&gt;"",'DDD Model Calculations'!$K$3&gt;=3),$N21-('DDD Model Calculations'!K$13+'DDD Model Calculations'!K$12*WorkingData!$P21),"")</f>
        <v/>
      </c>
      <c r="Y21">
        <f>IF(AND($N21&gt;0,$N21&lt;&gt;""),$N21-('DDD Model Calculations'!L$13+'DDD Model Calculations'!L$12*WorkingData!$P21),"")</f>
        <v>-0.28656233270023068</v>
      </c>
      <c r="Z21">
        <f>IF(AND($N21&gt;0,$N21&lt;&gt;""),$N21-('DDD Model Calculations'!M$13+'DDD Model Calculations'!M$12*WorkingData!$P21),"")</f>
        <v>-0.38554547477212542</v>
      </c>
      <c r="AA21">
        <f>IF(AND($N21&gt;0,$N21&lt;&gt;""),$N21-('DDD Model Calculations'!N$13+'DDD Model Calculations'!N$12*WorkingData!$P21),"")</f>
        <v>-0.68140451458646267</v>
      </c>
      <c r="AB21" t="str">
        <f>IF(X21&lt;&gt;"",X21/'DDD Model Calculations'!K$11,"")</f>
        <v/>
      </c>
      <c r="AC21">
        <f>IF(Y21&lt;&gt;"",Y21/'DDD Model Calculations'!L$11,"")</f>
        <v>-0.45945919203893298</v>
      </c>
      <c r="AD21">
        <f>IF(Z21&lt;&gt;"",Z21/'DDD Model Calculations'!M$11,"")</f>
        <v>-0.51703233642259783</v>
      </c>
      <c r="AE21">
        <f>IF(AA21&lt;&gt;"",AA21/'DDD Model Calculations'!N$11,"")</f>
        <v>-0.60588089941508871</v>
      </c>
      <c r="AF21" t="str">
        <f t="shared" si="8"/>
        <v/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 x14ac:dyDescent="0.25">
      <c r="A22" s="2">
        <v>44432</v>
      </c>
      <c r="B22" s="1">
        <v>33</v>
      </c>
      <c r="C22" s="1">
        <v>22703</v>
      </c>
      <c r="D22" t="str">
        <v>A</v>
      </c>
      <c r="E22">
        <v>25</v>
      </c>
      <c r="F22">
        <v>2979</v>
      </c>
      <c r="G22">
        <f t="shared" si="12"/>
        <v>75</v>
      </c>
      <c r="H22" s="2">
        <f t="shared" si="13"/>
        <v>44432</v>
      </c>
      <c r="I22">
        <f t="shared" si="14"/>
        <v>64</v>
      </c>
      <c r="J22">
        <f t="shared" si="15"/>
        <v>1402</v>
      </c>
      <c r="K22">
        <f>IF(AND($H23&gt;0,$H23&lt;&gt;""),VLOOKUP($H23,'Weather Data'!$L$2:$P$4170,'DDD Model Calculations'!$D$22,FALSE),"")</f>
        <v>34038.000004939735</v>
      </c>
      <c r="L22">
        <f>IF(AND($K22&gt;0,$K22&lt;&gt;""),VLOOKUP($H22,'Weather Data'!$L$2:$P$4170,'DDD Model Calculations'!$D$22,FALSE),"")</f>
        <v>34067.90000551194</v>
      </c>
      <c r="M22">
        <f t="shared" si="16"/>
        <v>29.90000057220459</v>
      </c>
      <c r="N22">
        <f t="shared" si="0"/>
        <v>1.171875</v>
      </c>
      <c r="O22">
        <f t="shared" si="1"/>
        <v>0.46718750894069672</v>
      </c>
      <c r="P22">
        <f t="shared" si="17"/>
        <v>-4.5328124910593033</v>
      </c>
      <c r="Q22">
        <f t="shared" si="2"/>
        <v>0</v>
      </c>
      <c r="R22">
        <f t="shared" si="3"/>
        <v>4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4"/>
        <v>0</v>
      </c>
      <c r="U22">
        <f t="shared" si="5"/>
        <v>0</v>
      </c>
      <c r="V22">
        <f t="shared" si="6"/>
        <v>1</v>
      </c>
      <c r="W22">
        <f t="shared" si="7"/>
        <v>1</v>
      </c>
      <c r="X22" t="str">
        <f>IF(AND($N22&gt;0,$N22&lt;&gt;"",'DDD Model Calculations'!$K$3&gt;=3),$N22-('DDD Model Calculations'!K$13+'DDD Model Calculations'!K$12*WorkingData!$P22),"")</f>
        <v/>
      </c>
      <c r="Y22">
        <f>IF(AND($N22&gt;0,$N22&lt;&gt;""),$N22-('DDD Model Calculations'!L$13+'DDD Model Calculations'!L$12*WorkingData!$P22),"")</f>
        <v>0.62490017867396208</v>
      </c>
      <c r="Z22">
        <f>IF(AND($N22&gt;0,$N22&lt;&gt;""),$N22-('DDD Model Calculations'!M$13+'DDD Model Calculations'!M$12*WorkingData!$P22),"")</f>
        <v>0.46047628227500148</v>
      </c>
      <c r="AA22">
        <f>IF(AND($N22&gt;0,$N22&lt;&gt;""),$N22-('DDD Model Calculations'!N$13+'DDD Model Calculations'!N$12*WorkingData!$P22),"")</f>
        <v>0.19961764915656532</v>
      </c>
      <c r="AB22" t="str">
        <f>IF(X22&lt;&gt;"",X22/'DDD Model Calculations'!K$11,"")</f>
        <v/>
      </c>
      <c r="AC22">
        <f>IF(Y22&lt;&gt;"",Y22/'DDD Model Calculations'!L$11,"")</f>
        <v>1.001932558592312</v>
      </c>
      <c r="AD22">
        <f>IF(Z22&lt;&gt;"",Z22/'DDD Model Calculations'!M$11,"")</f>
        <v>0.61751763065706389</v>
      </c>
      <c r="AE22">
        <f>IF(AA22&lt;&gt;"",AA22/'DDD Model Calculations'!N$11,"")</f>
        <v>0.17749298430097049</v>
      </c>
      <c r="AF22" t="str">
        <f t="shared" si="8"/>
        <v/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 x14ac:dyDescent="0.25">
      <c r="A23" s="2">
        <v>44368</v>
      </c>
      <c r="B23" s="1">
        <v>31</v>
      </c>
      <c r="C23" s="1">
        <v>22628</v>
      </c>
      <c r="D23" t="str">
        <v>A</v>
      </c>
      <c r="E23">
        <v>85</v>
      </c>
      <c r="F23">
        <v>2904</v>
      </c>
      <c r="G23">
        <f t="shared" si="12"/>
        <v>201</v>
      </c>
      <c r="H23" s="2">
        <f t="shared" si="13"/>
        <v>44368</v>
      </c>
      <c r="I23">
        <f t="shared" si="14"/>
        <v>60</v>
      </c>
      <c r="J23">
        <f t="shared" si="15"/>
        <v>1462</v>
      </c>
      <c r="K23">
        <f>IF(AND($H24&gt;0,$H24&lt;&gt;""),VLOOKUP($H24,'Weather Data'!$L$2:$P$4170,'DDD Model Calculations'!$D$22,FALSE),"")</f>
        <v>33784.500002555549</v>
      </c>
      <c r="L23">
        <f>IF(AND($K23&gt;0,$K23&lt;&gt;""),VLOOKUP($H23,'Weather Data'!$L$2:$P$4170,'DDD Model Calculations'!$D$22,FALSE),"")</f>
        <v>34038.000004939735</v>
      </c>
      <c r="M23">
        <f t="shared" si="16"/>
        <v>253.50000238418579</v>
      </c>
      <c r="N23">
        <f t="shared" si="0"/>
        <v>3.35</v>
      </c>
      <c r="O23">
        <f t="shared" si="1"/>
        <v>4.2250000397364298</v>
      </c>
      <c r="P23">
        <f t="shared" si="17"/>
        <v>-0.77499996026357021</v>
      </c>
      <c r="Q23">
        <f t="shared" si="2"/>
        <v>0</v>
      </c>
      <c r="R23">
        <f t="shared" si="3"/>
        <v>4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4"/>
        <v>0</v>
      </c>
      <c r="U23">
        <f t="shared" si="5"/>
        <v>0</v>
      </c>
      <c r="V23">
        <f t="shared" si="6"/>
        <v>1</v>
      </c>
      <c r="W23">
        <f t="shared" si="7"/>
        <v>1</v>
      </c>
      <c r="X23" t="str">
        <f>IF(AND($N23&gt;0,$N23&lt;&gt;"",'DDD Model Calculations'!$K$3&gt;=3),$N23-('DDD Model Calculations'!K$13+'DDD Model Calculations'!K$12*WorkingData!$P23),"")</f>
        <v/>
      </c>
      <c r="Y23">
        <f>IF(AND($N23&gt;0,$N23&lt;&gt;""),$N23-('DDD Model Calculations'!L$13+'DDD Model Calculations'!L$12*WorkingData!$P23),"")</f>
        <v>1.1453583800645473</v>
      </c>
      <c r="Z23">
        <f>IF(AND($N23&gt;0,$N23&lt;&gt;""),$N23-('DDD Model Calculations'!M$13+'DDD Model Calculations'!M$12*WorkingData!$P23),"")</f>
        <v>1.0747537906865894</v>
      </c>
      <c r="AA23">
        <f>IF(AND($N23&gt;0,$N23&lt;&gt;""),$N23-('DDD Model Calculations'!N$13+'DDD Model Calculations'!N$12*WorkingData!$P23),"")</f>
        <v>0.76371673381021443</v>
      </c>
      <c r="AB23" t="str">
        <f>IF(X23&lt;&gt;"",X23/'DDD Model Calculations'!K$11,"")</f>
        <v/>
      </c>
      <c r="AC23">
        <f>IF(Y23&lt;&gt;"",Y23/'DDD Model Calculations'!L$11,"")</f>
        <v>1.8364082639220309</v>
      </c>
      <c r="AD23">
        <f>IF(Z23&lt;&gt;"",Z23/'DDD Model Calculations'!M$11,"")</f>
        <v>1.4412890303177961</v>
      </c>
      <c r="AE23">
        <f>IF(AA23&lt;&gt;"",AA23/'DDD Model Calculations'!N$11,"")</f>
        <v>0.67907002620918566</v>
      </c>
      <c r="AF23" t="str">
        <f t="shared" si="8"/>
        <v/>
      </c>
      <c r="AG23">
        <f t="shared" si="9"/>
        <v>1</v>
      </c>
      <c r="AH23">
        <f t="shared" si="10"/>
        <v>1</v>
      </c>
      <c r="AI23">
        <f t="shared" si="11"/>
        <v>1</v>
      </c>
    </row>
    <row r="24" spans="1:35" x14ac:dyDescent="0.25">
      <c r="A24" s="2">
        <v>44308</v>
      </c>
      <c r="B24" s="1">
        <v>30</v>
      </c>
      <c r="C24" s="1">
        <v>22429</v>
      </c>
      <c r="D24" t="str">
        <v>A</v>
      </c>
      <c r="E24">
        <v>273</v>
      </c>
      <c r="F24">
        <v>2703</v>
      </c>
      <c r="G24">
        <f t="shared" si="12"/>
        <v>556</v>
      </c>
      <c r="H24" s="2">
        <f t="shared" si="13"/>
        <v>44308</v>
      </c>
      <c r="I24">
        <f t="shared" si="14"/>
        <v>59</v>
      </c>
      <c r="J24">
        <f t="shared" si="15"/>
        <v>1521</v>
      </c>
      <c r="K24">
        <f>IF(AND($H25&gt;0,$H25&lt;&gt;""),VLOOKUP($H25,'Weather Data'!$L$2:$P$4170,'DDD Model Calculations'!$D$22,FALSE),"")</f>
        <v>32858.400001786649</v>
      </c>
      <c r="L24">
        <f>IF(AND($K24&gt;0,$K24&lt;&gt;""),VLOOKUP($H24,'Weather Data'!$L$2:$P$4170,'DDD Model Calculations'!$D$22,FALSE),"")</f>
        <v>33784.500002555549</v>
      </c>
      <c r="M24">
        <f t="shared" si="16"/>
        <v>926.10000076889992</v>
      </c>
      <c r="N24">
        <f t="shared" si="0"/>
        <v>9.4237288135593218</v>
      </c>
      <c r="O24">
        <f t="shared" si="1"/>
        <v>15.696610182523727</v>
      </c>
      <c r="P24">
        <f t="shared" si="17"/>
        <v>10.696610182523727</v>
      </c>
      <c r="Q24">
        <f t="shared" si="2"/>
        <v>1</v>
      </c>
      <c r="R24">
        <f t="shared" si="3"/>
        <v>5</v>
      </c>
      <c r="S24">
        <f>IF('DDD Model Calculations'!$D$23=1,WorkingData!AF24,IF('DDD Model Calculations'!$D$23=2,WorkingData!AG24,IF('DDD Model Calculations'!$D$23=4,WorkingData!AH24,WorkingData!AI24)))</f>
        <v>0</v>
      </c>
      <c r="T24">
        <f t="shared" si="4"/>
        <v>0</v>
      </c>
      <c r="U24">
        <f t="shared" si="5"/>
        <v>0</v>
      </c>
      <c r="V24">
        <f t="shared" si="6"/>
        <v>0</v>
      </c>
      <c r="W24">
        <f t="shared" si="7"/>
        <v>1</v>
      </c>
      <c r="X24" t="str">
        <f>IF(AND($N24&gt;0,$N24&lt;&gt;"",'DDD Model Calculations'!$K$3&gt;=3),$N24-('DDD Model Calculations'!K$13+'DDD Model Calculations'!K$12*WorkingData!$P24),"")</f>
        <v/>
      </c>
      <c r="Y24">
        <f>IF(AND($N24&gt;0,$N24&lt;&gt;""),$N24-('DDD Model Calculations'!L$13+'DDD Model Calculations'!L$12*WorkingData!$P24),"")</f>
        <v>2.1586678394250658</v>
      </c>
      <c r="Z24">
        <f>IF(AND($N24&gt;0,$N24&lt;&gt;""),$N24-('DDD Model Calculations'!M$13+'DDD Model Calculations'!M$12*WorkingData!$P24),"")</f>
        <v>2.374468839786176</v>
      </c>
      <c r="AA24">
        <f>IF(AND($N24&gt;0,$N24&lt;&gt;""),$N24-('DDD Model Calculations'!N$13+'DDD Model Calculations'!N$12*WorkingData!$P24),"")</f>
        <v>1.9102502949528271</v>
      </c>
      <c r="AB24" t="str">
        <f>IF(X24&lt;&gt;"",X24/'DDD Model Calculations'!K$11,"")</f>
        <v/>
      </c>
      <c r="AC24">
        <f>IF(Y24&lt;&gt;"",Y24/'DDD Model Calculations'!L$11,"")</f>
        <v>3.4610961323385103</v>
      </c>
      <c r="AD24">
        <f>IF(Z24&lt;&gt;"",Z24/'DDD Model Calculations'!M$11,"")</f>
        <v>3.1842603592297736</v>
      </c>
      <c r="AE24">
        <f>IF(AA24&lt;&gt;"",AA24/'DDD Model Calculations'!N$11,"")</f>
        <v>1.6985272947837187</v>
      </c>
      <c r="AF24" t="str">
        <f t="shared" si="8"/>
        <v/>
      </c>
      <c r="AG24">
        <f t="shared" si="9"/>
        <v>0</v>
      </c>
      <c r="AH24">
        <f t="shared" si="10"/>
        <v>0</v>
      </c>
      <c r="AI24">
        <f t="shared" si="11"/>
        <v>1</v>
      </c>
    </row>
    <row r="25" spans="1:35" x14ac:dyDescent="0.25">
      <c r="A25" s="2">
        <v>44249</v>
      </c>
      <c r="B25" s="1">
        <v>31</v>
      </c>
      <c r="C25" s="1">
        <v>21878</v>
      </c>
      <c r="D25" t="str">
        <v>A</v>
      </c>
      <c r="E25">
        <v>524</v>
      </c>
      <c r="F25">
        <v>2147</v>
      </c>
      <c r="G25">
        <f t="shared" si="12"/>
        <v>853</v>
      </c>
      <c r="H25" s="2">
        <f t="shared" si="13"/>
        <v>44249</v>
      </c>
      <c r="I25">
        <f t="shared" si="14"/>
        <v>62</v>
      </c>
      <c r="J25">
        <f t="shared" si="15"/>
        <v>1583</v>
      </c>
      <c r="K25">
        <f>IF(AND($H26&gt;0,$H26&lt;&gt;""),VLOOKUP($H26,'Weather Data'!$L$2:$P$4170,'DDD Model Calculations'!$D$22,FALSE),"")</f>
        <v>31265.300003476441</v>
      </c>
      <c r="L25">
        <f>IF(AND($K25&gt;0,$K25&lt;&gt;""),VLOOKUP($H25,'Weather Data'!$L$2:$P$4170,'DDD Model Calculations'!$D$22,FALSE),"")</f>
        <v>32858.400001786649</v>
      </c>
      <c r="M25">
        <f t="shared" si="16"/>
        <v>1593.0999983102083</v>
      </c>
      <c r="N25">
        <f t="shared" si="0"/>
        <v>13.758064516129032</v>
      </c>
      <c r="O25">
        <f t="shared" si="1"/>
        <v>25.695161263067877</v>
      </c>
      <c r="P25">
        <f t="shared" si="17"/>
        <v>20.695161263067877</v>
      </c>
      <c r="Q25">
        <f t="shared" si="2"/>
        <v>1</v>
      </c>
      <c r="R25">
        <f t="shared" si="3"/>
        <v>5</v>
      </c>
      <c r="S25">
        <f>IF('DDD Model Calculations'!$D$23=1,WorkingData!AF25,IF('DDD Model Calculations'!$D$23=2,WorkingData!AG25,IF('DDD Model Calculations'!$D$23=4,WorkingData!AH25,WorkingData!AI25)))</f>
        <v>0</v>
      </c>
      <c r="T25">
        <f t="shared" si="4"/>
        <v>0</v>
      </c>
      <c r="U25">
        <f t="shared" si="5"/>
        <v>0</v>
      </c>
      <c r="V25">
        <f t="shared" si="6"/>
        <v>0</v>
      </c>
      <c r="W25">
        <f t="shared" si="7"/>
        <v>1</v>
      </c>
      <c r="X25" t="str">
        <f>IF(AND($N25&gt;0,$N25&lt;&gt;"",'DDD Model Calculations'!$K$3&gt;=3),$N25-('DDD Model Calculations'!K$13+'DDD Model Calculations'!K$12*WorkingData!$P25),"")</f>
        <v/>
      </c>
      <c r="Y25">
        <f>IF(AND($N25&gt;0,$N25&lt;&gt;""),$N25-('DDD Model Calculations'!L$13+'DDD Model Calculations'!L$12*WorkingData!$P25),"")</f>
        <v>2.0823880510435409</v>
      </c>
      <c r="Z25">
        <f>IF(AND($N25&gt;0,$N25&lt;&gt;""),$N25-('DDD Model Calculations'!M$13+'DDD Model Calculations'!M$12*WorkingData!$P25),"")</f>
        <v>2.5478175589215262</v>
      </c>
      <c r="AA25">
        <f>IF(AND($N25&gt;0,$N25&lt;&gt;""),$N25-('DDD Model Calculations'!N$13+'DDD Model Calculations'!N$12*WorkingData!$P25),"")</f>
        <v>1.9500874221784272</v>
      </c>
      <c r="AB25" t="str">
        <f>IF(X25&lt;&gt;"",X25/'DDD Model Calculations'!K$11,"")</f>
        <v/>
      </c>
      <c r="AC25">
        <f>IF(Y25&lt;&gt;"",Y25/'DDD Model Calculations'!L$11,"")</f>
        <v>3.338793073145665</v>
      </c>
      <c r="AD25">
        <f>IF(Z25&lt;&gt;"",Z25/'DDD Model Calculations'!M$11,"")</f>
        <v>3.4167281201946462</v>
      </c>
      <c r="AE25">
        <f>IF(AA25&lt;&gt;"",AA25/'DDD Model Calculations'!N$11,"")</f>
        <v>1.7339490654894913</v>
      </c>
      <c r="AF25" t="str">
        <f t="shared" si="8"/>
        <v/>
      </c>
      <c r="AG25">
        <f t="shared" si="9"/>
        <v>0</v>
      </c>
      <c r="AH25">
        <f t="shared" si="10"/>
        <v>0</v>
      </c>
      <c r="AI25">
        <f t="shared" si="11"/>
        <v>1</v>
      </c>
    </row>
    <row r="26" spans="1:35" x14ac:dyDescent="0.25">
      <c r="A26" s="2">
        <v>44187</v>
      </c>
      <c r="B26" s="1">
        <v>29</v>
      </c>
      <c r="C26" s="1">
        <v>21032</v>
      </c>
      <c r="D26" t="str">
        <v>A</v>
      </c>
      <c r="E26">
        <v>363</v>
      </c>
      <c r="F26">
        <v>1294</v>
      </c>
      <c r="G26">
        <f t="shared" si="12"/>
        <v>581</v>
      </c>
      <c r="H26" s="2">
        <f t="shared" si="13"/>
        <v>44187</v>
      </c>
      <c r="I26">
        <f t="shared" si="14"/>
        <v>61</v>
      </c>
      <c r="J26">
        <f t="shared" si="15"/>
        <v>1644</v>
      </c>
      <c r="K26">
        <f>IF(AND($H27&gt;0,$H27&lt;&gt;""),VLOOKUP($H27,'Weather Data'!$L$2:$P$4170,'DDD Model Calculations'!$D$22,FALSE),"")</f>
        <v>30235.800003916025</v>
      </c>
      <c r="L26">
        <f>IF(AND($K26&gt;0,$K26&lt;&gt;""),VLOOKUP($H26,'Weather Data'!$L$2:$P$4170,'DDD Model Calculations'!$D$22,FALSE),"")</f>
        <v>31265.300003476441</v>
      </c>
      <c r="M26">
        <f t="shared" si="16"/>
        <v>1029.4999995604157</v>
      </c>
      <c r="N26">
        <f t="shared" si="0"/>
        <v>9.5245901639344268</v>
      </c>
      <c r="O26">
        <f t="shared" si="1"/>
        <v>16.87704917312157</v>
      </c>
      <c r="P26">
        <f t="shared" si="17"/>
        <v>11.87704917312157</v>
      </c>
      <c r="Q26">
        <f t="shared" si="2"/>
        <v>1</v>
      </c>
      <c r="R26">
        <f t="shared" si="3"/>
        <v>5</v>
      </c>
      <c r="S26">
        <f>IF('DDD Model Calculations'!$D$23=1,WorkingData!AF26,IF('DDD Model Calculations'!$D$23=2,WorkingData!AG26,IF('DDD Model Calculations'!$D$23=4,WorkingData!AH26,WorkingData!AI26)))</f>
        <v>0</v>
      </c>
      <c r="T26">
        <f t="shared" si="4"/>
        <v>0</v>
      </c>
      <c r="U26">
        <f t="shared" si="5"/>
        <v>0</v>
      </c>
      <c r="V26">
        <f t="shared" si="6"/>
        <v>0</v>
      </c>
      <c r="W26">
        <f t="shared" si="7"/>
        <v>1</v>
      </c>
      <c r="X26" t="str">
        <f>IF(AND($N26&gt;0,$N26&lt;&gt;"",'DDD Model Calculations'!$K$3&gt;=3),$N26-('DDD Model Calculations'!K$13+'DDD Model Calculations'!K$12*WorkingData!$P26),"")</f>
        <v/>
      </c>
      <c r="Y26">
        <f>IF(AND($N26&gt;0,$N26&lt;&gt;""),$N26-('DDD Model Calculations'!L$13+'DDD Model Calculations'!L$12*WorkingData!$P26),"")</f>
        <v>1.7388074916148444</v>
      </c>
      <c r="Z26">
        <f>IF(AND($N26&gt;0,$N26&lt;&gt;""),$N26-('DDD Model Calculations'!M$13+'DDD Model Calculations'!M$12*WorkingData!$P26),"")</f>
        <v>1.9840798844871204</v>
      </c>
      <c r="AA26">
        <f>IF(AND($N26&gt;0,$N26&lt;&gt;""),$N26-('DDD Model Calculations'!N$13+'DDD Model Calculations'!N$12*WorkingData!$P26),"")</f>
        <v>1.5040988269139284</v>
      </c>
      <c r="AB26" t="str">
        <f>IF(X26&lt;&gt;"",X26/'DDD Model Calculations'!K$11,"")</f>
        <v/>
      </c>
      <c r="AC26">
        <f>IF(Y26&lt;&gt;"",Y26/'DDD Model Calculations'!L$11,"")</f>
        <v>2.7879138115627051</v>
      </c>
      <c r="AD26">
        <f>IF(Z26&lt;&gt;"",Z26/'DDD Model Calculations'!M$11,"")</f>
        <v>2.6607327162425318</v>
      </c>
      <c r="AE26">
        <f>IF(AA26&lt;&gt;"",AA26/'DDD Model Calculations'!N$11,"")</f>
        <v>1.3373917116073881</v>
      </c>
      <c r="AF26" t="str">
        <f t="shared" si="8"/>
        <v/>
      </c>
      <c r="AG26">
        <f t="shared" si="9"/>
        <v>0</v>
      </c>
      <c r="AH26">
        <f t="shared" si="10"/>
        <v>0</v>
      </c>
      <c r="AI26">
        <f t="shared" si="11"/>
        <v>1</v>
      </c>
    </row>
    <row r="27" spans="1:35" x14ac:dyDescent="0.25">
      <c r="A27" s="2">
        <v>44126</v>
      </c>
      <c r="B27" s="1">
        <v>29</v>
      </c>
      <c r="C27" s="1">
        <v>20456</v>
      </c>
      <c r="D27" t="str">
        <v>A</v>
      </c>
      <c r="E27">
        <v>134</v>
      </c>
      <c r="F27">
        <v>713</v>
      </c>
      <c r="G27">
        <f t="shared" si="12"/>
        <v>184</v>
      </c>
      <c r="H27" s="2">
        <f t="shared" si="13"/>
        <v>44126</v>
      </c>
      <c r="I27">
        <f t="shared" si="14"/>
        <v>59</v>
      </c>
      <c r="J27">
        <f t="shared" si="15"/>
        <v>1703</v>
      </c>
      <c r="K27">
        <f>IF(AND($H28&gt;0,$H28&lt;&gt;""),VLOOKUP($H28,'Weather Data'!$L$2:$P$4170,'DDD Model Calculations'!$D$22,FALSE),"")</f>
        <v>29884.500002294779</v>
      </c>
      <c r="L27">
        <f>IF(AND($K27&gt;0,$K27&lt;&gt;""),VLOOKUP($H27,'Weather Data'!$L$2:$P$4170,'DDD Model Calculations'!$D$22,FALSE),"")</f>
        <v>30235.800003916025</v>
      </c>
      <c r="M27">
        <f t="shared" si="16"/>
        <v>351.30000162124634</v>
      </c>
      <c r="N27">
        <f t="shared" si="0"/>
        <v>3.1186440677966103</v>
      </c>
      <c r="O27">
        <f t="shared" si="1"/>
        <v>5.9542373156143444</v>
      </c>
      <c r="P27">
        <f t="shared" si="17"/>
        <v>0.95423731561434444</v>
      </c>
      <c r="Q27">
        <f t="shared" si="2"/>
        <v>1</v>
      </c>
      <c r="R27">
        <f t="shared" si="3"/>
        <v>5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0</v>
      </c>
      <c r="W27">
        <f t="shared" si="7"/>
        <v>1</v>
      </c>
      <c r="X27" t="str">
        <f>IF(AND($N27&gt;0,$N27&lt;&gt;"",'DDD Model Calculations'!$K$3&gt;=3),$N27-('DDD Model Calculations'!K$13+'DDD Model Calculations'!K$12*WorkingData!$P27),"")</f>
        <v/>
      </c>
      <c r="Y27">
        <f>IF(AND($N27&gt;0,$N27&lt;&gt;""),$N27-('DDD Model Calculations'!L$13+'DDD Model Calculations'!L$12*WorkingData!$P27),"")</f>
        <v>0.15119185109793509</v>
      </c>
      <c r="Z27">
        <f>IF(AND($N27&gt;0,$N27&lt;&gt;""),$N27-('DDD Model Calculations'!M$13+'DDD Model Calculations'!M$12*WorkingData!$P27),"")</f>
        <v>0.12376020916432395</v>
      </c>
      <c r="AA27">
        <f>IF(AND($N27&gt;0,$N27&lt;&gt;""),$N27-('DDD Model Calculations'!N$13+'DDD Model Calculations'!N$12*WorkingData!$P27),"")</f>
        <v>-0.21036751551304755</v>
      </c>
      <c r="AB27" t="str">
        <f>IF(X27&lt;&gt;"",X27/'DDD Model Calculations'!K$11,"")</f>
        <v/>
      </c>
      <c r="AC27">
        <f>IF(Y27&lt;&gt;"",Y27/'DDD Model Calculations'!L$11,"")</f>
        <v>0.24241317794197312</v>
      </c>
      <c r="AD27">
        <f>IF(Z27&lt;&gt;"",Z27/'DDD Model Calculations'!M$11,"")</f>
        <v>0.16596752986972443</v>
      </c>
      <c r="AE27">
        <f>IF(AA27&lt;&gt;"",AA27/'DDD Model Calculations'!N$11,"")</f>
        <v>-0.1870513869197295</v>
      </c>
      <c r="AF27" t="str">
        <f t="shared" si="8"/>
        <v/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 x14ac:dyDescent="0.25">
      <c r="A28" s="2">
        <v>44067</v>
      </c>
      <c r="B28" s="1">
        <v>32</v>
      </c>
      <c r="C28" s="1">
        <v>20273</v>
      </c>
      <c r="D28" t="str">
        <v>A</v>
      </c>
      <c r="E28">
        <v>22</v>
      </c>
      <c r="F28">
        <v>529</v>
      </c>
      <c r="G28">
        <f t="shared" si="12"/>
        <v>72</v>
      </c>
      <c r="H28" s="2">
        <f t="shared" si="13"/>
        <v>44067</v>
      </c>
      <c r="I28">
        <f t="shared" si="14"/>
        <v>62</v>
      </c>
      <c r="J28">
        <f t="shared" si="15"/>
        <v>1765</v>
      </c>
      <c r="K28">
        <f>IF(AND($H29&gt;0,$H29&lt;&gt;""),VLOOKUP($H29,'Weather Data'!$L$2:$P$4170,'DDD Model Calculations'!$D$22,FALSE),"")</f>
        <v>29877.700002104044</v>
      </c>
      <c r="L28">
        <f>IF(AND($K28&gt;0,$K28&lt;&gt;""),VLOOKUP($H28,'Weather Data'!$L$2:$P$4170,'DDD Model Calculations'!$D$22,FALSE),"")</f>
        <v>29884.500002294779</v>
      </c>
      <c r="M28">
        <f t="shared" si="16"/>
        <v>6.8000001907348633</v>
      </c>
      <c r="N28">
        <f t="shared" si="0"/>
        <v>1.1612903225806452</v>
      </c>
      <c r="O28">
        <f t="shared" si="1"/>
        <v>0.10967742243120747</v>
      </c>
      <c r="P28">
        <f t="shared" si="17"/>
        <v>-4.8903225775687922</v>
      </c>
      <c r="Q28">
        <f t="shared" si="2"/>
        <v>0</v>
      </c>
      <c r="R28">
        <f t="shared" si="3"/>
        <v>5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0</v>
      </c>
      <c r="W28">
        <f t="shared" si="7"/>
        <v>1</v>
      </c>
      <c r="X28" t="str">
        <f>IF(AND($N28&gt;0,$N28&lt;&gt;"",'DDD Model Calculations'!$K$3&gt;=3),$N28-('DDD Model Calculations'!K$13+'DDD Model Calculations'!K$12*WorkingData!$P28),"")</f>
        <v/>
      </c>
      <c r="Y28">
        <f>IF(AND($N28&gt;0,$N28&lt;&gt;""),$N28-('DDD Model Calculations'!L$13+'DDD Model Calculations'!L$12*WorkingData!$P28),"")</f>
        <v>0.77202230427313556</v>
      </c>
      <c r="Z28">
        <f>IF(AND($N28&gt;0,$N28&lt;&gt;""),$N28-('DDD Model Calculations'!M$13+'DDD Model Calculations'!M$12*WorkingData!$P28),"")</f>
        <v>0.59867264367107409</v>
      </c>
      <c r="AA28">
        <f>IF(AND($N28&gt;0,$N28&lt;&gt;""),$N28-('DDD Model Calculations'!N$13+'DDD Model Calculations'!N$12*WorkingData!$P28),"")</f>
        <v>0.34258787632470544</v>
      </c>
      <c r="AB28" t="str">
        <f>IF(X28&lt;&gt;"",X28/'DDD Model Calculations'!K$11,"")</f>
        <v/>
      </c>
      <c r="AC28">
        <f>IF(Y28&lt;&gt;"",Y28/'DDD Model Calculations'!L$11,"")</f>
        <v>1.2378205495989969</v>
      </c>
      <c r="AD28">
        <f>IF(Z28&lt;&gt;"",Z28/'DDD Model Calculations'!M$11,"")</f>
        <v>0.80284463432620157</v>
      </c>
      <c r="AE28">
        <f>IF(AA28&lt;&gt;"",AA28/'DDD Model Calculations'!N$11,"")</f>
        <v>0.3046170757502073</v>
      </c>
      <c r="AF28" t="str">
        <f t="shared" si="8"/>
        <v/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 x14ac:dyDescent="0.25">
      <c r="A29" s="2">
        <v>44005</v>
      </c>
      <c r="B29" s="1">
        <v>29</v>
      </c>
      <c r="C29" s="1">
        <v>20201</v>
      </c>
      <c r="D29" t="str">
        <v>A</v>
      </c>
      <c r="E29">
        <v>69</v>
      </c>
      <c r="F29">
        <v>457</v>
      </c>
      <c r="G29">
        <f t="shared" si="12"/>
        <v>214</v>
      </c>
      <c r="H29" s="2">
        <f t="shared" si="13"/>
        <v>44005</v>
      </c>
      <c r="I29">
        <f t="shared" si="14"/>
        <v>62</v>
      </c>
      <c r="J29">
        <f t="shared" si="15"/>
        <v>1827</v>
      </c>
      <c r="K29">
        <f>IF(AND($H30&gt;0,$H30&lt;&gt;""),VLOOKUP($H30,'Weather Data'!$L$2:$P$4170,'DDD Model Calculations'!$D$22,FALSE),"")</f>
        <v>29541.899999529123</v>
      </c>
      <c r="L29">
        <f>IF(AND($K29&gt;0,$K29&lt;&gt;""),VLOOKUP($H29,'Weather Data'!$L$2:$P$4170,'DDD Model Calculations'!$D$22,FALSE),"")</f>
        <v>29877.700002104044</v>
      </c>
      <c r="M29">
        <f t="shared" si="16"/>
        <v>335.80000257492065</v>
      </c>
      <c r="N29">
        <f t="shared" si="0"/>
        <v>3.4516129032258065</v>
      </c>
      <c r="O29">
        <f t="shared" si="1"/>
        <v>5.4161290737890431</v>
      </c>
      <c r="P29">
        <f t="shared" si="17"/>
        <v>0.41612907378904307</v>
      </c>
      <c r="Q29">
        <f t="shared" si="2"/>
        <v>1</v>
      </c>
      <c r="R29">
        <f t="shared" si="3"/>
        <v>5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4"/>
        <v>0</v>
      </c>
      <c r="U29">
        <f t="shared" si="5"/>
        <v>0</v>
      </c>
      <c r="V29">
        <f t="shared" si="6"/>
        <v>0</v>
      </c>
      <c r="W29">
        <f t="shared" si="7"/>
        <v>1</v>
      </c>
      <c r="X29" t="str">
        <f>IF(AND($N29&gt;0,$N29&lt;&gt;"",'DDD Model Calculations'!$K$3&gt;=3),$N29-('DDD Model Calculations'!K$13+'DDD Model Calculations'!K$12*WorkingData!$P29),"")</f>
        <v/>
      </c>
      <c r="Y29">
        <f>IF(AND($N29&gt;0,$N29&lt;&gt;""),$N29-('DDD Model Calculations'!L$13+'DDD Model Calculations'!L$12*WorkingData!$P29),"")</f>
        <v>0.72153393471921223</v>
      </c>
      <c r="Z29">
        <f>IF(AND($N29&gt;0,$N29&lt;&gt;""),$N29-('DDD Model Calculations'!M$13+'DDD Model Calculations'!M$12*WorkingData!$P29),"")</f>
        <v>0.68066763048230383</v>
      </c>
      <c r="AA29">
        <f>IF(AND($N29&gt;0,$N29&lt;&gt;""),$N29-('DDD Model Calculations'!N$13+'DDD Model Calculations'!N$12*WorkingData!$P29),"")</f>
        <v>0.35372531571153898</v>
      </c>
      <c r="AB29" t="str">
        <f>IF(X29&lt;&gt;"",X29/'DDD Model Calculations'!K$11,"")</f>
        <v/>
      </c>
      <c r="AC29">
        <f>IF(Y29&lt;&gt;"",Y29/'DDD Model Calculations'!L$11,"")</f>
        <v>1.1568701146132687</v>
      </c>
      <c r="AD29">
        <f>IF(Z29&lt;&gt;"",Z29/'DDD Model Calculations'!M$11,"")</f>
        <v>0.91280328351280404</v>
      </c>
      <c r="AE29">
        <f>IF(AA29&lt;&gt;"",AA29/'DDD Model Calculations'!N$11,"")</f>
        <v>0.31452009465957126</v>
      </c>
      <c r="AF29" t="str">
        <f t="shared" si="8"/>
        <v/>
      </c>
      <c r="AG29">
        <f t="shared" si="9"/>
        <v>1</v>
      </c>
      <c r="AH29">
        <f t="shared" si="10"/>
        <v>1</v>
      </c>
      <c r="AI29">
        <f t="shared" si="11"/>
        <v>1</v>
      </c>
    </row>
    <row r="30" spans="1:35" x14ac:dyDescent="0.25">
      <c r="A30" s="2">
        <v>43943</v>
      </c>
      <c r="B30" s="1">
        <v>29</v>
      </c>
      <c r="C30" s="1">
        <v>19989</v>
      </c>
      <c r="D30" t="str">
        <v>A</v>
      </c>
      <c r="E30">
        <v>243</v>
      </c>
      <c r="F30">
        <v>243</v>
      </c>
      <c r="G30" t="str">
        <f t="shared" si="12"/>
        <v/>
      </c>
      <c r="H30" s="2">
        <f t="shared" si="13"/>
        <v>43943</v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2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2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2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2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2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2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2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2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2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2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2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2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2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2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2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2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2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2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2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2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2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2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2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2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2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2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2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2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2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2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2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2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2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2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2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2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2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2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2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2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2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2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2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2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2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2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2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2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2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2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2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2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2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2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2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2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2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2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2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2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2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2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2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2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2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2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2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2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2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2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2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75" x14ac:dyDescent="0.25"/>
  <cols>
    <col min="1" max="1" width="10.875" style="20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 x14ac:dyDescent="0.25">
      <c r="A2" s="20" cm="1">
        <f t="array" ref="A2:E133">_xlfn._xlws.SORT('Consumption Data Input'!C3:G134,1,1)</f>
        <v>43943</v>
      </c>
      <c r="B2">
        <v>29</v>
      </c>
      <c r="C2">
        <v>19989</v>
      </c>
      <c r="D2" t="str">
        <v>A</v>
      </c>
      <c r="E2">
        <v>243</v>
      </c>
      <c r="F2">
        <f>E2</f>
        <v>243</v>
      </c>
    </row>
    <row r="3" spans="1:6" x14ac:dyDescent="0.25">
      <c r="A3" s="20">
        <v>43976</v>
      </c>
      <c r="B3">
        <v>33</v>
      </c>
      <c r="C3">
        <v>20133</v>
      </c>
      <c r="D3" t="str">
        <v>E</v>
      </c>
      <c r="E3">
        <v>145</v>
      </c>
      <c r="F3">
        <f>E3+F2</f>
        <v>388</v>
      </c>
    </row>
    <row r="4" spans="1:6" x14ac:dyDescent="0.25">
      <c r="A4" s="20">
        <v>44005</v>
      </c>
      <c r="B4">
        <v>29</v>
      </c>
      <c r="C4">
        <v>20201</v>
      </c>
      <c r="D4" t="str">
        <v>A</v>
      </c>
      <c r="E4">
        <v>69</v>
      </c>
      <c r="F4">
        <f t="shared" ref="F4:F67" si="0">E4+F3</f>
        <v>457</v>
      </c>
    </row>
    <row r="5" spans="1:6" x14ac:dyDescent="0.25">
      <c r="A5" s="20">
        <v>44035</v>
      </c>
      <c r="B5">
        <v>30</v>
      </c>
      <c r="C5">
        <v>20251</v>
      </c>
      <c r="D5" t="str">
        <v>E</v>
      </c>
      <c r="E5">
        <v>50</v>
      </c>
      <c r="F5">
        <f t="shared" si="0"/>
        <v>507</v>
      </c>
    </row>
    <row r="6" spans="1:6" x14ac:dyDescent="0.25">
      <c r="A6" s="20">
        <v>44067</v>
      </c>
      <c r="B6">
        <v>32</v>
      </c>
      <c r="C6">
        <v>20273</v>
      </c>
      <c r="D6" t="str">
        <v>A</v>
      </c>
      <c r="E6">
        <v>22</v>
      </c>
      <c r="F6">
        <f t="shared" si="0"/>
        <v>529</v>
      </c>
    </row>
    <row r="7" spans="1:6" x14ac:dyDescent="0.25">
      <c r="A7" s="20">
        <v>44097</v>
      </c>
      <c r="B7">
        <v>30</v>
      </c>
      <c r="C7">
        <v>20323</v>
      </c>
      <c r="D7" t="str">
        <v>E</v>
      </c>
      <c r="E7">
        <v>50</v>
      </c>
      <c r="F7">
        <f t="shared" si="0"/>
        <v>579</v>
      </c>
    </row>
    <row r="8" spans="1:6" x14ac:dyDescent="0.25">
      <c r="A8" s="20">
        <v>44126</v>
      </c>
      <c r="B8">
        <v>29</v>
      </c>
      <c r="C8">
        <v>20456</v>
      </c>
      <c r="D8" t="str">
        <v>A</v>
      </c>
      <c r="E8">
        <v>134</v>
      </c>
      <c r="F8">
        <f t="shared" si="0"/>
        <v>713</v>
      </c>
    </row>
    <row r="9" spans="1:6" x14ac:dyDescent="0.25">
      <c r="A9" s="20">
        <v>44158</v>
      </c>
      <c r="B9">
        <v>32</v>
      </c>
      <c r="C9">
        <v>20672</v>
      </c>
      <c r="D9" t="str">
        <v>E</v>
      </c>
      <c r="E9">
        <v>218</v>
      </c>
      <c r="F9">
        <f t="shared" si="0"/>
        <v>931</v>
      </c>
    </row>
    <row r="10" spans="1:6" x14ac:dyDescent="0.25">
      <c r="A10" s="20">
        <v>44187</v>
      </c>
      <c r="B10">
        <v>29</v>
      </c>
      <c r="C10">
        <v>21032</v>
      </c>
      <c r="D10" t="str">
        <v>A</v>
      </c>
      <c r="E10">
        <v>363</v>
      </c>
      <c r="F10">
        <f t="shared" si="0"/>
        <v>1294</v>
      </c>
    </row>
    <row r="11" spans="1:6" x14ac:dyDescent="0.25">
      <c r="A11" s="20">
        <v>44218</v>
      </c>
      <c r="B11">
        <v>31</v>
      </c>
      <c r="C11">
        <v>21358</v>
      </c>
      <c r="D11" t="str">
        <v>E</v>
      </c>
      <c r="E11">
        <v>329</v>
      </c>
      <c r="F11">
        <f t="shared" si="0"/>
        <v>1623</v>
      </c>
    </row>
    <row r="12" spans="1:6" x14ac:dyDescent="0.25">
      <c r="A12" s="20">
        <v>44249</v>
      </c>
      <c r="B12">
        <v>31</v>
      </c>
      <c r="C12">
        <v>21878</v>
      </c>
      <c r="D12" t="str">
        <v>A</v>
      </c>
      <c r="E12">
        <v>524</v>
      </c>
      <c r="F12">
        <f t="shared" si="0"/>
        <v>2147</v>
      </c>
    </row>
    <row r="13" spans="1:6" x14ac:dyDescent="0.25">
      <c r="A13" s="20">
        <v>44278</v>
      </c>
      <c r="B13">
        <v>29</v>
      </c>
      <c r="C13">
        <v>22159</v>
      </c>
      <c r="D13" t="str">
        <v>E</v>
      </c>
      <c r="E13">
        <v>283</v>
      </c>
      <c r="F13">
        <f t="shared" si="0"/>
        <v>2430</v>
      </c>
    </row>
    <row r="14" spans="1:6" x14ac:dyDescent="0.25">
      <c r="A14" s="20">
        <v>44308</v>
      </c>
      <c r="B14">
        <v>30</v>
      </c>
      <c r="C14">
        <v>22429</v>
      </c>
      <c r="D14" t="str">
        <v>A</v>
      </c>
      <c r="E14">
        <v>273</v>
      </c>
      <c r="F14">
        <f t="shared" si="0"/>
        <v>2703</v>
      </c>
    </row>
    <row r="15" spans="1:6" x14ac:dyDescent="0.25">
      <c r="A15" s="20">
        <v>44337</v>
      </c>
      <c r="B15">
        <v>29</v>
      </c>
      <c r="C15">
        <v>22544</v>
      </c>
      <c r="D15" t="str">
        <v>E</v>
      </c>
      <c r="E15">
        <v>116</v>
      </c>
      <c r="F15">
        <f t="shared" si="0"/>
        <v>2819</v>
      </c>
    </row>
    <row r="16" spans="1:6" x14ac:dyDescent="0.25">
      <c r="A16" s="20">
        <v>44368</v>
      </c>
      <c r="B16">
        <v>31</v>
      </c>
      <c r="C16">
        <v>22628</v>
      </c>
      <c r="D16" t="str">
        <v>A</v>
      </c>
      <c r="E16">
        <v>85</v>
      </c>
      <c r="F16">
        <f t="shared" si="0"/>
        <v>2904</v>
      </c>
    </row>
    <row r="17" spans="1:6" x14ac:dyDescent="0.25">
      <c r="A17" s="20">
        <v>44399</v>
      </c>
      <c r="B17">
        <v>31</v>
      </c>
      <c r="C17">
        <v>22678</v>
      </c>
      <c r="D17" t="str">
        <v>E</v>
      </c>
      <c r="E17">
        <v>50</v>
      </c>
      <c r="F17">
        <f t="shared" si="0"/>
        <v>2954</v>
      </c>
    </row>
    <row r="18" spans="1:6" x14ac:dyDescent="0.25">
      <c r="A18" s="20">
        <v>44432</v>
      </c>
      <c r="B18">
        <v>33</v>
      </c>
      <c r="C18">
        <v>22703</v>
      </c>
      <c r="D18" t="str">
        <v>A</v>
      </c>
      <c r="E18">
        <v>25</v>
      </c>
      <c r="F18">
        <f t="shared" si="0"/>
        <v>2979</v>
      </c>
    </row>
    <row r="19" spans="1:6" x14ac:dyDescent="0.25">
      <c r="A19" s="20">
        <v>44462</v>
      </c>
      <c r="B19">
        <v>30</v>
      </c>
      <c r="C19">
        <v>22751</v>
      </c>
      <c r="D19" t="str">
        <v>E</v>
      </c>
      <c r="E19">
        <v>48</v>
      </c>
      <c r="F19">
        <f t="shared" si="0"/>
        <v>3027</v>
      </c>
    </row>
    <row r="20" spans="1:6" x14ac:dyDescent="0.25">
      <c r="A20" s="20">
        <v>44492</v>
      </c>
      <c r="B20">
        <v>30</v>
      </c>
      <c r="C20">
        <v>22788</v>
      </c>
      <c r="D20" t="str">
        <v>A</v>
      </c>
      <c r="E20">
        <v>37</v>
      </c>
      <c r="F20">
        <f t="shared" si="0"/>
        <v>3064</v>
      </c>
    </row>
    <row r="21" spans="1:6" x14ac:dyDescent="0.25">
      <c r="A21" s="20">
        <v>44523</v>
      </c>
      <c r="B21">
        <v>31</v>
      </c>
      <c r="C21">
        <v>23005</v>
      </c>
      <c r="D21" t="str">
        <v>E</v>
      </c>
      <c r="E21">
        <v>219</v>
      </c>
      <c r="F21">
        <f t="shared" si="0"/>
        <v>3283</v>
      </c>
    </row>
    <row r="22" spans="1:6" x14ac:dyDescent="0.25">
      <c r="A22" s="20">
        <v>44551</v>
      </c>
      <c r="B22">
        <v>28</v>
      </c>
      <c r="C22">
        <v>23194</v>
      </c>
      <c r="D22" t="str">
        <v>A</v>
      </c>
      <c r="E22">
        <v>191</v>
      </c>
      <c r="F22">
        <f t="shared" si="0"/>
        <v>3474</v>
      </c>
    </row>
    <row r="23" spans="1:6" x14ac:dyDescent="0.25">
      <c r="A23" s="20">
        <v>44585</v>
      </c>
      <c r="B23">
        <v>34</v>
      </c>
      <c r="C23">
        <v>23657</v>
      </c>
      <c r="D23" t="str">
        <v>E</v>
      </c>
      <c r="E23">
        <v>467</v>
      </c>
      <c r="F23">
        <f t="shared" si="0"/>
        <v>3941</v>
      </c>
    </row>
    <row r="24" spans="1:6" x14ac:dyDescent="0.25">
      <c r="A24" s="20">
        <v>44614</v>
      </c>
      <c r="B24">
        <v>29</v>
      </c>
      <c r="C24">
        <v>23920</v>
      </c>
      <c r="D24" t="str">
        <v>A</v>
      </c>
      <c r="E24">
        <v>265</v>
      </c>
      <c r="F24">
        <f t="shared" si="0"/>
        <v>4206</v>
      </c>
    </row>
    <row r="25" spans="1:6" x14ac:dyDescent="0.25">
      <c r="A25" s="20">
        <v>44643</v>
      </c>
      <c r="B25">
        <v>29</v>
      </c>
      <c r="C25">
        <v>24221</v>
      </c>
      <c r="D25" t="str">
        <v>E</v>
      </c>
      <c r="E25">
        <v>303</v>
      </c>
      <c r="F25">
        <f t="shared" si="0"/>
        <v>4509</v>
      </c>
    </row>
    <row r="26" spans="1:6" x14ac:dyDescent="0.25">
      <c r="A26" s="20">
        <v>44674</v>
      </c>
      <c r="B26">
        <v>31</v>
      </c>
      <c r="C26">
        <v>24441</v>
      </c>
      <c r="D26" t="str">
        <v>A</v>
      </c>
      <c r="E26">
        <v>222</v>
      </c>
      <c r="F26">
        <f t="shared" si="0"/>
        <v>4731</v>
      </c>
    </row>
    <row r="27" spans="1:6" x14ac:dyDescent="0.25">
      <c r="A27" s="20">
        <v>44705</v>
      </c>
      <c r="B27">
        <v>31</v>
      </c>
      <c r="C27">
        <v>24558</v>
      </c>
      <c r="D27" t="str">
        <v>E</v>
      </c>
      <c r="E27">
        <v>118</v>
      </c>
      <c r="F27">
        <f t="shared" si="0"/>
        <v>4849</v>
      </c>
    </row>
    <row r="28" spans="1:6" x14ac:dyDescent="0.25">
      <c r="A28" s="20">
        <v>44734</v>
      </c>
      <c r="B28">
        <v>29</v>
      </c>
      <c r="C28">
        <v>24563</v>
      </c>
      <c r="D28" t="str">
        <v>A</v>
      </c>
      <c r="E28">
        <v>5</v>
      </c>
      <c r="F28">
        <f t="shared" si="0"/>
        <v>4854</v>
      </c>
    </row>
    <row r="29" spans="1:6" x14ac:dyDescent="0.25">
      <c r="A29" s="20">
        <v>44764</v>
      </c>
      <c r="B29">
        <v>30</v>
      </c>
      <c r="C29">
        <v>24603</v>
      </c>
      <c r="D29" t="str">
        <v>E</v>
      </c>
      <c r="E29">
        <v>40</v>
      </c>
      <c r="F29">
        <f t="shared" si="0"/>
        <v>4894</v>
      </c>
    </row>
    <row r="30" spans="1:6" x14ac:dyDescent="0.25">
      <c r="A30" s="20">
        <v>44797</v>
      </c>
      <c r="B30">
        <v>33</v>
      </c>
      <c r="C30">
        <v>24655</v>
      </c>
      <c r="D30" t="str">
        <v>A</v>
      </c>
      <c r="E30">
        <v>52</v>
      </c>
      <c r="F30">
        <f t="shared" si="0"/>
        <v>4946</v>
      </c>
    </row>
    <row r="31" spans="1:6" x14ac:dyDescent="0.25">
      <c r="A31" s="20">
        <v>44827</v>
      </c>
      <c r="B31">
        <v>30</v>
      </c>
      <c r="C31">
        <v>24695</v>
      </c>
      <c r="D31" t="str">
        <v>E</v>
      </c>
      <c r="E31">
        <v>40</v>
      </c>
      <c r="F31">
        <f t="shared" si="0"/>
        <v>4986</v>
      </c>
    </row>
    <row r="32" spans="1:6" x14ac:dyDescent="0.25">
      <c r="A32" s="20">
        <v>44859</v>
      </c>
      <c r="B32">
        <v>32</v>
      </c>
      <c r="C32">
        <v>24775</v>
      </c>
      <c r="D32" t="str">
        <v>A</v>
      </c>
      <c r="E32">
        <v>81</v>
      </c>
      <c r="F32">
        <f t="shared" si="0"/>
        <v>5067</v>
      </c>
    </row>
    <row r="33" spans="1:6" x14ac:dyDescent="0.25">
      <c r="A33" s="20">
        <v>44887</v>
      </c>
      <c r="B33">
        <v>28</v>
      </c>
      <c r="C33">
        <v>24961</v>
      </c>
      <c r="D33" t="str">
        <v>E</v>
      </c>
      <c r="E33">
        <v>188</v>
      </c>
      <c r="F33">
        <f t="shared" si="0"/>
        <v>5255</v>
      </c>
    </row>
    <row r="34" spans="1:6" x14ac:dyDescent="0.25">
      <c r="A34" s="20">
        <v>44916</v>
      </c>
      <c r="B34">
        <v>29</v>
      </c>
      <c r="C34">
        <v>25233</v>
      </c>
      <c r="D34" t="str">
        <v>E</v>
      </c>
      <c r="E34">
        <v>274</v>
      </c>
      <c r="F34">
        <f t="shared" si="0"/>
        <v>5529</v>
      </c>
    </row>
    <row r="35" spans="1:6" x14ac:dyDescent="0.25">
      <c r="A35" s="20">
        <v>44950</v>
      </c>
      <c r="B35">
        <v>34</v>
      </c>
      <c r="C35">
        <v>25586</v>
      </c>
      <c r="D35" t="str">
        <v>E</v>
      </c>
      <c r="E35">
        <v>356</v>
      </c>
      <c r="F35">
        <f t="shared" si="0"/>
        <v>5885</v>
      </c>
    </row>
    <row r="36" spans="1:6" x14ac:dyDescent="0.25">
      <c r="A36" s="20">
        <v>44978</v>
      </c>
      <c r="B36">
        <v>28</v>
      </c>
      <c r="C36">
        <v>25817</v>
      </c>
      <c r="D36" t="str">
        <v>A</v>
      </c>
      <c r="E36">
        <v>233</v>
      </c>
      <c r="F36">
        <f t="shared" si="0"/>
        <v>6118</v>
      </c>
    </row>
    <row r="37" spans="1:6" x14ac:dyDescent="0.25">
      <c r="A37" s="20">
        <v>45008</v>
      </c>
      <c r="B37">
        <v>30</v>
      </c>
      <c r="C37">
        <v>26127</v>
      </c>
      <c r="D37" t="str">
        <v>E</v>
      </c>
      <c r="E37">
        <v>313</v>
      </c>
      <c r="F37">
        <f t="shared" si="0"/>
        <v>6431</v>
      </c>
    </row>
    <row r="38" spans="1:6" x14ac:dyDescent="0.25">
      <c r="A38" s="20">
        <v>45040</v>
      </c>
      <c r="B38">
        <v>32</v>
      </c>
      <c r="C38">
        <v>26326</v>
      </c>
      <c r="D38" t="str">
        <v>A</v>
      </c>
      <c r="E38">
        <v>201</v>
      </c>
      <c r="F38">
        <f t="shared" si="0"/>
        <v>6632</v>
      </c>
    </row>
    <row r="39" spans="1:6" x14ac:dyDescent="0.25">
      <c r="A39" s="20">
        <v>45070</v>
      </c>
      <c r="B39">
        <v>30</v>
      </c>
      <c r="C39">
        <v>26453</v>
      </c>
      <c r="D39" t="str">
        <v>E</v>
      </c>
      <c r="E39">
        <v>128</v>
      </c>
      <c r="F39">
        <f t="shared" si="0"/>
        <v>6760</v>
      </c>
    </row>
    <row r="40" spans="1:6" x14ac:dyDescent="0.25">
      <c r="A40" s="20">
        <v>45099</v>
      </c>
      <c r="B40">
        <v>29</v>
      </c>
      <c r="C40">
        <v>26528</v>
      </c>
      <c r="D40" t="str">
        <v>A</v>
      </c>
      <c r="E40">
        <v>76</v>
      </c>
      <c r="F40">
        <f t="shared" si="0"/>
        <v>6836</v>
      </c>
    </row>
    <row r="41" spans="1:6" x14ac:dyDescent="0.25">
      <c r="A41" s="20">
        <v>45128</v>
      </c>
      <c r="B41">
        <v>29</v>
      </c>
      <c r="C41">
        <v>26567</v>
      </c>
      <c r="D41" t="str">
        <v>E</v>
      </c>
      <c r="E41">
        <v>39</v>
      </c>
      <c r="F41">
        <f t="shared" si="0"/>
        <v>6875</v>
      </c>
    </row>
    <row r="42" spans="1:6" x14ac:dyDescent="0.25">
      <c r="A42" s="20">
        <v>45162</v>
      </c>
      <c r="B42">
        <v>34</v>
      </c>
      <c r="C42">
        <v>26642</v>
      </c>
      <c r="D42" t="str">
        <v>A</v>
      </c>
      <c r="E42">
        <v>76</v>
      </c>
      <c r="F42">
        <f t="shared" si="0"/>
        <v>6951</v>
      </c>
    </row>
    <row r="43" spans="1:6" x14ac:dyDescent="0.25">
      <c r="A43" s="20">
        <v>45191</v>
      </c>
      <c r="B43">
        <v>29</v>
      </c>
      <c r="C43">
        <v>26684</v>
      </c>
      <c r="D43" t="str">
        <v>E</v>
      </c>
      <c r="E43">
        <v>42</v>
      </c>
      <c r="F43">
        <f t="shared" si="0"/>
        <v>6993</v>
      </c>
    </row>
    <row r="44" spans="1:6" x14ac:dyDescent="0.25">
      <c r="A44" s="20">
        <v>45224</v>
      </c>
      <c r="B44">
        <v>33</v>
      </c>
      <c r="C44">
        <v>26790</v>
      </c>
      <c r="D44" t="str">
        <v>A</v>
      </c>
      <c r="E44">
        <v>107</v>
      </c>
      <c r="F44">
        <f t="shared" si="0"/>
        <v>7100</v>
      </c>
    </row>
    <row r="45" spans="1:6" x14ac:dyDescent="0.25">
      <c r="A45" s="20">
        <v>45252</v>
      </c>
      <c r="B45">
        <v>28</v>
      </c>
      <c r="C45">
        <v>26999</v>
      </c>
      <c r="D45" t="str">
        <v>E</v>
      </c>
      <c r="E45">
        <v>211</v>
      </c>
      <c r="F45">
        <f t="shared" si="0"/>
        <v>7311</v>
      </c>
    </row>
    <row r="46" spans="1:6" x14ac:dyDescent="0.25">
      <c r="A46" s="20">
        <v>45280</v>
      </c>
      <c r="B46">
        <v>28</v>
      </c>
      <c r="C46">
        <v>27232</v>
      </c>
      <c r="D46" t="str">
        <v>A</v>
      </c>
      <c r="E46">
        <v>235</v>
      </c>
      <c r="F46">
        <f t="shared" si="0"/>
        <v>7546</v>
      </c>
    </row>
    <row r="47" spans="1:6" x14ac:dyDescent="0.25">
      <c r="A47" s="20">
        <v>45314</v>
      </c>
      <c r="B47">
        <v>34</v>
      </c>
      <c r="C47">
        <v>27595</v>
      </c>
      <c r="D47" t="str">
        <v>E</v>
      </c>
      <c r="E47">
        <v>366</v>
      </c>
      <c r="F47">
        <f t="shared" si="0"/>
        <v>7912</v>
      </c>
    </row>
    <row r="48" spans="1:6" x14ac:dyDescent="0.25">
      <c r="A48" s="20">
        <v>45344</v>
      </c>
      <c r="B48">
        <v>30</v>
      </c>
      <c r="C48">
        <v>27912</v>
      </c>
      <c r="D48" t="str">
        <v>A</v>
      </c>
      <c r="E48">
        <v>320</v>
      </c>
      <c r="F48">
        <f t="shared" si="0"/>
        <v>8232</v>
      </c>
    </row>
    <row r="49" spans="1:6" x14ac:dyDescent="0.25">
      <c r="A49" s="20">
        <v>45372</v>
      </c>
      <c r="B49">
        <v>28</v>
      </c>
      <c r="C49">
        <v>28144</v>
      </c>
      <c r="D49" t="str">
        <v>E</v>
      </c>
      <c r="E49">
        <v>234</v>
      </c>
      <c r="F49">
        <f t="shared" si="0"/>
        <v>8466</v>
      </c>
    </row>
    <row r="50" spans="1:6" x14ac:dyDescent="0.25">
      <c r="A50" s="20">
        <v>45404</v>
      </c>
      <c r="B50">
        <v>32</v>
      </c>
      <c r="C50">
        <v>28372</v>
      </c>
      <c r="D50" t="str">
        <v>A</v>
      </c>
      <c r="E50">
        <v>230</v>
      </c>
      <c r="F50">
        <f t="shared" si="0"/>
        <v>8696</v>
      </c>
    </row>
    <row r="51" spans="1:6" x14ac:dyDescent="0.25">
      <c r="A51" s="20">
        <v>45435</v>
      </c>
      <c r="B51">
        <v>31</v>
      </c>
      <c r="C51">
        <v>28417</v>
      </c>
      <c r="D51" t="str">
        <v>E</v>
      </c>
      <c r="E51">
        <v>45</v>
      </c>
      <c r="F51">
        <f t="shared" si="0"/>
        <v>8741</v>
      </c>
    </row>
    <row r="52" spans="1:6" x14ac:dyDescent="0.25">
      <c r="A52" s="20">
        <v>45465</v>
      </c>
      <c r="B52">
        <v>30</v>
      </c>
      <c r="C52">
        <v>28509</v>
      </c>
      <c r="D52" t="str">
        <v>A</v>
      </c>
      <c r="E52">
        <v>93</v>
      </c>
      <c r="F52">
        <f t="shared" si="0"/>
        <v>8834</v>
      </c>
    </row>
    <row r="53" spans="1:6" x14ac:dyDescent="0.25">
      <c r="A53" s="20">
        <v>45496</v>
      </c>
      <c r="B53">
        <v>31</v>
      </c>
      <c r="C53">
        <v>28569</v>
      </c>
      <c r="D53" t="str">
        <v>E</v>
      </c>
      <c r="E53">
        <v>60</v>
      </c>
      <c r="F53">
        <f t="shared" si="0"/>
        <v>8894</v>
      </c>
    </row>
    <row r="54" spans="1:6" x14ac:dyDescent="0.25">
      <c r="A54" s="20">
        <v>45527</v>
      </c>
      <c r="B54">
        <v>31</v>
      </c>
      <c r="C54">
        <v>28587</v>
      </c>
      <c r="D54" t="str">
        <v>A</v>
      </c>
      <c r="E54">
        <v>18</v>
      </c>
      <c r="F54">
        <f t="shared" si="0"/>
        <v>8912</v>
      </c>
    </row>
    <row r="55" spans="1:6" x14ac:dyDescent="0.25">
      <c r="A55" s="20">
        <v>45555</v>
      </c>
      <c r="B55">
        <v>28</v>
      </c>
      <c r="C55">
        <v>28641</v>
      </c>
      <c r="D55" t="str">
        <v>E</v>
      </c>
      <c r="E55">
        <v>54</v>
      </c>
      <c r="F55">
        <f t="shared" si="0"/>
        <v>8966</v>
      </c>
    </row>
    <row r="56" spans="1:6" x14ac:dyDescent="0.25">
      <c r="A56" s="20">
        <v>45588</v>
      </c>
      <c r="B56">
        <v>33</v>
      </c>
      <c r="C56">
        <v>28705</v>
      </c>
      <c r="D56" t="str">
        <v>A</v>
      </c>
      <c r="E56">
        <v>64</v>
      </c>
      <c r="F56">
        <f t="shared" si="0"/>
        <v>9030</v>
      </c>
    </row>
    <row r="57" spans="1:6" x14ac:dyDescent="0.25">
      <c r="A57" s="20">
        <v>45618</v>
      </c>
      <c r="B57">
        <v>30</v>
      </c>
      <c r="C57">
        <v>28879</v>
      </c>
      <c r="D57" t="str">
        <v>E</v>
      </c>
      <c r="E57">
        <v>175</v>
      </c>
      <c r="F57">
        <f t="shared" si="0"/>
        <v>9205</v>
      </c>
    </row>
    <row r="58" spans="1:6" x14ac:dyDescent="0.25">
      <c r="A58" s="20">
        <v>45646</v>
      </c>
      <c r="B58">
        <v>28</v>
      </c>
      <c r="C58">
        <v>29109</v>
      </c>
      <c r="D58" t="str">
        <v>A</v>
      </c>
      <c r="E58">
        <v>232</v>
      </c>
      <c r="F58">
        <f t="shared" si="0"/>
        <v>9437</v>
      </c>
    </row>
    <row r="59" spans="1:6" x14ac:dyDescent="0.25">
      <c r="A59" s="20">
        <v>45679</v>
      </c>
      <c r="B59">
        <v>33</v>
      </c>
      <c r="C59">
        <v>29483</v>
      </c>
      <c r="D59" t="str">
        <v>E</v>
      </c>
      <c r="E59">
        <v>377</v>
      </c>
      <c r="F59">
        <f t="shared" si="0"/>
        <v>9814</v>
      </c>
    </row>
    <row r="60" spans="1:6" x14ac:dyDescent="0.25">
      <c r="A60" s="20">
        <v>45712</v>
      </c>
      <c r="B60">
        <v>33</v>
      </c>
      <c r="C60">
        <v>29878</v>
      </c>
      <c r="D60" t="str">
        <v>E</v>
      </c>
      <c r="E60">
        <v>398</v>
      </c>
      <c r="F60">
        <f t="shared" si="0"/>
        <v>10212</v>
      </c>
    </row>
    <row r="61" spans="1:6" x14ac:dyDescent="0.25">
      <c r="A61" s="20">
        <v>45740</v>
      </c>
      <c r="B61">
        <v>28</v>
      </c>
      <c r="C61">
        <v>30120</v>
      </c>
      <c r="D61" t="str">
        <v>E</v>
      </c>
      <c r="E61">
        <v>244</v>
      </c>
      <c r="F61">
        <f t="shared" si="0"/>
        <v>10456</v>
      </c>
    </row>
    <row r="62" spans="1:6" x14ac:dyDescent="0.25">
      <c r="A62" s="20">
        <v>45770</v>
      </c>
      <c r="B62">
        <v>30</v>
      </c>
      <c r="C62">
        <v>30367</v>
      </c>
      <c r="D62" t="str">
        <v>A</v>
      </c>
      <c r="E62">
        <v>249</v>
      </c>
      <c r="F62">
        <f t="shared" si="0"/>
        <v>10705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10705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10705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10705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10705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10705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10705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10705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10705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10705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10705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10705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10705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10705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10705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10705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10705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10705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10705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10705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10705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10705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10705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10705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10705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10705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10705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10705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10705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10705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10705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10705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10705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10705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10705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10705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10705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10705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10705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10705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10705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10705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10705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10705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10705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10705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10705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10705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10705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10705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10705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10705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10705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10705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10705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10705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10705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10705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10705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10705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10705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10705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10705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10705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10705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10705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10705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10705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10705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10705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10705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10705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A2" sqref="A2"/>
    </sheetView>
  </sheetViews>
  <sheetFormatPr defaultColWidth="8.875" defaultRowHeight="15.75" x14ac:dyDescent="0.25"/>
  <cols>
    <col min="1" max="1" width="6.625" bestFit="1" customWidth="1"/>
    <col min="2" max="2" width="8.625" bestFit="1" customWidth="1"/>
    <col min="3" max="3" width="6.125" bestFit="1" customWidth="1"/>
    <col min="4" max="4" width="24.875" bestFit="1" customWidth="1"/>
    <col min="5" max="5" width="21.625" bestFit="1" customWidth="1"/>
    <col min="6" max="7" width="24.375" bestFit="1" customWidth="1"/>
  </cols>
  <sheetData>
    <row r="1" spans="1:16" x14ac:dyDescent="0.25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IF(D4140&lt;&gt;"",MAX('[1]DDD Model Calculations'!$D$20-'[1]Weather Data'!D4140,0),MAX('[1]DDD Model Calculations'!$D$20-AVERAGE('[1]Weather Data'!D4139,'[1]Weather Data'!D4141),0))</f>
        <v>10.199999809265137</v>
      </c>
      <c r="I4140">
        <f>IF(E4140&lt;&gt;"",MAX('[1]DDD Model Calculations'!$D$20-'[1]Weather Data'!E4140,0),MAX('[1]DDD Model Calculations'!$D$20-AVERAGE('[1]Weather Data'!E4139,'[1]Weather Data'!E4141),0))</f>
        <v>6.8999996185302734</v>
      </c>
      <c r="J4140">
        <f>IF(F4140&lt;&gt;"",MAX('[1]DDD Model Calculations'!$D$20-'[1]Weather Data'!F4140,0),MAX('[1]DDD Model Calculations'!$D$20-AVERAGE('[1]Weather Data'!F4139,'[1]Weather Data'!F4141),0))</f>
        <v>11.099999904632568</v>
      </c>
      <c r="K4140">
        <f>IF(G4140&lt;&gt;"",MAX('[1]DDD Model Calculations'!$D$20-'[1]Weather Data'!G4140,0),MAX('[1]DDD Model Calculations'!$D$20-AVERAGE('[1]Weather Data'!G4139,'[1]Weather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IF(D4141&lt;&gt;"",MAX('[1]DDD Model Calculations'!$D$20-'[1]Weather Data'!D4141,0),MAX('[1]DDD Model Calculations'!$D$20-AVERAGE('[1]Weather Data'!D4140,'[1]Weather Data'!D4142),0))</f>
        <v>4.1000003814697266</v>
      </c>
      <c r="I4141">
        <f>IF(E4141&lt;&gt;"",MAX('[1]DDD Model Calculations'!$D$20-'[1]Weather Data'!E4141,0),MAX('[1]DDD Model Calculations'!$D$20-AVERAGE('[1]Weather Data'!E4140,'[1]Weather Data'!E4142),0))</f>
        <v>4.8000001907348633</v>
      </c>
      <c r="J4141">
        <f>IF(F4141&lt;&gt;"",MAX('[1]DDD Model Calculations'!$D$20-'[1]Weather Data'!F4141,0),MAX('[1]DDD Model Calculations'!$D$20-AVERAGE('[1]Weather Data'!F4140,'[1]Weather Data'!F4142),0))</f>
        <v>3.3999996185302734</v>
      </c>
      <c r="K4141">
        <f>IF(G4141&lt;&gt;"",MAX('[1]DDD Model Calculations'!$D$20-'[1]Weather Data'!G4141,0),MAX('[1]DDD Model Calculations'!$D$20-AVERAGE('[1]Weather Data'!G4140,'[1]Weather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IF(D4142&lt;&gt;"",MAX('[1]DDD Model Calculations'!$D$20-'[1]Weather Data'!D4142,0),MAX('[1]DDD Model Calculations'!$D$20-AVERAGE('[1]Weather Data'!D4141,'[1]Weather Data'!D4143),0))</f>
        <v>9.8999996185302734</v>
      </c>
      <c r="I4142">
        <f>IF(E4142&lt;&gt;"",MAX('[1]DDD Model Calculations'!$D$20-'[1]Weather Data'!E4142,0),MAX('[1]DDD Model Calculations'!$D$20-AVERAGE('[1]Weather Data'!E4141,'[1]Weather Data'!E4143),0))</f>
        <v>9.1000003814697266</v>
      </c>
      <c r="J4142">
        <f>IF(F4142&lt;&gt;"",MAX('[1]DDD Model Calculations'!$D$20-'[1]Weather Data'!F4142,0),MAX('[1]DDD Model Calculations'!$D$20-AVERAGE('[1]Weather Data'!F4141,'[1]Weather Data'!F4143),0))</f>
        <v>7.1999998092651367</v>
      </c>
      <c r="K4142">
        <f>IF(G4142&lt;&gt;"",MAX('[1]DDD Model Calculations'!$D$20-'[1]Weather Data'!G4142,0),MAX('[1]DDD Model Calculations'!$D$20-AVERAGE('[1]Weather Data'!G4141,'[1]Weather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IF(D4143&lt;&gt;"",MAX('[1]DDD Model Calculations'!$D$20-'[1]Weather Data'!D4143,0),MAX('[1]DDD Model Calculations'!$D$20-AVERAGE('[1]Weather Data'!D4142,'[1]Weather Data'!D4144),0))</f>
        <v>8.1999998092651367</v>
      </c>
      <c r="I4143">
        <f>IF(E4143&lt;&gt;"",MAX('[1]DDD Model Calculations'!$D$20-'[1]Weather Data'!E4143,0),MAX('[1]DDD Model Calculations'!$D$20-AVERAGE('[1]Weather Data'!E4142,'[1]Weather Data'!E4144),0))</f>
        <v>8.3000001907348633</v>
      </c>
      <c r="J4143">
        <f>IF(F4143&lt;&gt;"",MAX('[1]DDD Model Calculations'!$D$20-'[1]Weather Data'!F4143,0),MAX('[1]DDD Model Calculations'!$D$20-AVERAGE('[1]Weather Data'!F4142,'[1]Weather Data'!F4144),0))</f>
        <v>5</v>
      </c>
      <c r="K4143">
        <f>IF(G4143&lt;&gt;"",MAX('[1]DDD Model Calculations'!$D$20-'[1]Weather Data'!G4143,0),MAX('[1]DDD Model Calculations'!$D$20-AVERAGE('[1]Weather Data'!G4142,'[1]Weather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IF(D4144&lt;&gt;"",MAX('[1]DDD Model Calculations'!$D$20-'[1]Weather Data'!D4144,0),MAX('[1]DDD Model Calculations'!$D$20-AVERAGE('[1]Weather Data'!D4143,'[1]Weather Data'!D4145),0))</f>
        <v>2.6999998092651367</v>
      </c>
      <c r="I4144">
        <f>IF(E4144&lt;&gt;"",MAX('[1]DDD Model Calculations'!$D$20-'[1]Weather Data'!E4144,0),MAX('[1]DDD Model Calculations'!$D$20-AVERAGE('[1]Weather Data'!E4143,'[1]Weather Data'!E4145),0))</f>
        <v>2.1999998092651367</v>
      </c>
      <c r="J4144">
        <f>IF(F4144&lt;&gt;"",MAX('[1]DDD Model Calculations'!$D$20-'[1]Weather Data'!F4144,0),MAX('[1]DDD Model Calculations'!$D$20-AVERAGE('[1]Weather Data'!F4143,'[1]Weather Data'!F4145),0))</f>
        <v>3.1000003814697266</v>
      </c>
      <c r="K4144">
        <f>IF(G4144&lt;&gt;"",MAX('[1]DDD Model Calculations'!$D$20-'[1]Weather Data'!G4144,0),MAX('[1]DDD Model Calculations'!$D$20-AVERAGE('[1]Weather Data'!G4143,'[1]Weather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IF(D4145&lt;&gt;"",MAX('[1]DDD Model Calculations'!$D$20-'[1]Weather Data'!D4145,0),MAX('[1]DDD Model Calculations'!$D$20-AVERAGE('[1]Weather Data'!D4144,'[1]Weather Data'!D4146),0))</f>
        <v>3.6999998092651367</v>
      </c>
      <c r="I4145">
        <f>IF(E4145&lt;&gt;"",MAX('[1]DDD Model Calculations'!$D$20-'[1]Weather Data'!E4145,0),MAX('[1]DDD Model Calculations'!$D$20-AVERAGE('[1]Weather Data'!E4144,'[1]Weather Data'!E4146),0))</f>
        <v>4.5</v>
      </c>
      <c r="J4145">
        <f>IF(F4145&lt;&gt;"",MAX('[1]DDD Model Calculations'!$D$20-'[1]Weather Data'!F4145,0),MAX('[1]DDD Model Calculations'!$D$20-AVERAGE('[1]Weather Data'!F4144,'[1]Weather Data'!F4146),0))</f>
        <v>0.10000038146972656</v>
      </c>
      <c r="K4145">
        <f>IF(G4145&lt;&gt;"",MAX('[1]DDD Model Calculations'!$D$20-'[1]Weather Data'!G4145,0),MAX('[1]DDD Model Calculations'!$D$20-AVERAGE('[1]Weather Data'!G4144,'[1]Weather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IF(D4146&lt;&gt;"",MAX('[1]DDD Model Calculations'!$D$20-'[1]Weather Data'!D4146,0),MAX('[1]DDD Model Calculations'!$D$20-AVERAGE('[1]Weather Data'!D4145,'[1]Weather Data'!D4147),0))</f>
        <v>2.6999998092651367</v>
      </c>
      <c r="I4146">
        <f>IF(E4146&lt;&gt;"",MAX('[1]DDD Model Calculations'!$D$20-'[1]Weather Data'!E4146,0),MAX('[1]DDD Model Calculations'!$D$20-AVERAGE('[1]Weather Data'!E4145,'[1]Weather Data'!E4147),0))</f>
        <v>5.1999998092651367</v>
      </c>
      <c r="J4146">
        <f>IF(F4146&lt;&gt;"",MAX('[1]DDD Model Calculations'!$D$20-'[1]Weather Data'!F4146,0),MAX('[1]DDD Model Calculations'!$D$20-AVERAGE('[1]Weather Data'!F4145,'[1]Weather Data'!F4147),0))</f>
        <v>4.8999996185302734</v>
      </c>
      <c r="K4146">
        <f>IF(G4146&lt;&gt;"",MAX('[1]DDD Model Calculations'!$D$20-'[1]Weather Data'!G4146,0),MAX('[1]DDD Model Calculations'!$D$20-AVERAGE('[1]Weather Data'!G4145,'[1]Weather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IF(D4147&lt;&gt;"",MAX('[1]DDD Model Calculations'!$D$20-'[1]Weather Data'!D4147,0),MAX('[1]DDD Model Calculations'!$D$20-AVERAGE('[1]Weather Data'!D4146,'[1]Weather Data'!D4148),0))</f>
        <v>8.3999996185302734</v>
      </c>
      <c r="I4147">
        <f>IF(E4147&lt;&gt;"",MAX('[1]DDD Model Calculations'!$D$20-'[1]Weather Data'!E4147,0),MAX('[1]DDD Model Calculations'!$D$20-AVERAGE('[1]Weather Data'!E4146,'[1]Weather Data'!E4148),0))</f>
        <v>9.3000001907348633</v>
      </c>
      <c r="J4147">
        <f>IF(F4147&lt;&gt;"",MAX('[1]DDD Model Calculations'!$D$20-'[1]Weather Data'!F4147,0),MAX('[1]DDD Model Calculations'!$D$20-AVERAGE('[1]Weather Data'!F4146,'[1]Weather Data'!F4148),0))</f>
        <v>9.6000003814697266</v>
      </c>
      <c r="K4147">
        <f>IF(G4147&lt;&gt;"",MAX('[1]DDD Model Calculations'!$D$20-'[1]Weather Data'!G4147,0),MAX('[1]DDD Model Calculations'!$D$20-AVERAGE('[1]Weather Data'!G4146,'[1]Weather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IF(D4148&lt;&gt;"",MAX('[1]DDD Model Calculations'!$D$20-'[1]Weather Data'!D4148,0),MAX('[1]DDD Model Calculations'!$D$20-AVERAGE('[1]Weather Data'!D4147,'[1]Weather Data'!D4149),0))</f>
        <v>7.5</v>
      </c>
      <c r="I4148">
        <f>IF(E4148&lt;&gt;"",MAX('[1]DDD Model Calculations'!$D$20-'[1]Weather Data'!E4148,0),MAX('[1]DDD Model Calculations'!$D$20-AVERAGE('[1]Weather Data'!E4147,'[1]Weather Data'!E4149),0))</f>
        <v>9.3999996185302734</v>
      </c>
      <c r="J4148">
        <f>IF(F4148&lt;&gt;"",MAX('[1]DDD Model Calculations'!$D$20-'[1]Weather Data'!F4148,0),MAX('[1]DDD Model Calculations'!$D$20-AVERAGE('[1]Weather Data'!F4147,'[1]Weather Data'!F4149),0))</f>
        <v>8.5</v>
      </c>
      <c r="K4148">
        <f>IF(G4148&lt;&gt;"",MAX('[1]DDD Model Calculations'!$D$20-'[1]Weather Data'!G4148,0),MAX('[1]DDD Model Calculations'!$D$20-AVERAGE('[1]Weather Data'!G4147,'[1]Weather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IF(D4149&lt;&gt;"",MAX('[1]DDD Model Calculations'!$D$20-'[1]Weather Data'!D4149,0),MAX('[1]DDD Model Calculations'!$D$20-AVERAGE('[1]Weather Data'!D4148,'[1]Weather Data'!D4150),0))</f>
        <v>4.3999996185302734</v>
      </c>
      <c r="I4149">
        <f>IF(E4149&lt;&gt;"",MAX('[1]DDD Model Calculations'!$D$20-'[1]Weather Data'!E4149,0),MAX('[1]DDD Model Calculations'!$D$20-AVERAGE('[1]Weather Data'!E4148,'[1]Weather Data'!E4150),0))</f>
        <v>6.3000001907348633</v>
      </c>
      <c r="J4149">
        <f>IF(F4149&lt;&gt;"",MAX('[1]DDD Model Calculations'!$D$20-'[1]Weather Data'!F4149,0),MAX('[1]DDD Model Calculations'!$D$20-AVERAGE('[1]Weather Data'!F4148,'[1]Weather Data'!F4150),0))</f>
        <v>3.8999996185302734</v>
      </c>
      <c r="K4149">
        <f>IF(G4149&lt;&gt;"",MAX('[1]DDD Model Calculations'!$D$20-'[1]Weather Data'!G4149,0),MAX('[1]DDD Model Calculations'!$D$20-AVERAGE('[1]Weather Data'!G4148,'[1]Weather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IF(D4150&lt;&gt;"",MAX('[1]DDD Model Calculations'!$D$20-'[1]Weather Data'!D4150,0),MAX('[1]DDD Model Calculations'!$D$20-AVERAGE('[1]Weather Data'!D4149,'[1]Weather Data'!D4151),0))</f>
        <v>8.3999996185302734</v>
      </c>
      <c r="I4150">
        <f>IF(E4150&lt;&gt;"",MAX('[1]DDD Model Calculations'!$D$20-'[1]Weather Data'!E4150,0),MAX('[1]DDD Model Calculations'!$D$20-AVERAGE('[1]Weather Data'!E4149,'[1]Weather Data'!E4151),0))</f>
        <v>6</v>
      </c>
      <c r="J4150">
        <f>IF(F4150&lt;&gt;"",MAX('[1]DDD Model Calculations'!$D$20-'[1]Weather Data'!F4150,0),MAX('[1]DDD Model Calculations'!$D$20-AVERAGE('[1]Weather Data'!F4149,'[1]Weather Data'!F4151),0))</f>
        <v>8.1999998092651367</v>
      </c>
      <c r="K4150">
        <f>IF(G4150&lt;&gt;"",MAX('[1]DDD Model Calculations'!$D$20-'[1]Weather Data'!G4150,0),MAX('[1]DDD Model Calculations'!$D$20-AVERAGE('[1]Weather Data'!G4149,'[1]Weather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IF(D4151&lt;&gt;"",MAX('[1]DDD Model Calculations'!$D$20-'[1]Weather Data'!D4151,0),MAX('[1]DDD Model Calculations'!$D$20-AVERAGE('[1]Weather Data'!D4150,'[1]Weather Data'!D4152),0))</f>
        <v>1.7999992370605469</v>
      </c>
      <c r="I4151">
        <f>IF(E4151&lt;&gt;"",MAX('[1]DDD Model Calculations'!$D$20-'[1]Weather Data'!E4151,0),MAX('[1]DDD Model Calculations'!$D$20-AVERAGE('[1]Weather Data'!E4150,'[1]Weather Data'!E4152),0))</f>
        <v>1.7000007629394531</v>
      </c>
      <c r="J4151">
        <f>IF(F4151&lt;&gt;"",MAX('[1]DDD Model Calculations'!$D$20-'[1]Weather Data'!F4151,0),MAX('[1]DDD Model Calculations'!$D$20-AVERAGE('[1]Weather Data'!F4150,'[1]Weather Data'!F4152),0))</f>
        <v>2.1999998092651367</v>
      </c>
      <c r="K4151">
        <f>IF(G4151&lt;&gt;"",MAX('[1]DDD Model Calculations'!$D$20-'[1]Weather Data'!G4151,0),MAX('[1]DDD Model Calculations'!$D$20-AVERAGE('[1]Weather Data'!G4150,'[1]Weather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IF(D4152&lt;&gt;"",MAX('[1]DDD Model Calculations'!$D$20-'[1]Weather Data'!D4152,0),MAX('[1]DDD Model Calculations'!$D$20-AVERAGE('[1]Weather Data'!D4151,'[1]Weather Data'!D4153),0))</f>
        <v>0</v>
      </c>
      <c r="I4152">
        <f>IF(E4152&lt;&gt;"",MAX('[1]DDD Model Calculations'!$D$20-'[1]Weather Data'!E4152,0),MAX('[1]DDD Model Calculations'!$D$20-AVERAGE('[1]Weather Data'!E4151,'[1]Weather Data'!E4153),0))</f>
        <v>0</v>
      </c>
      <c r="J4152">
        <f>IF(F4152&lt;&gt;"",MAX('[1]DDD Model Calculations'!$D$20-'[1]Weather Data'!F4152,0),MAX('[1]DDD Model Calculations'!$D$20-AVERAGE('[1]Weather Data'!F4151,'[1]Weather Data'!F4153),0))</f>
        <v>0</v>
      </c>
      <c r="K4152">
        <f>IF(G4152&lt;&gt;"",MAX('[1]DDD Model Calculations'!$D$20-'[1]Weather Data'!G4152,0),MAX('[1]DDD Model Calculations'!$D$20-AVERAGE('[1]Weather Data'!G4151,'[1]Weather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IF(D4153&lt;&gt;"",MAX('[1]DDD Model Calculations'!$D$20-'[1]Weather Data'!D4153,0),MAX('[1]DDD Model Calculations'!$D$20-AVERAGE('[1]Weather Data'!D4152,'[1]Weather Data'!D4154),0))</f>
        <v>0.5</v>
      </c>
      <c r="I4153">
        <f>IF(E4153&lt;&gt;"",MAX('[1]DDD Model Calculations'!$D$20-'[1]Weather Data'!E4153,0),MAX('[1]DDD Model Calculations'!$D$20-AVERAGE('[1]Weather Data'!E4152,'[1]Weather Data'!E4154),0))</f>
        <v>0</v>
      </c>
      <c r="J4153">
        <f>IF(F4153&lt;&gt;"",MAX('[1]DDD Model Calculations'!$D$20-'[1]Weather Data'!F4153,0),MAX('[1]DDD Model Calculations'!$D$20-AVERAGE('[1]Weather Data'!F4152,'[1]Weather Data'!F4154),0))</f>
        <v>0</v>
      </c>
      <c r="K4153">
        <f>IF(G4153&lt;&gt;"",MAX('[1]DDD Model Calculations'!$D$20-'[1]Weather Data'!G4153,0),MAX('[1]DDD Model Calculations'!$D$20-AVERAGE('[1]Weather Data'!G4152,'[1]Weather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IF(D4154&lt;&gt;"",MAX('[1]DDD Model Calculations'!$D$20-'[1]Weather Data'!D4154,0),MAX('[1]DDD Model Calculations'!$D$20-AVERAGE('[1]Weather Data'!D4153,'[1]Weather Data'!D4155),0))</f>
        <v>0</v>
      </c>
      <c r="I4154">
        <f>IF(E4154&lt;&gt;"",MAX('[1]DDD Model Calculations'!$D$20-'[1]Weather Data'!E4154,0),MAX('[1]DDD Model Calculations'!$D$20-AVERAGE('[1]Weather Data'!E4153,'[1]Weather Data'!E4155),0))</f>
        <v>0</v>
      </c>
      <c r="J4154">
        <f>IF(F4154&lt;&gt;"",MAX('[1]DDD Model Calculations'!$D$20-'[1]Weather Data'!F4154,0),MAX('[1]DDD Model Calculations'!$D$20-AVERAGE('[1]Weather Data'!F4153,'[1]Weather Data'!F4155),0))</f>
        <v>0</v>
      </c>
      <c r="K4154">
        <f>IF(G4154&lt;&gt;"",MAX('[1]DDD Model Calculations'!$D$20-'[1]Weather Data'!G4154,0),MAX('[1]DDD Model Calculations'!$D$20-AVERAGE('[1]Weather Data'!G4153,'[1]Weather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IF(D4155&lt;&gt;"",MAX('[1]DDD Model Calculations'!$D$20-'[1]Weather Data'!D4155,0),MAX('[1]DDD Model Calculations'!$D$20-AVERAGE('[1]Weather Data'!D4154,'[1]Weather Data'!D4156),0))</f>
        <v>0</v>
      </c>
      <c r="I4155">
        <f>IF(E4155&lt;&gt;"",MAX('[1]DDD Model Calculations'!$D$20-'[1]Weather Data'!E4155,0),MAX('[1]DDD Model Calculations'!$D$20-AVERAGE('[1]Weather Data'!E4154,'[1]Weather Data'!E4156),0))</f>
        <v>0</v>
      </c>
      <c r="J4155">
        <f>IF(F4155&lt;&gt;"",MAX('[1]DDD Model Calculations'!$D$20-'[1]Weather Data'!F4155,0),MAX('[1]DDD Model Calculations'!$D$20-AVERAGE('[1]Weather Data'!F4154,'[1]Weather Data'!F4156),0))</f>
        <v>0</v>
      </c>
      <c r="K4155">
        <f>IF(G4155&lt;&gt;"",MAX('[1]DDD Model Calculations'!$D$20-'[1]Weather Data'!G4155,0),MAX('[1]DDD Model Calculations'!$D$20-AVERAGE('[1]Weather Data'!G4154,'[1]Weather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IF(D4156&lt;&gt;"",MAX('[1]DDD Model Calculations'!$D$20-'[1]Weather Data'!D4156,0),MAX('[1]DDD Model Calculations'!$D$20-AVERAGE('[1]Weather Data'!D4155,'[1]Weather Data'!D4157),0))</f>
        <v>1.7000007629394531</v>
      </c>
      <c r="I4156">
        <f>IF(E4156&lt;&gt;"",MAX('[1]DDD Model Calculations'!$D$20-'[1]Weather Data'!E4156,0),MAX('[1]DDD Model Calculations'!$D$20-AVERAGE('[1]Weather Data'!E4155,'[1]Weather Data'!E4157),0))</f>
        <v>2.5</v>
      </c>
      <c r="J4156">
        <f>IF(F4156&lt;&gt;"",MAX('[1]DDD Model Calculations'!$D$20-'[1]Weather Data'!F4156,0),MAX('[1]DDD Model Calculations'!$D$20-AVERAGE('[1]Weather Data'!F4155,'[1]Weather Data'!F4157),0))</f>
        <v>1.2000007629394531</v>
      </c>
      <c r="K4156">
        <f>IF(G4156&lt;&gt;"",MAX('[1]DDD Model Calculations'!$D$20-'[1]Weather Data'!G4156,0),MAX('[1]DDD Model Calculations'!$D$20-AVERAGE('[1]Weather Data'!G4155,'[1]Weather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IF(D4157&lt;&gt;"",MAX('[1]DDD Model Calculations'!$D$20-'[1]Weather Data'!D4157,0),MAX('[1]DDD Model Calculations'!$D$20-AVERAGE('[1]Weather Data'!D4156,'[1]Weather Data'!D4158),0))</f>
        <v>4.6999998092651367</v>
      </c>
      <c r="I4157">
        <f>IF(E4157&lt;&gt;"",MAX('[1]DDD Model Calculations'!$D$20-'[1]Weather Data'!E4157,0),MAX('[1]DDD Model Calculations'!$D$20-AVERAGE('[1]Weather Data'!E4156,'[1]Weather Data'!E4158),0))</f>
        <v>8.3999996185302734</v>
      </c>
      <c r="J4157">
        <f>IF(F4157&lt;&gt;"",MAX('[1]DDD Model Calculations'!$D$20-'[1]Weather Data'!F4157,0),MAX('[1]DDD Model Calculations'!$D$20-AVERAGE('[1]Weather Data'!F4156,'[1]Weather Data'!F4158),0))</f>
        <v>7.8999996185302734</v>
      </c>
      <c r="K4157">
        <f>IF(G4157&lt;&gt;"",MAX('[1]DDD Model Calculations'!$D$20-'[1]Weather Data'!G4157,0),MAX('[1]DDD Model Calculations'!$D$20-AVERAGE('[1]Weather Data'!G4156,'[1]Weather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IF(D4158&lt;&gt;"",MAX('[1]DDD Model Calculations'!$D$20-'[1]Weather Data'!D4158,0),MAX('[1]DDD Model Calculations'!$D$20-AVERAGE('[1]Weather Data'!D4157,'[1]Weather Data'!D4159),0))</f>
        <v>8.3000001907348633</v>
      </c>
      <c r="I4158">
        <f>IF(E4158&lt;&gt;"",MAX('[1]DDD Model Calculations'!$D$20-'[1]Weather Data'!E4158,0),MAX('[1]DDD Model Calculations'!$D$20-AVERAGE('[1]Weather Data'!E4157,'[1]Weather Data'!E4159),0))</f>
        <v>9.3999996185302734</v>
      </c>
      <c r="J4158">
        <f>IF(F4158&lt;&gt;"",MAX('[1]DDD Model Calculations'!$D$20-'[1]Weather Data'!F4158,0),MAX('[1]DDD Model Calculations'!$D$20-AVERAGE('[1]Weather Data'!F4157,'[1]Weather Data'!F4159),0))</f>
        <v>9.8999996185302734</v>
      </c>
      <c r="K4158">
        <f>IF(G4158&lt;&gt;"",MAX('[1]DDD Model Calculations'!$D$20-'[1]Weather Data'!G4158,0),MAX('[1]DDD Model Calculations'!$D$20-AVERAGE('[1]Weather Data'!G4157,'[1]Weather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IF(D4159&lt;&gt;"",MAX('[1]DDD Model Calculations'!$D$20-'[1]Weather Data'!D4159,0),MAX('[1]DDD Model Calculations'!$D$20-AVERAGE('[1]Weather Data'!D4158,'[1]Weather Data'!D4160),0))</f>
        <v>9.1999998092651367</v>
      </c>
      <c r="I4159">
        <f>IF(E4159&lt;&gt;"",MAX('[1]DDD Model Calculations'!$D$20-'[1]Weather Data'!E4159,0),MAX('[1]DDD Model Calculations'!$D$20-AVERAGE('[1]Weather Data'!E4158,'[1]Weather Data'!E4160),0))</f>
        <v>8.6000003814697266</v>
      </c>
      <c r="J4159">
        <f>IF(F4159&lt;&gt;"",MAX('[1]DDD Model Calculations'!$D$20-'[1]Weather Data'!F4159,0),MAX('[1]DDD Model Calculations'!$D$20-AVERAGE('[1]Weather Data'!F4158,'[1]Weather Data'!F4160),0))</f>
        <v>10.199999809265137</v>
      </c>
      <c r="K4159">
        <f>IF(G4159&lt;&gt;"",MAX('[1]DDD Model Calculations'!$D$20-'[1]Weather Data'!G4159,0),MAX('[1]DDD Model Calculations'!$D$20-AVERAGE('[1]Weather Data'!G4158,'[1]Weather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IF(D4160&lt;&gt;"",MAX('[1]DDD Model Calculations'!$D$20-'[1]Weather Data'!D4160,0),MAX('[1]DDD Model Calculations'!$D$20-AVERAGE('[1]Weather Data'!D4159,'[1]Weather Data'!D4161),0))</f>
        <v>9</v>
      </c>
      <c r="I4160">
        <f>IF(E4160&lt;&gt;"",MAX('[1]DDD Model Calculations'!$D$20-'[1]Weather Data'!E4160,0),MAX('[1]DDD Model Calculations'!$D$20-AVERAGE('[1]Weather Data'!E4159,'[1]Weather Data'!E4161),0))</f>
        <v>9</v>
      </c>
      <c r="J4160">
        <f>IF(F4160&lt;&gt;"",MAX('[1]DDD Model Calculations'!$D$20-'[1]Weather Data'!F4160,0),MAX('[1]DDD Model Calculations'!$D$20-AVERAGE('[1]Weather Data'!F4159,'[1]Weather Data'!F4161),0))</f>
        <v>7.1000003814697266</v>
      </c>
      <c r="K4160">
        <f>IF(G4160&lt;&gt;"",MAX('[1]DDD Model Calculations'!$D$20-'[1]Weather Data'!G4160,0),MAX('[1]DDD Model Calculations'!$D$20-AVERAGE('[1]Weather Data'!G4159,'[1]Weather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IF(D4161&lt;&gt;"",MAX('[1]DDD Model Calculations'!$D$20-'[1]Weather Data'!D4161,0),MAX('[1]DDD Model Calculations'!$D$20-AVERAGE('[1]Weather Data'!D4160,'[1]Weather Data'!D4162),0))</f>
        <v>9.3000001907348633</v>
      </c>
      <c r="I4161">
        <f>IF(E4161&lt;&gt;"",MAX('[1]DDD Model Calculations'!$D$20-'[1]Weather Data'!E4161,0),MAX('[1]DDD Model Calculations'!$D$20-AVERAGE('[1]Weather Data'!E4160,'[1]Weather Data'!E4162),0))</f>
        <v>9.1000003814697266</v>
      </c>
      <c r="J4161">
        <f>IF(F4161&lt;&gt;"",MAX('[1]DDD Model Calculations'!$D$20-'[1]Weather Data'!F4161,0),MAX('[1]DDD Model Calculations'!$D$20-AVERAGE('[1]Weather Data'!F4160,'[1]Weather Data'!F4162),0))</f>
        <v>9</v>
      </c>
      <c r="K4161">
        <f>IF(G4161&lt;&gt;"",MAX('[1]DDD Model Calculations'!$D$20-'[1]Weather Data'!G4161,0),MAX('[1]DDD Model Calculations'!$D$20-AVERAGE('[1]Weather Data'!G4160,'[1]Weather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IF(D4162&lt;&gt;"",MAX('[1]DDD Model Calculations'!$D$20-'[1]Weather Data'!D4162,0),MAX('[1]DDD Model Calculations'!$D$20-AVERAGE('[1]Weather Data'!D4161,'[1]Weather Data'!D4163),0))</f>
        <v>7.5</v>
      </c>
      <c r="I4162">
        <f>IF(E4162&lt;&gt;"",MAX('[1]DDD Model Calculations'!$D$20-'[1]Weather Data'!E4162,0),MAX('[1]DDD Model Calculations'!$D$20-AVERAGE('[1]Weather Data'!E4161,'[1]Weather Data'!E4163),0))</f>
        <v>9.8999996185302734</v>
      </c>
      <c r="J4162">
        <f>IF(F4162&lt;&gt;"",MAX('[1]DDD Model Calculations'!$D$20-'[1]Weather Data'!F4162,0),MAX('[1]DDD Model Calculations'!$D$20-AVERAGE('[1]Weather Data'!F4161,'[1]Weather Data'!F4163),0))</f>
        <v>9.1999998092651367</v>
      </c>
      <c r="K4162">
        <f>IF(G4162&lt;&gt;"",MAX('[1]DDD Model Calculations'!$D$20-'[1]Weather Data'!G4162,0),MAX('[1]DDD Model Calculations'!$D$20-AVERAGE('[1]Weather Data'!G4161,'[1]Weather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IF(D4163&lt;&gt;"",MAX('[1]DDD Model Calculations'!$D$20-'[1]Weather Data'!D4163,0),MAX('[1]DDD Model Calculations'!$D$20-AVERAGE('[1]Weather Data'!D4162,'[1]Weather Data'!D4164),0))</f>
        <v>6.6000003814697266</v>
      </c>
      <c r="I4163">
        <f>IF(E4163&lt;&gt;"",MAX('[1]DDD Model Calculations'!$D$20-'[1]Weather Data'!E4163,0),MAX('[1]DDD Model Calculations'!$D$20-AVERAGE('[1]Weather Data'!E4162,'[1]Weather Data'!E4164),0))</f>
        <v>8.6000003814697266</v>
      </c>
      <c r="J4163">
        <f>IF(F4163&lt;&gt;"",MAX('[1]DDD Model Calculations'!$D$20-'[1]Weather Data'!F4163,0),MAX('[1]DDD Model Calculations'!$D$20-AVERAGE('[1]Weather Data'!F4162,'[1]Weather Data'!F4164),0))</f>
        <v>8.6999998092651367</v>
      </c>
      <c r="K4163">
        <f>IF(G4163&lt;&gt;"",MAX('[1]DDD Model Calculations'!$D$20-'[1]Weather Data'!G4163,0),MAX('[1]DDD Model Calculations'!$D$20-AVERAGE('[1]Weather Data'!G4162,'[1]Weather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IF(D4164&lt;&gt;"",MAX('[1]DDD Model Calculations'!$D$20-'[1]Weather Data'!D4164,0),MAX('[1]DDD Model Calculations'!$D$20-AVERAGE('[1]Weather Data'!D4163,'[1]Weather Data'!D4165),0))</f>
        <v>5.3999996185302734</v>
      </c>
      <c r="I4164">
        <f>IF(E4164&lt;&gt;"",MAX('[1]DDD Model Calculations'!$D$20-'[1]Weather Data'!E4164,0),MAX('[1]DDD Model Calculations'!$D$20-AVERAGE('[1]Weather Data'!E4163,'[1]Weather Data'!E4165),0))</f>
        <v>7.5</v>
      </c>
      <c r="J4164">
        <f>IF(F4164&lt;&gt;"",MAX('[1]DDD Model Calculations'!$D$20-'[1]Weather Data'!F4164,0),MAX('[1]DDD Model Calculations'!$D$20-AVERAGE('[1]Weather Data'!F4163,'[1]Weather Data'!F4165),0))</f>
        <v>4.8000001907348633</v>
      </c>
      <c r="K4164">
        <f>IF(G4164&lt;&gt;"",MAX('[1]DDD Model Calculations'!$D$20-'[1]Weather Data'!G4164,0),MAX('[1]DDD Model Calculations'!$D$20-AVERAGE('[1]Weather Data'!G4163,'[1]Weather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IF(D4165&lt;&gt;"",MAX('[1]DDD Model Calculations'!$D$20-'[1]Weather Data'!D4165,0),MAX('[1]DDD Model Calculations'!$D$20-AVERAGE('[1]Weather Data'!D4164,'[1]Weather Data'!D4166),0))</f>
        <v>3.6999998092651367</v>
      </c>
      <c r="I4165">
        <f>IF(E4165&lt;&gt;"",MAX('[1]DDD Model Calculations'!$D$20-'[1]Weather Data'!E4165,0),MAX('[1]DDD Model Calculations'!$D$20-AVERAGE('[1]Weather Data'!E4164,'[1]Weather Data'!E4166),0))</f>
        <v>4.5</v>
      </c>
      <c r="J4165">
        <f>IF(F4165&lt;&gt;"",MAX('[1]DDD Model Calculations'!$D$20-'[1]Weather Data'!F4165,0),MAX('[1]DDD Model Calculations'!$D$20-AVERAGE('[1]Weather Data'!F4164,'[1]Weather Data'!F4166),0))</f>
        <v>2.3000001907348633</v>
      </c>
      <c r="K4165">
        <f>IF(G4165&lt;&gt;"",MAX('[1]DDD Model Calculations'!$D$20-'[1]Weather Data'!G4165,0),MAX('[1]DDD Model Calculations'!$D$20-AVERAGE('[1]Weather Data'!G4164,'[1]Weather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IF(D4166&lt;&gt;"",MAX('[1]DDD Model Calculations'!$D$20-'[1]Weather Data'!D4166,0),MAX('[1]DDD Model Calculations'!$D$20-AVERAGE('[1]Weather Data'!D4165,'[1]Weather Data'!D4167),0))</f>
        <v>2.3000001907348633</v>
      </c>
      <c r="I4166">
        <f>IF(E4166&lt;&gt;"",MAX('[1]DDD Model Calculations'!$D$20-'[1]Weather Data'!E4166,0),MAX('[1]DDD Model Calculations'!$D$20-AVERAGE('[1]Weather Data'!E4165,'[1]Weather Data'!E4167),0))</f>
        <v>3.3000001907348633</v>
      </c>
      <c r="J4166">
        <f>IF(F4166&lt;&gt;"",MAX('[1]DDD Model Calculations'!$D$20-'[1]Weather Data'!F4166,0),MAX('[1]DDD Model Calculations'!$D$20-AVERAGE('[1]Weather Data'!F4165,'[1]Weather Data'!F4167),0))</f>
        <v>1.1000003814697266</v>
      </c>
      <c r="K4166">
        <f>IF(G4166&lt;&gt;"",MAX('[1]DDD Model Calculations'!$D$20-'[1]Weather Data'!G4166,0),MAX('[1]DDD Model Calculations'!$D$20-AVERAGE('[1]Weather Data'!G4165,'[1]Weather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IF(D4167&lt;&gt;"",MAX('[1]DDD Model Calculations'!$D$20-'[1]Weather Data'!D4167,0),MAX('[1]DDD Model Calculations'!$D$20-AVERAGE('[1]Weather Data'!D4166,'[1]Weather Data'!D4168),0))</f>
        <v>4.1000003814697266</v>
      </c>
      <c r="I4167">
        <f>IF(E4167&lt;&gt;"",MAX('[1]DDD Model Calculations'!$D$20-'[1]Weather Data'!E4167,0),MAX('[1]DDD Model Calculations'!$D$20-AVERAGE('[1]Weather Data'!E4166,'[1]Weather Data'!E4168),0))</f>
        <v>5.3000001907348633</v>
      </c>
      <c r="J4167">
        <f>IF(F4167&lt;&gt;"",MAX('[1]DDD Model Calculations'!$D$20-'[1]Weather Data'!F4167,0),MAX('[1]DDD Model Calculations'!$D$20-AVERAGE('[1]Weather Data'!F4166,'[1]Weather Data'!F4168),0))</f>
        <v>0.29999923706054688</v>
      </c>
      <c r="K4167">
        <f>IF(G4167&lt;&gt;"",MAX('[1]DDD Model Calculations'!$D$20-'[1]Weather Data'!G4167,0),MAX('[1]DDD Model Calculations'!$D$20-AVERAGE('[1]Weather Data'!G4166,'[1]Weather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IF(D4168&lt;&gt;"",MAX('[1]DDD Model Calculations'!$D$20-'[1]Weather Data'!D4168,0),MAX('[1]DDD Model Calculations'!$D$20-AVERAGE('[1]Weather Data'!D4167,'[1]Weather Data'!D4169),0))</f>
        <v>2.5</v>
      </c>
      <c r="I4168">
        <f>IF(E4168&lt;&gt;"",MAX('[1]DDD Model Calculations'!$D$20-'[1]Weather Data'!E4168,0),MAX('[1]DDD Model Calculations'!$D$20-AVERAGE('[1]Weather Data'!E4167,'[1]Weather Data'!E4169),0))</f>
        <v>3</v>
      </c>
      <c r="J4168">
        <f>IF(F4168&lt;&gt;"",MAX('[1]DDD Model Calculations'!$D$20-'[1]Weather Data'!F4168,0),MAX('[1]DDD Model Calculations'!$D$20-AVERAGE('[1]Weather Data'!F4167,'[1]Weather Data'!F4169),0))</f>
        <v>2.3000001907348633</v>
      </c>
      <c r="K4168">
        <f>IF(G4168&lt;&gt;"",MAX('[1]DDD Model Calculations'!$D$20-'[1]Weather Data'!G4168,0),MAX('[1]DDD Model Calculations'!$D$20-AVERAGE('[1]Weather Data'!G4167,'[1]Weather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IF(D4169&lt;&gt;"",MAX('[1]DDD Model Calculations'!$D$20-'[1]Weather Data'!D4169,0),MAX('[1]DDD Model Calculations'!$D$20-AVERAGE('[1]Weather Data'!D4168,'[1]Weather Data'!D4170),0))</f>
        <v>0</v>
      </c>
      <c r="I4169">
        <f>IF(E4169&lt;&gt;"",MAX('[1]DDD Model Calculations'!$D$20-'[1]Weather Data'!E4169,0),MAX('[1]DDD Model Calculations'!$D$20-AVERAGE('[1]Weather Data'!E4168,'[1]Weather Data'!E4170),0))</f>
        <v>1.3999996185302734</v>
      </c>
      <c r="J4169">
        <f>IF(F4169&lt;&gt;"",MAX('[1]DDD Model Calculations'!$D$20-'[1]Weather Data'!F4169,0),MAX('[1]DDD Model Calculations'!$D$20-AVERAGE('[1]Weather Data'!F4168,'[1]Weather Data'!F4170),0))</f>
        <v>0.29999923706054688</v>
      </c>
      <c r="K4169">
        <f>IF(G4169&lt;&gt;"",MAX('[1]DDD Model Calculations'!$D$20-'[1]Weather Data'!G4169,0),MAX('[1]DDD Model Calculations'!$D$20-AVERAGE('[1]Weather Data'!G4168,'[1]Weather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IF(D4170&lt;&gt;"",MAX('[1]DDD Model Calculations'!$D$20-'[1]Weather Data'!D4170,0),MAX('[1]DDD Model Calculations'!$D$20-AVERAGE('[1]Weather Data'!D4169,'[1]Weather Data'!D4171),0))</f>
        <v>7.3999996185302734</v>
      </c>
      <c r="I4170">
        <f>IF(E4170&lt;&gt;"",MAX('[1]DDD Model Calculations'!$D$20-'[1]Weather Data'!E4170,0),MAX('[1]DDD Model Calculations'!$D$20-AVERAGE('[1]Weather Data'!E4169,'[1]Weather Data'!E4171),0))</f>
        <v>8.3000001907348633</v>
      </c>
      <c r="J4170">
        <f>IF(F4170&lt;&gt;"",MAX('[1]DDD Model Calculations'!$D$20-'[1]Weather Data'!F4170,0),MAX('[1]DDD Model Calculations'!$D$20-AVERAGE('[1]Weather Data'!F4169,'[1]Weather Data'!F4171),0))</f>
        <v>6.6999998092651367</v>
      </c>
      <c r="K4170">
        <f>IF(G4170&lt;&gt;"",MAX('[1]DDD Model Calculations'!$D$20-'[1]Weather Data'!G4170,0),MAX('[1]DDD Model Calculations'!$D$20-AVERAGE('[1]Weather Data'!G4169,'[1]Weather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04OOdAhX1GQvgkfNtN5MTjuY/VOuVuwpwISbkmI7rwT2ku1jhzBgHkIjWAtyThp2LIBJ0PHgbt/MYVW8f/zoqg==" saltValue="N7g+ypQR+pJq6mV2qESzng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688AC94276D4CB4C336C27C0A968E" ma:contentTypeVersion="16" ma:contentTypeDescription="Create a new document." ma:contentTypeScope="" ma:versionID="942ca6f5ba04431f077b6c821748e027">
  <xsd:schema xmlns:xsd="http://www.w3.org/2001/XMLSchema" xmlns:xs="http://www.w3.org/2001/XMLSchema" xmlns:p="http://schemas.microsoft.com/office/2006/metadata/properties" xmlns:ns2="bc9be6ef-036f-4d38-ab45-2a4da0c93cb0" xmlns:ns3="9a8041a0-405a-47ab-8c90-9d86ad117bdf" targetNamespace="http://schemas.microsoft.com/office/2006/metadata/properties" ma:root="true" ma:fieldsID="f2341e3f8b46d14b267e4f6e70f99577" ns2:_="" ns3:_="">
    <xsd:import namespace="bc9be6ef-036f-4d38-ab45-2a4da0c93cb0"/>
    <xsd:import namespace="9a8041a0-405a-47ab-8c90-9d86ad117b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Area" minOccurs="0"/>
                <xsd:element ref="ns3:Regulatory" minOccurs="0"/>
                <xsd:element ref="ns3:Legal" minOccurs="0"/>
                <xsd:element ref="ns3:Intervenor" minOccurs="0"/>
                <xsd:element ref="ns3:Expert" minOccurs="0"/>
                <xsd:element ref="ns3:KeySupport" minOccurs="0"/>
                <xsd:element ref="ns3:Witnes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041a0-405a-47ab-8c90-9d86ad117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ea" ma:index="15" nillable="true" ma:displayName="Area" ma:internalName="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D"/>
                        <xsd:enumeration value="Costs"/>
                        <xsd:enumeration value="Customer Care"/>
                        <xsd:enumeration value="Energy Services"/>
                        <xsd:enumeration value="Energy Transition"/>
                        <xsd:enumeration value="Engineering"/>
                        <xsd:enumeration value="IRP"/>
                        <xsd:enumeration value="Finance"/>
                        <xsd:enumeration value="Operations"/>
                        <xsd:enumeration value="Rates"/>
                        <xsd:enumeration value="Regulatory"/>
                        <xsd:enumeration value="Servic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gulatory" ma:index="16" nillable="true" ma:displayName="Regulatory" ma:format="Dropdown" ma:list="UserInfo" ma:SharePointGroup="0" ma:internalName="Regulator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gal" ma:index="17" nillable="true" ma:displayName="Legal" ma:format="Dropdown" ma:list="UserInfo" ma:SharePointGroup="0" ma:internalName="Legal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tervenor" ma:index="18" nillable="true" ma:displayName="Intervenor" ma:format="Dropdown" ma:internalName="Intervenor">
      <xsd:simpleType>
        <xsd:restriction base="dms:Choice">
          <xsd:enumeration value="A.Valastro"/>
          <xsd:enumeration value="APPro"/>
          <xsd:enumeration value="Atura"/>
          <xsd:enumeration value="BOMA"/>
          <xsd:enumeration value="CBA"/>
          <xsd:enumeration value="CCC"/>
          <xsd:enumeration value="CME"/>
          <xsd:enumeration value="ED"/>
          <xsd:enumeration value="Enercare"/>
          <xsd:enumeration value="EP"/>
          <xsd:enumeration value="HRAI"/>
          <xsd:enumeration value="F.Shah"/>
          <xsd:enumeration value="FRPO"/>
          <xsd:enumeration value="GEC"/>
          <xsd:enumeration value="GFN"/>
          <xsd:enumeration value="IESO"/>
          <xsd:enumeration value="IGUA"/>
          <xsd:enumeration value="KCES"/>
          <xsd:enumeration value="Kitchener"/>
          <xsd:enumeration value="LPMA"/>
          <xsd:enumeration value="M.Garnick"/>
          <xsd:enumeration value="OAPPA"/>
          <xsd:enumeration value="OGVG"/>
          <xsd:enumeration value="OHBA"/>
          <xsd:enumeration value="Otter Creek"/>
          <xsd:enumeration value="PP"/>
          <xsd:enumeration value="QMA"/>
          <xsd:enumeration value="R.Houldin"/>
          <xsd:enumeration value="RNG Coalition"/>
          <xsd:enumeration value="S.Riddell"/>
          <xsd:enumeration value="SEC"/>
          <xsd:enumeration value="SNNG"/>
          <xsd:enumeration value="TCPL"/>
          <xsd:enumeration value="TFG/M"/>
          <xsd:enumeration value="Unifor"/>
          <xsd:enumeration value="VECC"/>
          <xsd:enumeration value="STAFF"/>
        </xsd:restriction>
      </xsd:simpleType>
    </xsd:element>
    <xsd:element name="Expert" ma:index="19" nillable="true" ma:displayName="Expert" ma:default="0" ma:format="Dropdown" ma:internalName="Expert">
      <xsd:simpleType>
        <xsd:restriction base="dms:Boolean"/>
      </xsd:simpleType>
    </xsd:element>
    <xsd:element name="KeySupport" ma:index="20" nillable="true" ma:displayName="Key Support" ma:description="*Not Maintaind by Regulatory*" ma:format="Dropdown" ma:list="UserInfo" ma:SearchPeopleOnly="false" ma:SharePointGroup="0" ma:internalName="KeySupport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" ma:index="21" nillable="true" ma:displayName="Witness" ma:internalName="Witnes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.J. Kearney"/>
                    <xsd:enumeration value="Alicia Lenny"/>
                    <xsd:enumeration value="Adam Gellman"/>
                    <xsd:enumeration value="Adam Stiers"/>
                    <xsd:enumeration value="Ainslie Murdock"/>
                    <xsd:enumeration value="Ala Abusalhieh"/>
                    <xsd:enumeration value="Alison Moore"/>
                    <xsd:enumeration value="Alex Hews"/>
                    <xsd:enumeration value="Alexandra Burke"/>
                    <xsd:enumeration value="Amber Vanderiviere"/>
                    <xsd:enumeration value="Amir Hasan"/>
                    <xsd:enumeration value="Amy Leuschner"/>
                    <xsd:enumeration value="Amy Mikhaila"/>
                    <xsd:enumeration value="Andrea Seguin"/>
                    <xsd:enumeration value="Angela Scott"/>
                    <xsd:enumeration value="Ann-Marie Hessian"/>
                    <xsd:enumeration value="Anton Kacicnik"/>
                    <xsd:enumeration value="Aqeel Zaidi"/>
                    <xsd:enumeration value="Arnold Meurling"/>
                    <xsd:enumeration value="Asha Patel"/>
                    <xsd:enumeration value="Ben McIntyre"/>
                    <xsd:enumeration value="Bob Wellington"/>
                    <xsd:enumeration value="Bradley Clark"/>
                    <xsd:enumeration value="Brandon So"/>
                    <xsd:enumeration value="Brianna Hamilton"/>
                    <xsd:enumeration value="Brittany Zimmer"/>
                    <xsd:enumeration value="Cara-Lynne Wade"/>
                    <xsd:enumeration value="Catherine Ho"/>
                    <xsd:enumeration value="Chad Cook"/>
                    <xsd:enumeration value="Chris Ripley"/>
                    <xsd:enumeration value="Cody Wood"/>
                    <xsd:enumeration value="Colin Healey"/>
                    <xsd:enumeration value="Cora Carriveau"/>
                    <xsd:enumeration value="Craig Fernandes"/>
                    <xsd:enumeration value="Dan Pleckaitis"/>
                    <xsd:enumeration value="Danielle Dreveny"/>
                    <xsd:enumeration value="Dave Hoffman"/>
                    <xsd:enumeration value="Dave Janisse"/>
                    <xsd:enumeration value="Deborah Schmidt"/>
                    <xsd:enumeration value="Diane Simmons"/>
                    <xsd:enumeration value="Dwayne Conrod"/>
                    <xsd:enumeration value="Edward Hou"/>
                    <xsd:enumeration value="Elena Chang"/>
                    <xsd:enumeration value="Emily Nisbet"/>
                    <xsd:enumeration value="Eric Zhang"/>
                    <xsd:enumeration value="Faheem Ahmad"/>
                    <xsd:enumeration value="Gesiena Antuma"/>
                    <xsd:enumeration value="Gilmer Bashualdo-Hilario"/>
                    <xsd:enumeration value="Gord Dillon"/>
                    <xsd:enumeration value="Gord Lau"/>
                    <xsd:enumeration value="Greg Kaminski"/>
                    <xsd:enumeration value="Heidi Steinberg"/>
                    <xsd:enumeration value="Helen Huang"/>
                    <xsd:enumeration value="Hilary Thompson"/>
                    <xsd:enumeration value="Hulya Sayyan"/>
                    <xsd:enumeration value="Ian MacPherson"/>
                    <xsd:enumeration value="Ian McLeod"/>
                    <xsd:enumeration value="Jackie Collier"/>
                    <xsd:enumeration value="Jamee Lynn Laing"/>
                    <xsd:enumeration value="Jane Huang"/>
                    <xsd:enumeration value="Jane Pinsonneault"/>
                    <xsd:enumeration value="Janee O'Donohue"/>
                    <xsd:enumeration value="Jason Bond"/>
                    <xsd:enumeration value="Jason Gillett"/>
                    <xsd:enumeration value="Jason Vinagre"/>
                    <xsd:enumeration value="Jeff Cadotte"/>
                    <xsd:enumeration value="Jenn Cardoso"/>
                    <xsd:enumeration value="Jenna Vanderveen"/>
                    <xsd:enumeration value="Jennifer Burnham"/>
                    <xsd:enumeration value="Jennifer Heard"/>
                    <xsd:enumeration value="Jennifer Murphy"/>
                    <xsd:enumeration value="Jeremy Getson"/>
                    <xsd:enumeration value="Joseph Dimeo"/>
                    <xsd:enumeration value="Joel Denomy"/>
                    <xsd:enumeration value="Joey Cyples"/>
                    <xsd:enumeration value="John Gillis"/>
                    <xsd:enumeration value="Joseph Dimeo"/>
                    <xsd:enumeration value="Julie Rader"/>
                    <xsd:enumeration value="Karen Sweet"/>
                    <xsd:enumeration value="Katie Hooper"/>
                    <xsd:enumeration value="Kent Kerrigan"/>
                    <xsd:enumeration value="Kim Vitek"/>
                    <xsd:enumeration value="Kurt Holmes"/>
                    <xsd:enumeration value="Laura Sheehan"/>
                    <xsd:enumeration value="Leanne Sidorkewicz"/>
                    <xsd:enumeration value="Lee-Ann Giroux"/>
                    <xsd:enumeration value="Lewis Oatway"/>
                    <xsd:enumeration value="Lisa Marusic"/>
                    <xsd:enumeration value="Louie Jeromel"/>
                    <xsd:enumeration value="Luna Munro"/>
                    <xsd:enumeration value="Lyne McMurchie"/>
                    <xsd:enumeration value="Margarita Suarez"/>
                    <xsd:enumeration value="Matt St. Pierre"/>
                    <xsd:enumeration value="Max Hagerman"/>
                    <xsd:enumeration value="Melinda Yan"/>
                    <xsd:enumeration value="Melissa Debevc"/>
                    <xsd:enumeration value="Michael Abate"/>
                    <xsd:enumeration value="Michael McGivery"/>
                    <xsd:enumeration value="Michelle Tian"/>
                    <xsd:enumeration value="Mike Wagle"/>
                    <xsd:enumeration value="Neerajah Raviraj"/>
                    <xsd:enumeration value="Nicole Brunner"/>
                    <xsd:enumeration value="Paaras Sood"/>
                    <xsd:enumeration value="Paolo Mastronardi"/>
                    <xsd:enumeration value="Pat Squires"/>
                    <xsd:enumeration value="Paul Baxter"/>
                    <xsd:enumeration value="Peter Mussio"/>
                    <xsd:enumeration value="Pierce Jones"/>
                    <xsd:enumeration value="Priyanka Gupta"/>
                    <xsd:enumeration value="Rachel Goodreau"/>
                    <xsd:enumeration value="Rakesh Torul"/>
                    <xsd:enumeration value="Ravi Sigurdson"/>
                    <xsd:enumeration value="Richard Wathy"/>
                    <xsd:enumeration value="Rob DiMaria"/>
                    <xsd:enumeration value="Rob Ford"/>
                    <xsd:enumeration value="Rob Goodreau"/>
                    <xsd:enumeration value="Robert Rutitis"/>
                    <xsd:enumeration value="Robin Stevenson"/>
                    <xsd:enumeration value="Rowan Wedderburn-Bennett"/>
                    <xsd:enumeration value="Ruth Swan"/>
                    <xsd:enumeration value="Ryan Cheung"/>
                    <xsd:enumeration value="Ryan Organ"/>
                    <xsd:enumeration value="Ryan Small"/>
                    <xsd:enumeration value="Ryan Stelmaschuk"/>
                    <xsd:enumeration value="Sam McDermott"/>
                    <xsd:enumeration value="Sara Hale"/>
                    <xsd:enumeration value="Sarah Tope"/>
                    <xsd:enumeration value="Scott Dodd"/>
                    <xsd:enumeration value="Scott Hines"/>
                    <xsd:enumeration value="Sean Collier"/>
                    <xsd:enumeration value="Stephanie Fife"/>
                    <xsd:enumeration value="Steve Dantzer"/>
                    <xsd:enumeration value="Steve Edwardson"/>
                    <xsd:enumeration value="Steve Kay"/>
                    <xsd:enumeration value="Steve Pardy"/>
                    <xsd:enumeration value="Steven Brignall"/>
                    <xsd:enumeration value="Steven Riccio"/>
                    <xsd:enumeration value="Steven Shen"/>
                    <xsd:enumeration value="Sunny Swatch"/>
                    <xsd:enumeration value="Sutha Ariyalingam"/>
                    <xsd:enumeration value="Tanya Ferguson"/>
                    <xsd:enumeration value="Teresa Chan"/>
                    <xsd:enumeration value="Tiffany Jonkins"/>
                    <xsd:enumeration value="Tom Byng"/>
                    <xsd:enumeration value="Tracey Teed Martin"/>
                    <xsd:enumeration value="Tracy Lynch"/>
                    <xsd:enumeration value="Trinette Lindley"/>
                    <xsd:enumeration value="Tyler Brady"/>
                    <xsd:enumeration value="Vanessa Innis"/>
                    <xsd:enumeration value="Victoria Wang"/>
                    <xsd:enumeration value="Warren Fisher"/>
                    <xsd:enumeration value="Warren Reinisch"/>
                    <xsd:enumeration value="Wayne Passmore"/>
                    <xsd:enumeration value="Yousuf Zaki"/>
                    <xsd:enumeration value="Malini Giridhar"/>
                    <xsd:enumeration value="Mark Kitchen"/>
                    <xsd:enumeration value="Lesley Austin"/>
                    <xsd:enumeration value="Rob Sterling"/>
                    <xsd:enumeration value="Lauren Whitwham"/>
                    <xsd:enumeration value="Evan Tomek"/>
                  </xsd:restriction>
                </xsd:simpleType>
              </xsd:element>
            </xsd:sequence>
          </xsd:extension>
        </xsd:complexContent>
      </xsd:complex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F4ADE-4C9E-463C-B975-17D07B6663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D2B40-C19E-4954-BE8E-1890E1A7652E}">
  <ds:schemaRefs>
    <ds:schemaRef ds:uri="bc9be6ef-036f-4d38-ab45-2a4da0c93cb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9a8041a0-405a-47ab-8c90-9d86ad117bd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2A64C9-337F-479E-83F3-C443B89FC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be6ef-036f-4d38-ab45-2a4da0c93cb0"/>
    <ds:schemaRef ds:uri="9a8041a0-405a-47ab-8c90-9d86ad117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C493ACA-9E2B-4DD6-A63C-19817731B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Mia Manyu Liang</cp:lastModifiedBy>
  <cp:revision/>
  <dcterms:created xsi:type="dcterms:W3CDTF">2025-04-16T14:14:55Z</dcterms:created>
  <dcterms:modified xsi:type="dcterms:W3CDTF">2025-07-04T15:10:55Z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_dlc_DocIdItemGuid">
    <vt:lpwstr>4cee71ce-e937-4bab-a0bf-fad25d645355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2025-06-20T15:22:44Z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ed15702d-9a69-4cc8-bb9c-ae4f69cc7bfd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