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lsheehan_spectraenergy_com/Documents/Phase 3 IR - Live Excels/Live Excel/"/>
    </mc:Choice>
  </mc:AlternateContent>
  <xr:revisionPtr revIDLastSave="0" documentId="13_ncr:1_{3235D156-7A36-477D-B8B0-44F6D8E1E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externalReferences>
    <externalReference r:id="rId8"/>
  </externalReference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K4170" i="5"/>
  <c r="J4170" i="5"/>
  <c r="I4170" i="5"/>
  <c r="H4170" i="5"/>
  <c r="L4169" i="5"/>
  <c r="K4169" i="5"/>
  <c r="J4169" i="5"/>
  <c r="I4169" i="5"/>
  <c r="H4169" i="5"/>
  <c r="L4168" i="5"/>
  <c r="K4168" i="5"/>
  <c r="J4168" i="5"/>
  <c r="I4168" i="5"/>
  <c r="H4168" i="5"/>
  <c r="L4167" i="5"/>
  <c r="K4167" i="5"/>
  <c r="J4167" i="5"/>
  <c r="I4167" i="5"/>
  <c r="H4167" i="5"/>
  <c r="L4166" i="5"/>
  <c r="K4166" i="5"/>
  <c r="J4166" i="5"/>
  <c r="I4166" i="5"/>
  <c r="H4166" i="5"/>
  <c r="L4165" i="5"/>
  <c r="K4165" i="5"/>
  <c r="J4165" i="5"/>
  <c r="I4165" i="5"/>
  <c r="H4165" i="5"/>
  <c r="L4164" i="5"/>
  <c r="K4164" i="5"/>
  <c r="J4164" i="5"/>
  <c r="I4164" i="5"/>
  <c r="H4164" i="5"/>
  <c r="L4163" i="5"/>
  <c r="K4163" i="5"/>
  <c r="J4163" i="5"/>
  <c r="I4163" i="5"/>
  <c r="H4163" i="5"/>
  <c r="L4162" i="5"/>
  <c r="K4162" i="5"/>
  <c r="J4162" i="5"/>
  <c r="I4162" i="5"/>
  <c r="H4162" i="5"/>
  <c r="L4161" i="5"/>
  <c r="K4161" i="5"/>
  <c r="J4161" i="5"/>
  <c r="I4161" i="5"/>
  <c r="H4161" i="5"/>
  <c r="L4160" i="5"/>
  <c r="K4160" i="5"/>
  <c r="J4160" i="5"/>
  <c r="I4160" i="5"/>
  <c r="H4160" i="5"/>
  <c r="L4159" i="5"/>
  <c r="K4159" i="5"/>
  <c r="J4159" i="5"/>
  <c r="I4159" i="5"/>
  <c r="H4159" i="5"/>
  <c r="L4158" i="5"/>
  <c r="K4158" i="5"/>
  <c r="J4158" i="5"/>
  <c r="I4158" i="5"/>
  <c r="H4158" i="5"/>
  <c r="L4157" i="5"/>
  <c r="K4157" i="5"/>
  <c r="J4157" i="5"/>
  <c r="I4157" i="5"/>
  <c r="H4157" i="5"/>
  <c r="L4156" i="5"/>
  <c r="K4156" i="5"/>
  <c r="J4156" i="5"/>
  <c r="I4156" i="5"/>
  <c r="H4156" i="5"/>
  <c r="L4155" i="5"/>
  <c r="K4155" i="5"/>
  <c r="J4155" i="5"/>
  <c r="I4155" i="5"/>
  <c r="H4155" i="5"/>
  <c r="L4154" i="5"/>
  <c r="K4154" i="5"/>
  <c r="J4154" i="5"/>
  <c r="I4154" i="5"/>
  <c r="H4154" i="5"/>
  <c r="L4153" i="5"/>
  <c r="K4153" i="5"/>
  <c r="J4153" i="5"/>
  <c r="I4153" i="5"/>
  <c r="H4153" i="5"/>
  <c r="L4152" i="5"/>
  <c r="K4152" i="5"/>
  <c r="J4152" i="5"/>
  <c r="I4152" i="5"/>
  <c r="H4152" i="5"/>
  <c r="L4151" i="5"/>
  <c r="K4151" i="5"/>
  <c r="J4151" i="5"/>
  <c r="I4151" i="5"/>
  <c r="H4151" i="5"/>
  <c r="L4150" i="5"/>
  <c r="K4150" i="5"/>
  <c r="J4150" i="5"/>
  <c r="I4150" i="5"/>
  <c r="H4150" i="5"/>
  <c r="L4149" i="5"/>
  <c r="K4149" i="5"/>
  <c r="J4149" i="5"/>
  <c r="I4149" i="5"/>
  <c r="H4149" i="5"/>
  <c r="L4148" i="5"/>
  <c r="K4148" i="5"/>
  <c r="J4148" i="5"/>
  <c r="I4148" i="5"/>
  <c r="H4148" i="5"/>
  <c r="L4147" i="5"/>
  <c r="K4147" i="5"/>
  <c r="J4147" i="5"/>
  <c r="I4147" i="5"/>
  <c r="H4147" i="5"/>
  <c r="L4146" i="5"/>
  <c r="K4146" i="5"/>
  <c r="J4146" i="5"/>
  <c r="I4146" i="5"/>
  <c r="H4146" i="5"/>
  <c r="L4145" i="5"/>
  <c r="K4145" i="5"/>
  <c r="J4145" i="5"/>
  <c r="I4145" i="5"/>
  <c r="H4145" i="5"/>
  <c r="L4144" i="5"/>
  <c r="K4144" i="5"/>
  <c r="J4144" i="5"/>
  <c r="I4144" i="5"/>
  <c r="H4144" i="5"/>
  <c r="L4143" i="5"/>
  <c r="K4143" i="5"/>
  <c r="J4143" i="5"/>
  <c r="I4143" i="5"/>
  <c r="H4143" i="5"/>
  <c r="L4142" i="5"/>
  <c r="K4142" i="5"/>
  <c r="J4142" i="5"/>
  <c r="I4142" i="5"/>
  <c r="H4142" i="5"/>
  <c r="L4141" i="5"/>
  <c r="K4141" i="5"/>
  <c r="J4141" i="5"/>
  <c r="I4141" i="5"/>
  <c r="H4141" i="5"/>
  <c r="L4140" i="5"/>
  <c r="K4140" i="5"/>
  <c r="J4140" i="5"/>
  <c r="I4140" i="5"/>
  <c r="H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K21" i="3" l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C17" i="6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07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V92" i="4" l="1"/>
  <c r="T123" i="4"/>
  <c r="W123" i="4"/>
  <c r="T107" i="4"/>
  <c r="V107" i="4"/>
  <c r="U92" i="4"/>
  <c r="W92" i="4"/>
  <c r="G49" i="4"/>
  <c r="G35" i="4"/>
  <c r="I54" i="4"/>
  <c r="N54" i="4" s="1"/>
  <c r="I40" i="4"/>
  <c r="N40" i="4" s="1"/>
  <c r="H59" i="4"/>
  <c r="K58" i="4" s="1"/>
  <c r="H45" i="4"/>
  <c r="K44" i="4" s="1"/>
  <c r="G48" i="4"/>
  <c r="G34" i="4"/>
  <c r="I53" i="4"/>
  <c r="N53" i="4" s="1"/>
  <c r="I39" i="4"/>
  <c r="H58" i="4"/>
  <c r="K57" i="4" s="1"/>
  <c r="H44" i="4"/>
  <c r="K43" i="4" s="1"/>
  <c r="G47" i="4"/>
  <c r="G33" i="4"/>
  <c r="I52" i="4"/>
  <c r="N52" i="4" s="1"/>
  <c r="I38" i="4"/>
  <c r="N38" i="4" s="1"/>
  <c r="H57" i="4"/>
  <c r="K56" i="4" s="1"/>
  <c r="H43" i="4"/>
  <c r="K42" i="4" s="1"/>
  <c r="G38" i="4"/>
  <c r="G60" i="4"/>
  <c r="G46" i="4"/>
  <c r="G32" i="4"/>
  <c r="I51" i="4"/>
  <c r="I37" i="4"/>
  <c r="H56" i="4"/>
  <c r="K55" i="4" s="1"/>
  <c r="H42" i="4"/>
  <c r="K41" i="4" s="1"/>
  <c r="G59" i="4"/>
  <c r="G45" i="4"/>
  <c r="G31" i="4"/>
  <c r="I50" i="4"/>
  <c r="I36" i="4"/>
  <c r="N36" i="4" s="1"/>
  <c r="H55" i="4"/>
  <c r="K54" i="4" s="1"/>
  <c r="L54" i="4" s="1"/>
  <c r="M54" i="4" s="1"/>
  <c r="H41" i="4"/>
  <c r="K40" i="4" s="1"/>
  <c r="L40" i="4" s="1"/>
  <c r="M40" i="4" s="1"/>
  <c r="O40" i="4" s="1"/>
  <c r="G52" i="4"/>
  <c r="G58" i="4"/>
  <c r="G44" i="4"/>
  <c r="I49" i="4"/>
  <c r="N49" i="4" s="1"/>
  <c r="I35" i="4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L38" i="4" s="1"/>
  <c r="G51" i="4"/>
  <c r="G56" i="4"/>
  <c r="G42" i="4"/>
  <c r="I47" i="4"/>
  <c r="N47" i="4" s="1"/>
  <c r="I33" i="4"/>
  <c r="H52" i="4"/>
  <c r="K51" i="4" s="1"/>
  <c r="H38" i="4"/>
  <c r="K37" i="4" s="1"/>
  <c r="G55" i="4"/>
  <c r="G41" i="4"/>
  <c r="I60" i="4"/>
  <c r="N60" i="4" s="1"/>
  <c r="I46" i="4"/>
  <c r="I32" i="4"/>
  <c r="H51" i="4"/>
  <c r="K50" i="4" s="1"/>
  <c r="H37" i="4"/>
  <c r="K36" i="4" s="1"/>
  <c r="L36" i="4" s="1"/>
  <c r="G53" i="4"/>
  <c r="G39" i="4"/>
  <c r="I58" i="4"/>
  <c r="I44" i="4"/>
  <c r="H49" i="4"/>
  <c r="K48" i="4" s="1"/>
  <c r="H35" i="4"/>
  <c r="K34" i="4" s="1"/>
  <c r="I57" i="4"/>
  <c r="I43" i="4"/>
  <c r="N43" i="4" s="1"/>
  <c r="H48" i="4"/>
  <c r="K47" i="4" s="1"/>
  <c r="L47" i="4" s="1"/>
  <c r="M47" i="4" s="1"/>
  <c r="H34" i="4"/>
  <c r="K33" i="4" s="1"/>
  <c r="L33" i="4" s="1"/>
  <c r="M33" i="4" s="1"/>
  <c r="G37" i="4"/>
  <c r="I56" i="4"/>
  <c r="I42" i="4"/>
  <c r="H61" i="4"/>
  <c r="K60" i="4" s="1"/>
  <c r="H47" i="4"/>
  <c r="K46" i="4" s="1"/>
  <c r="H33" i="4"/>
  <c r="K32" i="4" s="1"/>
  <c r="G54" i="4"/>
  <c r="G40" i="4"/>
  <c r="I59" i="4"/>
  <c r="I45" i="4"/>
  <c r="N45" i="4" s="1"/>
  <c r="I31" i="4"/>
  <c r="H50" i="4"/>
  <c r="K49" i="4" s="1"/>
  <c r="H36" i="4"/>
  <c r="K35" i="4" s="1"/>
  <c r="G50" i="4"/>
  <c r="G36" i="4"/>
  <c r="I55" i="4"/>
  <c r="I41" i="4"/>
  <c r="H60" i="4"/>
  <c r="K59" i="4" s="1"/>
  <c r="H46" i="4"/>
  <c r="K45" i="4" s="1"/>
  <c r="H32" i="4"/>
  <c r="K31" i="4" s="1"/>
  <c r="U120" i="4"/>
  <c r="T120" i="4"/>
  <c r="P40" i="4"/>
  <c r="Q40" i="4" s="1"/>
  <c r="O52" i="4"/>
  <c r="O49" i="4"/>
  <c r="P43" i="4"/>
  <c r="Q43" i="4" s="1"/>
  <c r="O43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N29" i="4" s="1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N23" i="4" s="1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L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G15" i="4"/>
  <c r="I20" i="4"/>
  <c r="N20" i="4" s="1"/>
  <c r="I6" i="4"/>
  <c r="H13" i="4"/>
  <c r="K12" i="4" s="1"/>
  <c r="L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W116" i="4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4" i="4" l="1"/>
  <c r="M4" i="4" s="1"/>
  <c r="L5" i="4"/>
  <c r="M5" i="4" s="1"/>
  <c r="L16" i="4"/>
  <c r="M16" i="4" s="1"/>
  <c r="L9" i="4"/>
  <c r="M9" i="4" s="1"/>
  <c r="N25" i="4"/>
  <c r="L19" i="4"/>
  <c r="M19" i="4" s="1"/>
  <c r="N32" i="4"/>
  <c r="N24" i="4"/>
  <c r="L13" i="4"/>
  <c r="M13" i="4" s="1"/>
  <c r="L6" i="4"/>
  <c r="M6" i="4" s="1"/>
  <c r="M36" i="4"/>
  <c r="P36" i="4" s="1"/>
  <c r="Q36" i="4" s="1"/>
  <c r="O54" i="4"/>
  <c r="L17" i="4"/>
  <c r="M17" i="4" s="1"/>
  <c r="P54" i="4"/>
  <c r="Q54" i="4" s="1"/>
  <c r="O47" i="4"/>
  <c r="N35" i="4"/>
  <c r="P47" i="4"/>
  <c r="Q47" i="4" s="1"/>
  <c r="N33" i="4"/>
  <c r="N27" i="4"/>
  <c r="M38" i="4"/>
  <c r="L35" i="4"/>
  <c r="M35" i="4" s="1"/>
  <c r="L49" i="4"/>
  <c r="M49" i="4" s="1"/>
  <c r="P49" i="4" s="1"/>
  <c r="Q49" i="4" s="1"/>
  <c r="L39" i="4"/>
  <c r="M39" i="4" s="1"/>
  <c r="L41" i="4"/>
  <c r="M41" i="4" s="1"/>
  <c r="O41" i="4" s="1"/>
  <c r="L43" i="4"/>
  <c r="M43" i="4" s="1"/>
  <c r="N31" i="4"/>
  <c r="N57" i="4"/>
  <c r="P57" i="4"/>
  <c r="Q57" i="4" s="1"/>
  <c r="O57" i="4"/>
  <c r="L37" i="4"/>
  <c r="M37" i="4"/>
  <c r="P37" i="4" s="1"/>
  <c r="Q37" i="4" s="1"/>
  <c r="L53" i="4"/>
  <c r="M53" i="4"/>
  <c r="O53" i="4" s="1"/>
  <c r="L55" i="4"/>
  <c r="M55" i="4" s="1"/>
  <c r="O55" i="4" s="1"/>
  <c r="L57" i="4"/>
  <c r="M57" i="4" s="1"/>
  <c r="L34" i="4"/>
  <c r="M34" i="4"/>
  <c r="P34" i="4" s="1"/>
  <c r="Q34" i="4" s="1"/>
  <c r="L51" i="4"/>
  <c r="M51" i="4"/>
  <c r="O51" i="4" s="1"/>
  <c r="N37" i="4"/>
  <c r="O37" i="4"/>
  <c r="N39" i="4"/>
  <c r="P60" i="4"/>
  <c r="Q60" i="4" s="1"/>
  <c r="N59" i="4"/>
  <c r="L48" i="4"/>
  <c r="M48" i="4" s="1"/>
  <c r="P51" i="4"/>
  <c r="Q51" i="4" s="1"/>
  <c r="N51" i="4"/>
  <c r="N44" i="4"/>
  <c r="P44" i="4"/>
  <c r="Q44" i="4" s="1"/>
  <c r="N58" i="4"/>
  <c r="P58" i="4"/>
  <c r="Q58" i="4" s="1"/>
  <c r="O58" i="4"/>
  <c r="L31" i="4"/>
  <c r="M31" i="4" s="1"/>
  <c r="O31" i="4" s="1"/>
  <c r="L32" i="4"/>
  <c r="M32" i="4" s="1"/>
  <c r="L44" i="4"/>
  <c r="M44" i="4"/>
  <c r="O44" i="4" s="1"/>
  <c r="P33" i="4"/>
  <c r="Q33" i="4" s="1"/>
  <c r="L45" i="4"/>
  <c r="M45" i="4"/>
  <c r="P45" i="4" s="1"/>
  <c r="Q45" i="4" s="1"/>
  <c r="L46" i="4"/>
  <c r="M46" i="4" s="1"/>
  <c r="L58" i="4"/>
  <c r="M58" i="4"/>
  <c r="O33" i="4"/>
  <c r="L59" i="4"/>
  <c r="M59" i="4" s="1"/>
  <c r="O59" i="4" s="1"/>
  <c r="L60" i="4"/>
  <c r="M60" i="4" s="1"/>
  <c r="O60" i="4" s="1"/>
  <c r="L42" i="4"/>
  <c r="M42" i="4"/>
  <c r="O45" i="4"/>
  <c r="N41" i="4"/>
  <c r="N42" i="4"/>
  <c r="P42" i="4"/>
  <c r="Q42" i="4" s="1"/>
  <c r="O42" i="4"/>
  <c r="L50" i="4"/>
  <c r="M50" i="4" s="1"/>
  <c r="O50" i="4" s="1"/>
  <c r="L52" i="4"/>
  <c r="M52" i="4"/>
  <c r="P52" i="4" s="1"/>
  <c r="Q52" i="4" s="1"/>
  <c r="L56" i="4"/>
  <c r="M56" i="4"/>
  <c r="N55" i="4"/>
  <c r="P55" i="4"/>
  <c r="Q55" i="4" s="1"/>
  <c r="N56" i="4"/>
  <c r="P56" i="4"/>
  <c r="Q56" i="4" s="1"/>
  <c r="O56" i="4"/>
  <c r="O34" i="4"/>
  <c r="N34" i="4"/>
  <c r="N50" i="4"/>
  <c r="P53" i="4"/>
  <c r="Q53" i="4" s="1"/>
  <c r="N46" i="4"/>
  <c r="N48" i="4"/>
  <c r="O36" i="4"/>
  <c r="P38" i="4"/>
  <c r="Q38" i="4" s="1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B6" i="6"/>
  <c r="M12" i="4"/>
  <c r="N4" i="4"/>
  <c r="M7" i="4"/>
  <c r="M18" i="4"/>
  <c r="N6" i="4"/>
  <c r="N7" i="4"/>
  <c r="N12" i="4"/>
  <c r="M11" i="4"/>
  <c r="N18" i="4"/>
  <c r="N15" i="4"/>
  <c r="N16" i="4"/>
  <c r="N11" i="4"/>
  <c r="M15" i="4"/>
  <c r="N9" i="4"/>
  <c r="N10" i="4"/>
  <c r="M8" i="4"/>
  <c r="M10" i="4"/>
  <c r="N8" i="4"/>
  <c r="M3" i="4"/>
  <c r="N3" i="4"/>
  <c r="M14" i="4"/>
  <c r="M20" i="4"/>
  <c r="N14" i="4"/>
  <c r="N19" i="4"/>
  <c r="P32" i="4" l="1"/>
  <c r="Q32" i="4" s="1"/>
  <c r="O32" i="4"/>
  <c r="O35" i="4"/>
  <c r="P35" i="4"/>
  <c r="Q35" i="4" s="1"/>
  <c r="P31" i="4"/>
  <c r="Q31" i="4" s="1"/>
  <c r="O39" i="4"/>
  <c r="P39" i="4"/>
  <c r="Q39" i="4" s="1"/>
  <c r="P50" i="4"/>
  <c r="Q50" i="4" s="1"/>
  <c r="O46" i="4"/>
  <c r="P46" i="4"/>
  <c r="Q46" i="4" s="1"/>
  <c r="P48" i="4"/>
  <c r="Q48" i="4" s="1"/>
  <c r="O48" i="4"/>
  <c r="P41" i="4"/>
  <c r="Q41" i="4" s="1"/>
  <c r="P59" i="4"/>
  <c r="Q59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 s="1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R28" i="4" l="1"/>
  <c r="J29" i="4"/>
  <c r="V27" i="4"/>
  <c r="U27" i="4"/>
  <c r="T27" i="4"/>
  <c r="W27" i="4"/>
  <c r="R29" i="4" l="1"/>
  <c r="J30" i="4"/>
  <c r="V28" i="4"/>
  <c r="T28" i="4"/>
  <c r="U28" i="4"/>
  <c r="W28" i="4"/>
  <c r="R30" i="4" l="1"/>
  <c r="J31" i="4"/>
  <c r="W30" i="4"/>
  <c r="T30" i="4"/>
  <c r="V30" i="4"/>
  <c r="U30" i="4"/>
  <c r="W29" i="4"/>
  <c r="U29" i="4"/>
  <c r="V29" i="4"/>
  <c r="T29" i="4"/>
  <c r="R31" i="4" l="1"/>
  <c r="J32" i="4"/>
  <c r="R32" i="4" l="1"/>
  <c r="J33" i="4"/>
  <c r="V31" i="4"/>
  <c r="W31" i="4"/>
  <c r="U31" i="4"/>
  <c r="T31" i="4"/>
  <c r="Z47" i="4" l="1"/>
  <c r="Z35" i="4"/>
  <c r="Z60" i="4"/>
  <c r="Z58" i="4"/>
  <c r="Z48" i="4"/>
  <c r="Z46" i="4"/>
  <c r="Z34" i="4"/>
  <c r="Z59" i="4"/>
  <c r="Z23" i="4"/>
  <c r="AA35" i="4"/>
  <c r="AA47" i="4"/>
  <c r="AA60" i="4"/>
  <c r="AA34" i="4"/>
  <c r="AA48" i="4"/>
  <c r="AA59" i="4"/>
  <c r="AA46" i="4"/>
  <c r="AA58" i="4"/>
  <c r="AA23" i="4"/>
  <c r="Y35" i="4"/>
  <c r="Y47" i="4"/>
  <c r="Y60" i="4"/>
  <c r="Y59" i="4"/>
  <c r="Y34" i="4"/>
  <c r="Y58" i="4"/>
  <c r="Y48" i="4"/>
  <c r="Y46" i="4"/>
  <c r="Y23" i="4"/>
  <c r="R33" i="4"/>
  <c r="J34" i="4"/>
  <c r="T32" i="4"/>
  <c r="W32" i="4"/>
  <c r="V32" i="4"/>
  <c r="U32" i="4"/>
  <c r="Y42" i="4"/>
  <c r="Y55" i="4"/>
  <c r="Y41" i="4"/>
  <c r="Y43" i="4"/>
  <c r="Y32" i="4"/>
  <c r="Y56" i="4"/>
  <c r="Y40" i="4"/>
  <c r="Y39" i="4"/>
  <c r="Y54" i="4"/>
  <c r="Y44" i="4"/>
  <c r="Y31" i="4"/>
  <c r="Y45" i="4"/>
  <c r="Y37" i="4"/>
  <c r="Y36" i="4"/>
  <c r="Y57" i="4"/>
  <c r="Y33" i="4"/>
  <c r="Y52" i="4"/>
  <c r="Y51" i="4"/>
  <c r="Y50" i="4"/>
  <c r="Y49" i="4"/>
  <c r="Y53" i="4"/>
  <c r="Y38" i="4"/>
  <c r="Y29" i="4"/>
  <c r="Y28" i="4"/>
  <c r="Y27" i="4"/>
  <c r="Y30" i="4"/>
  <c r="Y26" i="4"/>
  <c r="Y25" i="4"/>
  <c r="Y24" i="4"/>
  <c r="Z51" i="4"/>
  <c r="Z37" i="4"/>
  <c r="Z40" i="4"/>
  <c r="Z32" i="4"/>
  <c r="Z55" i="4"/>
  <c r="Z56" i="4"/>
  <c r="Z54" i="4"/>
  <c r="Z41" i="4"/>
  <c r="Z39" i="4"/>
  <c r="Z42" i="4"/>
  <c r="Z44" i="4"/>
  <c r="Z31" i="4"/>
  <c r="Z36" i="4"/>
  <c r="Z52" i="4"/>
  <c r="Z33" i="4"/>
  <c r="Z45" i="4"/>
  <c r="Z53" i="4"/>
  <c r="Z38" i="4"/>
  <c r="Z49" i="4"/>
  <c r="Z57" i="4"/>
  <c r="Z50" i="4"/>
  <c r="Z43" i="4"/>
  <c r="Z28" i="4"/>
  <c r="Z26" i="4"/>
  <c r="Z25" i="4"/>
  <c r="Z29" i="4"/>
  <c r="Z24" i="4"/>
  <c r="Z27" i="4"/>
  <c r="Z30" i="4"/>
  <c r="AA42" i="4"/>
  <c r="AA56" i="4"/>
  <c r="AA55" i="4"/>
  <c r="AA51" i="4"/>
  <c r="AA43" i="4"/>
  <c r="AA40" i="4"/>
  <c r="AA32" i="4"/>
  <c r="AA54" i="4"/>
  <c r="AA41" i="4"/>
  <c r="AA53" i="4"/>
  <c r="AA44" i="4"/>
  <c r="AA31" i="4"/>
  <c r="AA52" i="4"/>
  <c r="AA57" i="4"/>
  <c r="AA36" i="4"/>
  <c r="AA45" i="4"/>
  <c r="AA50" i="4"/>
  <c r="AA38" i="4"/>
  <c r="AA33" i="4"/>
  <c r="AA49" i="4"/>
  <c r="AA37" i="4"/>
  <c r="AA39" i="4"/>
  <c r="AA30" i="4"/>
  <c r="AA29" i="4"/>
  <c r="AA24" i="4"/>
  <c r="AA27" i="4"/>
  <c r="AA28" i="4"/>
  <c r="AA26" i="4"/>
  <c r="AA25" i="4"/>
  <c r="R34" i="4" l="1"/>
  <c r="J35" i="4"/>
  <c r="U33" i="4"/>
  <c r="V33" i="4"/>
  <c r="T33" i="4"/>
  <c r="W33" i="4"/>
  <c r="AE34" i="4" l="1"/>
  <c r="AI34" i="4" s="1"/>
  <c r="AE46" i="4"/>
  <c r="AI46" i="4" s="1"/>
  <c r="AD31" i="4"/>
  <c r="AH31" i="4" s="1"/>
  <c r="AC46" i="4"/>
  <c r="AG46" i="4" s="1"/>
  <c r="AE35" i="4"/>
  <c r="AI35" i="4" s="1"/>
  <c r="AD58" i="4"/>
  <c r="AH58" i="4" s="1"/>
  <c r="AE58" i="4"/>
  <c r="AI58" i="4" s="1"/>
  <c r="AD47" i="4"/>
  <c r="AH47" i="4" s="1"/>
  <c r="AC35" i="4"/>
  <c r="AG35" i="4" s="1"/>
  <c r="AD48" i="4"/>
  <c r="AH48" i="4" s="1"/>
  <c r="AD55" i="4"/>
  <c r="AH55" i="4" s="1"/>
  <c r="AD46" i="4"/>
  <c r="AH46" i="4" s="1"/>
  <c r="AC23" i="4"/>
  <c r="AG23" i="4" s="1"/>
  <c r="AE59" i="4"/>
  <c r="AI59" i="4" s="1"/>
  <c r="AE48" i="4"/>
  <c r="AI48" i="4" s="1"/>
  <c r="AE47" i="4"/>
  <c r="AI47" i="4" s="1"/>
  <c r="AD60" i="4"/>
  <c r="AH60" i="4" s="1"/>
  <c r="AC58" i="4"/>
  <c r="AG58" i="4" s="1"/>
  <c r="AD23" i="4"/>
  <c r="AH23" i="4" s="1"/>
  <c r="AE60" i="4"/>
  <c r="AI60" i="4" s="1"/>
  <c r="AD34" i="4"/>
  <c r="AH34" i="4" s="1"/>
  <c r="AC59" i="4"/>
  <c r="AG59" i="4" s="1"/>
  <c r="AE23" i="4"/>
  <c r="AI23" i="4" s="1"/>
  <c r="AD35" i="4"/>
  <c r="AH35" i="4" s="1"/>
  <c r="AC34" i="4"/>
  <c r="AG34" i="4" s="1"/>
  <c r="AC48" i="4"/>
  <c r="AG48" i="4" s="1"/>
  <c r="AC47" i="4"/>
  <c r="AG47" i="4" s="1"/>
  <c r="AE31" i="4"/>
  <c r="AI31" i="4" s="1"/>
  <c r="AC60" i="4"/>
  <c r="AG60" i="4" s="1"/>
  <c r="AD59" i="4"/>
  <c r="AH59" i="4" s="1"/>
  <c r="R35" i="4"/>
  <c r="J36" i="4"/>
  <c r="U34" i="4"/>
  <c r="W34" i="4"/>
  <c r="V34" i="4"/>
  <c r="T34" i="4"/>
  <c r="AC42" i="4"/>
  <c r="AG42" i="4" s="1"/>
  <c r="AD39" i="4"/>
  <c r="AH39" i="4" s="1"/>
  <c r="AE29" i="4"/>
  <c r="AI29" i="4" s="1"/>
  <c r="AC25" i="4"/>
  <c r="AG25" i="4" s="1"/>
  <c r="AC52" i="4"/>
  <c r="AG52" i="4" s="1"/>
  <c r="AD54" i="4"/>
  <c r="AH54" i="4" s="1"/>
  <c r="AE40" i="4"/>
  <c r="AI40" i="4" s="1"/>
  <c r="AD36" i="4"/>
  <c r="AH36" i="4" s="1"/>
  <c r="AC40" i="4"/>
  <c r="AG40" i="4" s="1"/>
  <c r="AC57" i="4"/>
  <c r="AG57" i="4" s="1"/>
  <c r="AC41" i="4"/>
  <c r="AG41" i="4" s="1"/>
  <c r="AD44" i="4"/>
  <c r="AH44" i="4" s="1"/>
  <c r="AC26" i="4"/>
  <c r="AG26" i="4" s="1"/>
  <c r="AC44" i="4"/>
  <c r="AG44" i="4" s="1"/>
  <c r="AD41" i="4"/>
  <c r="AH41" i="4" s="1"/>
  <c r="AE52" i="4"/>
  <c r="AI52" i="4" s="1"/>
  <c r="AD45" i="4"/>
  <c r="AH45" i="4" s="1"/>
  <c r="AC45" i="4"/>
  <c r="AG45" i="4" s="1"/>
  <c r="AD29" i="4"/>
  <c r="AH29" i="4" s="1"/>
  <c r="AC43" i="4"/>
  <c r="AG43" i="4" s="1"/>
  <c r="AE27" i="4"/>
  <c r="AI27" i="4" s="1"/>
  <c r="AE55" i="4"/>
  <c r="AI55" i="4" s="1"/>
  <c r="AC29" i="4"/>
  <c r="AG29" i="4" s="1"/>
  <c r="AE43" i="4"/>
  <c r="AI43" i="4" s="1"/>
  <c r="AD32" i="4"/>
  <c r="AH32" i="4" s="1"/>
  <c r="AE36" i="4"/>
  <c r="AI36" i="4" s="1"/>
  <c r="AD43" i="4"/>
  <c r="AH43" i="4" s="1"/>
  <c r="AC56" i="4"/>
  <c r="AG56" i="4" s="1"/>
  <c r="AE51" i="4"/>
  <c r="AI51" i="4" s="1"/>
  <c r="AC27" i="4"/>
  <c r="AG27" i="4" s="1"/>
  <c r="AE25" i="4"/>
  <c r="AI25" i="4" s="1"/>
  <c r="AD26" i="4"/>
  <c r="AH26" i="4" s="1"/>
  <c r="AC24" i="4"/>
  <c r="AG24" i="4" s="1"/>
  <c r="AE32" i="4"/>
  <c r="AI32" i="4" s="1"/>
  <c r="AE50" i="4"/>
  <c r="AI50" i="4" s="1"/>
  <c r="AC30" i="4"/>
  <c r="AG30" i="4" s="1"/>
  <c r="AD24" i="4"/>
  <c r="AH24" i="4" s="1"/>
  <c r="AE49" i="4"/>
  <c r="AI49" i="4" s="1"/>
  <c r="AD30" i="4"/>
  <c r="AH30" i="4" s="1"/>
  <c r="AD25" i="4"/>
  <c r="AH25" i="4" s="1"/>
  <c r="AE37" i="4"/>
  <c r="AI37" i="4" s="1"/>
  <c r="AE38" i="4"/>
  <c r="AI38" i="4" s="1"/>
  <c r="AD56" i="4"/>
  <c r="AH56" i="4" s="1"/>
  <c r="AE56" i="4"/>
  <c r="AI56" i="4" s="1"/>
  <c r="AC28" i="4"/>
  <c r="AG28" i="4" s="1"/>
  <c r="AD51" i="4"/>
  <c r="AH51" i="4" s="1"/>
  <c r="AD33" i="4"/>
  <c r="AH33" i="4" s="1"/>
  <c r="AE42" i="4"/>
  <c r="AI42" i="4" s="1"/>
  <c r="AC51" i="4"/>
  <c r="AG51" i="4" s="1"/>
  <c r="AC49" i="4"/>
  <c r="AG49" i="4" s="1"/>
  <c r="AE54" i="4"/>
  <c r="AI54" i="4" s="1"/>
  <c r="AE44" i="4"/>
  <c r="AI44" i="4" s="1"/>
  <c r="AC39" i="4"/>
  <c r="AG39" i="4" s="1"/>
  <c r="AD57" i="4"/>
  <c r="AH57" i="4" s="1"/>
  <c r="AC55" i="4"/>
  <c r="AG55" i="4" s="1"/>
  <c r="AC53" i="4"/>
  <c r="AG53" i="4" s="1"/>
  <c r="AD53" i="4"/>
  <c r="AH53" i="4" s="1"/>
  <c r="AD40" i="4"/>
  <c r="AH40" i="4" s="1"/>
  <c r="AE39" i="4"/>
  <c r="AI39" i="4" s="1"/>
  <c r="AC38" i="4"/>
  <c r="AG38" i="4" s="1"/>
  <c r="AC54" i="4"/>
  <c r="AG54" i="4" s="1"/>
  <c r="AE24" i="4"/>
  <c r="AI24" i="4" s="1"/>
  <c r="AD52" i="4"/>
  <c r="AH52" i="4" s="1"/>
  <c r="AE33" i="4"/>
  <c r="AI33" i="4" s="1"/>
  <c r="AE26" i="4"/>
  <c r="AI26" i="4" s="1"/>
  <c r="AC32" i="4"/>
  <c r="AG32" i="4" s="1"/>
  <c r="AE45" i="4"/>
  <c r="AI45" i="4" s="1"/>
  <c r="AC37" i="4"/>
  <c r="AG37" i="4" s="1"/>
  <c r="AC31" i="4"/>
  <c r="AG31" i="4" s="1"/>
  <c r="AD42" i="4"/>
  <c r="AH42" i="4" s="1"/>
  <c r="AE57" i="4"/>
  <c r="AI57" i="4" s="1"/>
  <c r="AC36" i="4"/>
  <c r="AG36" i="4" s="1"/>
  <c r="AE30" i="4"/>
  <c r="AI30" i="4" s="1"/>
  <c r="AD37" i="4"/>
  <c r="AH37" i="4" s="1"/>
  <c r="AD28" i="4"/>
  <c r="AH28" i="4" s="1"/>
  <c r="AE53" i="4"/>
  <c r="AI53" i="4" s="1"/>
  <c r="AC33" i="4"/>
  <c r="AG33" i="4" s="1"/>
  <c r="AE28" i="4"/>
  <c r="AI28" i="4" s="1"/>
  <c r="AD38" i="4"/>
  <c r="AH38" i="4" s="1"/>
  <c r="AD50" i="4"/>
  <c r="AH50" i="4" s="1"/>
  <c r="AE41" i="4"/>
  <c r="AI41" i="4" s="1"/>
  <c r="AC50" i="4"/>
  <c r="AG50" i="4" s="1"/>
  <c r="AD49" i="4"/>
  <c r="AH49" i="4" s="1"/>
  <c r="AD27" i="4"/>
  <c r="AH27" i="4" s="1"/>
  <c r="R36" i="4" l="1"/>
  <c r="J37" i="4"/>
  <c r="T35" i="4"/>
  <c r="U35" i="4"/>
  <c r="V35" i="4"/>
  <c r="W35" i="4"/>
  <c r="R37" i="4" l="1"/>
  <c r="J38" i="4"/>
  <c r="W36" i="4"/>
  <c r="T36" i="4"/>
  <c r="U36" i="4"/>
  <c r="V36" i="4"/>
  <c r="R38" i="4" l="1"/>
  <c r="J39" i="4"/>
  <c r="V37" i="4"/>
  <c r="U37" i="4"/>
  <c r="T37" i="4"/>
  <c r="W37" i="4"/>
  <c r="R39" i="4" l="1"/>
  <c r="J40" i="4"/>
  <c r="W38" i="4"/>
  <c r="T38" i="4"/>
  <c r="U38" i="4"/>
  <c r="V38" i="4"/>
  <c r="R40" i="4" l="1"/>
  <c r="J41" i="4"/>
  <c r="U39" i="4"/>
  <c r="W39" i="4"/>
  <c r="V39" i="4"/>
  <c r="T39" i="4"/>
  <c r="R41" i="4" l="1"/>
  <c r="J42" i="4"/>
  <c r="W40" i="4"/>
  <c r="T40" i="4"/>
  <c r="V40" i="4"/>
  <c r="U40" i="4"/>
  <c r="R42" i="4" l="1"/>
  <c r="J43" i="4"/>
  <c r="V41" i="4"/>
  <c r="T41" i="4"/>
  <c r="U41" i="4"/>
  <c r="W41" i="4"/>
  <c r="R43" i="4" l="1"/>
  <c r="J44" i="4"/>
  <c r="W42" i="4"/>
  <c r="U42" i="4"/>
  <c r="V42" i="4"/>
  <c r="T42" i="4"/>
  <c r="R44" i="4" l="1"/>
  <c r="J45" i="4"/>
  <c r="W43" i="4"/>
  <c r="U43" i="4"/>
  <c r="V43" i="4"/>
  <c r="T43" i="4"/>
  <c r="R45" i="4" l="1"/>
  <c r="J46" i="4"/>
  <c r="U44" i="4"/>
  <c r="V44" i="4"/>
  <c r="W44" i="4"/>
  <c r="T44" i="4"/>
  <c r="R46" i="4" l="1"/>
  <c r="J47" i="4"/>
  <c r="U45" i="4"/>
  <c r="W45" i="4"/>
  <c r="T45" i="4"/>
  <c r="V45" i="4"/>
  <c r="R47" i="4" l="1"/>
  <c r="J48" i="4"/>
  <c r="W46" i="4"/>
  <c r="T46" i="4"/>
  <c r="U46" i="4"/>
  <c r="V46" i="4"/>
  <c r="R48" i="4" l="1"/>
  <c r="J49" i="4"/>
  <c r="W47" i="4"/>
  <c r="T47" i="4"/>
  <c r="V47" i="4"/>
  <c r="U47" i="4"/>
  <c r="R49" i="4" l="1"/>
  <c r="J50" i="4"/>
  <c r="T48" i="4"/>
  <c r="V48" i="4"/>
  <c r="U48" i="4"/>
  <c r="W48" i="4"/>
  <c r="R50" i="4" l="1"/>
  <c r="J51" i="4"/>
  <c r="V49" i="4"/>
  <c r="U49" i="4"/>
  <c r="W49" i="4"/>
  <c r="T49" i="4"/>
  <c r="R51" i="4" l="1"/>
  <c r="J52" i="4"/>
  <c r="W50" i="4"/>
  <c r="T50" i="4"/>
  <c r="U50" i="4"/>
  <c r="V50" i="4"/>
  <c r="R52" i="4" l="1"/>
  <c r="J53" i="4"/>
  <c r="V51" i="4"/>
  <c r="W51" i="4"/>
  <c r="T51" i="4"/>
  <c r="U51" i="4"/>
  <c r="R53" i="4" l="1"/>
  <c r="J54" i="4"/>
  <c r="V52" i="4"/>
  <c r="T52" i="4"/>
  <c r="W52" i="4"/>
  <c r="U52" i="4"/>
  <c r="R54" i="4" l="1"/>
  <c r="J55" i="4"/>
  <c r="T53" i="4"/>
  <c r="W53" i="4"/>
  <c r="V53" i="4"/>
  <c r="U53" i="4"/>
  <c r="J56" i="4" l="1"/>
  <c r="R55" i="4"/>
  <c r="U54" i="4"/>
  <c r="W54" i="4"/>
  <c r="T54" i="4"/>
  <c r="V54" i="4"/>
  <c r="U55" i="4" l="1"/>
  <c r="T55" i="4"/>
  <c r="V55" i="4"/>
  <c r="W55" i="4"/>
  <c r="R56" i="4"/>
  <c r="J57" i="4"/>
  <c r="R57" i="4" l="1"/>
  <c r="J58" i="4"/>
  <c r="U56" i="4"/>
  <c r="T56" i="4"/>
  <c r="W56" i="4"/>
  <c r="V56" i="4"/>
  <c r="J59" i="4" l="1"/>
  <c r="R58" i="4"/>
  <c r="U57" i="4"/>
  <c r="T57" i="4"/>
  <c r="W57" i="4"/>
  <c r="V57" i="4"/>
  <c r="T58" i="4" l="1"/>
  <c r="U58" i="4"/>
  <c r="W58" i="4"/>
  <c r="V58" i="4"/>
  <c r="R59" i="4"/>
  <c r="J60" i="4"/>
  <c r="R60" i="4" s="1"/>
  <c r="V60" i="4" l="1"/>
  <c r="U60" i="4"/>
  <c r="T60" i="4"/>
  <c r="W60" i="4"/>
  <c r="U59" i="4"/>
  <c r="W59" i="4"/>
  <c r="T59" i="4"/>
  <c r="V59" i="4"/>
  <c r="L8" i="3" l="1"/>
  <c r="L7" i="3"/>
  <c r="L6" i="3"/>
  <c r="L3" i="3"/>
  <c r="N8" i="3"/>
  <c r="N6" i="3"/>
  <c r="N3" i="3"/>
  <c r="N5" i="3" s="1"/>
  <c r="N10" i="3" s="1"/>
  <c r="N7" i="3"/>
  <c r="K3" i="3"/>
  <c r="K8" i="3"/>
  <c r="K7" i="3"/>
  <c r="K5" i="3"/>
  <c r="K10" i="3" s="1"/>
  <c r="K6" i="3"/>
  <c r="M8" i="3"/>
  <c r="M3" i="3"/>
  <c r="M5" i="3" s="1"/>
  <c r="M10" i="3" s="1"/>
  <c r="M7" i="3"/>
  <c r="M6" i="3"/>
  <c r="K4" i="3" l="1"/>
  <c r="K9" i="3" s="1"/>
  <c r="X94" i="4"/>
  <c r="AB94" i="4" s="1"/>
  <c r="AF94" i="4" s="1"/>
  <c r="X76" i="4"/>
  <c r="AB76" i="4" s="1"/>
  <c r="AF76" i="4" s="1"/>
  <c r="X122" i="4"/>
  <c r="AB122" i="4" s="1"/>
  <c r="AF122" i="4" s="1"/>
  <c r="X78" i="4"/>
  <c r="AB78" i="4" s="1"/>
  <c r="AF78" i="4" s="1"/>
  <c r="X67" i="4"/>
  <c r="AB67" i="4" s="1"/>
  <c r="AF67" i="4" s="1"/>
  <c r="X116" i="4"/>
  <c r="AB116" i="4" s="1"/>
  <c r="AF116" i="4" s="1"/>
  <c r="X119" i="4"/>
  <c r="AB119" i="4" s="1"/>
  <c r="AF119" i="4" s="1"/>
  <c r="X63" i="4"/>
  <c r="AB63" i="4" s="1"/>
  <c r="AF63" i="4" s="1"/>
  <c r="X75" i="4"/>
  <c r="AB75" i="4" s="1"/>
  <c r="AF75" i="4" s="1"/>
  <c r="X128" i="4"/>
  <c r="AB128" i="4" s="1"/>
  <c r="AF128" i="4" s="1"/>
  <c r="X117" i="4"/>
  <c r="AB117" i="4" s="1"/>
  <c r="AF117" i="4" s="1"/>
  <c r="X113" i="4"/>
  <c r="AB113" i="4" s="1"/>
  <c r="AF113" i="4" s="1"/>
  <c r="X93" i="4"/>
  <c r="AB93" i="4" s="1"/>
  <c r="AF93" i="4" s="1"/>
  <c r="X129" i="4"/>
  <c r="AB129" i="4" s="1"/>
  <c r="AF129" i="4" s="1"/>
  <c r="X114" i="4"/>
  <c r="AB114" i="4" s="1"/>
  <c r="AF114" i="4" s="1"/>
  <c r="X70" i="4"/>
  <c r="AB70" i="4" s="1"/>
  <c r="AF70" i="4" s="1"/>
  <c r="X66" i="4"/>
  <c r="AB66" i="4" s="1"/>
  <c r="AF66" i="4" s="1"/>
  <c r="X92" i="4"/>
  <c r="AB92" i="4" s="1"/>
  <c r="AF92" i="4" s="1"/>
  <c r="X88" i="4"/>
  <c r="AB88" i="4" s="1"/>
  <c r="AF88" i="4" s="1"/>
  <c r="X133" i="4"/>
  <c r="AB133" i="4" s="1"/>
  <c r="AF133" i="4" s="1"/>
  <c r="X62" i="4"/>
  <c r="AB62" i="4" s="1"/>
  <c r="AF62" i="4" s="1"/>
  <c r="X64" i="4"/>
  <c r="AB64" i="4" s="1"/>
  <c r="AF64" i="4" s="1"/>
  <c r="X127" i="4"/>
  <c r="AB127" i="4" s="1"/>
  <c r="AF127" i="4" s="1"/>
  <c r="X84" i="4"/>
  <c r="AB84" i="4" s="1"/>
  <c r="AF84" i="4" s="1"/>
  <c r="X79" i="4"/>
  <c r="AB79" i="4" s="1"/>
  <c r="AF79" i="4" s="1"/>
  <c r="X125" i="4"/>
  <c r="AB125" i="4" s="1"/>
  <c r="AF125" i="4" s="1"/>
  <c r="X110" i="4"/>
  <c r="AB110" i="4" s="1"/>
  <c r="AF110" i="4" s="1"/>
  <c r="X100" i="4"/>
  <c r="AB100" i="4" s="1"/>
  <c r="AF100" i="4" s="1"/>
  <c r="X73" i="4"/>
  <c r="AB73" i="4" s="1"/>
  <c r="AF73" i="4" s="1"/>
  <c r="X65" i="4"/>
  <c r="AB65" i="4" s="1"/>
  <c r="AF65" i="4" s="1"/>
  <c r="X111" i="4"/>
  <c r="AB111" i="4" s="1"/>
  <c r="AF111" i="4" s="1"/>
  <c r="X72" i="4"/>
  <c r="AB72" i="4" s="1"/>
  <c r="AF72" i="4" s="1"/>
  <c r="X95" i="4"/>
  <c r="AB95" i="4" s="1"/>
  <c r="AF95" i="4" s="1"/>
  <c r="X87" i="4"/>
  <c r="AB87" i="4" s="1"/>
  <c r="AF87" i="4" s="1"/>
  <c r="X98" i="4"/>
  <c r="AB98" i="4" s="1"/>
  <c r="AF98" i="4" s="1"/>
  <c r="X90" i="4"/>
  <c r="AB90" i="4" s="1"/>
  <c r="AF90" i="4" s="1"/>
  <c r="X85" i="4"/>
  <c r="AB85" i="4" s="1"/>
  <c r="AF85" i="4" s="1"/>
  <c r="X97" i="4"/>
  <c r="AB97" i="4" s="1"/>
  <c r="AF97" i="4" s="1"/>
  <c r="X112" i="4"/>
  <c r="AB112" i="4" s="1"/>
  <c r="AF112" i="4" s="1"/>
  <c r="X124" i="4"/>
  <c r="AB124" i="4" s="1"/>
  <c r="AF124" i="4" s="1"/>
  <c r="X132" i="4"/>
  <c r="AB132" i="4" s="1"/>
  <c r="AF132" i="4" s="1"/>
  <c r="X86" i="4"/>
  <c r="AB86" i="4" s="1"/>
  <c r="AF86" i="4" s="1"/>
  <c r="X99" i="4"/>
  <c r="AB99" i="4" s="1"/>
  <c r="AF99" i="4" s="1"/>
  <c r="X77" i="4"/>
  <c r="AB77" i="4" s="1"/>
  <c r="AF77" i="4" s="1"/>
  <c r="X82" i="4"/>
  <c r="AB82" i="4" s="1"/>
  <c r="AF82" i="4" s="1"/>
  <c r="X81" i="4"/>
  <c r="AB81" i="4" s="1"/>
  <c r="AF81" i="4" s="1"/>
  <c r="X69" i="4"/>
  <c r="AB69" i="4" s="1"/>
  <c r="AF69" i="4" s="1"/>
  <c r="X120" i="4"/>
  <c r="AB120" i="4" s="1"/>
  <c r="AF120" i="4" s="1"/>
  <c r="X80" i="4"/>
  <c r="AB80" i="4" s="1"/>
  <c r="AF80" i="4" s="1"/>
  <c r="X68" i="4"/>
  <c r="AB68" i="4" s="1"/>
  <c r="AF68" i="4" s="1"/>
  <c r="X104" i="4"/>
  <c r="AB104" i="4" s="1"/>
  <c r="AF104" i="4" s="1"/>
  <c r="X103" i="4"/>
  <c r="AB103" i="4" s="1"/>
  <c r="AF103" i="4" s="1"/>
  <c r="X71" i="4"/>
  <c r="AB71" i="4" s="1"/>
  <c r="AF71" i="4" s="1"/>
  <c r="X130" i="4"/>
  <c r="AB130" i="4" s="1"/>
  <c r="AF130" i="4" s="1"/>
  <c r="X115" i="4"/>
  <c r="AB115" i="4" s="1"/>
  <c r="AF115" i="4" s="1"/>
  <c r="X105" i="4"/>
  <c r="AB105" i="4" s="1"/>
  <c r="AF105" i="4" s="1"/>
  <c r="X96" i="4"/>
  <c r="AB96" i="4" s="1"/>
  <c r="AF96" i="4" s="1"/>
  <c r="X83" i="4"/>
  <c r="AB83" i="4" s="1"/>
  <c r="AF83" i="4" s="1"/>
  <c r="X101" i="4"/>
  <c r="AB101" i="4" s="1"/>
  <c r="AF101" i="4" s="1"/>
  <c r="X61" i="4"/>
  <c r="AB61" i="4" s="1"/>
  <c r="AF61" i="4" s="1"/>
  <c r="X74" i="4"/>
  <c r="AB74" i="4" s="1"/>
  <c r="AF74" i="4" s="1"/>
  <c r="X123" i="4"/>
  <c r="AB123" i="4" s="1"/>
  <c r="AF123" i="4" s="1"/>
  <c r="X89" i="4"/>
  <c r="AB89" i="4" s="1"/>
  <c r="AF89" i="4" s="1"/>
  <c r="X107" i="4"/>
  <c r="AB107" i="4" s="1"/>
  <c r="AF107" i="4" s="1"/>
  <c r="X91" i="4"/>
  <c r="AB91" i="4" s="1"/>
  <c r="AF91" i="4" s="1"/>
  <c r="X131" i="4"/>
  <c r="AB131" i="4" s="1"/>
  <c r="AF131" i="4" s="1"/>
  <c r="X118" i="4"/>
  <c r="AB118" i="4" s="1"/>
  <c r="AF118" i="4" s="1"/>
  <c r="X102" i="4"/>
  <c r="AB102" i="4" s="1"/>
  <c r="AF102" i="4" s="1"/>
  <c r="X121" i="4"/>
  <c r="AB121" i="4" s="1"/>
  <c r="AF121" i="4" s="1"/>
  <c r="X109" i="4"/>
  <c r="AB109" i="4" s="1"/>
  <c r="AF109" i="4" s="1"/>
  <c r="X126" i="4"/>
  <c r="AB126" i="4" s="1"/>
  <c r="AF126" i="4" s="1"/>
  <c r="X108" i="4"/>
  <c r="AB108" i="4" s="1"/>
  <c r="AF108" i="4" s="1"/>
  <c r="X106" i="4"/>
  <c r="AB106" i="4" s="1"/>
  <c r="AF106" i="4" s="1"/>
  <c r="K14" i="3"/>
  <c r="X57" i="4"/>
  <c r="AB57" i="4" s="1"/>
  <c r="AF57" i="4" s="1"/>
  <c r="X24" i="4"/>
  <c r="AB24" i="4" s="1"/>
  <c r="AF24" i="4" s="1"/>
  <c r="X31" i="4"/>
  <c r="AB31" i="4" s="1"/>
  <c r="AF31" i="4" s="1"/>
  <c r="X53" i="4"/>
  <c r="AB53" i="4" s="1"/>
  <c r="AF53" i="4" s="1"/>
  <c r="X32" i="4"/>
  <c r="AB32" i="4" s="1"/>
  <c r="AF32" i="4" s="1"/>
  <c r="X33" i="4"/>
  <c r="AB33" i="4" s="1"/>
  <c r="AF33" i="4" s="1"/>
  <c r="X42" i="4"/>
  <c r="AB42" i="4" s="1"/>
  <c r="AF42" i="4" s="1"/>
  <c r="X51" i="4"/>
  <c r="AB51" i="4" s="1"/>
  <c r="AF51" i="4" s="1"/>
  <c r="X45" i="4"/>
  <c r="AB45" i="4" s="1"/>
  <c r="AF45" i="4" s="1"/>
  <c r="X26" i="4"/>
  <c r="AB26" i="4" s="1"/>
  <c r="AF26" i="4" s="1"/>
  <c r="X59" i="4"/>
  <c r="AB59" i="4" s="1"/>
  <c r="AF59" i="4" s="1"/>
  <c r="X41" i="4"/>
  <c r="AB41" i="4" s="1"/>
  <c r="AF41" i="4" s="1"/>
  <c r="X54" i="4"/>
  <c r="AB54" i="4" s="1"/>
  <c r="AF54" i="4" s="1"/>
  <c r="X29" i="4"/>
  <c r="AB29" i="4" s="1"/>
  <c r="AF29" i="4" s="1"/>
  <c r="X55" i="4"/>
  <c r="AB55" i="4" s="1"/>
  <c r="AF55" i="4" s="1"/>
  <c r="X44" i="4"/>
  <c r="AB44" i="4" s="1"/>
  <c r="AF44" i="4" s="1"/>
  <c r="X58" i="4"/>
  <c r="AB58" i="4" s="1"/>
  <c r="AF58" i="4" s="1"/>
  <c r="X56" i="4"/>
  <c r="AB56" i="4" s="1"/>
  <c r="AF56" i="4" s="1"/>
  <c r="X48" i="4"/>
  <c r="AB48" i="4" s="1"/>
  <c r="AF48" i="4" s="1"/>
  <c r="X37" i="4"/>
  <c r="AB37" i="4" s="1"/>
  <c r="AF37" i="4" s="1"/>
  <c r="X46" i="4"/>
  <c r="AB46" i="4" s="1"/>
  <c r="AF46" i="4" s="1"/>
  <c r="X30" i="4"/>
  <c r="AB30" i="4" s="1"/>
  <c r="AF30" i="4" s="1"/>
  <c r="X50" i="4"/>
  <c r="AB50" i="4" s="1"/>
  <c r="AF50" i="4" s="1"/>
  <c r="X27" i="4"/>
  <c r="AB27" i="4" s="1"/>
  <c r="AF27" i="4" s="1"/>
  <c r="X28" i="4"/>
  <c r="AB28" i="4" s="1"/>
  <c r="AF28" i="4" s="1"/>
  <c r="X43" i="4"/>
  <c r="AB43" i="4" s="1"/>
  <c r="AF43" i="4" s="1"/>
  <c r="X38" i="4"/>
  <c r="AB38" i="4" s="1"/>
  <c r="AF38" i="4" s="1"/>
  <c r="X39" i="4"/>
  <c r="AB39" i="4" s="1"/>
  <c r="AF39" i="4" s="1"/>
  <c r="X49" i="4"/>
  <c r="AB49" i="4" s="1"/>
  <c r="AF49" i="4" s="1"/>
  <c r="X52" i="4"/>
  <c r="AB52" i="4" s="1"/>
  <c r="AF52" i="4" s="1"/>
  <c r="X35" i="4"/>
  <c r="AB35" i="4" s="1"/>
  <c r="AF35" i="4" s="1"/>
  <c r="X34" i="4"/>
  <c r="AB34" i="4" s="1"/>
  <c r="AF34" i="4" s="1"/>
  <c r="X23" i="4"/>
  <c r="AB23" i="4" s="1"/>
  <c r="AF23" i="4" s="1"/>
  <c r="X60" i="4"/>
  <c r="AB60" i="4" s="1"/>
  <c r="AF60" i="4" s="1"/>
  <c r="X40" i="4"/>
  <c r="AB40" i="4" s="1"/>
  <c r="AF40" i="4" s="1"/>
  <c r="X47" i="4"/>
  <c r="AB47" i="4" s="1"/>
  <c r="AF47" i="4" s="1"/>
  <c r="X25" i="4"/>
  <c r="AB25" i="4" s="1"/>
  <c r="AF25" i="4" s="1"/>
  <c r="X36" i="4"/>
  <c r="AB36" i="4" s="1"/>
  <c r="AF36" i="4" s="1"/>
  <c r="L4" i="3"/>
  <c r="L9" i="3" s="1"/>
  <c r="K12" i="3"/>
  <c r="K13" i="3" s="1"/>
  <c r="L5" i="3"/>
  <c r="L10" i="3" s="1"/>
  <c r="M4" i="3"/>
  <c r="M9" i="3" s="1"/>
  <c r="M12" i="3" s="1"/>
  <c r="M13" i="3" s="1"/>
  <c r="N4" i="3"/>
  <c r="N9" i="3" s="1"/>
  <c r="N12" i="3" s="1"/>
  <c r="N13" i="3" s="1"/>
  <c r="X20" i="4" l="1"/>
  <c r="X16" i="4"/>
  <c r="X2" i="4"/>
  <c r="X3" i="4"/>
  <c r="X21" i="4"/>
  <c r="X13" i="4"/>
  <c r="X10" i="4"/>
  <c r="X19" i="4"/>
  <c r="X17" i="4"/>
  <c r="X6" i="4"/>
  <c r="K15" i="3"/>
  <c r="X4" i="4"/>
  <c r="N14" i="3"/>
  <c r="L14" i="3"/>
  <c r="AA15" i="4"/>
  <c r="AA21" i="4"/>
  <c r="AA18" i="4"/>
  <c r="AA2" i="4"/>
  <c r="AA20" i="4"/>
  <c r="AA10" i="4"/>
  <c r="AA6" i="4"/>
  <c r="AA8" i="4"/>
  <c r="AA4" i="4"/>
  <c r="AA7" i="4"/>
  <c r="AA9" i="4"/>
  <c r="AA17" i="4"/>
  <c r="AA3" i="4"/>
  <c r="AA14" i="4"/>
  <c r="AA11" i="4"/>
  <c r="AA5" i="4"/>
  <c r="AA22" i="4"/>
  <c r="AA12" i="4"/>
  <c r="AA13" i="4"/>
  <c r="AA16" i="4"/>
  <c r="AA19" i="4"/>
  <c r="N15" i="3"/>
  <c r="Z22" i="4"/>
  <c r="Z7" i="4"/>
  <c r="Z4" i="4"/>
  <c r="Z11" i="4"/>
  <c r="Z3" i="4"/>
  <c r="Z8" i="4"/>
  <c r="Z17" i="4"/>
  <c r="Z9" i="4"/>
  <c r="Z15" i="4"/>
  <c r="Z18" i="4"/>
  <c r="Z5" i="4"/>
  <c r="Z20" i="4"/>
  <c r="Z21" i="4"/>
  <c r="Z13" i="4"/>
  <c r="Z6" i="4"/>
  <c r="Z12" i="4"/>
  <c r="Z2" i="4"/>
  <c r="Z19" i="4"/>
  <c r="Z10" i="4"/>
  <c r="Z14" i="4"/>
  <c r="Z16" i="4"/>
  <c r="M15" i="3"/>
  <c r="X8" i="4"/>
  <c r="X11" i="4"/>
  <c r="X18" i="4"/>
  <c r="X15" i="4"/>
  <c r="L12" i="3"/>
  <c r="L13" i="3" s="1"/>
  <c r="X9" i="4"/>
  <c r="X14" i="4"/>
  <c r="X7" i="4"/>
  <c r="X22" i="4"/>
  <c r="X12" i="4"/>
  <c r="M14" i="3"/>
  <c r="X5" i="4"/>
  <c r="M11" i="3" l="1"/>
  <c r="AD18" i="4" s="1"/>
  <c r="AH18" i="4" s="1"/>
  <c r="K11" i="3"/>
  <c r="AB5" i="4" s="1"/>
  <c r="AF5" i="4" s="1"/>
  <c r="N11" i="3"/>
  <c r="AE12" i="4" s="1"/>
  <c r="AI12" i="4" s="1"/>
  <c r="Y11" i="4"/>
  <c r="Y14" i="4"/>
  <c r="Y20" i="4"/>
  <c r="Y12" i="4"/>
  <c r="Y8" i="4"/>
  <c r="Y13" i="4"/>
  <c r="Y15" i="4"/>
  <c r="Y2" i="4"/>
  <c r="Y18" i="4"/>
  <c r="Y5" i="4"/>
  <c r="Y3" i="4"/>
  <c r="Y7" i="4"/>
  <c r="Y4" i="4"/>
  <c r="Y19" i="4"/>
  <c r="Y6" i="4"/>
  <c r="Y17" i="4"/>
  <c r="Y9" i="4"/>
  <c r="Y10" i="4"/>
  <c r="Y16" i="4"/>
  <c r="Y21" i="4"/>
  <c r="Y22" i="4"/>
  <c r="L15" i="3"/>
  <c r="AB15" i="4" l="1"/>
  <c r="AF15" i="4" s="1"/>
  <c r="AE22" i="4"/>
  <c r="AI22" i="4" s="1"/>
  <c r="AE2" i="4"/>
  <c r="AI2" i="4" s="1"/>
  <c r="AE17" i="4"/>
  <c r="AI17" i="4" s="1"/>
  <c r="L11" i="3"/>
  <c r="AC17" i="4" s="1"/>
  <c r="AG17" i="4" s="1"/>
  <c r="AE18" i="4"/>
  <c r="AI18" i="4" s="1"/>
  <c r="AE3" i="4"/>
  <c r="AI3" i="4" s="1"/>
  <c r="AD20" i="4"/>
  <c r="AH20" i="4" s="1"/>
  <c r="AE14" i="4"/>
  <c r="AI14" i="4" s="1"/>
  <c r="AD2" i="4"/>
  <c r="AH2" i="4" s="1"/>
  <c r="AD5" i="4"/>
  <c r="AH5" i="4" s="1"/>
  <c r="AD15" i="4"/>
  <c r="AH15" i="4" s="1"/>
  <c r="AE20" i="4"/>
  <c r="AI20" i="4" s="1"/>
  <c r="AE8" i="4"/>
  <c r="AI8" i="4" s="1"/>
  <c r="AB14" i="4"/>
  <c r="AF14" i="4" s="1"/>
  <c r="AB16" i="4"/>
  <c r="AF16" i="4" s="1"/>
  <c r="AB19" i="4"/>
  <c r="AF19" i="4" s="1"/>
  <c r="AB17" i="4"/>
  <c r="AF17" i="4" s="1"/>
  <c r="AB4" i="4"/>
  <c r="AF4" i="4" s="1"/>
  <c r="AB21" i="4"/>
  <c r="AF21" i="4" s="1"/>
  <c r="AB20" i="4"/>
  <c r="AF20" i="4" s="1"/>
  <c r="AB2" i="4"/>
  <c r="AF2" i="4" s="1"/>
  <c r="AB10" i="4"/>
  <c r="AF10" i="4" s="1"/>
  <c r="AB6" i="4"/>
  <c r="AF6" i="4" s="1"/>
  <c r="AB13" i="4"/>
  <c r="AF13" i="4" s="1"/>
  <c r="AB3" i="4"/>
  <c r="AF3" i="4" s="1"/>
  <c r="AE7" i="4"/>
  <c r="AI7" i="4" s="1"/>
  <c r="AE21" i="4"/>
  <c r="AI21" i="4" s="1"/>
  <c r="AD22" i="4"/>
  <c r="AH22" i="4" s="1"/>
  <c r="AD9" i="4"/>
  <c r="AH9" i="4" s="1"/>
  <c r="AE6" i="4"/>
  <c r="AI6" i="4" s="1"/>
  <c r="AD7" i="4"/>
  <c r="AH7" i="4" s="1"/>
  <c r="AE19" i="4"/>
  <c r="AI19" i="4" s="1"/>
  <c r="AE11" i="4"/>
  <c r="AI11" i="4" s="1"/>
  <c r="AD21" i="4"/>
  <c r="AH21" i="4" s="1"/>
  <c r="AE10" i="4"/>
  <c r="AI10" i="4" s="1"/>
  <c r="AE4" i="4"/>
  <c r="AI4" i="4" s="1"/>
  <c r="AB9" i="4"/>
  <c r="AF9" i="4" s="1"/>
  <c r="AB7" i="4"/>
  <c r="AF7" i="4" s="1"/>
  <c r="AD3" i="4"/>
  <c r="AH3" i="4" s="1"/>
  <c r="AE16" i="4"/>
  <c r="AI16" i="4" s="1"/>
  <c r="AD12" i="4"/>
  <c r="AH12" i="4" s="1"/>
  <c r="AD17" i="4"/>
  <c r="AH17" i="4" s="1"/>
  <c r="AB18" i="4"/>
  <c r="AF18" i="4" s="1"/>
  <c r="AD6" i="4"/>
  <c r="AH6" i="4" s="1"/>
  <c r="AD11" i="4"/>
  <c r="AH11" i="4" s="1"/>
  <c r="AE13" i="4"/>
  <c r="AI13" i="4" s="1"/>
  <c r="AB22" i="4"/>
  <c r="AF22" i="4" s="1"/>
  <c r="AB8" i="4"/>
  <c r="AF8" i="4" s="1"/>
  <c r="AD13" i="4"/>
  <c r="AH13" i="4" s="1"/>
  <c r="AB11" i="4"/>
  <c r="AF11" i="4" s="1"/>
  <c r="AE15" i="4"/>
  <c r="AI15" i="4" s="1"/>
  <c r="AB12" i="4"/>
  <c r="AF12" i="4" s="1"/>
  <c r="AD19" i="4"/>
  <c r="AH19" i="4" s="1"/>
  <c r="AE5" i="4"/>
  <c r="AI5" i="4" s="1"/>
  <c r="AD8" i="4"/>
  <c r="AH8" i="4" s="1"/>
  <c r="AD14" i="4"/>
  <c r="AH14" i="4" s="1"/>
  <c r="AD16" i="4"/>
  <c r="AH16" i="4" s="1"/>
  <c r="AD4" i="4"/>
  <c r="AH4" i="4" s="1"/>
  <c r="AE9" i="4"/>
  <c r="AI9" i="4" s="1"/>
  <c r="AD10" i="4"/>
  <c r="AH10" i="4" s="1"/>
  <c r="AC4" i="4" l="1"/>
  <c r="AG4" i="4" s="1"/>
  <c r="AC19" i="4"/>
  <c r="AG19" i="4" s="1"/>
  <c r="AC8" i="4"/>
  <c r="AG8" i="4" s="1"/>
  <c r="AC7" i="4"/>
  <c r="AG7" i="4" s="1"/>
  <c r="AC10" i="4"/>
  <c r="AG10" i="4" s="1"/>
  <c r="D3" i="3"/>
  <c r="D4" i="3" s="1"/>
  <c r="D9" i="3" s="1"/>
  <c r="D8" i="3"/>
  <c r="D6" i="3"/>
  <c r="D7" i="3"/>
  <c r="D5" i="3"/>
  <c r="D10" i="3" s="1"/>
  <c r="AC6" i="4"/>
  <c r="AG6" i="4" s="1"/>
  <c r="F7" i="3"/>
  <c r="F6" i="3"/>
  <c r="F8" i="3"/>
  <c r="F3" i="3"/>
  <c r="F5" i="3" s="1"/>
  <c r="F10" i="3" s="1"/>
  <c r="AC2" i="4"/>
  <c r="AG2" i="4" s="1"/>
  <c r="AC13" i="4"/>
  <c r="AG13" i="4" s="1"/>
  <c r="AC11" i="4"/>
  <c r="AG11" i="4" s="1"/>
  <c r="AC18" i="4"/>
  <c r="AG18" i="4" s="1"/>
  <c r="AC22" i="4"/>
  <c r="AG22" i="4" s="1"/>
  <c r="G6" i="3"/>
  <c r="G3" i="3"/>
  <c r="G4" i="3" s="1"/>
  <c r="G9" i="3" s="1"/>
  <c r="G7" i="3"/>
  <c r="G8" i="3"/>
  <c r="AC14" i="4"/>
  <c r="AG14" i="4" s="1"/>
  <c r="AC15" i="4"/>
  <c r="AG15" i="4" s="1"/>
  <c r="AC9" i="4"/>
  <c r="AG9" i="4" s="1"/>
  <c r="AC12" i="4"/>
  <c r="AG12" i="4" s="1"/>
  <c r="AC16" i="4"/>
  <c r="AG16" i="4" s="1"/>
  <c r="AC21" i="4"/>
  <c r="AG21" i="4" s="1"/>
  <c r="AC5" i="4"/>
  <c r="AG5" i="4" s="1"/>
  <c r="AC3" i="4"/>
  <c r="AG3" i="4" s="1"/>
  <c r="AC20" i="4"/>
  <c r="AG20" i="4" s="1"/>
  <c r="D12" i="3" l="1"/>
  <c r="E7" i="3"/>
  <c r="E6" i="3"/>
  <c r="E3" i="3"/>
  <c r="E5" i="3" s="1"/>
  <c r="E10" i="3" s="1"/>
  <c r="E8" i="3"/>
  <c r="F4" i="3"/>
  <c r="F9" i="3" s="1"/>
  <c r="F12" i="3" s="1"/>
  <c r="F13" i="3" s="1"/>
  <c r="F15" i="3" s="1"/>
  <c r="G5" i="3"/>
  <c r="G10" i="3" s="1"/>
  <c r="G12" i="3" s="1"/>
  <c r="D13" i="3"/>
  <c r="D15" i="3" s="1"/>
  <c r="D14" i="3"/>
  <c r="F14" i="3" l="1"/>
  <c r="G13" i="3"/>
  <c r="G15" i="3" s="1"/>
  <c r="G14" i="3"/>
  <c r="E4" i="3"/>
  <c r="E9" i="3" s="1"/>
  <c r="E12" i="3" s="1"/>
  <c r="E13" i="3" l="1"/>
  <c r="E15" i="3" s="1"/>
  <c r="E14" i="3"/>
  <c r="B6" i="1" l="1"/>
  <c r="B5" i="1"/>
  <c r="B7" i="1"/>
  <c r="B4" i="1"/>
  <c r="D23" i="3"/>
  <c r="S3" i="4" l="1"/>
  <c r="S13" i="4"/>
  <c r="S41" i="4"/>
  <c r="S99" i="4"/>
  <c r="S121" i="4"/>
  <c r="S15" i="4"/>
  <c r="S46" i="4"/>
  <c r="S47" i="4"/>
  <c r="S97" i="4"/>
  <c r="S66" i="4"/>
  <c r="S29" i="4"/>
  <c r="S71" i="4"/>
  <c r="S94" i="4"/>
  <c r="S4" i="4"/>
  <c r="S44" i="4"/>
  <c r="S86" i="4"/>
  <c r="S82" i="4"/>
  <c r="S116" i="4"/>
  <c r="S110" i="4"/>
  <c r="S32" i="4"/>
  <c r="S106" i="4"/>
  <c r="S70" i="4"/>
  <c r="S25" i="4"/>
  <c r="S63" i="4"/>
  <c r="S124" i="4"/>
  <c r="S128" i="4"/>
  <c r="S5" i="4"/>
  <c r="S88" i="4"/>
  <c r="S74" i="4"/>
  <c r="S130" i="4"/>
  <c r="S84" i="4"/>
  <c r="S50" i="4"/>
  <c r="S118" i="4"/>
  <c r="S108" i="4"/>
  <c r="S39" i="4"/>
  <c r="S72" i="4"/>
  <c r="S76" i="4"/>
  <c r="S78" i="4"/>
  <c r="S125" i="4"/>
  <c r="S75" i="4"/>
  <c r="S104" i="4"/>
  <c r="S6" i="4"/>
  <c r="S132" i="4"/>
  <c r="S123" i="4"/>
  <c r="S55" i="4"/>
  <c r="S91" i="4"/>
  <c r="S56" i="4"/>
  <c r="S14" i="4"/>
  <c r="S23" i="4"/>
  <c r="S33" i="4"/>
  <c r="S11" i="4"/>
  <c r="S111" i="4"/>
  <c r="S122" i="4"/>
  <c r="S93" i="4"/>
  <c r="S30" i="4"/>
  <c r="S57" i="4"/>
  <c r="S12" i="4"/>
  <c r="S64" i="4"/>
  <c r="S115" i="4"/>
  <c r="S20" i="4"/>
  <c r="S19" i="4"/>
  <c r="S120" i="4"/>
  <c r="S34" i="4"/>
  <c r="S89" i="4"/>
  <c r="S8" i="4"/>
  <c r="S129" i="4"/>
  <c r="S107" i="4"/>
  <c r="S73" i="4"/>
  <c r="S95" i="4"/>
  <c r="S105" i="4"/>
  <c r="S80" i="4"/>
  <c r="S45" i="4"/>
  <c r="S65" i="4"/>
  <c r="S127" i="4"/>
  <c r="S61" i="4"/>
  <c r="S98" i="4"/>
  <c r="S102" i="4"/>
  <c r="S16" i="4"/>
  <c r="S112" i="4"/>
  <c r="S87" i="4"/>
  <c r="S68" i="4"/>
  <c r="S35" i="4"/>
  <c r="S79" i="4"/>
  <c r="S43" i="4"/>
  <c r="S81" i="4"/>
  <c r="S114" i="4"/>
  <c r="S85" i="4"/>
  <c r="S48" i="4"/>
  <c r="S60" i="4"/>
  <c r="S21" i="4"/>
  <c r="S58" i="4"/>
  <c r="S2" i="4"/>
  <c r="S113" i="4"/>
  <c r="S27" i="4"/>
  <c r="S109" i="4"/>
  <c r="S7" i="4"/>
  <c r="S117" i="4"/>
  <c r="S9" i="4"/>
  <c r="S52" i="4"/>
  <c r="S10" i="4"/>
  <c r="S49" i="4"/>
  <c r="S101" i="4"/>
  <c r="S22" i="4"/>
  <c r="S103" i="4"/>
  <c r="S53" i="4"/>
  <c r="S42" i="4"/>
  <c r="S77" i="4"/>
  <c r="S126" i="4"/>
  <c r="S26" i="4"/>
  <c r="S59" i="4"/>
  <c r="S18" i="4"/>
  <c r="S36" i="4"/>
  <c r="S40" i="4"/>
  <c r="S28" i="4"/>
  <c r="S38" i="4"/>
  <c r="S119" i="4"/>
  <c r="S54" i="4"/>
  <c r="S83" i="4"/>
  <c r="S17" i="4"/>
  <c r="S31" i="4"/>
  <c r="S24" i="4"/>
  <c r="S69" i="4"/>
  <c r="S100" i="4"/>
  <c r="S62" i="4"/>
  <c r="S133" i="4"/>
  <c r="S90" i="4"/>
  <c r="S67" i="4"/>
  <c r="S92" i="4"/>
  <c r="S37" i="4"/>
  <c r="S131" i="4"/>
  <c r="S96" i="4"/>
  <c r="S51" i="4"/>
  <c r="B8" i="1"/>
  <c r="B17" i="6"/>
  <c r="B18" i="6"/>
  <c r="B15" i="6"/>
  <c r="B16" i="6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<sst xmlns="http://schemas.openxmlformats.org/spreadsheetml/2006/main" count="214" uniqueCount="127">
  <si>
    <t>Weather Zone</t>
  </si>
  <si>
    <t>Thunder Bay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</si>
  <si>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</si>
  <si>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</si>
  <si>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</si>
  <si>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</si>
  <si>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</si>
  <si>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</si>
  <si>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</si>
  <si>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</si>
  <si>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E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</si>
  <si>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</si>
  <si>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</si>
  <si>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</si>
  <si>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</si>
  <si>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</si>
  <si>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</si>
  <si>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</si>
  <si>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</si>
  <si>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</si>
  <si>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</si>
  <si>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</si>
  <si>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</si>
  <si>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</si>
  <si>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</si>
  <si>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</si>
  <si>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</si>
  <si>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</si>
  <si>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</si>
  <si>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</si>
  <si>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</si>
  <si>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</si>
  <si>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</si>
  <si>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</si>
  <si>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</si>
  <si>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</si>
  <si>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</si>
  <si>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</si>
  <si>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</si>
  <si>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</si>
  <si>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</si>
  <si>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</si>
  <si>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</si>
  <si>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</si>
  <si>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</si>
  <si>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</si>
  <si>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</si>
  <si>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</si>
  <si>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</si>
  <si>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</si>
  <si>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</si>
  <si>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</si>
  <si>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</si>
  <si>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</si>
  <si>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</si>
  <si>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</si>
  <si>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</si>
  <si>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</si>
  <si>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</si>
  <si>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</si>
  <si>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</si>
  <si>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</si>
  <si>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</si>
  <si>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</si>
  <si>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</si>
  <si>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</si>
  <si>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</si>
  <si>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</si>
  <si>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</si>
  <si>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</si>
  <si>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</si>
  <si>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</si>
  <si>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</si>
  <si>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</si>
  <si>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</si>
  <si>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</si>
  <si>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Ottawa</t>
  </si>
  <si>
    <t>Wx Column Index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</si>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</sst>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6.2323838080959524</c:v>
                </c:pt>
                <c:pt idx="1">
                  <c:v>1.3877068557919621</c:v>
                </c:pt>
                <c:pt idx="2">
                  <c:v>8.4818880351262358</c:v>
                </c:pt>
                <c:pt idx="3">
                  <c:v>13.423728813559322</c:v>
                </c:pt>
                <c:pt idx="4">
                  <c:v>19.995765648719015</c:v>
                </c:pt>
                <c:pt idx="5">
                  <c:v>20.127529423217482</c:v>
                </c:pt>
                <c:pt idx="6">
                  <c:v>20.698507734089354</c:v>
                </c:pt>
                <c:pt idx="7">
                  <c:v>21.796541813142014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20.296551741916559</c:v>
                </c:pt>
                <c:pt idx="1">
                  <c:v>23.822222199113597</c:v>
                </c:pt>
                <c:pt idx="2">
                  <c:v>9.5573770628600823</c:v>
                </c:pt>
                <c:pt idx="3">
                  <c:v>-2.4879309720006484</c:v>
                </c:pt>
                <c:pt idx="4">
                  <c:v>-3.1774193086931781</c:v>
                </c:pt>
                <c:pt idx="5">
                  <c:v>4.8603174175534924</c:v>
                </c:pt>
                <c:pt idx="6">
                  <c:v>17.091525408928678</c:v>
                </c:pt>
                <c:pt idx="7">
                  <c:v>19.006451611557313</c:v>
                </c:pt>
                <c:pt idx="8">
                  <c:v>12.319999992847443</c:v>
                </c:pt>
                <c:pt idx="9">
                  <c:v>-2.0285713937547474</c:v>
                </c:pt>
                <c:pt idx="10">
                  <c:v>-3.355932122569973</c:v>
                </c:pt>
                <c:pt idx="11">
                  <c:v>5.6065573819348078</c:v>
                </c:pt>
                <c:pt idx="12">
                  <c:v>20.296610123020109</c:v>
                </c:pt>
                <c:pt idx="13">
                  <c:v>23.311111201842625</c:v>
                </c:pt>
                <c:pt idx="14">
                  <c:v>11.998305065778354</c:v>
                </c:pt>
                <c:pt idx="15">
                  <c:v>-0.9796610201819469</c:v>
                </c:pt>
                <c:pt idx="16">
                  <c:v>-3.3206349327450706</c:v>
                </c:pt>
                <c:pt idx="17">
                  <c:v>14.693442615695663</c:v>
                </c:pt>
                <c:pt idx="18">
                  <c:v>27.332203451607185</c:v>
                </c:pt>
                <c:pt idx="19">
                  <c:v>11.461290357934853</c:v>
                </c:pt>
                <c:pt idx="20">
                  <c:v>-2.022033966193765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10.120689655172415</c:v>
                </c:pt>
                <c:pt idx="1">
                  <c:v>11.888888888888889</c:v>
                </c:pt>
                <c:pt idx="2">
                  <c:v>5.5409836065573774</c:v>
                </c:pt>
                <c:pt idx="3">
                  <c:v>1.3448275862068966</c:v>
                </c:pt>
                <c:pt idx="4">
                  <c:v>1.4193548387096775</c:v>
                </c:pt>
                <c:pt idx="5">
                  <c:v>3.4761904761904763</c:v>
                </c:pt>
                <c:pt idx="6">
                  <c:v>8.9830508474576263</c:v>
                </c:pt>
                <c:pt idx="7">
                  <c:v>9.7258064516129039</c:v>
                </c:pt>
                <c:pt idx="8">
                  <c:v>6.75</c:v>
                </c:pt>
                <c:pt idx="9">
                  <c:v>1.1904761904761905</c:v>
                </c:pt>
                <c:pt idx="10">
                  <c:v>1.3220338983050848</c:v>
                </c:pt>
                <c:pt idx="11">
                  <c:v>4.7049180327868854</c:v>
                </c:pt>
                <c:pt idx="12">
                  <c:v>10.23728813559322</c:v>
                </c:pt>
                <c:pt idx="13">
                  <c:v>11.746031746031745</c:v>
                </c:pt>
                <c:pt idx="14">
                  <c:v>7.406779661016949</c:v>
                </c:pt>
                <c:pt idx="15">
                  <c:v>1.728813559322034</c:v>
                </c:pt>
                <c:pt idx="16">
                  <c:v>1.4285714285714286</c:v>
                </c:pt>
                <c:pt idx="17">
                  <c:v>8.0983606557377055</c:v>
                </c:pt>
                <c:pt idx="18">
                  <c:v>13.423728813559322</c:v>
                </c:pt>
                <c:pt idx="19">
                  <c:v>7.225806451612903</c:v>
                </c:pt>
                <c:pt idx="20">
                  <c:v>1.2881355932203389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20.296551741916559</c:v>
                </c:pt>
                <c:pt idx="1">
                  <c:v>23.822222199113597</c:v>
                </c:pt>
                <c:pt idx="2">
                  <c:v>9.5573770628600823</c:v>
                </c:pt>
                <c:pt idx="3">
                  <c:v>4.8603174175534924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10.120689655172415</c:v>
                </c:pt>
                <c:pt idx="1">
                  <c:v>11.888888888888889</c:v>
                </c:pt>
                <c:pt idx="2">
                  <c:v>5.5409836065573774</c:v>
                </c:pt>
                <c:pt idx="3">
                  <c:v>3.4761904761904763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rca365-my.sharepoint.com/Users/atbozzo/Library/Containers/com.microsoft.Outlook/Data/tmp/Outlook%20Temp/Enbridge%20DDD%20Calculation%20AllWx%20EGI_LondonRes05%20v2.xlsx" TargetMode="External"/><Relationship Id="rId1" Type="http://schemas.openxmlformats.org/officeDocument/2006/relationships/externalLinkPath" Target="https://enbridge.sharepoint.com/Users/atbozzo/Library/Containers/com.microsoft.Outlook/Data/tmp/Outlook%20Temp/Enbridge%20DDD%20Calculation%20AllWx%20EGI_LondonRes05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mption Data Input"/>
      <sheetName val="Output Summary"/>
      <sheetName val="DDD Model Summary"/>
      <sheetName val="DDD Model Calculations"/>
      <sheetName val="WorkingData"/>
      <sheetName val="Weather Data"/>
    </sheetNames>
    <sheetDataSet>
      <sheetData sheetId="0"/>
      <sheetData sheetId="1"/>
      <sheetData sheetId="2"/>
      <sheetData sheetId="3">
        <row r="20">
          <cell r="D20">
            <v>18</v>
          </cell>
        </row>
      </sheetData>
      <sheetData sheetId="4"/>
      <sheetData sheetId="5">
        <row r="4139">
          <cell r="D4139">
            <v>7.4000000953674316</v>
          </cell>
          <cell r="E4139">
            <v>7.5999999046325684</v>
          </cell>
          <cell r="F4139">
            <v>4.6999998092651367</v>
          </cell>
          <cell r="G4139">
            <v>-0.5</v>
          </cell>
        </row>
        <row r="4140">
          <cell r="D4140">
            <v>7.8000001907348633</v>
          </cell>
          <cell r="E4140">
            <v>11.100000381469727</v>
          </cell>
          <cell r="F4140">
            <v>6.9000000953674316</v>
          </cell>
          <cell r="G4140">
            <v>4.8000001907348633</v>
          </cell>
        </row>
        <row r="4141">
          <cell r="D4141">
            <v>13.899999618530273</v>
          </cell>
          <cell r="E4141">
            <v>13.199999809265137</v>
          </cell>
          <cell r="F4141">
            <v>14.600000381469727</v>
          </cell>
          <cell r="G4141">
            <v>3.5</v>
          </cell>
        </row>
        <row r="4142">
          <cell r="D4142">
            <v>8.1000003814697266</v>
          </cell>
          <cell r="E4142">
            <v>8.8999996185302734</v>
          </cell>
          <cell r="F4142">
            <v>10.800000190734863</v>
          </cell>
          <cell r="G4142">
            <v>8.5</v>
          </cell>
        </row>
        <row r="4143">
          <cell r="D4143">
            <v>9.8000001907348633</v>
          </cell>
          <cell r="E4143">
            <v>9.6999998092651367</v>
          </cell>
          <cell r="F4143">
            <v>13</v>
          </cell>
          <cell r="G4143">
            <v>5.5999999046325684</v>
          </cell>
        </row>
        <row r="4144">
          <cell r="D4144">
            <v>15.300000190734863</v>
          </cell>
          <cell r="E4144">
            <v>15.800000190734863</v>
          </cell>
          <cell r="F4144">
            <v>14.899999618530273</v>
          </cell>
          <cell r="G4144">
            <v>7.0999999046325684</v>
          </cell>
        </row>
        <row r="4145">
          <cell r="D4145">
            <v>14.300000190734863</v>
          </cell>
          <cell r="E4145">
            <v>13.5</v>
          </cell>
          <cell r="F4145">
            <v>17.899999618530273</v>
          </cell>
          <cell r="G4145">
            <v>10.800000190734863</v>
          </cell>
        </row>
        <row r="4146">
          <cell r="D4146">
            <v>15.300000190734863</v>
          </cell>
          <cell r="E4146">
            <v>12.800000190734863</v>
          </cell>
          <cell r="F4146">
            <v>13.100000381469727</v>
          </cell>
          <cell r="G4146">
            <v>6.0999999046325684</v>
          </cell>
        </row>
        <row r="4147">
          <cell r="D4147">
            <v>9.6000003814697266</v>
          </cell>
          <cell r="E4147">
            <v>8.6999998092651367</v>
          </cell>
          <cell r="F4147">
            <v>8.3999996185302734</v>
          </cell>
          <cell r="G4147">
            <v>2.7999999523162842</v>
          </cell>
        </row>
        <row r="4148">
          <cell r="D4148">
            <v>10.5</v>
          </cell>
          <cell r="E4148">
            <v>8.6000003814697266</v>
          </cell>
          <cell r="F4148">
            <v>9.5</v>
          </cell>
          <cell r="G4148">
            <v>10.800000190734863</v>
          </cell>
        </row>
        <row r="4149">
          <cell r="D4149">
            <v>13.600000381469727</v>
          </cell>
          <cell r="E4149">
            <v>11.699999809265137</v>
          </cell>
          <cell r="F4149">
            <v>14.100000381469727</v>
          </cell>
          <cell r="G4149">
            <v>8.5</v>
          </cell>
        </row>
        <row r="4150">
          <cell r="D4150">
            <v>9.6000003814697266</v>
          </cell>
          <cell r="E4150">
            <v>12</v>
          </cell>
          <cell r="F4150">
            <v>9.8000001907348633</v>
          </cell>
          <cell r="G4150">
            <v>13.399999618530273</v>
          </cell>
        </row>
        <row r="4151">
          <cell r="D4151">
            <v>16.200000762939453</v>
          </cell>
          <cell r="E4151">
            <v>16.299999237060547</v>
          </cell>
          <cell r="F4151">
            <v>15.800000190734863</v>
          </cell>
          <cell r="G4151">
            <v>11.800000190734863</v>
          </cell>
        </row>
        <row r="4152">
          <cell r="D4152">
            <v>18.899999618530273</v>
          </cell>
          <cell r="E4152">
            <v>18.600000381469727</v>
          </cell>
          <cell r="F4152">
            <v>18</v>
          </cell>
          <cell r="G4152">
            <v>15.5</v>
          </cell>
        </row>
        <row r="4153">
          <cell r="D4153">
            <v>17.5</v>
          </cell>
          <cell r="E4153">
            <v>20.200000762939453</v>
          </cell>
          <cell r="F4153">
            <v>18.299999237060547</v>
          </cell>
          <cell r="G4153">
            <v>14.199999809265137</v>
          </cell>
        </row>
        <row r="4154">
          <cell r="D4154">
            <v>18.5</v>
          </cell>
          <cell r="E4154">
            <v>19</v>
          </cell>
          <cell r="F4154">
            <v>18.700000762939453</v>
          </cell>
          <cell r="G4154">
            <v>12.300000190734863</v>
          </cell>
        </row>
        <row r="4155">
          <cell r="D4155">
            <v>20.799999237060547</v>
          </cell>
          <cell r="E4155">
            <v>21.200000762939453</v>
          </cell>
          <cell r="F4155">
            <v>20</v>
          </cell>
          <cell r="G4155">
            <v>12.5</v>
          </cell>
        </row>
        <row r="4156">
          <cell r="D4156">
            <v>16.299999237060547</v>
          </cell>
          <cell r="E4156">
            <v>15.5</v>
          </cell>
          <cell r="F4156">
            <v>16.799999237060547</v>
          </cell>
          <cell r="G4156">
            <v>7.1999998092651367</v>
          </cell>
        </row>
        <row r="4157">
          <cell r="D4157">
            <v>13.300000190734863</v>
          </cell>
          <cell r="E4157">
            <v>9.6000003814697266</v>
          </cell>
          <cell r="F4157">
            <v>10.100000381469727</v>
          </cell>
          <cell r="G4157">
            <v>0.69999998807907104</v>
          </cell>
        </row>
        <row r="4158">
          <cell r="D4158">
            <v>9.6999998092651367</v>
          </cell>
          <cell r="E4158">
            <v>8.6000003814697266</v>
          </cell>
          <cell r="F4158">
            <v>8.1000003814697266</v>
          </cell>
          <cell r="G4158">
            <v>3.0999999046325684</v>
          </cell>
        </row>
        <row r="4159">
          <cell r="D4159">
            <v>8.8000001907348633</v>
          </cell>
          <cell r="E4159">
            <v>9.3999996185302734</v>
          </cell>
          <cell r="F4159">
            <v>7.8000001907348633</v>
          </cell>
          <cell r="G4159">
            <v>8.3000001907348633</v>
          </cell>
        </row>
        <row r="4160">
          <cell r="D4160">
            <v>9</v>
          </cell>
          <cell r="E4160">
            <v>9</v>
          </cell>
          <cell r="F4160">
            <v>10.899999618530273</v>
          </cell>
          <cell r="G4160">
            <v>9.8000001907348633</v>
          </cell>
        </row>
        <row r="4161">
          <cell r="D4161">
            <v>8.6999998092651367</v>
          </cell>
          <cell r="E4161">
            <v>8.8999996185302734</v>
          </cell>
          <cell r="F4161">
            <v>9</v>
          </cell>
          <cell r="G4161">
            <v>6.1999998092651367</v>
          </cell>
        </row>
        <row r="4162">
          <cell r="D4162">
            <v>10.5</v>
          </cell>
          <cell r="E4162">
            <v>8.1000003814697266</v>
          </cell>
          <cell r="F4162">
            <v>8.8000001907348633</v>
          </cell>
          <cell r="G4162">
            <v>9.1999998092651367</v>
          </cell>
        </row>
        <row r="4163">
          <cell r="D4163">
            <v>11.399999618530273</v>
          </cell>
          <cell r="E4163">
            <v>9.3999996185302734</v>
          </cell>
          <cell r="F4163">
            <v>9.3000001907348633</v>
          </cell>
          <cell r="G4163">
            <v>9</v>
          </cell>
        </row>
        <row r="4164">
          <cell r="D4164">
            <v>12.600000381469727</v>
          </cell>
          <cell r="E4164">
            <v>10.5</v>
          </cell>
          <cell r="F4164">
            <v>13.199999809265137</v>
          </cell>
          <cell r="G4164">
            <v>10.899999618530273</v>
          </cell>
        </row>
        <row r="4165">
          <cell r="D4165">
            <v>14.300000190734863</v>
          </cell>
          <cell r="E4165">
            <v>13.5</v>
          </cell>
          <cell r="F4165">
            <v>15.699999809265137</v>
          </cell>
          <cell r="G4165">
            <v>11.399999618530273</v>
          </cell>
        </row>
        <row r="4166">
          <cell r="D4166">
            <v>15.699999809265137</v>
          </cell>
          <cell r="E4166">
            <v>14.699999809265137</v>
          </cell>
          <cell r="F4166">
            <v>16.899999618530273</v>
          </cell>
          <cell r="G4166">
            <v>12.199999809265137</v>
          </cell>
        </row>
        <row r="4167">
          <cell r="D4167">
            <v>13.899999618530273</v>
          </cell>
          <cell r="E4167">
            <v>12.699999809265137</v>
          </cell>
          <cell r="F4167">
            <v>17.700000762939453</v>
          </cell>
          <cell r="G4167">
            <v>14.600000381469727</v>
          </cell>
        </row>
        <row r="4168">
          <cell r="D4168">
            <v>15.5</v>
          </cell>
          <cell r="E4168">
            <v>15</v>
          </cell>
          <cell r="F4168">
            <v>15.699999809265137</v>
          </cell>
          <cell r="G4168">
            <v>16.700000762939453</v>
          </cell>
        </row>
        <row r="4169">
          <cell r="D4169">
            <v>18.899999618530273</v>
          </cell>
          <cell r="E4169">
            <v>16.600000381469727</v>
          </cell>
          <cell r="F4169">
            <v>17.700000762939453</v>
          </cell>
          <cell r="G4169">
            <v>13.699999809265137</v>
          </cell>
        </row>
        <row r="4170">
          <cell r="D4170">
            <v>10.600000381469727</v>
          </cell>
          <cell r="E4170">
            <v>9.6999998092651367</v>
          </cell>
          <cell r="F4170">
            <v>11.300000190734863</v>
          </cell>
          <cell r="G4170">
            <v>10.100000381469727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ColWidth="10.625" defaultRowHeight="15.75" x14ac:dyDescent="0.25"/>
  <cols>
    <col min="1" max="6" width="12.8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>
        <v>45756</v>
      </c>
      <c r="B3" s="11">
        <v>45727</v>
      </c>
      <c r="C3" s="11">
        <v>45751</v>
      </c>
      <c r="D3" s="12">
        <v>25</v>
      </c>
      <c r="E3" s="12">
        <v>47255</v>
      </c>
      <c r="F3" s="15" t="s">
        <v>9</v>
      </c>
      <c r="G3" s="19">
        <v>198</v>
      </c>
      <c r="M3" s="2"/>
      <c r="N3" s="2"/>
      <c r="O3" s="2"/>
      <c r="U3" s="2"/>
      <c r="V3" s="2"/>
      <c r="W3" s="2"/>
    </row>
    <row r="4" spans="1:23" x14ac:dyDescent="0.25">
      <c r="A4" s="11">
        <v>45727</v>
      </c>
      <c r="B4" s="11">
        <v>45694</v>
      </c>
      <c r="C4" s="11">
        <v>45726</v>
      </c>
      <c r="D4" s="12">
        <v>33</v>
      </c>
      <c r="E4" s="12">
        <v>47056</v>
      </c>
      <c r="F4" s="15" t="s">
        <v>10</v>
      </c>
      <c r="G4" s="19">
        <v>389</v>
      </c>
      <c r="M4" s="2"/>
      <c r="N4" s="2"/>
      <c r="O4" s="2"/>
      <c r="U4" s="2"/>
      <c r="V4" s="2"/>
      <c r="W4" s="2"/>
    </row>
    <row r="5" spans="1:23" x14ac:dyDescent="0.25">
      <c r="A5" s="11">
        <v>45698</v>
      </c>
      <c r="B5" s="11">
        <v>45666</v>
      </c>
      <c r="C5" s="11">
        <v>45693</v>
      </c>
      <c r="D5" s="12">
        <v>28</v>
      </c>
      <c r="E5" s="12">
        <v>46664</v>
      </c>
      <c r="F5" s="15" t="s">
        <v>9</v>
      </c>
      <c r="G5" s="19">
        <v>361</v>
      </c>
      <c r="M5" s="2"/>
      <c r="N5" s="2"/>
      <c r="O5" s="2"/>
      <c r="U5" s="2"/>
      <c r="V5" s="2"/>
      <c r="W5" s="2"/>
    </row>
    <row r="6" spans="1:23" x14ac:dyDescent="0.25">
      <c r="A6" s="11">
        <v>45666</v>
      </c>
      <c r="B6" s="11">
        <v>45631</v>
      </c>
      <c r="C6" s="11">
        <v>45665</v>
      </c>
      <c r="D6" s="12">
        <v>35</v>
      </c>
      <c r="E6" s="12">
        <v>46300</v>
      </c>
      <c r="F6" s="15" t="s">
        <v>10</v>
      </c>
      <c r="G6" s="19">
        <v>388</v>
      </c>
      <c r="M6" s="2"/>
      <c r="N6" s="2"/>
      <c r="O6" s="2"/>
      <c r="U6" s="2"/>
      <c r="V6" s="2"/>
      <c r="W6" s="2"/>
    </row>
    <row r="7" spans="1:23" x14ac:dyDescent="0.25">
      <c r="A7" s="11">
        <v>45635</v>
      </c>
      <c r="B7" s="11">
        <v>45604</v>
      </c>
      <c r="C7" s="11">
        <v>45630</v>
      </c>
      <c r="D7" s="12">
        <v>27</v>
      </c>
      <c r="E7" s="12">
        <v>45909</v>
      </c>
      <c r="F7" s="15" t="s">
        <v>9</v>
      </c>
      <c r="G7" s="19">
        <v>171</v>
      </c>
      <c r="M7" s="2"/>
      <c r="N7" s="2"/>
      <c r="O7" s="2"/>
      <c r="U7" s="2"/>
      <c r="V7" s="2"/>
      <c r="W7" s="2"/>
    </row>
    <row r="8" spans="1:23" x14ac:dyDescent="0.25">
      <c r="A8" s="11">
        <v>45604</v>
      </c>
      <c r="B8" s="11">
        <v>45570</v>
      </c>
      <c r="C8" s="11">
        <v>45603</v>
      </c>
      <c r="D8" s="12">
        <v>34</v>
      </c>
      <c r="E8" s="12">
        <v>45737</v>
      </c>
      <c r="F8" s="15" t="s">
        <v>10</v>
      </c>
      <c r="G8" s="19">
        <v>167</v>
      </c>
      <c r="M8" s="2"/>
      <c r="N8" s="2"/>
      <c r="O8" s="2"/>
      <c r="U8" s="2"/>
      <c r="V8" s="2"/>
      <c r="W8" s="2"/>
    </row>
    <row r="9" spans="1:23" x14ac:dyDescent="0.25">
      <c r="A9" s="11">
        <v>45574</v>
      </c>
      <c r="B9" s="11">
        <v>45543</v>
      </c>
      <c r="C9" s="11">
        <v>45569</v>
      </c>
      <c r="D9" s="12">
        <v>27</v>
      </c>
      <c r="E9" s="12">
        <v>45569</v>
      </c>
      <c r="F9" s="15" t="s">
        <v>9</v>
      </c>
      <c r="G9" s="19">
        <v>38</v>
      </c>
      <c r="M9" s="2"/>
      <c r="N9" s="2"/>
      <c r="O9" s="2"/>
      <c r="U9" s="2"/>
      <c r="V9" s="2"/>
      <c r="W9" s="2"/>
    </row>
    <row r="10" spans="1:23" x14ac:dyDescent="0.25">
      <c r="A10" s="11">
        <v>45544</v>
      </c>
      <c r="B10" s="11">
        <v>45512</v>
      </c>
      <c r="C10" s="11">
        <v>45542</v>
      </c>
      <c r="D10" s="12">
        <v>31</v>
      </c>
      <c r="E10" s="12">
        <v>45531</v>
      </c>
      <c r="F10" s="15" t="s">
        <v>10</v>
      </c>
      <c r="G10" s="19">
        <v>40</v>
      </c>
      <c r="M10" s="2"/>
      <c r="N10" s="2"/>
      <c r="O10" s="2"/>
      <c r="U10" s="2"/>
      <c r="V10" s="2"/>
      <c r="W10" s="2"/>
    </row>
    <row r="11" spans="1:23" x14ac:dyDescent="0.25">
      <c r="A11" s="11">
        <v>45513</v>
      </c>
      <c r="B11" s="11">
        <v>45483</v>
      </c>
      <c r="C11" s="11">
        <v>45511</v>
      </c>
      <c r="D11" s="12">
        <v>29</v>
      </c>
      <c r="E11" s="12">
        <v>45491</v>
      </c>
      <c r="F11" s="15" t="s">
        <v>9</v>
      </c>
      <c r="G11" s="19">
        <v>46</v>
      </c>
      <c r="M11" s="2"/>
      <c r="N11" s="2"/>
      <c r="O11" s="2"/>
      <c r="U11" s="2"/>
      <c r="V11" s="2"/>
      <c r="W11" s="2"/>
    </row>
    <row r="12" spans="1:23" x14ac:dyDescent="0.25">
      <c r="A12" s="11">
        <v>45483</v>
      </c>
      <c r="B12" s="11">
        <v>45450</v>
      </c>
      <c r="C12" s="11">
        <v>45482</v>
      </c>
      <c r="D12" s="12">
        <v>33</v>
      </c>
      <c r="E12" s="12">
        <v>45445</v>
      </c>
      <c r="F12" s="15" t="s">
        <v>10</v>
      </c>
      <c r="G12" s="19">
        <v>42</v>
      </c>
      <c r="M12" s="2"/>
      <c r="N12" s="2"/>
      <c r="O12" s="2"/>
      <c r="U12" s="2"/>
      <c r="V12" s="2"/>
      <c r="W12" s="2"/>
    </row>
    <row r="13" spans="1:23" x14ac:dyDescent="0.25">
      <c r="A13" s="11">
        <v>45453</v>
      </c>
      <c r="B13" s="11">
        <v>45421</v>
      </c>
      <c r="C13" s="11">
        <v>45449</v>
      </c>
      <c r="D13" s="12">
        <v>29</v>
      </c>
      <c r="E13" s="12">
        <v>45403</v>
      </c>
      <c r="F13" s="15" t="s">
        <v>9</v>
      </c>
      <c r="G13" s="19">
        <v>33</v>
      </c>
      <c r="M13" s="2"/>
      <c r="N13" s="2"/>
      <c r="O13" s="2"/>
      <c r="U13" s="2"/>
      <c r="V13" s="2"/>
      <c r="W13" s="2"/>
    </row>
    <row r="14" spans="1:23" x14ac:dyDescent="0.25">
      <c r="A14" s="11">
        <v>45421</v>
      </c>
      <c r="B14" s="11">
        <v>45387</v>
      </c>
      <c r="C14" s="11">
        <v>45420</v>
      </c>
      <c r="D14" s="12">
        <v>34</v>
      </c>
      <c r="E14" s="12">
        <v>45370</v>
      </c>
      <c r="F14" s="15" t="s">
        <v>10</v>
      </c>
      <c r="G14" s="19">
        <v>186</v>
      </c>
      <c r="M14" s="2"/>
      <c r="N14" s="2"/>
      <c r="O14" s="2"/>
      <c r="U14" s="2"/>
      <c r="V14" s="2"/>
      <c r="W14" s="2"/>
    </row>
    <row r="15" spans="1:23" x14ac:dyDescent="0.25">
      <c r="A15" s="11">
        <v>45391</v>
      </c>
      <c r="B15" s="11">
        <v>45359</v>
      </c>
      <c r="C15" s="11">
        <v>45386</v>
      </c>
      <c r="D15" s="12">
        <v>28</v>
      </c>
      <c r="E15" s="12">
        <v>45183</v>
      </c>
      <c r="F15" s="15" t="s">
        <v>9</v>
      </c>
      <c r="G15" s="19">
        <v>235</v>
      </c>
      <c r="M15" s="2"/>
      <c r="N15" s="2"/>
      <c r="O15" s="2"/>
      <c r="U15" s="2"/>
      <c r="V15" s="2"/>
      <c r="W15" s="2"/>
    </row>
    <row r="16" spans="1:23" x14ac:dyDescent="0.25">
      <c r="A16" s="11">
        <v>45359</v>
      </c>
      <c r="B16" s="11">
        <v>45328</v>
      </c>
      <c r="C16" s="11">
        <v>45358</v>
      </c>
      <c r="D16" s="12">
        <v>31</v>
      </c>
      <c r="E16" s="12">
        <v>44946</v>
      </c>
      <c r="F16" s="15" t="s">
        <v>10</v>
      </c>
      <c r="G16" s="19">
        <v>295</v>
      </c>
      <c r="M16" s="2"/>
      <c r="N16" s="2"/>
      <c r="O16" s="2"/>
      <c r="U16" s="2"/>
      <c r="V16" s="2"/>
      <c r="W16" s="2"/>
    </row>
    <row r="17" spans="1:23" x14ac:dyDescent="0.25">
      <c r="A17" s="11">
        <v>45330</v>
      </c>
      <c r="B17" s="11">
        <v>45301</v>
      </c>
      <c r="C17" s="11">
        <v>45327</v>
      </c>
      <c r="D17" s="12">
        <v>27</v>
      </c>
      <c r="E17" s="12">
        <v>44649</v>
      </c>
      <c r="F17" s="15" t="s">
        <v>9</v>
      </c>
      <c r="G17" s="19">
        <v>291</v>
      </c>
      <c r="M17" s="2"/>
      <c r="N17" s="2"/>
      <c r="O17" s="2"/>
      <c r="U17" s="2"/>
      <c r="V17" s="2"/>
      <c r="W17" s="2"/>
    </row>
    <row r="18" spans="1:23" x14ac:dyDescent="0.25">
      <c r="A18" s="11">
        <v>45301</v>
      </c>
      <c r="B18" s="11">
        <v>45266</v>
      </c>
      <c r="C18" s="11">
        <v>45300</v>
      </c>
      <c r="D18" s="12">
        <v>35</v>
      </c>
      <c r="E18" s="12">
        <v>44356</v>
      </c>
      <c r="F18" s="15" t="s">
        <v>10</v>
      </c>
      <c r="G18" s="19">
        <v>312</v>
      </c>
      <c r="M18" s="2"/>
      <c r="N18" s="2"/>
      <c r="O18" s="2"/>
      <c r="U18" s="2"/>
      <c r="V18" s="2"/>
      <c r="W18" s="2"/>
    </row>
    <row r="19" spans="1:23" x14ac:dyDescent="0.25">
      <c r="A19" s="11">
        <v>45267</v>
      </c>
      <c r="B19" s="11">
        <v>45239</v>
      </c>
      <c r="C19" s="11">
        <v>45265</v>
      </c>
      <c r="D19" s="12">
        <v>27</v>
      </c>
      <c r="E19" s="12">
        <v>44041</v>
      </c>
      <c r="F19" s="15" t="s">
        <v>9</v>
      </c>
      <c r="G19" s="19">
        <v>193</v>
      </c>
      <c r="M19" s="2"/>
      <c r="N19" s="2"/>
      <c r="O19" s="2"/>
      <c r="U19" s="2"/>
      <c r="V19" s="2"/>
      <c r="W19" s="2"/>
    </row>
    <row r="20" spans="1:23" x14ac:dyDescent="0.25">
      <c r="A20" s="11">
        <v>45239</v>
      </c>
      <c r="B20" s="11">
        <v>45206</v>
      </c>
      <c r="C20" s="11">
        <v>45238</v>
      </c>
      <c r="D20" s="12">
        <v>33</v>
      </c>
      <c r="E20" s="12">
        <v>43847</v>
      </c>
      <c r="F20" s="15" t="s">
        <v>10</v>
      </c>
      <c r="G20" s="19">
        <v>212</v>
      </c>
      <c r="M20" s="2"/>
      <c r="N20" s="2"/>
      <c r="O20" s="2"/>
      <c r="U20" s="2"/>
      <c r="V20" s="2"/>
      <c r="W20" s="2"/>
    </row>
    <row r="21" spans="1:23" x14ac:dyDescent="0.25">
      <c r="A21" s="11">
        <v>45211</v>
      </c>
      <c r="B21" s="11">
        <v>45178</v>
      </c>
      <c r="C21" s="11">
        <v>45205</v>
      </c>
      <c r="D21" s="12">
        <v>28</v>
      </c>
      <c r="E21" s="12">
        <v>43633</v>
      </c>
      <c r="F21" s="15" t="s">
        <v>9</v>
      </c>
      <c r="G21" s="19">
        <v>30</v>
      </c>
      <c r="M21" s="2"/>
      <c r="N21" s="2"/>
      <c r="O21" s="2"/>
      <c r="U21" s="2"/>
      <c r="V21" s="2"/>
      <c r="W21" s="2"/>
    </row>
    <row r="22" spans="1:23" x14ac:dyDescent="0.25">
      <c r="A22" s="11">
        <v>45180</v>
      </c>
      <c r="B22" s="11">
        <v>45143</v>
      </c>
      <c r="C22" s="11">
        <v>45177</v>
      </c>
      <c r="D22" s="12">
        <v>35</v>
      </c>
      <c r="E22" s="12">
        <v>43603</v>
      </c>
      <c r="F22" s="15" t="s">
        <v>10</v>
      </c>
      <c r="G22" s="19">
        <v>45</v>
      </c>
      <c r="M22" s="2"/>
      <c r="N22" s="2"/>
      <c r="O22" s="2"/>
      <c r="U22" s="2"/>
      <c r="V22" s="2"/>
      <c r="W22" s="2"/>
    </row>
    <row r="23" spans="1:23" x14ac:dyDescent="0.25">
      <c r="A23" s="11">
        <v>45148</v>
      </c>
      <c r="B23" s="11">
        <v>45115</v>
      </c>
      <c r="C23" s="11">
        <v>45142</v>
      </c>
      <c r="D23" s="12">
        <v>28</v>
      </c>
      <c r="E23" s="12">
        <v>43558</v>
      </c>
      <c r="F23" s="15" t="s">
        <v>9</v>
      </c>
      <c r="G23" s="19">
        <v>40</v>
      </c>
      <c r="M23" s="2"/>
      <c r="N23" s="2"/>
      <c r="O23" s="2"/>
      <c r="U23" s="2"/>
      <c r="V23" s="2"/>
      <c r="W23" s="2"/>
    </row>
    <row r="24" spans="1:23" x14ac:dyDescent="0.25">
      <c r="A24" s="11">
        <v>45117</v>
      </c>
      <c r="B24" s="11">
        <v>45084</v>
      </c>
      <c r="C24" s="11">
        <v>45114</v>
      </c>
      <c r="D24" s="12">
        <v>31</v>
      </c>
      <c r="E24" s="12">
        <v>43518</v>
      </c>
      <c r="F24" s="15" t="s">
        <v>10</v>
      </c>
      <c r="G24" s="19">
        <v>38</v>
      </c>
      <c r="M24" s="2"/>
      <c r="N24" s="2"/>
      <c r="O24" s="2"/>
      <c r="U24" s="2"/>
      <c r="V24" s="2"/>
      <c r="W24" s="2"/>
    </row>
    <row r="25" spans="1:23" x14ac:dyDescent="0.25">
      <c r="A25" s="11">
        <v>45086</v>
      </c>
      <c r="B25" s="11">
        <v>45056</v>
      </c>
      <c r="C25" s="11">
        <v>45083</v>
      </c>
      <c r="D25" s="12">
        <v>28</v>
      </c>
      <c r="E25" s="12">
        <v>43480</v>
      </c>
      <c r="F25" s="15" t="s">
        <v>9</v>
      </c>
      <c r="G25" s="19">
        <v>78</v>
      </c>
      <c r="M25" s="2"/>
      <c r="N25" s="2"/>
      <c r="O25" s="2"/>
      <c r="U25" s="2"/>
      <c r="V25" s="2"/>
      <c r="W25" s="2"/>
    </row>
    <row r="26" spans="1:23" x14ac:dyDescent="0.25">
      <c r="A26" s="11">
        <v>45056</v>
      </c>
      <c r="B26" s="11">
        <v>45023</v>
      </c>
      <c r="C26" s="11">
        <v>45055</v>
      </c>
      <c r="D26" s="12">
        <v>33</v>
      </c>
      <c r="E26" s="12">
        <v>43401</v>
      </c>
      <c r="F26" s="15" t="s">
        <v>10</v>
      </c>
      <c r="G26" s="19">
        <v>209</v>
      </c>
      <c r="M26" s="2"/>
      <c r="N26" s="2"/>
      <c r="O26" s="2"/>
      <c r="U26" s="2"/>
      <c r="V26" s="2"/>
      <c r="W26" s="2"/>
    </row>
    <row r="27" spans="1:23" x14ac:dyDescent="0.25">
      <c r="A27" s="11">
        <v>45027</v>
      </c>
      <c r="B27" s="11">
        <v>44995</v>
      </c>
      <c r="C27" s="11">
        <v>45022</v>
      </c>
      <c r="D27" s="12">
        <v>28</v>
      </c>
      <c r="E27" s="12">
        <v>43190</v>
      </c>
      <c r="F27" s="15" t="s">
        <v>9</v>
      </c>
      <c r="G27" s="19">
        <v>263</v>
      </c>
      <c r="M27" s="2"/>
      <c r="N27" s="2"/>
      <c r="O27" s="2"/>
      <c r="U27" s="2"/>
      <c r="V27" s="2"/>
      <c r="W27" s="2"/>
    </row>
    <row r="28" spans="1:23" x14ac:dyDescent="0.25">
      <c r="A28" s="11">
        <v>44995</v>
      </c>
      <c r="B28" s="11">
        <v>44964</v>
      </c>
      <c r="C28" s="11">
        <v>44994</v>
      </c>
      <c r="D28" s="12">
        <v>31</v>
      </c>
      <c r="E28" s="12">
        <v>42925</v>
      </c>
      <c r="F28" s="15" t="s">
        <v>10</v>
      </c>
      <c r="G28" s="19">
        <v>341</v>
      </c>
      <c r="M28" s="2"/>
      <c r="N28" s="2"/>
      <c r="O28" s="2"/>
      <c r="U28" s="2"/>
      <c r="V28" s="2"/>
      <c r="W28" s="2"/>
    </row>
    <row r="29" spans="1:23" x14ac:dyDescent="0.25">
      <c r="A29" s="11">
        <v>44965</v>
      </c>
      <c r="B29" s="11">
        <v>44937</v>
      </c>
      <c r="C29" s="11">
        <v>44963</v>
      </c>
      <c r="D29" s="12">
        <v>27</v>
      </c>
      <c r="E29" s="12">
        <v>42581</v>
      </c>
      <c r="F29" s="15" t="s">
        <v>9</v>
      </c>
      <c r="G29" s="19">
        <v>331</v>
      </c>
      <c r="M29" s="2"/>
      <c r="N29" s="2"/>
      <c r="O29" s="2"/>
      <c r="U29" s="2"/>
      <c r="V29" s="2"/>
      <c r="W29" s="2"/>
    </row>
    <row r="30" spans="1:23" x14ac:dyDescent="0.25">
      <c r="A30" s="11">
        <v>44937</v>
      </c>
      <c r="B30" s="11">
        <v>44901</v>
      </c>
      <c r="C30" s="11">
        <v>44936</v>
      </c>
      <c r="D30" s="12">
        <v>36</v>
      </c>
      <c r="E30" s="12">
        <v>42247</v>
      </c>
      <c r="F30" s="15" t="s">
        <v>10</v>
      </c>
      <c r="G30" s="19">
        <v>409</v>
      </c>
      <c r="M30" s="2"/>
      <c r="N30" s="2"/>
      <c r="O30" s="2"/>
      <c r="U30" s="2"/>
      <c r="V30" s="2"/>
      <c r="W30" s="2"/>
    </row>
    <row r="31" spans="1:23" x14ac:dyDescent="0.25">
      <c r="A31" s="11">
        <v>44903</v>
      </c>
      <c r="B31" s="11">
        <v>44873</v>
      </c>
      <c r="C31" s="11">
        <v>44900</v>
      </c>
      <c r="D31" s="12">
        <v>28</v>
      </c>
      <c r="E31" s="12">
        <v>41835</v>
      </c>
      <c r="F31" s="15" t="s">
        <v>9</v>
      </c>
      <c r="G31" s="19">
        <v>275</v>
      </c>
      <c r="M31" s="2"/>
      <c r="N31" s="2"/>
      <c r="O31" s="2"/>
      <c r="U31" s="2"/>
      <c r="V31" s="2"/>
      <c r="W31" s="2"/>
    </row>
    <row r="32" spans="1:23" x14ac:dyDescent="0.25">
      <c r="A32" s="11">
        <v>44873</v>
      </c>
      <c r="B32" s="11">
        <v>44842</v>
      </c>
      <c r="C32" s="11">
        <v>44872</v>
      </c>
      <c r="D32" s="12">
        <v>31</v>
      </c>
      <c r="E32" s="12">
        <v>41558</v>
      </c>
      <c r="F32" s="15" t="s">
        <v>10</v>
      </c>
      <c r="G32" s="19">
        <v>162</v>
      </c>
      <c r="M32" s="2"/>
      <c r="N32" s="2"/>
      <c r="O32" s="2"/>
      <c r="U32" s="2"/>
      <c r="V32" s="2"/>
      <c r="W32" s="2"/>
    </row>
    <row r="33" spans="1:23" x14ac:dyDescent="0.25">
      <c r="A33" s="11">
        <v>44846</v>
      </c>
      <c r="B33" s="11">
        <v>44814</v>
      </c>
      <c r="C33" s="11">
        <v>44841</v>
      </c>
      <c r="D33" s="12">
        <v>28</v>
      </c>
      <c r="E33" s="12">
        <v>41395</v>
      </c>
      <c r="F33" s="15" t="s">
        <v>9</v>
      </c>
      <c r="G33" s="19">
        <v>64</v>
      </c>
      <c r="M33" s="2"/>
      <c r="N33" s="2"/>
      <c r="O33" s="2"/>
      <c r="U33" s="2"/>
      <c r="V33" s="2"/>
      <c r="W33" s="2"/>
    </row>
    <row r="34" spans="1:23" x14ac:dyDescent="0.25">
      <c r="A34" s="11">
        <v>44816</v>
      </c>
      <c r="B34" s="11">
        <v>44783</v>
      </c>
      <c r="C34" s="11">
        <v>44813</v>
      </c>
      <c r="D34" s="12">
        <v>31</v>
      </c>
      <c r="E34" s="12">
        <v>41331</v>
      </c>
      <c r="F34" s="15" t="s">
        <v>10</v>
      </c>
      <c r="G34" s="19">
        <v>38</v>
      </c>
      <c r="M34" s="2"/>
      <c r="N34" s="2"/>
      <c r="O34" s="2"/>
      <c r="U34" s="2"/>
      <c r="V34" s="2"/>
      <c r="W34" s="2"/>
    </row>
    <row r="35" spans="1:23" x14ac:dyDescent="0.25">
      <c r="A35" s="11">
        <v>44784</v>
      </c>
      <c r="B35" s="11">
        <v>44751</v>
      </c>
      <c r="C35" s="11">
        <v>44782</v>
      </c>
      <c r="D35" s="12">
        <v>32</v>
      </c>
      <c r="E35" s="12">
        <v>41293</v>
      </c>
      <c r="F35" s="15" t="s">
        <v>9</v>
      </c>
      <c r="G35" s="19">
        <v>52</v>
      </c>
      <c r="M35" s="2"/>
      <c r="N35" s="2"/>
      <c r="O35" s="2"/>
      <c r="U35" s="2"/>
      <c r="V35" s="2"/>
      <c r="W35" s="2"/>
    </row>
    <row r="36" spans="1:23" x14ac:dyDescent="0.25">
      <c r="A36" s="11">
        <v>44753</v>
      </c>
      <c r="B36" s="11">
        <v>44720</v>
      </c>
      <c r="C36" s="11">
        <v>44750</v>
      </c>
      <c r="D36" s="12">
        <v>31</v>
      </c>
      <c r="E36" s="12">
        <v>41241</v>
      </c>
      <c r="F36" s="15" t="s">
        <v>10</v>
      </c>
      <c r="G36" s="19">
        <v>38</v>
      </c>
      <c r="M36" s="2"/>
      <c r="N36" s="2"/>
      <c r="O36" s="2"/>
      <c r="U36" s="2"/>
      <c r="V36" s="2"/>
      <c r="W36" s="2"/>
    </row>
    <row r="37" spans="1:23" x14ac:dyDescent="0.25">
      <c r="A37" s="11">
        <v>44721</v>
      </c>
      <c r="B37" s="11">
        <v>44691</v>
      </c>
      <c r="C37" s="11">
        <v>44719</v>
      </c>
      <c r="D37" s="12">
        <v>29</v>
      </c>
      <c r="E37" s="12">
        <v>41203</v>
      </c>
      <c r="F37" s="15" t="s">
        <v>9</v>
      </c>
      <c r="G37" s="19">
        <v>70</v>
      </c>
      <c r="M37" s="2"/>
      <c r="N37" s="2"/>
      <c r="O37" s="2"/>
      <c r="U37" s="2"/>
      <c r="V37" s="2"/>
      <c r="W37" s="2"/>
    </row>
    <row r="38" spans="1:23" x14ac:dyDescent="0.25">
      <c r="A38" s="11">
        <v>44691</v>
      </c>
      <c r="B38" s="11">
        <v>44659</v>
      </c>
      <c r="C38" s="11">
        <v>44690</v>
      </c>
      <c r="D38" s="12">
        <v>32</v>
      </c>
      <c r="E38" s="12">
        <v>41132</v>
      </c>
      <c r="F38" s="15" t="s">
        <v>10</v>
      </c>
      <c r="G38" s="19">
        <v>220</v>
      </c>
      <c r="M38" s="2"/>
      <c r="N38" s="2"/>
      <c r="O38" s="2"/>
      <c r="U38" s="2"/>
      <c r="V38" s="2"/>
      <c r="W38" s="2"/>
    </row>
    <row r="39" spans="1:23" x14ac:dyDescent="0.25">
      <c r="A39" s="11">
        <v>44659</v>
      </c>
      <c r="B39" s="11">
        <v>44630</v>
      </c>
      <c r="C39" s="11">
        <v>44658</v>
      </c>
      <c r="D39" s="12">
        <v>29</v>
      </c>
      <c r="E39" s="12">
        <v>40910</v>
      </c>
      <c r="F39" s="15" t="s">
        <v>10</v>
      </c>
      <c r="G39" s="19">
        <v>266</v>
      </c>
      <c r="M39" s="2"/>
      <c r="N39" s="2"/>
      <c r="O39" s="2"/>
      <c r="U39" s="2"/>
      <c r="V39" s="2"/>
      <c r="W39" s="2"/>
    </row>
    <row r="40" spans="1:23" x14ac:dyDescent="0.25">
      <c r="A40" s="11">
        <v>44630</v>
      </c>
      <c r="B40" s="11">
        <v>44598</v>
      </c>
      <c r="C40" s="11">
        <v>44629</v>
      </c>
      <c r="D40" s="12">
        <v>32</v>
      </c>
      <c r="E40" s="12">
        <v>40642</v>
      </c>
      <c r="F40" s="15" t="s">
        <v>10</v>
      </c>
      <c r="G40" s="19">
        <v>432</v>
      </c>
      <c r="M40" s="2"/>
      <c r="N40" s="2"/>
      <c r="O40" s="2"/>
      <c r="U40" s="2"/>
      <c r="V40" s="2"/>
      <c r="W40" s="2"/>
    </row>
    <row r="41" spans="1:23" x14ac:dyDescent="0.25">
      <c r="A41" s="11">
        <v>44600</v>
      </c>
      <c r="B41" s="11">
        <v>44572</v>
      </c>
      <c r="C41" s="11">
        <v>44597</v>
      </c>
      <c r="D41" s="12">
        <v>26</v>
      </c>
      <c r="E41" s="12">
        <v>40207</v>
      </c>
      <c r="F41" s="15" t="s">
        <v>9</v>
      </c>
      <c r="G41" s="19">
        <v>378</v>
      </c>
      <c r="M41" s="2"/>
      <c r="N41" s="2"/>
      <c r="O41" s="2"/>
      <c r="U41" s="2"/>
      <c r="V41" s="2"/>
      <c r="W41" s="2"/>
    </row>
    <row r="42" spans="1:23" x14ac:dyDescent="0.25">
      <c r="A42" s="11">
        <v>44572</v>
      </c>
      <c r="B42" s="11">
        <v>44539</v>
      </c>
      <c r="C42" s="11">
        <v>44571</v>
      </c>
      <c r="D42" s="12">
        <v>33</v>
      </c>
      <c r="E42" s="12">
        <v>39826</v>
      </c>
      <c r="F42" s="15" t="s">
        <v>10</v>
      </c>
      <c r="G42" s="19">
        <v>414</v>
      </c>
      <c r="M42" s="2"/>
      <c r="N42" s="2"/>
      <c r="O42" s="2"/>
      <c r="U42" s="2"/>
      <c r="V42" s="2"/>
      <c r="W42" s="2"/>
    </row>
    <row r="43" spans="1:23" x14ac:dyDescent="0.25">
      <c r="A43" s="11">
        <v>44539</v>
      </c>
      <c r="B43" s="11">
        <v>44509</v>
      </c>
      <c r="C43" s="11">
        <v>44538</v>
      </c>
      <c r="D43" s="12">
        <v>30</v>
      </c>
      <c r="E43" s="12">
        <v>39409</v>
      </c>
      <c r="F43" s="15" t="s">
        <v>9</v>
      </c>
      <c r="G43" s="19">
        <v>298</v>
      </c>
      <c r="M43" s="2"/>
      <c r="N43" s="2"/>
      <c r="O43" s="2"/>
      <c r="U43" s="2"/>
      <c r="V43" s="2"/>
      <c r="W43" s="2"/>
    </row>
    <row r="44" spans="1:23" x14ac:dyDescent="0.25">
      <c r="A44" s="11">
        <v>44509</v>
      </c>
      <c r="B44" s="11">
        <v>44477</v>
      </c>
      <c r="C44" s="11">
        <v>44508</v>
      </c>
      <c r="D44" s="12">
        <v>32</v>
      </c>
      <c r="E44" s="12">
        <v>39109</v>
      </c>
      <c r="F44" s="15" t="s">
        <v>10</v>
      </c>
      <c r="G44" s="19">
        <v>150</v>
      </c>
      <c r="M44" s="2"/>
      <c r="N44" s="2"/>
      <c r="O44" s="2"/>
      <c r="U44" s="2"/>
      <c r="V44" s="2"/>
      <c r="W44" s="2"/>
    </row>
    <row r="45" spans="1:23" x14ac:dyDescent="0.25">
      <c r="A45" s="11">
        <v>44477</v>
      </c>
      <c r="B45" s="11">
        <v>44449</v>
      </c>
      <c r="C45" s="11">
        <v>44476</v>
      </c>
      <c r="D45" s="12">
        <v>28</v>
      </c>
      <c r="E45" s="12">
        <v>38958</v>
      </c>
      <c r="F45" s="15" t="s">
        <v>9</v>
      </c>
      <c r="G45" s="19">
        <v>41</v>
      </c>
      <c r="M45" s="2"/>
      <c r="O45" s="2"/>
      <c r="U45" s="2"/>
      <c r="W45" s="2"/>
    </row>
    <row r="46" spans="1:23" x14ac:dyDescent="0.25">
      <c r="A46" s="11">
        <v>44449</v>
      </c>
      <c r="B46" s="11">
        <v>44418</v>
      </c>
      <c r="C46" s="11">
        <v>44448</v>
      </c>
      <c r="D46" s="12">
        <v>31</v>
      </c>
      <c r="E46" s="12">
        <v>38917</v>
      </c>
      <c r="F46" s="15" t="s">
        <v>10</v>
      </c>
      <c r="G46" s="19">
        <v>35</v>
      </c>
      <c r="M46" s="2"/>
      <c r="O46" s="2"/>
      <c r="U46" s="2"/>
      <c r="W46" s="2"/>
    </row>
    <row r="47" spans="1:23" x14ac:dyDescent="0.25">
      <c r="A47" s="11">
        <v>44417</v>
      </c>
      <c r="B47" s="11">
        <v>44386</v>
      </c>
      <c r="C47" s="11">
        <v>44417</v>
      </c>
      <c r="D47" s="12">
        <v>32</v>
      </c>
      <c r="E47" s="12">
        <v>38882</v>
      </c>
      <c r="F47" s="15" t="s">
        <v>9</v>
      </c>
      <c r="G47" s="19">
        <v>52</v>
      </c>
      <c r="M47" s="2"/>
      <c r="O47" s="2"/>
      <c r="U47" s="2"/>
      <c r="W47" s="2"/>
    </row>
    <row r="48" spans="1:23" x14ac:dyDescent="0.25">
      <c r="A48" s="11">
        <v>44389</v>
      </c>
      <c r="B48" s="11">
        <v>44349</v>
      </c>
      <c r="C48" s="11">
        <v>44385</v>
      </c>
      <c r="D48" s="12">
        <v>37</v>
      </c>
      <c r="E48" s="12">
        <v>38806</v>
      </c>
      <c r="F48" s="15" t="s">
        <v>10</v>
      </c>
      <c r="G48" s="19">
        <v>41</v>
      </c>
      <c r="M48" s="2"/>
      <c r="O48" s="2"/>
      <c r="U48" s="2"/>
      <c r="W48" s="2"/>
    </row>
    <row r="49" spans="1:23" x14ac:dyDescent="0.25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 x14ac:dyDescent="0.25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 x14ac:dyDescent="0.25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 x14ac:dyDescent="0.25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 x14ac:dyDescent="0.25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 x14ac:dyDescent="0.25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 x14ac:dyDescent="0.25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 x14ac:dyDescent="0.25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 x14ac:dyDescent="0.25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 x14ac:dyDescent="0.25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 x14ac:dyDescent="0.25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 x14ac:dyDescent="0.25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 x14ac:dyDescent="0.25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 x14ac:dyDescent="0.25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625" defaultRowHeight="15.75" x14ac:dyDescent="0.25"/>
  <cols>
    <col min="1" max="1" width="47" customWidth="1"/>
    <col min="2" max="2" width="10.125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Thunder Bay</v>
      </c>
    </row>
    <row r="5" spans="1:3" x14ac:dyDescent="0.25">
      <c r="A5" s="23" t="s">
        <v>12</v>
      </c>
      <c r="B5" s="23"/>
    </row>
    <row r="6" spans="1:3" x14ac:dyDescent="0.25">
      <c r="A6" t="s">
        <v>13</v>
      </c>
      <c r="B6" s="7">
        <f>SUM(WorkingData!$G$2:$G$133)/SUM(WorkingData!$I$2:$I$133)</f>
        <v>6.2323838080959524</v>
      </c>
    </row>
    <row r="7" spans="1:3" x14ac:dyDescent="0.25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1.3877068557919621</v>
      </c>
    </row>
    <row r="8" spans="1:3" x14ac:dyDescent="0.25">
      <c r="A8" t="s">
        <v>15</v>
      </c>
      <c r="B8" s="7">
        <f>SUMPRODUCT(WorkingData!$G$2:$G$133,WorkingData!$Q$2:$Q$133)/SUMPRODUCT(WorkingData!$I$2:$I$133,WorkingData!$Q$2:$Q$133)</f>
        <v>8.4818880351262358</v>
      </c>
    </row>
    <row r="9" spans="1:3" x14ac:dyDescent="0.25">
      <c r="A9" t="s">
        <v>16</v>
      </c>
      <c r="B9" s="13">
        <f>SUMPRODUCT(WorkingData!$G$2:$G$133,WorkingData!$Q$2:$Q$133)/SUMPRODUCT(WorkingData!$M$2:$M$133,WorkingData!$Q$2:$Q$133)</f>
        <v>0.40926906772215449</v>
      </c>
    </row>
    <row r="10" spans="1:3" x14ac:dyDescent="0.25">
      <c r="A10" t="s">
        <v>17</v>
      </c>
      <c r="B10" s="7">
        <f>_xlfn.XLOOKUP(MAX(WorkingData!$O$2:$O$133),WorkingData!$O$2:$O$133,WorkingData!$N$2:$N$133)</f>
        <v>13.423728813559322</v>
      </c>
    </row>
    <row r="11" spans="1:3" x14ac:dyDescent="0.25">
      <c r="A11" t="s">
        <v>18</v>
      </c>
      <c r="B11" s="14">
        <f>_xlfn.XLOOKUP(MAX(WorkingData!$O$2:$O$133),WorkingData!$O$2:$O$133,WorkingData!$O$2:$O$133)</f>
        <v>32.332203451607185</v>
      </c>
    </row>
    <row r="12" spans="1:3" x14ac:dyDescent="0.25">
      <c r="A12" t="s">
        <v>19</v>
      </c>
      <c r="B12" s="14"/>
    </row>
    <row r="14" spans="1:3" x14ac:dyDescent="0.25">
      <c r="A14" s="17" t="s">
        <v>20</v>
      </c>
      <c r="B14" s="17" t="s">
        <v>21</v>
      </c>
      <c r="C14" s="17" t="s">
        <v>22</v>
      </c>
    </row>
    <row r="15" spans="1:3" x14ac:dyDescent="0.25">
      <c r="A15" t="s">
        <v>23</v>
      </c>
      <c r="B15" s="7">
        <f>'DDD Model Summary'!$B$6+(C15-5)*'DDD Model Summary'!$B$5</f>
        <v>19.995765648719015</v>
      </c>
      <c r="C15" s="14">
        <f>'DDD Model Calculations'!D26</f>
        <v>47.5</v>
      </c>
    </row>
    <row r="16" spans="1:3" x14ac:dyDescent="0.25">
      <c r="A16" t="s">
        <v>24</v>
      </c>
      <c r="B16" s="7">
        <f>'DDD Model Summary'!$B$6+(C16-5)*'DDD Model Summary'!$B$5</f>
        <v>20.127529423217482</v>
      </c>
      <c r="C16" s="14">
        <f>'DDD Model Calculations'!D25</f>
        <v>47.799999237060547</v>
      </c>
    </row>
    <row r="17" spans="1:3" x14ac:dyDescent="0.25">
      <c r="A17" t="s">
        <v>25</v>
      </c>
      <c r="B17" s="7">
        <f>'DDD Model Summary'!$B$6+(C17-5)*'DDD Model Summary'!$B$5</f>
        <v>20.698507734089354</v>
      </c>
      <c r="C17" s="14">
        <f>'DDD Model Calculations'!D24</f>
        <v>49.100000381469727</v>
      </c>
    </row>
    <row r="18" spans="1:3" x14ac:dyDescent="0.25">
      <c r="A18" t="s">
        <v>26</v>
      </c>
      <c r="B18" s="7">
        <f>'DDD Model Summary'!$B$6+(C18-5)*'DDD Model Summary'!$B$5</f>
        <v>21.796541813142014</v>
      </c>
      <c r="C18" s="14">
        <f>'DDD Model Calculations'!D21</f>
        <v>51.6</v>
      </c>
    </row>
    <row r="19" spans="1:3" x14ac:dyDescent="0.25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A27" sqref="A27"/>
    </sheetView>
  </sheetViews>
  <sheetFormatPr defaultColWidth="10.625" defaultRowHeight="15.75" x14ac:dyDescent="0.25"/>
  <cols>
    <col min="1" max="1" width="40" customWidth="1"/>
    <col min="2" max="2" width="10.125" customWidth="1"/>
  </cols>
  <sheetData>
    <row r="1" spans="1:2" x14ac:dyDescent="0.25">
      <c r="A1" t="s">
        <v>27</v>
      </c>
    </row>
    <row r="3" spans="1:2" x14ac:dyDescent="0.25">
      <c r="A3" t="s">
        <v>0</v>
      </c>
      <c r="B3" t="str">
        <f>'DDD Model Calculations'!D19</f>
        <v>Thunder Bay</v>
      </c>
    </row>
    <row r="4" spans="1:2" x14ac:dyDescent="0.25">
      <c r="A4" t="s">
        <v>28</v>
      </c>
      <c r="B4" s="6" t="str">
        <f>_xlfn.XLOOKUP(MAX('DDD Model Calculations'!$D$14:$G$14),'DDD Model Calculations'!$D$14:$G$14,'DDD Model Calculations'!$D2:$G2)</f>
        <v>1 year</v>
      </c>
    </row>
    <row r="5" spans="1:2" x14ac:dyDescent="0.25">
      <c r="A5" t="s">
        <v>29</v>
      </c>
      <c r="B5" s="13">
        <f>_xlfn.XLOOKUP(MAX('DDD Model Calculations'!$D$14:$G$14),'DDD Model Calculations'!$D$14:$G$14,'DDD Model Calculations'!$D12:$G12)</f>
        <v>0.43921369863975573</v>
      </c>
    </row>
    <row r="6" spans="1:2" x14ac:dyDescent="0.25">
      <c r="A6" t="s">
        <v>30</v>
      </c>
      <c r="B6" s="13">
        <f>_xlfn.XLOOKUP(MAX('DDD Model Calculations'!$D$14:$G$14),'DDD Model Calculations'!$D$14:$G$14,'DDD Model Calculations'!$D13:$G13)</f>
        <v>1.3291834565293978</v>
      </c>
    </row>
    <row r="7" spans="1:2" x14ac:dyDescent="0.25">
      <c r="A7" t="s">
        <v>31</v>
      </c>
      <c r="B7" s="13">
        <f>_xlfn.XLOOKUP(MAX('DDD Model Calculations'!$D$14:$G$14),'DDD Model Calculations'!$D$14:$G$14,'DDD Model Calculations'!$D14:$G14)</f>
        <v>0.99945909364088392</v>
      </c>
    </row>
    <row r="8" spans="1:2" x14ac:dyDescent="0.25">
      <c r="A8" t="s">
        <v>26</v>
      </c>
      <c r="B8" s="7">
        <f>B6+(B10)*B5</f>
        <v>21.796541813142014</v>
      </c>
    </row>
    <row r="9" spans="1:2" x14ac:dyDescent="0.25">
      <c r="A9" t="s">
        <v>32</v>
      </c>
      <c r="B9">
        <f>'DDD Model Calculations'!D21</f>
        <v>51.6</v>
      </c>
    </row>
    <row r="10" spans="1:2" x14ac:dyDescent="0.25">
      <c r="A10" t="s">
        <v>33</v>
      </c>
      <c r="B10">
        <f>B9-5</f>
        <v>46.6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A32" sqref="A32"/>
    </sheetView>
  </sheetViews>
  <sheetFormatPr defaultColWidth="10.625" defaultRowHeight="15.75" x14ac:dyDescent="0.25"/>
  <cols>
    <col min="3" max="3" width="18.375" customWidth="1"/>
    <col min="10" max="10" width="18.875" customWidth="1"/>
    <col min="16" max="16" width="43.875" customWidth="1"/>
  </cols>
  <sheetData>
    <row r="1" spans="2:29" x14ac:dyDescent="0.25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 x14ac:dyDescent="0.25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 x14ac:dyDescent="0.25">
      <c r="C3" t="s">
        <v>42</v>
      </c>
      <c r="D3">
        <f>SUMPRODUCT(WorkingData!$Q$2:$Q$133,WorkingData!T$2:T$133,WorkingData!AF$2:AF$133)</f>
        <v>4</v>
      </c>
      <c r="E3">
        <f>SUMPRODUCT(WorkingData!$Q$2:$Q$133,WorkingData!U$2:U$133,WorkingData!AG$2:AG$133)</f>
        <v>8</v>
      </c>
      <c r="F3">
        <f>SUMPRODUCT(WorkingData!$Q$2:$Q$133,WorkingData!V$2:V$133,WorkingData!AH$2:AH$133)</f>
        <v>14</v>
      </c>
      <c r="G3">
        <f>SUMPRODUCT(WorkingData!$Q$2:$Q$133,WorkingData!W$2:W$133,WorkingData!AI$2:AI$133)</f>
        <v>14</v>
      </c>
      <c r="J3" t="s">
        <v>42</v>
      </c>
      <c r="K3">
        <f>SUMPRODUCT(WorkingData!$Q$2:$Q$133,WorkingData!T$2:T$133)</f>
        <v>4</v>
      </c>
      <c r="L3">
        <f>SUMPRODUCT(WorkingData!$Q$2:$Q$133,WorkingData!U$2:U$133)</f>
        <v>8</v>
      </c>
      <c r="M3">
        <f>SUMPRODUCT(WorkingData!$Q$2:$Q$133,WorkingData!V$2:V$133)</f>
        <v>14</v>
      </c>
      <c r="N3">
        <f>SUMPRODUCT(WorkingData!$Q$2:$Q$133,WorkingData!W$2:W$133)</f>
        <v>14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 x14ac:dyDescent="0.25">
      <c r="B4" t="s">
        <v>45</v>
      </c>
      <c r="C4" t="s">
        <v>46</v>
      </c>
      <c r="D4" s="3">
        <f>SUMPRODUCT(WorkingData!$Q$2:$Q$133,WorkingData!T$2:T$133,WorkingData!$N$2:$N$133,WorkingData!AF$2:AF$133)/D$3</f>
        <v>7.7566881567022889</v>
      </c>
      <c r="E4" s="3">
        <f>SUMPRODUCT(WorkingData!$Q$2:$Q$133,WorkingData!U$2:U$133,WorkingData!$N$2:$N$133,WorkingData!AG$2:AG$133)/E$3</f>
        <v>7.6488159948333214</v>
      </c>
      <c r="F4" s="3">
        <f>SUMPRODUCT(WorkingData!$Q$2:$Q$133,WorkingData!V$2:V$133,WorkingData!$N$2:$N$133,WorkingData!AH$2:AH$133)/F$3</f>
        <v>8.5234659587298882</v>
      </c>
      <c r="G4" s="3">
        <f>SUMPRODUCT(WorkingData!$Q$2:$Q$133,WorkingData!W$2:W$133,WorkingData!$N$2:$N$133,WorkingData!AI$2:AI$133)/G$3</f>
        <v>8.5234659587298882</v>
      </c>
      <c r="I4" t="s">
        <v>45</v>
      </c>
      <c r="J4" t="s">
        <v>46</v>
      </c>
      <c r="K4" s="3">
        <f>SUMPRODUCT(WorkingData!$Q$2:$Q$133,WorkingData!T$2:T$133,WorkingData!$N$2:$N$133)/K$3</f>
        <v>7.7566881567022889</v>
      </c>
      <c r="L4" s="3">
        <f>SUMPRODUCT(WorkingData!$Q$2:$Q$133,WorkingData!U$2:U$133,WorkingData!$N$2:$N$133)/L$3</f>
        <v>7.6488159948333214</v>
      </c>
      <c r="M4" s="3">
        <f>SUMPRODUCT(WorkingData!$Q$2:$Q$133,WorkingData!V$2:V$133,WorkingData!$N$2:$N$133)/M$3</f>
        <v>8.5234659587298882</v>
      </c>
      <c r="N4" s="3">
        <f>SUMPRODUCT(WorkingData!$Q$2:$Q$133,WorkingData!W$2:W$133,WorkingData!$N$2:$N$133)/N$3</f>
        <v>8.5234659587298882</v>
      </c>
      <c r="P4" s="3" t="s">
        <v>47</v>
      </c>
      <c r="Q4" cm="1">
        <f t="array" aca="1" ref="Q4:Q24" ca="1">OFFSET(WorkingData!$P$2,0,0,COUNTIF(WorkingData!$P$2:$P$132,"&gt;=-5"))</f>
        <v>20.296551741916559</v>
      </c>
      <c r="R4" cm="1">
        <f t="array" aca="1" ref="R4:R24" ca="1">OFFSET(WorkingData!$O$2,0,0,COUNTIF(WorkingData!$O$2:$O$132,"&gt;=0"))</f>
        <v>25.296551741916559</v>
      </c>
      <c r="S4" cm="1">
        <f t="array" aca="1" ref="S4:S24" ca="1">OFFSET(WorkingData!$N$2,0,0,COUNTIF(WorkingData!$N$2:$N$132,"&gt;=0"))</f>
        <v>10.120689655172415</v>
      </c>
      <c r="U4" cm="1">
        <f t="array" ref="U4:Z7">_xlfn._xlws.FILTER(WorkingData!N2:S132,(WorkingData!Q2:Q132=1)*(WorkingData!R2:R132&lt;=D23)*(WorkingData!S2:S132=1))</f>
        <v>10.120689655172415</v>
      </c>
      <c r="V4">
        <v>25.296551741916559</v>
      </c>
      <c r="W4">
        <v>20.296551741916559</v>
      </c>
      <c r="X4">
        <v>1</v>
      </c>
      <c r="Y4">
        <v>1</v>
      </c>
      <c r="Z4">
        <v>1</v>
      </c>
      <c r="AB4" cm="1">
        <f t="array" aca="1" ref="AB4:AB7" ca="1">OFFSET(W4,0,0,COUNTIF(W4:W134,"&gt;=0"))</f>
        <v>20.296551741916559</v>
      </c>
      <c r="AC4" cm="1">
        <f t="array" aca="1" ref="AC4:AC7" ca="1">OFFSET(U4,0,0,COUNTIF(U4:U134,"&gt;=0"))</f>
        <v>10.120689655172415</v>
      </c>
    </row>
    <row r="5" spans="2:29" x14ac:dyDescent="0.25">
      <c r="B5" t="s">
        <v>48</v>
      </c>
      <c r="C5" t="s">
        <v>49</v>
      </c>
      <c r="D5" s="3">
        <f>SUMPRODUCT(WorkingData!$Q$2:$Q$133,WorkingData!T$2:T$133,WorkingData!$P$2:$P$133,WorkingData!AF$2:AF$133)/D$3</f>
        <v>14.634117105360932</v>
      </c>
      <c r="E5" s="3">
        <f>SUMPRODUCT(WorkingData!$Q$2:$Q$133,WorkingData!U$2:U$133,WorkingData!$P$2:$P$133,WorkingData!AG$2:AG$133)/E$3</f>
        <v>14.070125352088995</v>
      </c>
      <c r="F5" s="3">
        <f>SUMPRODUCT(WorkingData!$Q$2:$Q$133,WorkingData!V$2:V$133,WorkingData!$P$2:$P$133,WorkingData!AH$2:AH$133)/F$3</f>
        <v>15.832426116613622</v>
      </c>
      <c r="G5" s="3">
        <f>SUMPRODUCT(WorkingData!$Q$2:$Q$133,WorkingData!W$2:W$133,WorkingData!$P$2:$P$133,WorkingData!AI$2:AI$133)/G$3</f>
        <v>15.832426116613622</v>
      </c>
      <c r="I5" t="s">
        <v>48</v>
      </c>
      <c r="J5" t="s">
        <v>49</v>
      </c>
      <c r="K5" s="3">
        <f>SUMPRODUCT(WorkingData!$Q$2:$Q$133,WorkingData!T$2:T$133,WorkingData!$P$2:$P$133)/K$3</f>
        <v>14.634117105360932</v>
      </c>
      <c r="L5" s="3">
        <f>SUMPRODUCT(WorkingData!$Q$2:$Q$133,WorkingData!U$2:U$133,WorkingData!$P$2:$P$133)/L$3</f>
        <v>14.070125352088995</v>
      </c>
      <c r="M5" s="3">
        <f>SUMPRODUCT(WorkingData!$Q$2:$Q$133,WorkingData!V$2:V$133,WorkingData!$P$2:$P$133)/M$3</f>
        <v>15.832426116613622</v>
      </c>
      <c r="N5" s="3">
        <f>SUMPRODUCT(WorkingData!$Q$2:$Q$133,WorkingData!W$2:W$133,WorkingData!$P$2:$P$133)/N$3</f>
        <v>15.832426116613622</v>
      </c>
      <c r="Q5">
        <f ca="1"/>
        <v>23.822222199113597</v>
      </c>
      <c r="R5">
        <f ca="1"/>
        <v>28.822222199113597</v>
      </c>
      <c r="S5">
        <f ca="1"/>
        <v>11.888888888888889</v>
      </c>
      <c r="U5">
        <v>11.888888888888889</v>
      </c>
      <c r="V5">
        <v>28.822222199113597</v>
      </c>
      <c r="W5">
        <v>23.822222199113597</v>
      </c>
      <c r="X5">
        <v>1</v>
      </c>
      <c r="Y5">
        <v>1</v>
      </c>
      <c r="Z5">
        <v>1</v>
      </c>
      <c r="AB5">
        <f ca="1"/>
        <v>23.822222199113597</v>
      </c>
      <c r="AC5">
        <f ca="1"/>
        <v>11.888888888888889</v>
      </c>
    </row>
    <row r="6" spans="2:29" x14ac:dyDescent="0.25">
      <c r="C6" t="s">
        <v>50</v>
      </c>
      <c r="D6" s="3">
        <f>SUMPRODUCT(WorkingData!$Q$2:$Q$133,WorkingData!T$2:T$133,WorkingData!$N$2:$N$133,WorkingData!$P$2:$P$133,WorkingData!AF$2:AF$133)</f>
        <v>558.48751280692773</v>
      </c>
      <c r="E6" s="3">
        <f>SUMPRODUCT(WorkingData!$Q$2:$Q$133,WorkingData!U$2:U$133,WorkingData!$N$2:$N$133,WorkingData!$P$2:$P$133,WorkingData!AG$2:AG$133)</f>
        <v>1006.4130172017404</v>
      </c>
      <c r="F6" s="3">
        <f>SUMPRODUCT(WorkingData!$Q$2:$Q$133,WorkingData!V$2:V$133,WorkingData!$N$2:$N$133,WorkingData!$P$2:$P$133,WorkingData!AH$2:AH$133)</f>
        <v>2145.5870677467678</v>
      </c>
      <c r="G6" s="3">
        <f>SUMPRODUCT(WorkingData!$Q$2:$Q$133,WorkingData!W$2:W$133,WorkingData!$N$2:$N$133,WorkingData!$P$2:$P$133,WorkingData!AI$2:AI$133)</f>
        <v>2145.5870677467678</v>
      </c>
      <c r="J6" t="s">
        <v>50</v>
      </c>
      <c r="K6" s="3">
        <f>SUMPRODUCT(WorkingData!$Q$2:$Q$133,WorkingData!T$2:T$133,WorkingData!$N$2:$N$133,WorkingData!$P$2:$P$133)</f>
        <v>558.48751280692773</v>
      </c>
      <c r="L6" s="3">
        <f>SUMPRODUCT(WorkingData!$Q$2:$Q$133,WorkingData!U$2:U$133,WorkingData!$N$2:$N$133,WorkingData!$P$2:$P$133)</f>
        <v>1006.4130172017404</v>
      </c>
      <c r="M6" s="3">
        <f>SUMPRODUCT(WorkingData!$Q$2:$Q$133,WorkingData!V$2:V$133,WorkingData!$N$2:$N$133,WorkingData!$P$2:$P$133)</f>
        <v>2145.5870677467678</v>
      </c>
      <c r="N6" s="3">
        <f>SUMPRODUCT(WorkingData!$Q$2:$Q$133,WorkingData!W$2:W$133,WorkingData!$N$2:$N$133,WorkingData!$P$2:$P$133)</f>
        <v>2145.5870677467678</v>
      </c>
      <c r="Q6">
        <f ca="1"/>
        <v>9.5573770628600823</v>
      </c>
      <c r="R6">
        <f ca="1"/>
        <v>14.557377062860082</v>
      </c>
      <c r="S6">
        <f ca="1"/>
        <v>5.5409836065573774</v>
      </c>
      <c r="U6">
        <v>5.5409836065573774</v>
      </c>
      <c r="V6">
        <v>14.557377062860082</v>
      </c>
      <c r="W6">
        <v>9.5573770628600823</v>
      </c>
      <c r="X6">
        <v>1</v>
      </c>
      <c r="Y6">
        <v>1</v>
      </c>
      <c r="Z6">
        <v>1</v>
      </c>
      <c r="AB6">
        <f ca="1"/>
        <v>9.5573770628600823</v>
      </c>
      <c r="AC6">
        <f ca="1"/>
        <v>5.5409836065573774</v>
      </c>
    </row>
    <row r="7" spans="2:29" x14ac:dyDescent="0.25">
      <c r="C7" t="s">
        <v>51</v>
      </c>
      <c r="D7" s="3">
        <f>SUMPRODUCT(WorkingData!$Q$2:$Q$133,WorkingData!T$2:T$133,WorkingData!$P$2:$P$133,WorkingData!$P$2:$P$133,WorkingData!AF$2:AF$133)</f>
        <v>1094.4144248372947</v>
      </c>
      <c r="E7" s="3">
        <f>SUMPRODUCT(WorkingData!$Q$2:$Q$133,WorkingData!U$2:U$133,WorkingData!$P$2:$P$133,WorkingData!$P$2:$P$133,WorkingData!AG$2:AG$133)</f>
        <v>1930.9957540045075</v>
      </c>
      <c r="F7" s="3">
        <f>SUMPRODUCT(WorkingData!$Q$2:$Q$133,WorkingData!V$2:V$133,WorkingData!$P$2:$P$133,WorkingData!$P$2:$P$133,WorkingData!AH$2:AH$133)</f>
        <v>4124.623144496225</v>
      </c>
      <c r="G7" s="3">
        <f>SUMPRODUCT(WorkingData!$Q$2:$Q$133,WorkingData!W$2:W$133,WorkingData!$P$2:$P$133,WorkingData!$P$2:$P$133,WorkingData!AI$2:AI$133)</f>
        <v>4124.623144496225</v>
      </c>
      <c r="J7" t="s">
        <v>51</v>
      </c>
      <c r="K7" s="3">
        <f>SUMPRODUCT(WorkingData!$Q$2:$Q$133,WorkingData!T$2:T$133,WorkingData!$P$2:$P$133,WorkingData!$P$2:$P$133)</f>
        <v>1094.4144248372947</v>
      </c>
      <c r="L7" s="3">
        <f>SUMPRODUCT(WorkingData!$Q$2:$Q$133,WorkingData!U$2:U$133,WorkingData!$P$2:$P$133,WorkingData!$P$2:$P$133)</f>
        <v>1930.9957540045075</v>
      </c>
      <c r="M7" s="3">
        <f>SUMPRODUCT(WorkingData!$Q$2:$Q$133,WorkingData!V$2:V$133,WorkingData!$P$2:$P$133,WorkingData!$P$2:$P$133)</f>
        <v>4124.623144496225</v>
      </c>
      <c r="N7" s="3">
        <f>SUMPRODUCT(WorkingData!$Q$2:$Q$133,WorkingData!W$2:W$133,WorkingData!$P$2:$P$133,WorkingData!$P$2:$P$133)</f>
        <v>4124.623144496225</v>
      </c>
      <c r="Q7">
        <f ca="1"/>
        <v>-2.4879309720006484</v>
      </c>
      <c r="R7">
        <f ca="1"/>
        <v>2.5120690279993516</v>
      </c>
      <c r="S7">
        <f ca="1"/>
        <v>1.3448275862068966</v>
      </c>
      <c r="U7">
        <v>3.4761904761904763</v>
      </c>
      <c r="V7">
        <v>9.8603174175534924</v>
      </c>
      <c r="W7">
        <v>4.8603174175534924</v>
      </c>
      <c r="X7">
        <v>1</v>
      </c>
      <c r="Y7">
        <v>1</v>
      </c>
      <c r="Z7">
        <v>1</v>
      </c>
      <c r="AB7">
        <f ca="1"/>
        <v>4.8603174175534924</v>
      </c>
      <c r="AC7">
        <f ca="1"/>
        <v>3.4761904761904763</v>
      </c>
    </row>
    <row r="8" spans="2:29" x14ac:dyDescent="0.25">
      <c r="C8" t="s">
        <v>52</v>
      </c>
      <c r="D8" s="3">
        <f>SUMPRODUCT(WorkingData!$Q$2:$Q$133,WorkingData!T$2:T$133,WorkingData!$N$2:$N$133,WorkingData!$N$2:$N$133,WorkingData!AF$2:AF$133)</f>
        <v>286.56043766355458</v>
      </c>
      <c r="E8" s="3">
        <f>SUMPRODUCT(WorkingData!$Q$2:$Q$133,WorkingData!U$2:U$133,WorkingData!$N$2:$N$133,WorkingData!$N$2:$N$133,WorkingData!AG$2:AG$133)</f>
        <v>529.54570502104218</v>
      </c>
      <c r="F8" s="3">
        <f>SUMPRODUCT(WorkingData!$Q$2:$Q$133,WorkingData!V$2:V$133,WorkingData!$N$2:$N$133,WorkingData!$N$2:$N$133,WorkingData!AH$2:AH$133)</f>
        <v>1125.1696395643935</v>
      </c>
      <c r="G8" s="3">
        <f>SUMPRODUCT(WorkingData!$Q$2:$Q$133,WorkingData!W$2:W$133,WorkingData!$N$2:$N$133,WorkingData!$N$2:$N$133,WorkingData!AI$2:AI$133)</f>
        <v>1125.1696395643935</v>
      </c>
      <c r="J8" t="s">
        <v>52</v>
      </c>
      <c r="K8" s="3">
        <f>SUMPRODUCT(WorkingData!$Q$2:$Q$133,WorkingData!T$2:T$133,WorkingData!$N$2:$N$133,WorkingData!$N$2:$N$133)</f>
        <v>286.56043766355458</v>
      </c>
      <c r="L8" s="3">
        <f>SUMPRODUCT(WorkingData!$Q$2:$Q$133,WorkingData!U$2:U$133,WorkingData!$N$2:$N$133,WorkingData!$N$2:$N$133)</f>
        <v>529.54570502104218</v>
      </c>
      <c r="M8" s="3">
        <f>SUMPRODUCT(WorkingData!$Q$2:$Q$133,WorkingData!V$2:V$133,WorkingData!$N$2:$N$133,WorkingData!$N$2:$N$133)</f>
        <v>1125.1696395643935</v>
      </c>
      <c r="N8" s="3">
        <f>SUMPRODUCT(WorkingData!$Q$2:$Q$133,WorkingData!W$2:W$133,WorkingData!$N$2:$N$133,WorkingData!$N$2:$N$133)</f>
        <v>1125.1696395643935</v>
      </c>
      <c r="Q8">
        <f ca="1"/>
        <v>-3.1774193086931781</v>
      </c>
      <c r="R8">
        <f ca="1"/>
        <v>1.8225806913068217</v>
      </c>
      <c r="S8">
        <f ca="1"/>
        <v>1.4193548387096775</v>
      </c>
    </row>
    <row r="9" spans="2:29" x14ac:dyDescent="0.25">
      <c r="C9" t="s">
        <v>53</v>
      </c>
      <c r="D9" s="3">
        <f t="shared" ref="D9:G10" si="0">D4*D$3</f>
        <v>31.026752626809156</v>
      </c>
      <c r="E9" s="3">
        <f t="shared" si="0"/>
        <v>61.190527958666571</v>
      </c>
      <c r="F9" s="3">
        <f t="shared" si="0"/>
        <v>119.32852342221844</v>
      </c>
      <c r="G9" s="3">
        <f t="shared" si="0"/>
        <v>119.32852342221844</v>
      </c>
      <c r="J9" t="s">
        <v>53</v>
      </c>
      <c r="K9" s="3">
        <f t="shared" ref="K9:N10" si="1">K4*K$3</f>
        <v>31.026752626809156</v>
      </c>
      <c r="L9" s="3">
        <f t="shared" si="1"/>
        <v>61.190527958666571</v>
      </c>
      <c r="M9" s="3">
        <f t="shared" si="1"/>
        <v>119.32852342221844</v>
      </c>
      <c r="N9" s="3">
        <f t="shared" si="1"/>
        <v>119.32852342221844</v>
      </c>
      <c r="Q9">
        <f ca="1"/>
        <v>4.8603174175534924</v>
      </c>
      <c r="R9">
        <f ca="1"/>
        <v>9.8603174175534924</v>
      </c>
      <c r="S9">
        <f ca="1"/>
        <v>3.4761904761904763</v>
      </c>
    </row>
    <row r="10" spans="2:29" x14ac:dyDescent="0.25">
      <c r="C10" t="s">
        <v>54</v>
      </c>
      <c r="D10" s="3">
        <f t="shared" si="0"/>
        <v>58.536468421443729</v>
      </c>
      <c r="E10" s="3">
        <f t="shared" si="0"/>
        <v>112.56100281671196</v>
      </c>
      <c r="F10" s="3">
        <f t="shared" si="0"/>
        <v>221.65396563259071</v>
      </c>
      <c r="G10" s="3">
        <f t="shared" si="0"/>
        <v>221.65396563259071</v>
      </c>
      <c r="J10" t="s">
        <v>54</v>
      </c>
      <c r="K10" s="3">
        <f t="shared" si="1"/>
        <v>58.536468421443729</v>
      </c>
      <c r="L10" s="3">
        <f t="shared" si="1"/>
        <v>112.56100281671196</v>
      </c>
      <c r="M10" s="3">
        <f t="shared" si="1"/>
        <v>221.65396563259071</v>
      </c>
      <c r="N10" s="3">
        <f t="shared" si="1"/>
        <v>221.65396563259071</v>
      </c>
      <c r="Q10">
        <f ca="1"/>
        <v>17.091525408928678</v>
      </c>
      <c r="R10">
        <f ca="1"/>
        <v>22.091525408928678</v>
      </c>
      <c r="S10">
        <f ca="1"/>
        <v>8.9830508474576263</v>
      </c>
    </row>
    <row r="11" spans="2:29" x14ac:dyDescent="0.25">
      <c r="J11" t="s">
        <v>55</v>
      </c>
      <c r="K11" s="8">
        <f>IF(K3&gt;=3,SQRT(SUMPRODUCT(WorkingData!X$2:X$133,WorkingData!X$2:X$133,WorkingData!$Q$2:$Q$133,WorkingData!T$2:T$133)/('DDD Model Calculations'!K3-2)),"Insufficient Data")</f>
        <v>0.11141188922425162</v>
      </c>
      <c r="L11" s="8">
        <f>IF(L3&gt;=3,SQRT(SUMPRODUCT(WorkingData!Y$2:Y$133,WorkingData!Y$2:Y$133,WorkingData!$Q$2:$Q$133,WorkingData!U$2:U$133)/('DDD Model Calculations'!L3-2)),"Insufficient Data")</f>
        <v>0.31169040592784186</v>
      </c>
      <c r="M11" s="8">
        <f>IF(M3&gt;=3,SQRT(SUMPRODUCT(WorkingData!Z$2:Z$133,WorkingData!Z$2:Z$133,WorkingData!$Q$2:$Q$133,WorkingData!V$2:V$133)/('DDD Model Calculations'!M3-2)),"Insufficient Data")</f>
        <v>0.32845861423962935</v>
      </c>
      <c r="N11" s="8">
        <f>IF(N3&gt;=3,SQRT(SUMPRODUCT(WorkingData!AA$2:AA$133,WorkingData!AA$2:AA$133,WorkingData!$Q$2:$Q$133,WorkingData!W$2:W$133)/('DDD Model Calculations'!N3-2)),"Insufficient Data")</f>
        <v>0.32845861423962935</v>
      </c>
      <c r="P11" s="8" t="s">
        <v>56</v>
      </c>
      <c r="Q11">
        <f ca="1"/>
        <v>19.006451611557313</v>
      </c>
      <c r="R11">
        <f ca="1"/>
        <v>24.006451611557313</v>
      </c>
      <c r="S11">
        <f ca="1"/>
        <v>9.7258064516129039</v>
      </c>
    </row>
    <row r="12" spans="2:29" x14ac:dyDescent="0.25">
      <c r="B12" s="6" t="s">
        <v>29</v>
      </c>
      <c r="C12" t="s">
        <v>57</v>
      </c>
      <c r="D12" s="9">
        <f>IF(D3&gt;=3,(D$3*D6-D9*D10)/(D$3*D7-D10^2),"Insufficient Data")</f>
        <v>0.43921369863975573</v>
      </c>
      <c r="E12" s="9">
        <f>IF(E3&gt;=3,(E$3*E6-E9*E10)/(E$3*E7-E10^2),"Insufficient Data")</f>
        <v>0.4188778000142851</v>
      </c>
      <c r="F12" s="9">
        <f>IF(F3&gt;=3,(F$3*F6-F9*F10)/(F$3*F7-F10^2),"Insufficient Data")</f>
        <v>0.41658661044578865</v>
      </c>
      <c r="G12" s="9">
        <f>IF(G3&gt;=3,(G$3*G6-G9*G10)/(G$3*G7-G10^2),"Insufficient Data")</f>
        <v>0.41658661044578865</v>
      </c>
      <c r="I12" s="6" t="s">
        <v>29</v>
      </c>
      <c r="J12" t="s">
        <v>57</v>
      </c>
      <c r="K12" s="9">
        <f>IF(K3&gt;=3,(K$3*K6-K9*K10)/(K$3*K7-K10^2),"Insufficient Data")</f>
        <v>0.43921369863975573</v>
      </c>
      <c r="L12" s="9">
        <f>IF(L3&gt;=3,(L$3*L6-L9*L10)/(L$3*L7-L10^2),"Insufficient Data")</f>
        <v>0.4188778000142851</v>
      </c>
      <c r="M12" s="9">
        <f>IF(M3&gt;=3,(M$3*M6-M9*M10)/(M$3*M7-M10^2),"Insufficient Data")</f>
        <v>0.41658661044578865</v>
      </c>
      <c r="N12" s="9">
        <f>IF(N3&gt;=3,(N$3*N6-N9*N10)/(N$3*N7-N10^2),"Insufficient Data")</f>
        <v>0.41658661044578865</v>
      </c>
      <c r="P12" s="9" t="s">
        <v>58</v>
      </c>
      <c r="Q12">
        <f ca="1"/>
        <v>12.319999992847443</v>
      </c>
      <c r="R12">
        <f ca="1"/>
        <v>17.319999992847443</v>
      </c>
      <c r="S12">
        <f ca="1"/>
        <v>6.75</v>
      </c>
    </row>
    <row r="13" spans="2:29" x14ac:dyDescent="0.25">
      <c r="B13" s="6" t="s">
        <v>59</v>
      </c>
      <c r="C13" t="s">
        <v>60</v>
      </c>
      <c r="D13" s="9">
        <f>IF(D3&gt;=3,D4-D5*D12,"Insufficient Data")</f>
        <v>1.3291834565293978</v>
      </c>
      <c r="E13" s="9">
        <f>IF(E3&gt;=3,E4-E5*E12,"Insufficient Data")</f>
        <v>1.7551528414250646</v>
      </c>
      <c r="F13" s="9">
        <f>IF(F3&gt;=3,F4-F5*F12,"Insufficient Data")</f>
        <v>1.927889227676439</v>
      </c>
      <c r="G13" s="9">
        <f>IF(G3&gt;=3,G4-G5*G12,"Insufficient Data")</f>
        <v>1.927889227676439</v>
      </c>
      <c r="I13" s="6" t="s">
        <v>59</v>
      </c>
      <c r="J13" t="s">
        <v>60</v>
      </c>
      <c r="K13" s="9">
        <f>IF(K3&gt;=3,K4-K5*K12,"Insufficient Data")</f>
        <v>1.3291834565293978</v>
      </c>
      <c r="L13" s="9">
        <f>IF(L3&gt;=3,L4-L5*L12,"Insufficient Data")</f>
        <v>1.7551528414250646</v>
      </c>
      <c r="M13" s="9">
        <f>IF(M3&gt;=3,M4-M5*M12,"Insufficient Data")</f>
        <v>1.927889227676439</v>
      </c>
      <c r="N13" s="9">
        <f>IF(N3&gt;=3,N4-N5*N12,"Insufficient Data")</f>
        <v>1.927889227676439</v>
      </c>
      <c r="Q13">
        <f ca="1"/>
        <v>-2.0285713937547474</v>
      </c>
      <c r="R13">
        <f ca="1"/>
        <v>2.9714286062452526</v>
      </c>
      <c r="S13">
        <f ca="1"/>
        <v>1.1904761904761905</v>
      </c>
    </row>
    <row r="14" spans="2:29" x14ac:dyDescent="0.25">
      <c r="C14" t="s">
        <v>61</v>
      </c>
      <c r="D14" s="10">
        <f>IF(D3&gt;=3,(((D6/D3)-D4*D5)/SQRT((D7/D3-D5^2)*(D8/D3-D4^2)))^2,"Insufficient Data")</f>
        <v>0.99945909364088392</v>
      </c>
      <c r="E14" s="10">
        <f>IF(E3&gt;=3,(((E6/E3)-E4*E5)/SQRT((E7/E3-E5^2)*(E8/E3-E4^2)))^2,"Insufficient Data")</f>
        <v>0.99052349834181574</v>
      </c>
      <c r="F14" s="10">
        <f>IF(F3&gt;=3,(((F6/F3)-F4*F5)/SQRT((F7/F3-F5^2)*(F8/F3-F4^2)))^2,"Insufficient Data")</f>
        <v>0.98802131490816103</v>
      </c>
      <c r="G14" s="10">
        <f>IF(G3&gt;=3,(((G6/G3)-G4*G5)/SQRT((G7/G3-G5^2)*(G8/G3-G4^2)))^2,"Insufficient Data")</f>
        <v>0.98802131490816103</v>
      </c>
      <c r="J14" t="s">
        <v>61</v>
      </c>
      <c r="K14">
        <f>IF(K3&gt;=3,(((K6/K3)-K4*K5)/SQRT((K7/K3-K5^2)*(K8/K3-K4^2)))^2,"Insufficient Data")</f>
        <v>0.99945909364088392</v>
      </c>
      <c r="L14">
        <f>IF(L3&gt;=3,(((L6/L3)-L4*L5)/SQRT((L7/L3-L5^2)*(L8/L3-L4^2)))^2,"Insufficient Data")</f>
        <v>0.99052349834181574</v>
      </c>
      <c r="M14">
        <f>IF(M3&gt;=3,(((M6/M3)-M4*M5)/SQRT((M7/M3-M5^2)*(M8/M3-M4^2)))^2,"Insufficient Data")</f>
        <v>0.98802131490816103</v>
      </c>
      <c r="N14">
        <f>IF(N3&gt;=3,(((N6/N3)-N4*N5)/SQRT((N7/N3-N5^2)*(N8/N3-N4^2)))^2,"Insufficient Data")</f>
        <v>0.98802131490816103</v>
      </c>
      <c r="P14" s="10" t="s">
        <v>62</v>
      </c>
      <c r="Q14">
        <f ca="1"/>
        <v>-3.355932122569973</v>
      </c>
      <c r="R14">
        <f ca="1"/>
        <v>1.6440678774300268</v>
      </c>
      <c r="S14">
        <f ca="1"/>
        <v>1.3220338983050848</v>
      </c>
    </row>
    <row r="15" spans="2:29" x14ac:dyDescent="0.25">
      <c r="C15" t="s">
        <v>63</v>
      </c>
      <c r="D15">
        <f>IF(D3&gt;=3,D13+D12*($D$21-5),"Insufficient Data")</f>
        <v>21.796541813142014</v>
      </c>
      <c r="E15">
        <f>IF(E3&gt;=3,E13+E12*($D$21-5),"Insufficient Data")</f>
        <v>21.274858322090751</v>
      </c>
      <c r="F15">
        <f>IF(F3&gt;=3,F13+F12*($D$21-5),"Insufficient Data")</f>
        <v>21.340825274450189</v>
      </c>
      <c r="G15">
        <f>IF(G3&gt;=3,G13+G12*($D$21-5),"Insufficient Data")</f>
        <v>21.340825274450189</v>
      </c>
      <c r="J15" t="s">
        <v>63</v>
      </c>
      <c r="K15">
        <f>IF(K3&gt;=3,K13+K12*($D$21-5),"Insufficient Data")</f>
        <v>21.796541813142014</v>
      </c>
      <c r="L15">
        <f>IF(L3&gt;=3,L13+L12*($D$21-5),"Insufficient Data")</f>
        <v>21.274858322090751</v>
      </c>
      <c r="M15">
        <f>IF(M3&gt;=3,M13+M12*($D$21-5),"Insufficient Data")</f>
        <v>21.340825274450189</v>
      </c>
      <c r="N15">
        <f>IF(N3&gt;=3,N13+N12*($D$21-5),"Insufficient Data")</f>
        <v>21.340825274450189</v>
      </c>
      <c r="Q15">
        <f ca="1"/>
        <v>5.6065573819348078</v>
      </c>
      <c r="R15">
        <f ca="1"/>
        <v>10.606557381934808</v>
      </c>
      <c r="S15">
        <f ca="1"/>
        <v>4.7049180327868854</v>
      </c>
    </row>
    <row r="16" spans="2:29" x14ac:dyDescent="0.25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20.296610123020109</v>
      </c>
      <c r="R16">
        <f ca="1"/>
        <v>25.296610123020109</v>
      </c>
      <c r="S16">
        <f ca="1"/>
        <v>10.23728813559322</v>
      </c>
    </row>
    <row r="17" spans="3:19" x14ac:dyDescent="0.25">
      <c r="J17" t="s">
        <v>65</v>
      </c>
      <c r="Q17">
        <f ca="1"/>
        <v>23.311111201842625</v>
      </c>
      <c r="R17">
        <f ca="1"/>
        <v>28.311111201842625</v>
      </c>
      <c r="S17">
        <f ca="1"/>
        <v>11.746031746031745</v>
      </c>
    </row>
    <row r="18" spans="3:19" x14ac:dyDescent="0.25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11.998305065778354</v>
      </c>
      <c r="R18">
        <f ca="1"/>
        <v>16.998305065778354</v>
      </c>
      <c r="S18">
        <f ca="1"/>
        <v>7.406779661016949</v>
      </c>
    </row>
    <row r="19" spans="3:19" x14ac:dyDescent="0.25">
      <c r="C19" t="s">
        <v>67</v>
      </c>
      <c r="D19" t="str">
        <f>'Consumption Data Input'!B1</f>
        <v>Thunder Bay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-0.9796610201819469</v>
      </c>
      <c r="R19">
        <f ca="1"/>
        <v>4.0203389798180531</v>
      </c>
      <c r="S19">
        <f ca="1"/>
        <v>1.728813559322034</v>
      </c>
    </row>
    <row r="20" spans="3:19" x14ac:dyDescent="0.25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-3.3206349327450706</v>
      </c>
      <c r="R20">
        <f ca="1"/>
        <v>1.6793650672549294</v>
      </c>
      <c r="S20">
        <f ca="1"/>
        <v>1.4285714285714286</v>
      </c>
    </row>
    <row r="21" spans="3:19" x14ac:dyDescent="0.25">
      <c r="C21" t="s">
        <v>69</v>
      </c>
      <c r="D21">
        <f>VLOOKUP(D19,$G$19:$I$22,3,FALSE)</f>
        <v>51.6</v>
      </c>
      <c r="G21" t="s">
        <v>76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14.693442615695663</v>
      </c>
      <c r="R21">
        <f ca="1"/>
        <v>19.693442615695663</v>
      </c>
      <c r="S21">
        <f ca="1"/>
        <v>8.0983606557377055</v>
      </c>
    </row>
    <row r="22" spans="3:19" x14ac:dyDescent="0.25">
      <c r="C22" t="s">
        <v>77</v>
      </c>
      <c r="D22">
        <f>VLOOKUP(D19,$G$19:$I$22,2,FALSE)</f>
        <v>5</v>
      </c>
      <c r="G22" t="s">
        <v>1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27.332203451607185</v>
      </c>
      <c r="R22">
        <f ca="1"/>
        <v>32.332203451607185</v>
      </c>
      <c r="S22">
        <f ca="1"/>
        <v>13.423728813559322</v>
      </c>
    </row>
    <row r="23" spans="3:19" x14ac:dyDescent="0.25">
      <c r="C23" t="s">
        <v>78</v>
      </c>
      <c r="D23">
        <f>_xlfn.XLOOKUP(MAX('DDD Model Calculations'!$D$14:$G$14),'DDD Model Calculations'!$D$14:$G$14,'DDD Model Calculations'!$D16:$G16)</f>
        <v>1</v>
      </c>
      <c r="Q23">
        <f ca="1"/>
        <v>11.461290357934853</v>
      </c>
      <c r="R23">
        <f ca="1"/>
        <v>16.461290357934853</v>
      </c>
      <c r="S23">
        <f ca="1"/>
        <v>7.225806451612903</v>
      </c>
    </row>
    <row r="24" spans="3:19" x14ac:dyDescent="0.25">
      <c r="C24" t="s">
        <v>70</v>
      </c>
      <c r="D24">
        <f>VLOOKUP($D$19,$G$19:$L22,4,FALSE)</f>
        <v>49.100000381469727</v>
      </c>
      <c r="Q24">
        <f ca="1"/>
        <v>-2.022033966193765</v>
      </c>
      <c r="R24">
        <f ca="1"/>
        <v>2.977966033806235</v>
      </c>
      <c r="S24">
        <f ca="1"/>
        <v>1.2881355932203389</v>
      </c>
    </row>
    <row r="25" spans="3:19" x14ac:dyDescent="0.25">
      <c r="C25" t="s">
        <v>79</v>
      </c>
      <c r="D25">
        <f>VLOOKUP($D$19,$G$19:$L23,5,FALSE)</f>
        <v>47.799999237060547</v>
      </c>
    </row>
    <row r="26" spans="3:19" x14ac:dyDescent="0.25">
      <c r="C26" t="s">
        <v>80</v>
      </c>
      <c r="D26">
        <f>VLOOKUP($D$19,$G$19:$L24,6,FALSE)</f>
        <v>47.5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625" defaultRowHeight="15.75" x14ac:dyDescent="0.25"/>
  <cols>
    <col min="2" max="3" width="10.625" style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 x14ac:dyDescent="0.25">
      <c r="A2" s="2" cm="1">
        <f t="array" ref="A2:F23">_xlfn._xlws.SORT(_xlfn._xlws.FILTER('Accumulated Input Data'!A2:F134,('Accumulated Input Data'!D2:D134="A")+('Accumulated Input Data'!D2:D134="01")),1,-1)</f>
        <v>45751</v>
      </c>
      <c r="B2" s="1">
        <v>25</v>
      </c>
      <c r="C2" s="1">
        <v>47255</v>
      </c>
      <c r="D2" t="str">
        <v>A</v>
      </c>
      <c r="E2">
        <v>198</v>
      </c>
      <c r="F2">
        <v>8407</v>
      </c>
      <c r="G2">
        <f>IF(F3&gt;0,F2-F3,"")</f>
        <v>587</v>
      </c>
      <c r="H2" s="2">
        <f>IF(A2&lt;&gt;"",DATE(YEAR(A2),MONTH(A2),DAY(A2)),"")</f>
        <v>45751</v>
      </c>
      <c r="I2">
        <f>IF(A3&gt;0,A2-A3,"")</f>
        <v>58</v>
      </c>
      <c r="J2">
        <f>I2</f>
        <v>58</v>
      </c>
      <c r="K2">
        <f>IF(AND($H3&gt;0,$H3&lt;&gt;""),VLOOKUP($H3,'Weather Data'!$L$2:$P$4170,'DDD Model Calculations'!$D$22,FALSE),"")</f>
        <v>60442.550012551248</v>
      </c>
      <c r="L2">
        <f>IF(AND($K2&gt;0,$K2&lt;&gt;""),VLOOKUP($H2,'Weather Data'!$L$2:$P$4170,'DDD Model Calculations'!$D$22,FALSE),"")</f>
        <v>61909.750013582408</v>
      </c>
      <c r="M2">
        <f>L2-K2</f>
        <v>1467.2000010311604</v>
      </c>
      <c r="N2">
        <f t="shared" ref="N2:N33" si="0">IF(AND($I2&gt;0,$I2&lt;&gt;""),G2/$I2,"")</f>
        <v>10.120689655172415</v>
      </c>
      <c r="O2">
        <f t="shared" ref="O2:O33" si="1">IF(AND($I2&gt;0,$I2&lt;&gt;""),$M2/$I2,"")</f>
        <v>25.296551741916559</v>
      </c>
      <c r="P2">
        <f>IF(AND($I2&gt;0,$I2&lt;&gt;""),$M2/$I2-5,"")</f>
        <v>20.296551741916559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-0.12301736155733245</v>
      </c>
      <c r="Y2">
        <f>IF(AND($N2&gt;0,$N2&lt;&gt;""),$N2-('DDD Model Calculations'!L$13+'DDD Model Calculations'!L$12*WorkingData!$P2),"")</f>
        <v>-0.13623812778276267</v>
      </c>
      <c r="Z2">
        <f>IF(AND($N2&gt;0,$N2&lt;&gt;""),$N2-('DDD Model Calculations'!M$13+'DDD Model Calculations'!M$12*WorkingData!$P2),"")</f>
        <v>-0.262471266406612</v>
      </c>
      <c r="AA2">
        <f>IF(AND($N2&gt;0,$N2&lt;&gt;""),$N2-('DDD Model Calculations'!N$13+'DDD Model Calculations'!N$12*WorkingData!$P2),"")</f>
        <v>-0.262471266406612</v>
      </c>
      <c r="AB2">
        <f>IF(X2&lt;&gt;"",X2/'DDD Model Calculations'!K$11,"")</f>
        <v>-1.1041672698837479</v>
      </c>
      <c r="AC2">
        <f>IF(Y2&lt;&gt;"",Y2/'DDD Model Calculations'!L$11,"")</f>
        <v>-0.43709438979107557</v>
      </c>
      <c r="AD2">
        <f>IF(Z2&lt;&gt;"",Z2/'DDD Model Calculations'!M$11,"")</f>
        <v>-0.79909996275854767</v>
      </c>
      <c r="AE2">
        <f>IF(AA2&lt;&gt;"",AA2/'DDD Model Calculations'!N$11,"")</f>
        <v>-0.79909996275854767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 x14ac:dyDescent="0.25">
      <c r="A3" s="2">
        <v>45693</v>
      </c>
      <c r="B3" s="1">
        <v>28</v>
      </c>
      <c r="C3" s="1">
        <v>46664</v>
      </c>
      <c r="D3" t="str">
        <v>A</v>
      </c>
      <c r="E3">
        <v>361</v>
      </c>
      <c r="F3">
        <v>7820</v>
      </c>
      <c r="G3">
        <f t="shared" ref="G3:G66" si="12">IF(F4&gt;0,F3-F4,"")</f>
        <v>749</v>
      </c>
      <c r="H3" s="2">
        <f t="shared" ref="H3:H66" si="13">IF(A3&lt;&gt;"",DATE(YEAR(A3),MONTH(A3),DAY(A3)),"")</f>
        <v>45693</v>
      </c>
      <c r="I3">
        <f t="shared" ref="I3:I66" si="14">IF(A4&gt;0,A3-A4,"")</f>
        <v>63</v>
      </c>
      <c r="J3">
        <f t="shared" ref="J3:J34" si="15">IF(AND(I3&gt;0,I3&lt;&gt;""),I3+J2,"")</f>
        <v>121</v>
      </c>
      <c r="K3">
        <f>IF(AND($H4&gt;0,$H4&lt;&gt;""),VLOOKUP($H4,'Weather Data'!$L$2:$P$4170,'DDD Model Calculations'!$D$22,FALSE),"")</f>
        <v>58626.750014007092</v>
      </c>
      <c r="L3">
        <f>IF(AND($K3&gt;0,$K3&lt;&gt;""),VLOOKUP($H3,'Weather Data'!$L$2:$P$4170,'DDD Model Calculations'!$D$22,FALSE),"")</f>
        <v>60442.550012551248</v>
      </c>
      <c r="M3">
        <f t="shared" ref="M3:M34" si="16">IF(AND(K3&gt;0,K3&lt;&gt;""),L3-K3,"")</f>
        <v>1815.7999985441566</v>
      </c>
      <c r="N3">
        <f t="shared" si="0"/>
        <v>11.888888888888889</v>
      </c>
      <c r="O3">
        <f t="shared" si="1"/>
        <v>28.822222199113597</v>
      </c>
      <c r="P3">
        <f t="shared" ref="P3:P34" si="17">IF(AND($I3&gt;0,$I3&lt;&gt;""),M3/$I3-5,"")</f>
        <v>23.822222199113597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9.6659110468712228E-2</v>
      </c>
      <c r="Y3">
        <f>IF(AND($N3&gt;0,$N3&lt;&gt;""),$N3-('DDD Model Calculations'!L$13+'DDD Model Calculations'!L$12*WorkingData!$P3),"")</f>
        <v>0.15513602124765669</v>
      </c>
      <c r="Z3">
        <f>IF(AND($N3&gt;0,$N3&lt;&gt;""),$N3-('DDD Model Calculations'!M$13+'DDD Model Calculations'!M$12*WorkingData!$P3),"")</f>
        <v>3.6980861997296444E-2</v>
      </c>
      <c r="AA3">
        <f>IF(AND($N3&gt;0,$N3&lt;&gt;""),$N3-('DDD Model Calculations'!N$13+'DDD Model Calculations'!N$12*WorkingData!$P3),"")</f>
        <v>3.6980861997296444E-2</v>
      </c>
      <c r="AB3">
        <f>IF(X3&lt;&gt;"",X3/'DDD Model Calculations'!K$11,"")</f>
        <v>0.86758344321901981</v>
      </c>
      <c r="AC3">
        <f>IF(Y3&lt;&gt;"",Y3/'DDD Model Calculations'!L$11,"")</f>
        <v>0.49772472394794076</v>
      </c>
      <c r="AD3">
        <f>IF(Z3&lt;&gt;"",Z3/'DDD Model Calculations'!M$11,"")</f>
        <v>0.11258910679784087</v>
      </c>
      <c r="AE3">
        <f>IF(AA3&lt;&gt;"",AA3/'DDD Model Calculations'!N$11,"")</f>
        <v>0.11258910679784087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 x14ac:dyDescent="0.25">
      <c r="A4" s="2">
        <v>45630</v>
      </c>
      <c r="B4" s="1">
        <v>27</v>
      </c>
      <c r="C4" s="1">
        <v>45909</v>
      </c>
      <c r="D4" t="str">
        <v>A</v>
      </c>
      <c r="E4">
        <v>171</v>
      </c>
      <c r="F4">
        <v>7071</v>
      </c>
      <c r="G4">
        <f t="shared" si="12"/>
        <v>338</v>
      </c>
      <c r="H4" s="2">
        <f t="shared" si="13"/>
        <v>45630</v>
      </c>
      <c r="I4">
        <f t="shared" si="14"/>
        <v>61</v>
      </c>
      <c r="J4">
        <f t="shared" si="15"/>
        <v>182</v>
      </c>
      <c r="K4">
        <f>IF(AND($H5&gt;0,$H5&lt;&gt;""),VLOOKUP($H5,'Weather Data'!$L$2:$P$4170,'DDD Model Calculations'!$D$22,FALSE),"")</f>
        <v>57738.750013172626</v>
      </c>
      <c r="L4">
        <f>IF(AND($K4&gt;0,$K4&lt;&gt;""),VLOOKUP($H4,'Weather Data'!$L$2:$P$4170,'DDD Model Calculations'!$D$22,FALSE),"")</f>
        <v>58626.750014007092</v>
      </c>
      <c r="M4">
        <f t="shared" si="16"/>
        <v>888.00000083446503</v>
      </c>
      <c r="N4">
        <f t="shared" si="0"/>
        <v>5.5409836065573774</v>
      </c>
      <c r="O4">
        <f t="shared" si="1"/>
        <v>14.557377062860082</v>
      </c>
      <c r="P4">
        <f t="shared" si="17"/>
        <v>9.5573770628600823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1.4069220954437966E-2</v>
      </c>
      <c r="Y4">
        <f>IF(AND($N4&gt;0,$N4&lt;&gt;""),$N4-('DDD Model Calculations'!L$13+'DDD Model Calculations'!L$12*WorkingData!$P4),"")</f>
        <v>-0.21754231286550851</v>
      </c>
      <c r="Z4">
        <f>IF(AND($N4&gt;0,$N4&lt;&gt;""),$N4-('DDD Model Calculations'!M$13+'DDD Model Calculations'!M$12*WorkingData!$P4),"")</f>
        <v>-0.36838093648827019</v>
      </c>
      <c r="AA4">
        <f>IF(AND($N4&gt;0,$N4&lt;&gt;""),$N4-('DDD Model Calculations'!N$13+'DDD Model Calculations'!N$12*WorkingData!$P4),"")</f>
        <v>-0.36838093648827019</v>
      </c>
      <c r="AB4">
        <f>IF(X4&lt;&gt;"",X4/'DDD Model Calculations'!K$11,"")</f>
        <v>0.12628114514887379</v>
      </c>
      <c r="AC4">
        <f>IF(Y4&lt;&gt;"",Y4/'DDD Model Calculations'!L$11,"")</f>
        <v>-0.69794356428112458</v>
      </c>
      <c r="AD4">
        <f>IF(Z4&lt;&gt;"",Z4/'DDD Model Calculations'!M$11,"")</f>
        <v>-1.1215444519275577</v>
      </c>
      <c r="AE4">
        <f>IF(AA4&lt;&gt;"",AA4/'DDD Model Calculations'!N$11,"")</f>
        <v>-1.1215444519275577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 x14ac:dyDescent="0.25">
      <c r="A5" s="2">
        <v>45569</v>
      </c>
      <c r="B5" s="1">
        <v>27</v>
      </c>
      <c r="C5" s="1">
        <v>45569</v>
      </c>
      <c r="D5" t="str">
        <v>A</v>
      </c>
      <c r="E5">
        <v>38</v>
      </c>
      <c r="F5">
        <v>6733</v>
      </c>
      <c r="G5">
        <f t="shared" si="12"/>
        <v>78</v>
      </c>
      <c r="H5" s="2">
        <f t="shared" si="13"/>
        <v>45569</v>
      </c>
      <c r="I5">
        <f t="shared" si="14"/>
        <v>58</v>
      </c>
      <c r="J5">
        <f t="shared" si="15"/>
        <v>240</v>
      </c>
      <c r="K5">
        <f>IF(AND($H6&gt;0,$H6&lt;&gt;""),VLOOKUP($H6,'Weather Data'!$L$2:$P$4170,'DDD Model Calculations'!$D$22,FALSE),"")</f>
        <v>57593.050009548664</v>
      </c>
      <c r="L5">
        <f>IF(AND($K5&gt;0,$K5&lt;&gt;""),VLOOKUP($H5,'Weather Data'!$L$2:$P$4170,'DDD Model Calculations'!$D$22,FALSE),"")</f>
        <v>57738.750013172626</v>
      </c>
      <c r="M5">
        <f t="shared" si="16"/>
        <v>145.7000036239624</v>
      </c>
      <c r="N5">
        <f t="shared" si="0"/>
        <v>1.3448275862068966</v>
      </c>
      <c r="O5">
        <f t="shared" si="1"/>
        <v>2.5120690279993516</v>
      </c>
      <c r="P5">
        <f t="shared" si="17"/>
        <v>-2.4879309720006484</v>
      </c>
      <c r="Q5">
        <f t="shared" si="2"/>
        <v>0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0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1.1083774938503062</v>
      </c>
      <c r="Y5">
        <f>IF(AND($N5&gt;0,$N5&lt;&gt;""),$N5-('DDD Model Calculations'!L$13+'DDD Model Calculations'!L$12*WorkingData!$P5),"")</f>
        <v>0.63181379692086548</v>
      </c>
      <c r="Z5">
        <f>IF(AND($N5&gt;0,$N5&lt;&gt;""),$N5-('DDD Model Calculations'!M$13+'DDD Model Calculations'!M$12*WorkingData!$P5),"")</f>
        <v>0.45337708917930408</v>
      </c>
      <c r="AA5">
        <f>IF(AND($N5&gt;0,$N5&lt;&gt;""),$N5-('DDD Model Calculations'!N$13+'DDD Model Calculations'!N$12*WorkingData!$P5),"")</f>
        <v>0.45337708917930408</v>
      </c>
      <c r="AB5">
        <f>IF(X5&lt;&gt;"",X5/'DDD Model Calculations'!K$11,"")</f>
        <v>9.9484669146875913</v>
      </c>
      <c r="AC5">
        <f>IF(Y5&lt;&gt;"",Y5/'DDD Model Calculations'!L$11,"")</f>
        <v>2.0270556452967439</v>
      </c>
      <c r="AD5">
        <f>IF(Z5&lt;&gt;"",Z5/'DDD Model Calculations'!M$11,"")</f>
        <v>1.3803172440121774</v>
      </c>
      <c r="AE5">
        <f>IF(AA5&lt;&gt;"",AA5/'DDD Model Calculations'!N$11,"")</f>
        <v>1.3803172440121774</v>
      </c>
      <c r="AF5">
        <f t="shared" si="8"/>
        <v>0</v>
      </c>
      <c r="AG5">
        <f t="shared" si="9"/>
        <v>0</v>
      </c>
      <c r="AH5">
        <f t="shared" si="10"/>
        <v>1</v>
      </c>
      <c r="AI5">
        <f t="shared" si="11"/>
        <v>1</v>
      </c>
    </row>
    <row r="6" spans="1:35" x14ac:dyDescent="0.25">
      <c r="A6" s="2">
        <v>45511</v>
      </c>
      <c r="B6" s="1">
        <v>29</v>
      </c>
      <c r="C6" s="1">
        <v>45491</v>
      </c>
      <c r="D6" t="str">
        <v>A</v>
      </c>
      <c r="E6">
        <v>46</v>
      </c>
      <c r="F6">
        <v>6655</v>
      </c>
      <c r="G6">
        <f t="shared" si="12"/>
        <v>88</v>
      </c>
      <c r="H6" s="2">
        <f t="shared" si="13"/>
        <v>45511</v>
      </c>
      <c r="I6">
        <f t="shared" si="14"/>
        <v>62</v>
      </c>
      <c r="J6">
        <f t="shared" si="15"/>
        <v>302</v>
      </c>
      <c r="K6">
        <f>IF(AND($H7&gt;0,$H7&lt;&gt;""),VLOOKUP($H7,'Weather Data'!$L$2:$P$4170,'DDD Model Calculations'!$D$22,FALSE),"")</f>
        <v>57480.050006687641</v>
      </c>
      <c r="L6">
        <f>IF(AND($K6&gt;0,$K6&lt;&gt;""),VLOOKUP($H6,'Weather Data'!$L$2:$P$4170,'DDD Model Calculations'!$D$22,FALSE),"")</f>
        <v>57593.050009548664</v>
      </c>
      <c r="M6">
        <f t="shared" si="16"/>
        <v>113.00000286102295</v>
      </c>
      <c r="N6">
        <f t="shared" si="0"/>
        <v>1.4193548387096775</v>
      </c>
      <c r="O6">
        <f t="shared" si="1"/>
        <v>1.8225806913068217</v>
      </c>
      <c r="P6">
        <f t="shared" si="17"/>
        <v>-3.1774193086931781</v>
      </c>
      <c r="Q6">
        <f t="shared" si="2"/>
        <v>0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0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1.4857374688807863</v>
      </c>
      <c r="Y6">
        <f>IF(AND($N6&gt;0,$N6&lt;&gt;""),$N6-('DDD Model Calculations'!L$13+'DDD Model Calculations'!L$12*WorkingData!$P6),"")</f>
        <v>0.99515240703292207</v>
      </c>
      <c r="Z6">
        <f>IF(AND($N6&gt;0,$N6&lt;&gt;""),$N6-('DDD Model Calculations'!M$13+'DDD Model Calculations'!M$12*WorkingData!$P6),"")</f>
        <v>0.81513595080673062</v>
      </c>
      <c r="AA6">
        <f>IF(AND($N6&gt;0,$N6&lt;&gt;""),$N6-('DDD Model Calculations'!N$13+'DDD Model Calculations'!N$12*WorkingData!$P6),"")</f>
        <v>0.81513595080673062</v>
      </c>
      <c r="AB6">
        <f>IF(X6&lt;&gt;"",X6/'DDD Model Calculations'!K$11,"")</f>
        <v>13.335537878639418</v>
      </c>
      <c r="AC6">
        <f>IF(Y6&lt;&gt;"",Y6/'DDD Model Calculations'!L$11,"")</f>
        <v>3.1927591870226046</v>
      </c>
      <c r="AD6">
        <f>IF(Z6&lt;&gt;"",Z6/'DDD Model Calculations'!M$11,"")</f>
        <v>2.4817006327988778</v>
      </c>
      <c r="AE6">
        <f>IF(AA6&lt;&gt;"",AA6/'DDD Model Calculations'!N$11,"")</f>
        <v>2.4817006327988778</v>
      </c>
      <c r="AF6">
        <f t="shared" si="8"/>
        <v>0</v>
      </c>
      <c r="AG6">
        <f t="shared" si="9"/>
        <v>0</v>
      </c>
      <c r="AH6">
        <f t="shared" si="10"/>
        <v>0</v>
      </c>
      <c r="AI6">
        <f t="shared" si="11"/>
        <v>0</v>
      </c>
    </row>
    <row r="7" spans="1:35" x14ac:dyDescent="0.25">
      <c r="A7" s="2">
        <v>45449</v>
      </c>
      <c r="B7" s="1">
        <v>29</v>
      </c>
      <c r="C7" s="1">
        <v>45403</v>
      </c>
      <c r="D7" t="str">
        <v>A</v>
      </c>
      <c r="E7">
        <v>33</v>
      </c>
      <c r="F7">
        <v>6567</v>
      </c>
      <c r="G7">
        <f t="shared" si="12"/>
        <v>219</v>
      </c>
      <c r="H7" s="2">
        <f t="shared" si="13"/>
        <v>45449</v>
      </c>
      <c r="I7">
        <f t="shared" si="14"/>
        <v>63</v>
      </c>
      <c r="J7">
        <f t="shared" si="15"/>
        <v>365</v>
      </c>
      <c r="K7">
        <f>IF(AND($H8&gt;0,$H8&lt;&gt;""),VLOOKUP($H8,'Weather Data'!$L$2:$P$4170,'DDD Model Calculations'!$D$22,FALSE),"")</f>
        <v>56858.850009381771</v>
      </c>
      <c r="L7">
        <f>IF(AND($K7&gt;0,$K7&lt;&gt;""),VLOOKUP($H7,'Weather Data'!$L$2:$P$4170,'DDD Model Calculations'!$D$22,FALSE),"")</f>
        <v>57480.050006687641</v>
      </c>
      <c r="M7">
        <f t="shared" si="16"/>
        <v>621.19999730587006</v>
      </c>
      <c r="N7">
        <f t="shared" si="0"/>
        <v>3.4761904761904763</v>
      </c>
      <c r="O7">
        <f t="shared" si="1"/>
        <v>9.8603174175534924</v>
      </c>
      <c r="P7">
        <f t="shared" si="17"/>
        <v>4.8603174175534924</v>
      </c>
      <c r="Q7">
        <f t="shared" si="2"/>
        <v>1</v>
      </c>
      <c r="R7">
        <f t="shared" si="3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1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1.2289030134183143E-2</v>
      </c>
      <c r="Y7">
        <f>IF(AND($N7&gt;0,$N7&lt;&gt;""),$N7-('DDD Model Calculations'!L$13+'DDD Model Calculations'!L$12*WorkingData!$P7),"")</f>
        <v>-0.31484143247050689</v>
      </c>
      <c r="Z7">
        <f>IF(AND($N7&gt;0,$N7&lt;&gt;""),$N7-('DDD Model Calculations'!M$13+'DDD Model Calculations'!M$12*WorkingData!$P7),"")</f>
        <v>-0.47644191015520088</v>
      </c>
      <c r="AA7">
        <f>IF(AND($N7&gt;0,$N7&lt;&gt;""),$N7-('DDD Model Calculations'!N$13+'DDD Model Calculations'!N$12*WorkingData!$P7),"")</f>
        <v>-0.47644191015520088</v>
      </c>
      <c r="AB7">
        <f>IF(X7&lt;&gt;"",X7/'DDD Model Calculations'!K$11,"")</f>
        <v>0.11030268151586217</v>
      </c>
      <c r="AC7">
        <f>IF(Y7&lt;&gt;"",Y7/'DDD Model Calculations'!L$11,"")</f>
        <v>-1.0101094755652971</v>
      </c>
      <c r="AD7">
        <f>IF(Z7&lt;&gt;"",Z7/'DDD Model Calculations'!M$11,"")</f>
        <v>-1.4505386356151684</v>
      </c>
      <c r="AE7">
        <f>IF(AA7&lt;&gt;"",AA7/'DDD Model Calculations'!N$11,"")</f>
        <v>-1.4505386356151684</v>
      </c>
      <c r="AF7">
        <f t="shared" si="8"/>
        <v>1</v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 x14ac:dyDescent="0.25">
      <c r="A8" s="2">
        <v>45386</v>
      </c>
      <c r="B8" s="1">
        <v>28</v>
      </c>
      <c r="C8" s="1">
        <v>45183</v>
      </c>
      <c r="D8" t="str">
        <v>A</v>
      </c>
      <c r="E8">
        <v>235</v>
      </c>
      <c r="F8">
        <v>6348</v>
      </c>
      <c r="G8">
        <f t="shared" si="12"/>
        <v>530</v>
      </c>
      <c r="H8" s="2">
        <f t="shared" si="13"/>
        <v>45386</v>
      </c>
      <c r="I8">
        <f t="shared" si="14"/>
        <v>59</v>
      </c>
      <c r="J8">
        <f t="shared" si="15"/>
        <v>424</v>
      </c>
      <c r="K8">
        <f>IF(AND($H9&gt;0,$H9&lt;&gt;""),VLOOKUP($H9,'Weather Data'!$L$2:$P$4170,'DDD Model Calculations'!$D$22,FALSE),"")</f>
        <v>55555.450010254979</v>
      </c>
      <c r="L8">
        <f>IF(AND($K8&gt;0,$K8&lt;&gt;""),VLOOKUP($H8,'Weather Data'!$L$2:$P$4170,'DDD Model Calculations'!$D$22,FALSE),"")</f>
        <v>56858.850009381771</v>
      </c>
      <c r="M8">
        <f t="shared" si="16"/>
        <v>1303.399999126792</v>
      </c>
      <c r="N8">
        <f t="shared" si="0"/>
        <v>8.9830508474576263</v>
      </c>
      <c r="O8">
        <f t="shared" si="1"/>
        <v>22.091525408928678</v>
      </c>
      <c r="P8">
        <f t="shared" si="17"/>
        <v>17.091525408928678</v>
      </c>
      <c r="Q8">
        <f t="shared" si="2"/>
        <v>1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0.14703530067729886</v>
      </c>
      <c r="Y8">
        <f>IF(AND($N8&gt;0,$N8&lt;&gt;""),$N8-('DDD Model Calculations'!L$13+'DDD Model Calculations'!L$12*WorkingData!$P8),"")</f>
        <v>6.8637443852262336E-2</v>
      </c>
      <c r="Z8">
        <f>IF(AND($N8&gt;0,$N8&lt;&gt;""),$N8-('DDD Model Calculations'!M$13+'DDD Model Calculations'!M$12*WorkingData!$P8),"")</f>
        <v>-6.493901767248289E-2</v>
      </c>
      <c r="AA8">
        <f>IF(AND($N8&gt;0,$N8&lt;&gt;""),$N8-('DDD Model Calculations'!N$13+'DDD Model Calculations'!N$12*WorkingData!$P8),"")</f>
        <v>-6.493901767248289E-2</v>
      </c>
      <c r="AB8">
        <f>IF(X8&lt;&gt;"",X8/'DDD Model Calculations'!K$11,"")</f>
        <v>1.3197451519859238</v>
      </c>
      <c r="AC8">
        <f>IF(Y8&lt;&gt;"",Y8/'DDD Model Calculations'!L$11,"")</f>
        <v>0.22021031942879982</v>
      </c>
      <c r="AD8">
        <f>IF(Z8&lt;&gt;"",Z8/'DDD Model Calculations'!M$11,"")</f>
        <v>-0.19770837133565375</v>
      </c>
      <c r="AE8">
        <f>IF(AA8&lt;&gt;"",AA8/'DDD Model Calculations'!N$11,"")</f>
        <v>-0.19770837133565375</v>
      </c>
      <c r="AF8">
        <f t="shared" si="8"/>
        <v>1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 x14ac:dyDescent="0.25">
      <c r="A9" s="2">
        <v>45327</v>
      </c>
      <c r="B9" s="1">
        <v>27</v>
      </c>
      <c r="C9" s="1">
        <v>44649</v>
      </c>
      <c r="D9" t="str">
        <v>A</v>
      </c>
      <c r="E9">
        <v>291</v>
      </c>
      <c r="F9">
        <v>5818</v>
      </c>
      <c r="G9">
        <f t="shared" si="12"/>
        <v>603</v>
      </c>
      <c r="H9" s="2">
        <f t="shared" si="13"/>
        <v>45327</v>
      </c>
      <c r="I9">
        <f t="shared" si="14"/>
        <v>62</v>
      </c>
      <c r="J9">
        <f t="shared" si="15"/>
        <v>486</v>
      </c>
      <c r="K9">
        <f>IF(AND($H10&gt;0,$H10&lt;&gt;""),VLOOKUP($H10,'Weather Data'!$L$2:$P$4170,'DDD Model Calculations'!$D$22,FALSE),"")</f>
        <v>54067.050010338426</v>
      </c>
      <c r="L9">
        <f>IF(AND($K9&gt;0,$K9&lt;&gt;""),VLOOKUP($H9,'Weather Data'!$L$2:$P$4170,'DDD Model Calculations'!$D$22,FALSE),"")</f>
        <v>55555.450010254979</v>
      </c>
      <c r="M9">
        <f t="shared" si="16"/>
        <v>1488.3999999165535</v>
      </c>
      <c r="N9">
        <f t="shared" si="0"/>
        <v>9.7258064516129039</v>
      </c>
      <c r="O9">
        <f t="shared" si="1"/>
        <v>24.006451611557313</v>
      </c>
      <c r="P9">
        <f t="shared" si="17"/>
        <v>19.006451611557313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4.8729084753873053E-2</v>
      </c>
      <c r="Y9">
        <f>IF(AND($N9&gt;0,$N9&lt;&gt;""),$N9-('DDD Model Calculations'!L$13+'DDD Model Calculations'!L$12*WorkingData!$P9),"")</f>
        <v>9.2729730607494787E-3</v>
      </c>
      <c r="Z9">
        <f>IF(AND($N9&gt;0,$N9&lt;&gt;""),$N9-('DDD Model Calculations'!M$13+'DDD Model Calculations'!M$12*WorkingData!$P9),"")</f>
        <v>-0.1199160295240933</v>
      </c>
      <c r="AA9">
        <f>IF(AND($N9&gt;0,$N9&lt;&gt;""),$N9-('DDD Model Calculations'!N$13+'DDD Model Calculations'!N$12*WorkingData!$P9),"")</f>
        <v>-0.1199160295240933</v>
      </c>
      <c r="AB9">
        <f>IF(X9&lt;&gt;"",X9/'DDD Model Calculations'!K$11,"")</f>
        <v>0.43737777981477705</v>
      </c>
      <c r="AC9">
        <f>IF(Y9&lt;&gt;"",Y9/'DDD Model Calculations'!L$11,"")</f>
        <v>2.9750588675149101E-2</v>
      </c>
      <c r="AD9">
        <f>IF(Z9&lt;&gt;"",Z9/'DDD Model Calculations'!M$11,"")</f>
        <v>-0.36508718092748116</v>
      </c>
      <c r="AE9">
        <f>IF(AA9&lt;&gt;"",AA9/'DDD Model Calculations'!N$11,"")</f>
        <v>-0.36508718092748116</v>
      </c>
      <c r="AF9">
        <f t="shared" si="8"/>
        <v>1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 x14ac:dyDescent="0.25">
      <c r="A10" s="2">
        <v>45265</v>
      </c>
      <c r="B10" s="1">
        <v>27</v>
      </c>
      <c r="C10" s="1">
        <v>44041</v>
      </c>
      <c r="D10" t="str">
        <v>A</v>
      </c>
      <c r="E10">
        <v>193</v>
      </c>
      <c r="F10">
        <v>5215</v>
      </c>
      <c r="G10">
        <f t="shared" si="12"/>
        <v>405</v>
      </c>
      <c r="H10" s="2">
        <f t="shared" si="13"/>
        <v>45265</v>
      </c>
      <c r="I10">
        <f t="shared" si="14"/>
        <v>60</v>
      </c>
      <c r="J10">
        <f t="shared" si="15"/>
        <v>546</v>
      </c>
      <c r="K10">
        <f>IF(AND($H11&gt;0,$H11&lt;&gt;""),VLOOKUP($H11,'Weather Data'!$L$2:$P$4170,'DDD Model Calculations'!$D$22,FALSE),"")</f>
        <v>53027.850010767579</v>
      </c>
      <c r="L10">
        <f>IF(AND($K10&gt;0,$K10&lt;&gt;""),VLOOKUP($H10,'Weather Data'!$L$2:$P$4170,'DDD Model Calculations'!$D$22,FALSE),"")</f>
        <v>54067.050010338426</v>
      </c>
      <c r="M10">
        <f t="shared" si="16"/>
        <v>1039.1999995708466</v>
      </c>
      <c r="N10">
        <f t="shared" si="0"/>
        <v>6.75</v>
      </c>
      <c r="O10">
        <f t="shared" si="1"/>
        <v>17.319999992847443</v>
      </c>
      <c r="P10">
        <f t="shared" si="17"/>
        <v>12.319999992847443</v>
      </c>
      <c r="Q10">
        <f t="shared" si="2"/>
        <v>1</v>
      </c>
      <c r="R10">
        <f t="shared" si="3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0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9.7037793703123043E-3</v>
      </c>
      <c r="Y10">
        <f>IF(AND($N10&gt;0,$N10&lt;&gt;""),$N10-('DDD Model Calculations'!L$13+'DDD Model Calculations'!L$12*WorkingData!$P10),"")</f>
        <v>-0.16572733460500988</v>
      </c>
      <c r="Z10">
        <f>IF(AND($N10&gt;0,$N10&lt;&gt;""),$N10-('DDD Model Calculations'!M$13+'DDD Model Calculations'!M$12*WorkingData!$P10),"")</f>
        <v>-0.31023626538889548</v>
      </c>
      <c r="AA10">
        <f>IF(AND($N10&gt;0,$N10&lt;&gt;""),$N10-('DDD Model Calculations'!N$13+'DDD Model Calculations'!N$12*WorkingData!$P10),"")</f>
        <v>-0.31023626538889548</v>
      </c>
      <c r="AB10">
        <f>IF(X10&lt;&gt;"",X10/'DDD Model Calculations'!K$11,"")</f>
        <v>8.7098239136582475E-2</v>
      </c>
      <c r="AC10">
        <f>IF(Y10&lt;&gt;"",Y10/'DDD Model Calculations'!L$11,"")</f>
        <v>-0.53170495932228568</v>
      </c>
      <c r="AD10">
        <f>IF(Z10&lt;&gt;"",Z10/'DDD Model Calculations'!M$11,"")</f>
        <v>-0.94452162902495951</v>
      </c>
      <c r="AE10">
        <f>IF(AA10&lt;&gt;"",AA10/'DDD Model Calculations'!N$11,"")</f>
        <v>-0.94452162902495951</v>
      </c>
      <c r="AF10">
        <f t="shared" si="8"/>
        <v>1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 x14ac:dyDescent="0.25">
      <c r="A11" s="2">
        <v>45205</v>
      </c>
      <c r="B11" s="1">
        <v>28</v>
      </c>
      <c r="C11" s="1">
        <v>43633</v>
      </c>
      <c r="D11" t="str">
        <v>A</v>
      </c>
      <c r="E11">
        <v>30</v>
      </c>
      <c r="F11">
        <v>4810</v>
      </c>
      <c r="G11">
        <f t="shared" si="12"/>
        <v>75</v>
      </c>
      <c r="H11" s="2">
        <f t="shared" si="13"/>
        <v>45205</v>
      </c>
      <c r="I11">
        <f t="shared" si="14"/>
        <v>63</v>
      </c>
      <c r="J11">
        <f t="shared" si="15"/>
        <v>609</v>
      </c>
      <c r="K11">
        <f>IF(AND($H12&gt;0,$H12&lt;&gt;""),VLOOKUP($H12,'Weather Data'!$L$2:$P$4170,'DDD Model Calculations'!$D$22,FALSE),"")</f>
        <v>52840.650008574128</v>
      </c>
      <c r="L11">
        <f>IF(AND($K11&gt;0,$K11&lt;&gt;""),VLOOKUP($H11,'Weather Data'!$L$2:$P$4170,'DDD Model Calculations'!$D$22,FALSE),"")</f>
        <v>53027.850010767579</v>
      </c>
      <c r="M11">
        <f t="shared" si="16"/>
        <v>187.20000219345093</v>
      </c>
      <c r="N11">
        <f t="shared" si="0"/>
        <v>1.1904761904761905</v>
      </c>
      <c r="O11">
        <f t="shared" si="1"/>
        <v>2.9714286062452526</v>
      </c>
      <c r="P11">
        <f t="shared" si="17"/>
        <v>-2.0285713937547474</v>
      </c>
      <c r="Q11">
        <f t="shared" si="2"/>
        <v>0</v>
      </c>
      <c r="R11">
        <f t="shared" si="3"/>
        <v>2</v>
      </c>
      <c r="S11">
        <f>IF('DDD Model Calculations'!$D$23=1,WorkingData!AF11,IF('DDD Model Calculations'!$D$23=2,WorkingData!AG11,IF('DDD Model Calculations'!$D$23=4,WorkingData!AH11,WorkingData!AI11)))</f>
        <v>0</v>
      </c>
      <c r="T11">
        <f t="shared" si="4"/>
        <v>0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0.7522690787526195</v>
      </c>
      <c r="Y11">
        <f>IF(AND($N11&gt;0,$N11&lt;&gt;""),$N11-('DDD Model Calculations'!L$13+'DDD Model Calculations'!L$12*WorkingData!$P11),"")</f>
        <v>0.28504687163902653</v>
      </c>
      <c r="Z11">
        <f>IF(AND($N11&gt;0,$N11&lt;&gt;""),$N11-('DDD Model Calculations'!M$13+'DDD Model Calculations'!M$12*WorkingData!$P11),"")</f>
        <v>0.10766264377133106</v>
      </c>
      <c r="AA11">
        <f>IF(AND($N11&gt;0,$N11&lt;&gt;""),$N11-('DDD Model Calculations'!N$13+'DDD Model Calculations'!N$12*WorkingData!$P11),"")</f>
        <v>0.10766264377133106</v>
      </c>
      <c r="AB11">
        <f>IF(X11&lt;&gt;"",X11/'DDD Model Calculations'!K$11,"")</f>
        <v>6.7521436355723257</v>
      </c>
      <c r="AC11">
        <f>IF(Y11&lt;&gt;"",Y11/'DDD Model Calculations'!L$11,"")</f>
        <v>0.91451923517022382</v>
      </c>
      <c r="AD11">
        <f>IF(Z11&lt;&gt;"",Z11/'DDD Model Calculations'!M$11,"")</f>
        <v>0.32778145892311716</v>
      </c>
      <c r="AE11">
        <f>IF(AA11&lt;&gt;"",AA11/'DDD Model Calculations'!N$11,"")</f>
        <v>0.32778145892311716</v>
      </c>
      <c r="AF11">
        <f t="shared" si="8"/>
        <v>0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 x14ac:dyDescent="0.25">
      <c r="A12" s="2">
        <v>45142</v>
      </c>
      <c r="B12" s="1">
        <v>28</v>
      </c>
      <c r="C12" s="1">
        <v>43558</v>
      </c>
      <c r="D12" t="str">
        <v>A</v>
      </c>
      <c r="E12">
        <v>40</v>
      </c>
      <c r="F12">
        <v>4735</v>
      </c>
      <c r="G12">
        <f t="shared" si="12"/>
        <v>78</v>
      </c>
      <c r="H12" s="2">
        <f t="shared" si="13"/>
        <v>45142</v>
      </c>
      <c r="I12">
        <f t="shared" si="14"/>
        <v>59</v>
      </c>
      <c r="J12">
        <f t="shared" si="15"/>
        <v>668</v>
      </c>
      <c r="K12">
        <f>IF(AND($H13&gt;0,$H13&lt;&gt;""),VLOOKUP($H13,'Weather Data'!$L$2:$P$4170,'DDD Model Calculations'!$D$22,FALSE),"")</f>
        <v>52743.650003805757</v>
      </c>
      <c r="L12">
        <f>IF(AND($K12&gt;0,$K12&lt;&gt;""),VLOOKUP($H12,'Weather Data'!$L$2:$P$4170,'DDD Model Calculations'!$D$22,FALSE),"")</f>
        <v>52840.650008574128</v>
      </c>
      <c r="M12">
        <f t="shared" si="16"/>
        <v>97.000004768371582</v>
      </c>
      <c r="N12">
        <f t="shared" si="0"/>
        <v>1.3220338983050848</v>
      </c>
      <c r="O12">
        <f t="shared" si="1"/>
        <v>1.6440678774300268</v>
      </c>
      <c r="P12">
        <f t="shared" si="17"/>
        <v>-3.355932122569973</v>
      </c>
      <c r="Q12">
        <f t="shared" si="2"/>
        <v>0</v>
      </c>
      <c r="R12">
        <f t="shared" si="3"/>
        <v>2</v>
      </c>
      <c r="S12">
        <f>IF('DDD Model Calculations'!$D$23=1,WorkingData!AF12,IF('DDD Model Calculations'!$D$23=2,WorkingData!AG12,IF('DDD Model Calculations'!$D$23=4,WorkingData!AH12,WorkingData!AI12)))</f>
        <v>0</v>
      </c>
      <c r="T12">
        <f t="shared" si="4"/>
        <v>0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1.4668218017136108</v>
      </c>
      <c r="Y12">
        <f>IF(AND($N12&gt;0,$N12&lt;&gt;""),$N12-('DDD Model Calculations'!L$13+'DDD Model Calculations'!L$12*WorkingData!$P12),"")</f>
        <v>0.97260652137940062</v>
      </c>
      <c r="Z12">
        <f>IF(AND($N12&gt;0,$N12&lt;&gt;""),$N12-('DDD Model Calculations'!M$13+'DDD Model Calculations'!M$12*WorkingData!$P12),"")</f>
        <v>0.79218105845621167</v>
      </c>
      <c r="AA12">
        <f>IF(AND($N12&gt;0,$N12&lt;&gt;""),$N12-('DDD Model Calculations'!N$13+'DDD Model Calculations'!N$12*WorkingData!$P12),"")</f>
        <v>0.79218105845621167</v>
      </c>
      <c r="AB12">
        <f>IF(X12&lt;&gt;"",X12/'DDD Model Calculations'!K$11,"")</f>
        <v>13.165756472912586</v>
      </c>
      <c r="AC12">
        <f>IF(Y12&lt;&gt;"",Y12/'DDD Model Calculations'!L$11,"")</f>
        <v>3.1204249565659223</v>
      </c>
      <c r="AD12">
        <f>IF(Z12&lt;&gt;"",Z12/'DDD Model Calculations'!M$11,"")</f>
        <v>2.4118139214892693</v>
      </c>
      <c r="AE12">
        <f>IF(AA12&lt;&gt;"",AA12/'DDD Model Calculations'!N$11,"")</f>
        <v>2.4118139214892693</v>
      </c>
      <c r="AF12">
        <f t="shared" si="8"/>
        <v>0</v>
      </c>
      <c r="AG12">
        <f t="shared" si="9"/>
        <v>0</v>
      </c>
      <c r="AH12">
        <f t="shared" si="10"/>
        <v>0</v>
      </c>
      <c r="AI12">
        <f t="shared" si="11"/>
        <v>0</v>
      </c>
    </row>
    <row r="13" spans="1:35" x14ac:dyDescent="0.25">
      <c r="A13" s="2">
        <v>45083</v>
      </c>
      <c r="B13" s="1">
        <v>28</v>
      </c>
      <c r="C13" s="1">
        <v>43480</v>
      </c>
      <c r="D13" t="str">
        <v>A</v>
      </c>
      <c r="E13">
        <v>78</v>
      </c>
      <c r="F13">
        <v>4657</v>
      </c>
      <c r="G13">
        <f t="shared" si="12"/>
        <v>287</v>
      </c>
      <c r="H13" s="2">
        <f t="shared" si="13"/>
        <v>45083</v>
      </c>
      <c r="I13">
        <f t="shared" si="14"/>
        <v>61</v>
      </c>
      <c r="J13">
        <f t="shared" si="15"/>
        <v>729</v>
      </c>
      <c r="K13">
        <f>IF(AND($H14&gt;0,$H14&lt;&gt;""),VLOOKUP($H14,'Weather Data'!$L$2:$P$4170,'DDD Model Calculations'!$D$22,FALSE),"")</f>
        <v>52096.650003507733</v>
      </c>
      <c r="L13">
        <f>IF(AND($K13&gt;0,$K13&lt;&gt;""),VLOOKUP($H13,'Weather Data'!$L$2:$P$4170,'DDD Model Calculations'!$D$22,FALSE),"")</f>
        <v>52743.650003805757</v>
      </c>
      <c r="M13">
        <f t="shared" si="16"/>
        <v>647.00000029802322</v>
      </c>
      <c r="N13">
        <f t="shared" si="0"/>
        <v>4.7049180327868854</v>
      </c>
      <c r="O13">
        <f t="shared" si="1"/>
        <v>10.606557381934808</v>
      </c>
      <c r="P13">
        <f t="shared" si="17"/>
        <v>5.6065573819348078</v>
      </c>
      <c r="Q13">
        <f t="shared" si="2"/>
        <v>1</v>
      </c>
      <c r="R13">
        <f t="shared" si="3"/>
        <v>2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4"/>
        <v>0</v>
      </c>
      <c r="U13">
        <f t="shared" si="5"/>
        <v>1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0.91325777190187507</v>
      </c>
      <c r="Y13">
        <f>IF(AND($N13&gt;0,$N13&lt;&gt;""),$N13-('DDD Model Calculations'!L$13+'DDD Model Calculations'!L$12*WorkingData!$P13),"")</f>
        <v>0.60130276956311857</v>
      </c>
      <c r="Z13">
        <f>IF(AND($N13&gt;0,$N13&lt;&gt;""),$N13-('DDD Model Calculations'!M$13+'DDD Model Calculations'!M$12*WorkingData!$P13),"")</f>
        <v>0.44141206910041042</v>
      </c>
      <c r="AA13">
        <f>IF(AND($N13&gt;0,$N13&lt;&gt;""),$N13-('DDD Model Calculations'!N$13+'DDD Model Calculations'!N$12*WorkingData!$P13),"")</f>
        <v>0.44141206910041042</v>
      </c>
      <c r="AB13">
        <f>IF(X13&lt;&gt;"",X13/'DDD Model Calculations'!K$11,"")</f>
        <v>8.1971302906788992</v>
      </c>
      <c r="AC13">
        <f>IF(Y13&lt;&gt;"",Y13/'DDD Model Calculations'!L$11,"")</f>
        <v>1.9291667569078903</v>
      </c>
      <c r="AD13">
        <f>IF(Z13&lt;&gt;"",Z13/'DDD Model Calculations'!M$11,"")</f>
        <v>1.3438894581049869</v>
      </c>
      <c r="AE13">
        <f>IF(AA13&lt;&gt;"",AA13/'DDD Model Calculations'!N$11,"")</f>
        <v>1.3438894581049869</v>
      </c>
      <c r="AF13">
        <f t="shared" si="8"/>
        <v>0</v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 x14ac:dyDescent="0.25">
      <c r="A14" s="2">
        <v>45022</v>
      </c>
      <c r="B14" s="1">
        <v>28</v>
      </c>
      <c r="C14" s="1">
        <v>43190</v>
      </c>
      <c r="D14" t="str">
        <v>A</v>
      </c>
      <c r="E14">
        <v>263</v>
      </c>
      <c r="F14">
        <v>4370</v>
      </c>
      <c r="G14">
        <f t="shared" si="12"/>
        <v>604</v>
      </c>
      <c r="H14" s="2">
        <f t="shared" si="13"/>
        <v>45022</v>
      </c>
      <c r="I14">
        <f t="shared" si="14"/>
        <v>59</v>
      </c>
      <c r="J14">
        <f t="shared" si="15"/>
        <v>788</v>
      </c>
      <c r="K14">
        <f>IF(AND($H15&gt;0,$H15&lt;&gt;""),VLOOKUP($H15,'Weather Data'!$L$2:$P$4170,'DDD Model Calculations'!$D$22,FALSE),"")</f>
        <v>50604.150006249547</v>
      </c>
      <c r="L14">
        <f>IF(AND($K14&gt;0,$K14&lt;&gt;""),VLOOKUP($H14,'Weather Data'!$L$2:$P$4170,'DDD Model Calculations'!$D$22,FALSE),"")</f>
        <v>52096.650003507733</v>
      </c>
      <c r="M14">
        <f t="shared" si="16"/>
        <v>1492.4999972581863</v>
      </c>
      <c r="N14">
        <f t="shared" si="0"/>
        <v>10.23728813559322</v>
      </c>
      <c r="O14">
        <f t="shared" si="1"/>
        <v>25.296610123020109</v>
      </c>
      <c r="P14">
        <f t="shared" si="17"/>
        <v>20.296610123020109</v>
      </c>
      <c r="Q14">
        <f t="shared" si="2"/>
        <v>1</v>
      </c>
      <c r="R14">
        <f t="shared" si="3"/>
        <v>3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-6.4445229169471929E-3</v>
      </c>
      <c r="Y14">
        <f>IF(AND($N14&gt;0,$N14&lt;&gt;""),$N14-('DDD Model Calculations'!L$13+'DDD Model Calculations'!L$12*WorkingData!$P14),"")</f>
        <v>-1.9664101910175091E-2</v>
      </c>
      <c r="Z14">
        <f>IF(AND($N14&gt;0,$N14&lt;&gt;""),$N14-('DDD Model Calculations'!M$13+'DDD Model Calculations'!M$12*WorkingData!$P14),"")</f>
        <v>-0.1458971067718462</v>
      </c>
      <c r="AA14">
        <f>IF(AND($N14&gt;0,$N14&lt;&gt;""),$N14-('DDD Model Calculations'!N$13+'DDD Model Calculations'!N$12*WorkingData!$P14),"")</f>
        <v>-0.1458971067718462</v>
      </c>
      <c r="AB14">
        <f>IF(X14&lt;&gt;"",X14/'DDD Model Calculations'!K$11,"")</f>
        <v>-5.7844122039574744E-2</v>
      </c>
      <c r="AC14">
        <f>IF(Y14&lt;&gt;"",Y14/'DDD Model Calculations'!L$11,"")</f>
        <v>-6.3088569735211694E-2</v>
      </c>
      <c r="AD14">
        <f>IF(Z14&lt;&gt;"",Z14/'DDD Model Calculations'!M$11,"")</f>
        <v>-0.44418718355002834</v>
      </c>
      <c r="AE14">
        <f>IF(AA14&lt;&gt;"",AA14/'DDD Model Calculations'!N$11,"")</f>
        <v>-0.44418718355002834</v>
      </c>
      <c r="AF14">
        <f t="shared" si="8"/>
        <v>1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 x14ac:dyDescent="0.25">
      <c r="A15" s="2">
        <v>44963</v>
      </c>
      <c r="B15" s="1">
        <v>27</v>
      </c>
      <c r="C15" s="1">
        <v>42581</v>
      </c>
      <c r="D15" t="str">
        <v>A</v>
      </c>
      <c r="E15">
        <v>331</v>
      </c>
      <c r="F15">
        <v>3766</v>
      </c>
      <c r="G15">
        <f t="shared" si="12"/>
        <v>740</v>
      </c>
      <c r="H15" s="2">
        <f t="shared" si="13"/>
        <v>44963</v>
      </c>
      <c r="I15">
        <f t="shared" si="14"/>
        <v>63</v>
      </c>
      <c r="J15">
        <f t="shared" si="15"/>
        <v>851</v>
      </c>
      <c r="K15">
        <f>IF(AND($H16&gt;0,$H16&lt;&gt;""),VLOOKUP($H16,'Weather Data'!$L$2:$P$4170,'DDD Model Calculations'!$D$22,FALSE),"")</f>
        <v>48820.550000533462</v>
      </c>
      <c r="L15">
        <f>IF(AND($K15&gt;0,$K15&lt;&gt;""),VLOOKUP($H15,'Weather Data'!$L$2:$P$4170,'DDD Model Calculations'!$D$22,FALSE),"")</f>
        <v>50604.150006249547</v>
      </c>
      <c r="M15">
        <f t="shared" si="16"/>
        <v>1783.6000057160854</v>
      </c>
      <c r="N15">
        <f t="shared" si="0"/>
        <v>11.746031746031745</v>
      </c>
      <c r="O15">
        <f t="shared" si="1"/>
        <v>28.311111201842625</v>
      </c>
      <c r="P15">
        <f t="shared" si="17"/>
        <v>23.311111201842625</v>
      </c>
      <c r="Q15">
        <f t="shared" si="2"/>
        <v>1</v>
      </c>
      <c r="R15">
        <f t="shared" si="3"/>
        <v>3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0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0.1782889191384065</v>
      </c>
      <c r="Y15">
        <f>IF(AND($N15&gt;0,$N15&lt;&gt;""),$N15-('DDD Model Calculations'!L$13+'DDD Model Calculations'!L$12*WorkingData!$P15),"")</f>
        <v>0.22637192849048482</v>
      </c>
      <c r="Z15">
        <f>IF(AND($N15&gt;0,$N15&lt;&gt;""),$N15-('DDD Model Calculations'!M$13+'DDD Model Calculations'!M$12*WorkingData!$P15),"")</f>
        <v>0.10704571705483268</v>
      </c>
      <c r="AA15">
        <f>IF(AND($N15&gt;0,$N15&lt;&gt;""),$N15-('DDD Model Calculations'!N$13+'DDD Model Calculations'!N$12*WorkingData!$P15),"")</f>
        <v>0.10704571705483268</v>
      </c>
      <c r="AB15">
        <f>IF(X15&lt;&gt;"",X15/'DDD Model Calculations'!K$11,"")</f>
        <v>1.6002683410164937</v>
      </c>
      <c r="AC15">
        <f>IF(Y15&lt;&gt;"",Y15/'DDD Model Calculations'!L$11,"")</f>
        <v>0.72627172407382734</v>
      </c>
      <c r="AD15">
        <f>IF(Z15&lt;&gt;"",Z15/'DDD Model Calculations'!M$11,"")</f>
        <v>0.32590321098029323</v>
      </c>
      <c r="AE15">
        <f>IF(AA15&lt;&gt;"",AA15/'DDD Model Calculations'!N$11,"")</f>
        <v>0.32590321098029323</v>
      </c>
      <c r="AF15">
        <f t="shared" si="8"/>
        <v>1</v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 x14ac:dyDescent="0.25">
      <c r="A16" s="2">
        <v>44900</v>
      </c>
      <c r="B16" s="1">
        <v>28</v>
      </c>
      <c r="C16" s="1">
        <v>41835</v>
      </c>
      <c r="D16" t="str">
        <v>A</v>
      </c>
      <c r="E16">
        <v>275</v>
      </c>
      <c r="F16">
        <v>3026</v>
      </c>
      <c r="G16">
        <f t="shared" si="12"/>
        <v>437</v>
      </c>
      <c r="H16" s="2">
        <f t="shared" si="13"/>
        <v>44900</v>
      </c>
      <c r="I16">
        <f t="shared" si="14"/>
        <v>59</v>
      </c>
      <c r="J16">
        <f t="shared" si="15"/>
        <v>910</v>
      </c>
      <c r="K16">
        <f>IF(AND($H17&gt;0,$H17&lt;&gt;""),VLOOKUP($H17,'Weather Data'!$L$2:$P$4170,'DDD Model Calculations'!$D$22,FALSE),"")</f>
        <v>47817.650001652539</v>
      </c>
      <c r="L16">
        <f>IF(AND($K16&gt;0,$K16&lt;&gt;""),VLOOKUP($H16,'Weather Data'!$L$2:$P$4170,'DDD Model Calculations'!$D$22,FALSE),"")</f>
        <v>48820.550000533462</v>
      </c>
      <c r="M16">
        <f t="shared" si="16"/>
        <v>1002.8999988809228</v>
      </c>
      <c r="N16">
        <f t="shared" si="0"/>
        <v>7.406779661016949</v>
      </c>
      <c r="O16">
        <f t="shared" si="1"/>
        <v>16.998305065778354</v>
      </c>
      <c r="P16">
        <f t="shared" si="17"/>
        <v>11.998305065778354</v>
      </c>
      <c r="Q16">
        <f t="shared" si="2"/>
        <v>1</v>
      </c>
      <c r="R16">
        <f t="shared" si="3"/>
        <v>3</v>
      </c>
      <c r="S16">
        <f>IF('DDD Model Calculations'!$D$23=1,WorkingData!AF16,IF('DDD Model Calculations'!$D$23=2,WorkingData!AG16,IF('DDD Model Calculations'!$D$23=4,WorkingData!AH16,WorkingData!AI16)))</f>
        <v>0</v>
      </c>
      <c r="T16">
        <f t="shared" si="4"/>
        <v>0</v>
      </c>
      <c r="U16">
        <f t="shared" si="5"/>
        <v>0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0.80777625913892237</v>
      </c>
      <c r="Y16">
        <f>IF(AND($N16&gt;0,$N16&lt;&gt;""),$N16-('DDD Model Calculations'!L$13+'DDD Model Calculations'!L$12*WorkingData!$P16),"")</f>
        <v>0.6258031897383951</v>
      </c>
      <c r="Z16">
        <f>IF(AND($N16&gt;0,$N16&lt;&gt;""),$N16-('DDD Model Calculations'!M$13+'DDD Model Calculations'!M$12*WorkingData!$P16),"")</f>
        <v>0.48055719489337001</v>
      </c>
      <c r="AA16">
        <f>IF(AND($N16&gt;0,$N16&lt;&gt;""),$N16-('DDD Model Calculations'!N$13+'DDD Model Calculations'!N$12*WorkingData!$P16),"")</f>
        <v>0.48055719489337001</v>
      </c>
      <c r="AB16">
        <f>IF(X16&lt;&gt;"",X16/'DDD Model Calculations'!K$11,"")</f>
        <v>7.2503595869648843</v>
      </c>
      <c r="AC16">
        <f>IF(Y16&lt;&gt;"",Y16/'DDD Model Calculations'!L$11,"")</f>
        <v>2.007771743488544</v>
      </c>
      <c r="AD16">
        <f>IF(Z16&lt;&gt;"",Z16/'DDD Model Calculations'!M$11,"")</f>
        <v>1.4630677170877182</v>
      </c>
      <c r="AE16">
        <f>IF(AA16&lt;&gt;"",AA16/'DDD Model Calculations'!N$11,"")</f>
        <v>1.4630677170877182</v>
      </c>
      <c r="AF16">
        <f t="shared" si="8"/>
        <v>0</v>
      </c>
      <c r="AG16">
        <f t="shared" si="9"/>
        <v>0</v>
      </c>
      <c r="AH16">
        <f t="shared" si="10"/>
        <v>1</v>
      </c>
      <c r="AI16">
        <f t="shared" si="11"/>
        <v>1</v>
      </c>
    </row>
    <row r="17" spans="1:35" x14ac:dyDescent="0.25">
      <c r="A17" s="2">
        <v>44841</v>
      </c>
      <c r="B17" s="1">
        <v>28</v>
      </c>
      <c r="C17" s="1">
        <v>41395</v>
      </c>
      <c r="D17" t="str">
        <v>A</v>
      </c>
      <c r="E17">
        <v>64</v>
      </c>
      <c r="F17">
        <v>2589</v>
      </c>
      <c r="G17">
        <f t="shared" si="12"/>
        <v>102</v>
      </c>
      <c r="H17" s="2">
        <f t="shared" si="13"/>
        <v>44841</v>
      </c>
      <c r="I17">
        <f t="shared" si="14"/>
        <v>59</v>
      </c>
      <c r="J17">
        <f t="shared" si="15"/>
        <v>969</v>
      </c>
      <c r="K17">
        <f>IF(AND($H18&gt;0,$H18&lt;&gt;""),VLOOKUP($H18,'Weather Data'!$L$2:$P$4170,'DDD Model Calculations'!$D$22,FALSE),"")</f>
        <v>47580.450001843274</v>
      </c>
      <c r="L17">
        <f>IF(AND($K17&gt;0,$K17&lt;&gt;""),VLOOKUP($H17,'Weather Data'!$L$2:$P$4170,'DDD Model Calculations'!$D$22,FALSE),"")</f>
        <v>47817.650001652539</v>
      </c>
      <c r="M17">
        <f t="shared" si="16"/>
        <v>237.19999980926514</v>
      </c>
      <c r="N17">
        <f t="shared" si="0"/>
        <v>1.728813559322034</v>
      </c>
      <c r="O17">
        <f t="shared" si="1"/>
        <v>4.0203389798180531</v>
      </c>
      <c r="P17">
        <f t="shared" si="17"/>
        <v>-0.9796610201819469</v>
      </c>
      <c r="Q17">
        <f t="shared" si="2"/>
        <v>0</v>
      </c>
      <c r="R17">
        <f t="shared" si="3"/>
        <v>3</v>
      </c>
      <c r="S17">
        <f>IF('DDD Model Calculations'!$D$23=1,WorkingData!AF17,IF('DDD Model Calculations'!$D$23=2,WorkingData!AG17,IF('DDD Model Calculations'!$D$23=4,WorkingData!AH17,WorkingData!AI17)))</f>
        <v>0</v>
      </c>
      <c r="T17">
        <f t="shared" si="4"/>
        <v>0</v>
      </c>
      <c r="U17">
        <f t="shared" si="5"/>
        <v>0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0.82991064287994543</v>
      </c>
      <c r="Y17">
        <f>IF(AND($N17&gt;0,$N17&lt;&gt;""),$N17-('DDD Model Calculations'!L$13+'DDD Model Calculations'!L$12*WorkingData!$P17),"")</f>
        <v>0.38401897079053349</v>
      </c>
      <c r="Z17">
        <f>IF(AND($N17&gt;0,$N17&lt;&gt;""),$N17-('DDD Model Calculations'!M$13+'DDD Model Calculations'!M$12*WorkingData!$P17),"")</f>
        <v>0.20903799542905555</v>
      </c>
      <c r="AA17">
        <f>IF(AND($N17&gt;0,$N17&lt;&gt;""),$N17-('DDD Model Calculations'!N$13+'DDD Model Calculations'!N$12*WorkingData!$P17),"")</f>
        <v>0.20903799542905555</v>
      </c>
      <c r="AB17">
        <f>IF(X17&lt;&gt;"",X17/'DDD Model Calculations'!K$11,"")</f>
        <v>7.4490312358808328</v>
      </c>
      <c r="AC17">
        <f>IF(Y17&lt;&gt;"",Y17/'DDD Model Calculations'!L$11,"")</f>
        <v>1.2320525864355161</v>
      </c>
      <c r="AD17">
        <f>IF(Z17&lt;&gt;"",Z17/'DDD Model Calculations'!M$11,"")</f>
        <v>0.6364211086774858</v>
      </c>
      <c r="AE17">
        <f>IF(AA17&lt;&gt;"",AA17/'DDD Model Calculations'!N$11,"")</f>
        <v>0.6364211086774858</v>
      </c>
      <c r="AF17">
        <f t="shared" si="8"/>
        <v>0</v>
      </c>
      <c r="AG17">
        <f t="shared" si="9"/>
        <v>1</v>
      </c>
      <c r="AH17">
        <f t="shared" si="10"/>
        <v>1</v>
      </c>
      <c r="AI17">
        <f t="shared" si="11"/>
        <v>1</v>
      </c>
    </row>
    <row r="18" spans="1:35" x14ac:dyDescent="0.25">
      <c r="A18" s="2">
        <v>44782</v>
      </c>
      <c r="B18" s="1">
        <v>32</v>
      </c>
      <c r="C18" s="1">
        <v>41293</v>
      </c>
      <c r="D18" t="str">
        <v>A</v>
      </c>
      <c r="E18">
        <v>52</v>
      </c>
      <c r="F18">
        <v>2487</v>
      </c>
      <c r="G18">
        <f t="shared" si="12"/>
        <v>90</v>
      </c>
      <c r="H18" s="2">
        <f t="shared" si="13"/>
        <v>44782</v>
      </c>
      <c r="I18">
        <f t="shared" si="14"/>
        <v>63</v>
      </c>
      <c r="J18">
        <f t="shared" si="15"/>
        <v>1032</v>
      </c>
      <c r="K18">
        <f>IF(AND($H19&gt;0,$H19&lt;&gt;""),VLOOKUP($H19,'Weather Data'!$L$2:$P$4170,'DDD Model Calculations'!$D$22,FALSE),"")</f>
        <v>47474.650002606213</v>
      </c>
      <c r="L18">
        <f>IF(AND($K18&gt;0,$K18&lt;&gt;""),VLOOKUP($H18,'Weather Data'!$L$2:$P$4170,'DDD Model Calculations'!$D$22,FALSE),"")</f>
        <v>47580.450001843274</v>
      </c>
      <c r="M18">
        <f t="shared" si="16"/>
        <v>105.79999923706055</v>
      </c>
      <c r="N18">
        <f t="shared" si="0"/>
        <v>1.4285714285714286</v>
      </c>
      <c r="O18">
        <f t="shared" si="1"/>
        <v>1.6793650672549294</v>
      </c>
      <c r="P18">
        <f t="shared" si="17"/>
        <v>-3.3206349327450706</v>
      </c>
      <c r="Q18">
        <f t="shared" si="2"/>
        <v>0</v>
      </c>
      <c r="R18">
        <f t="shared" si="3"/>
        <v>3</v>
      </c>
      <c r="S18">
        <f>IF('DDD Model Calculations'!$D$23=1,WorkingData!AF18,IF('DDD Model Calculations'!$D$23=2,WorkingData!AG18,IF('DDD Model Calculations'!$D$23=4,WorkingData!AH18,WorkingData!AI18)))</f>
        <v>0</v>
      </c>
      <c r="T18">
        <f t="shared" si="4"/>
        <v>0</v>
      </c>
      <c r="U18">
        <f t="shared" si="5"/>
        <v>0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1.5578563226853697</v>
      </c>
      <c r="Y18">
        <f>IF(AND($N18&gt;0,$N18&lt;&gt;""),$N18-('DDD Model Calculations'!L$13+'DDD Model Calculations'!L$12*WorkingData!$P18),"")</f>
        <v>1.0643588424252028</v>
      </c>
      <c r="Z18">
        <f>IF(AND($N18&gt;0,$N18&lt;&gt;""),$N18-('DDD Model Calculations'!M$13+'DDD Model Calculations'!M$12*WorkingData!$P18),"")</f>
        <v>0.88401425205513795</v>
      </c>
      <c r="AA18">
        <f>IF(AND($N18&gt;0,$N18&lt;&gt;""),$N18-('DDD Model Calculations'!N$13+'DDD Model Calculations'!N$12*WorkingData!$P18),"")</f>
        <v>0.88401425205513795</v>
      </c>
      <c r="AB18">
        <f>IF(X18&lt;&gt;"",X18/'DDD Model Calculations'!K$11,"")</f>
        <v>13.982855272741061</v>
      </c>
      <c r="AC18">
        <f>IF(Y18&lt;&gt;"",Y18/'DDD Model Calculations'!L$11,"")</f>
        <v>3.4147950087100472</v>
      </c>
      <c r="AD18">
        <f>IF(Z18&lt;&gt;"",Z18/'DDD Model Calculations'!M$11,"")</f>
        <v>2.6914022459164335</v>
      </c>
      <c r="AE18">
        <f>IF(AA18&lt;&gt;"",AA18/'DDD Model Calculations'!N$11,"")</f>
        <v>2.6914022459164335</v>
      </c>
      <c r="AF18">
        <f t="shared" si="8"/>
        <v>0</v>
      </c>
      <c r="AG18">
        <f t="shared" si="9"/>
        <v>0</v>
      </c>
      <c r="AH18">
        <f t="shared" si="10"/>
        <v>0</v>
      </c>
      <c r="AI18">
        <f t="shared" si="11"/>
        <v>0</v>
      </c>
    </row>
    <row r="19" spans="1:35" x14ac:dyDescent="0.25">
      <c r="A19" s="2">
        <v>44719</v>
      </c>
      <c r="B19" s="1">
        <v>29</v>
      </c>
      <c r="C19" s="1">
        <v>41203</v>
      </c>
      <c r="D19" t="str">
        <v>A</v>
      </c>
      <c r="E19">
        <v>70</v>
      </c>
      <c r="F19">
        <v>2397</v>
      </c>
      <c r="G19">
        <f t="shared" si="12"/>
        <v>988</v>
      </c>
      <c r="H19" s="2">
        <f t="shared" si="13"/>
        <v>44719</v>
      </c>
      <c r="I19">
        <f t="shared" si="14"/>
        <v>122</v>
      </c>
      <c r="J19">
        <f t="shared" si="15"/>
        <v>1154</v>
      </c>
      <c r="K19">
        <f>IF(AND($H20&gt;0,$H20&lt;&gt;""),VLOOKUP($H20,'Weather Data'!$L$2:$P$4170,'DDD Model Calculations'!$D$22,FALSE),"")</f>
        <v>45072.050003491342</v>
      </c>
      <c r="L19">
        <f>IF(AND($K19&gt;0,$K19&lt;&gt;""),VLOOKUP($H19,'Weather Data'!$L$2:$P$4170,'DDD Model Calculations'!$D$22,FALSE),"")</f>
        <v>47474.650002606213</v>
      </c>
      <c r="M19">
        <f t="shared" si="16"/>
        <v>2402.599999114871</v>
      </c>
      <c r="N19">
        <f t="shared" si="0"/>
        <v>8.0983606557377055</v>
      </c>
      <c r="O19">
        <f t="shared" si="1"/>
        <v>19.693442615695663</v>
      </c>
      <c r="P19">
        <f t="shared" si="17"/>
        <v>14.693442615695663</v>
      </c>
      <c r="Q19">
        <f t="shared" si="2"/>
        <v>1</v>
      </c>
      <c r="R19">
        <f t="shared" si="3"/>
        <v>4</v>
      </c>
      <c r="S19">
        <f>IF('DDD Model Calculations'!$D$23=1,WorkingData!AF19,IF('DDD Model Calculations'!$D$23=2,WorkingData!AG19,IF('DDD Model Calculations'!$D$23=4,WorkingData!AH19,WorkingData!AI19)))</f>
        <v>0</v>
      </c>
      <c r="T19">
        <f t="shared" si="4"/>
        <v>0</v>
      </c>
      <c r="U19">
        <f t="shared" si="5"/>
        <v>0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0.31561592221760826</v>
      </c>
      <c r="Y19">
        <f>IF(AND($N19&gt;0,$N19&lt;&gt;""),$N19-('DDD Model Calculations'!L$13+'DDD Model Calculations'!L$12*WorkingData!$P19),"")</f>
        <v>0.18845089681389915</v>
      </c>
      <c r="Z19">
        <f>IF(AND($N19&gt;0,$N19&lt;&gt;""),$N19-('DDD Model Calculations'!M$13+'DDD Model Calculations'!M$12*WorkingData!$P19),"")</f>
        <v>4.9379973008907285E-2</v>
      </c>
      <c r="AA19">
        <f>IF(AND($N19&gt;0,$N19&lt;&gt;""),$N19-('DDD Model Calculations'!N$13+'DDD Model Calculations'!N$12*WorkingData!$P19),"")</f>
        <v>4.9379973008907285E-2</v>
      </c>
      <c r="AB19">
        <f>IF(X19&lt;&gt;"",X19/'DDD Model Calculations'!K$11,"")</f>
        <v>2.8328746995963017</v>
      </c>
      <c r="AC19">
        <f>IF(Y19&lt;&gt;"",Y19/'DDD Model Calculations'!L$11,"")</f>
        <v>0.60460923156398538</v>
      </c>
      <c r="AD19">
        <f>IF(Z19&lt;&gt;"",Z19/'DDD Model Calculations'!M$11,"")</f>
        <v>0.15033849279069833</v>
      </c>
      <c r="AE19">
        <f>IF(AA19&lt;&gt;"",AA19/'DDD Model Calculations'!N$11,"")</f>
        <v>0.15033849279069833</v>
      </c>
      <c r="AF19">
        <f t="shared" si="8"/>
        <v>0</v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 x14ac:dyDescent="0.25">
      <c r="A20" s="2">
        <v>44597</v>
      </c>
      <c r="B20" s="1">
        <v>26</v>
      </c>
      <c r="C20" s="1">
        <v>40207</v>
      </c>
      <c r="D20" t="str">
        <v>A</v>
      </c>
      <c r="E20">
        <v>378</v>
      </c>
      <c r="F20">
        <v>1409</v>
      </c>
      <c r="G20">
        <f t="shared" si="12"/>
        <v>792</v>
      </c>
      <c r="H20" s="2">
        <f t="shared" si="13"/>
        <v>44597</v>
      </c>
      <c r="I20">
        <f t="shared" si="14"/>
        <v>59</v>
      </c>
      <c r="J20">
        <f t="shared" si="15"/>
        <v>1213</v>
      </c>
      <c r="K20">
        <f>IF(AND($H21&gt;0,$H21&lt;&gt;""),VLOOKUP($H21,'Weather Data'!$L$2:$P$4170,'DDD Model Calculations'!$D$22,FALSE),"")</f>
        <v>43164.449999846518</v>
      </c>
      <c r="L20">
        <f>IF(AND($K20&gt;0,$K20&lt;&gt;""),VLOOKUP($H20,'Weather Data'!$L$2:$P$4170,'DDD Model Calculations'!$D$22,FALSE),"")</f>
        <v>45072.050003491342</v>
      </c>
      <c r="M20">
        <f t="shared" si="16"/>
        <v>1907.600003644824</v>
      </c>
      <c r="N20">
        <f t="shared" si="0"/>
        <v>13.423728813559322</v>
      </c>
      <c r="O20">
        <f t="shared" si="1"/>
        <v>32.332203451607185</v>
      </c>
      <c r="P20">
        <f t="shared" si="17"/>
        <v>27.332203451607185</v>
      </c>
      <c r="Q20">
        <f t="shared" si="2"/>
        <v>1</v>
      </c>
      <c r="R20">
        <f t="shared" si="3"/>
        <v>4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4"/>
        <v>0</v>
      </c>
      <c r="U20">
        <f t="shared" si="5"/>
        <v>0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8.9867187075233446E-2</v>
      </c>
      <c r="Y20">
        <f>IF(AND($N20&gt;0,$N20&lt;&gt;""),$N20-('DDD Model Calculations'!L$13+'DDD Model Calculations'!L$12*WorkingData!$P20),"")</f>
        <v>0.21972272078219035</v>
      </c>
      <c r="Z20">
        <f>IF(AND($N20&gt;0,$N20&lt;&gt;""),$N20-('DDD Model Calculations'!M$13+'DDD Model Calculations'!M$12*WorkingData!$P20),"")</f>
        <v>0.10960959396316028</v>
      </c>
      <c r="AA20">
        <f>IF(AND($N20&gt;0,$N20&lt;&gt;""),$N20-('DDD Model Calculations'!N$13+'DDD Model Calculations'!N$12*WorkingData!$P20),"")</f>
        <v>0.10960959396316028</v>
      </c>
      <c r="AB20">
        <f>IF(X20&lt;&gt;"",X20/'DDD Model Calculations'!K$11,"")</f>
        <v>0.8066211577684258</v>
      </c>
      <c r="AC20">
        <f>IF(Y20&lt;&gt;"",Y20/'DDD Model Calculations'!L$11,"")</f>
        <v>0.70493899267806603</v>
      </c>
      <c r="AD20">
        <f>IF(Z20&lt;&gt;"",Z20/'DDD Model Calculations'!M$11,"")</f>
        <v>0.3337089947143046</v>
      </c>
      <c r="AE20">
        <f>IF(AA20&lt;&gt;"",AA20/'DDD Model Calculations'!N$11,"")</f>
        <v>0.3337089947143046</v>
      </c>
      <c r="AF20">
        <f t="shared" si="8"/>
        <v>1</v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 x14ac:dyDescent="0.25">
      <c r="A21" s="2">
        <v>44538</v>
      </c>
      <c r="B21" s="1">
        <v>30</v>
      </c>
      <c r="C21" s="1">
        <v>39409</v>
      </c>
      <c r="D21" t="str">
        <v>A</v>
      </c>
      <c r="E21">
        <v>298</v>
      </c>
      <c r="F21">
        <v>617</v>
      </c>
      <c r="G21">
        <f t="shared" si="12"/>
        <v>448</v>
      </c>
      <c r="H21" s="2">
        <f t="shared" si="13"/>
        <v>44538</v>
      </c>
      <c r="I21">
        <f t="shared" si="14"/>
        <v>62</v>
      </c>
      <c r="J21">
        <f t="shared" si="15"/>
        <v>1275</v>
      </c>
      <c r="K21">
        <f>IF(AND($H22&gt;0,$H22&lt;&gt;""),VLOOKUP($H22,'Weather Data'!$L$2:$P$4170,'DDD Model Calculations'!$D$22,FALSE),"")</f>
        <v>42143.849997654557</v>
      </c>
      <c r="L21">
        <f>IF(AND($K21&gt;0,$K21&lt;&gt;""),VLOOKUP($H21,'Weather Data'!$L$2:$P$4170,'DDD Model Calculations'!$D$22,FALSE),"")</f>
        <v>43164.449999846518</v>
      </c>
      <c r="M21">
        <f t="shared" si="16"/>
        <v>1020.6000021919608</v>
      </c>
      <c r="N21">
        <f t="shared" si="0"/>
        <v>7.225806451612903</v>
      </c>
      <c r="O21">
        <f t="shared" si="1"/>
        <v>16.461290357934853</v>
      </c>
      <c r="P21">
        <f t="shared" si="17"/>
        <v>11.461290357934853</v>
      </c>
      <c r="Q21">
        <f t="shared" si="2"/>
        <v>1</v>
      </c>
      <c r="R21">
        <f t="shared" si="3"/>
        <v>4</v>
      </c>
      <c r="S21">
        <f>IF('DDD Model Calculations'!$D$23=1,WorkingData!AF21,IF('DDD Model Calculations'!$D$23=2,WorkingData!AG21,IF('DDD Model Calculations'!$D$23=4,WorkingData!AH21,WorkingData!AI21)))</f>
        <v>0</v>
      </c>
      <c r="T21">
        <f t="shared" si="4"/>
        <v>0</v>
      </c>
      <c r="U21">
        <f t="shared" si="5"/>
        <v>0</v>
      </c>
      <c r="V21">
        <f t="shared" si="6"/>
        <v>1</v>
      </c>
      <c r="W21">
        <f t="shared" si="7"/>
        <v>1</v>
      </c>
      <c r="X21">
        <f>IF(AND($N21&gt;0,$N21&lt;&gt;"",'DDD Model Calculations'!$K$3&gt;=3),$N21-('DDD Model Calculations'!K$13+'DDD Model Calculations'!K$12*WorkingData!$P21),"")</f>
        <v>0.86266726579076813</v>
      </c>
      <c r="Y21">
        <f>IF(AND($N21&gt;0,$N21&lt;&gt;""),$N21-('DDD Model Calculations'!L$13+'DDD Model Calculations'!L$12*WorkingData!$P21),"")</f>
        <v>0.66977351973114896</v>
      </c>
      <c r="Z21">
        <f>IF(AND($N21&gt;0,$N21&lt;&gt;""),$N21-('DDD Model Calculations'!M$13+'DDD Model Calculations'!M$12*WorkingData!$P21),"")</f>
        <v>0.52329712238938342</v>
      </c>
      <c r="AA21">
        <f>IF(AND($N21&gt;0,$N21&lt;&gt;""),$N21-('DDD Model Calculations'!N$13+'DDD Model Calculations'!N$12*WorkingData!$P21),"")</f>
        <v>0.52329712238938342</v>
      </c>
      <c r="AB21">
        <f>IF(X21&lt;&gt;"",X21/'DDD Model Calculations'!K$11,"")</f>
        <v>7.7430449460773234</v>
      </c>
      <c r="AC21">
        <f>IF(Y21&lt;&gt;"",Y21/'DDD Model Calculations'!L$11,"")</f>
        <v>2.1488422710264796</v>
      </c>
      <c r="AD21">
        <f>IF(Z21&lt;&gt;"",Z21/'DDD Model Calculations'!M$11,"")</f>
        <v>1.5931904346634314</v>
      </c>
      <c r="AE21">
        <f>IF(AA21&lt;&gt;"",AA21/'DDD Model Calculations'!N$11,"")</f>
        <v>1.5931904346634314</v>
      </c>
      <c r="AF21">
        <f t="shared" si="8"/>
        <v>0</v>
      </c>
      <c r="AG21">
        <f t="shared" si="9"/>
        <v>0</v>
      </c>
      <c r="AH21">
        <f t="shared" si="10"/>
        <v>1</v>
      </c>
      <c r="AI21">
        <f t="shared" si="11"/>
        <v>1</v>
      </c>
    </row>
    <row r="22" spans="1:35" x14ac:dyDescent="0.25">
      <c r="A22" s="2">
        <v>44476</v>
      </c>
      <c r="B22" s="1">
        <v>28</v>
      </c>
      <c r="C22" s="1">
        <v>38958</v>
      </c>
      <c r="D22" t="str">
        <v>A</v>
      </c>
      <c r="E22">
        <v>41</v>
      </c>
      <c r="F22">
        <v>169</v>
      </c>
      <c r="G22">
        <f t="shared" si="12"/>
        <v>76</v>
      </c>
      <c r="H22" s="2">
        <f t="shared" si="13"/>
        <v>44476</v>
      </c>
      <c r="I22">
        <f t="shared" si="14"/>
        <v>59</v>
      </c>
      <c r="J22">
        <f t="shared" si="15"/>
        <v>1334</v>
      </c>
      <c r="K22">
        <f>IF(AND($H23&gt;0,$H23&lt;&gt;""),VLOOKUP($H23,'Weather Data'!$L$2:$P$4170,'DDD Model Calculations'!$D$22,FALSE),"")</f>
        <v>41968.150001659989</v>
      </c>
      <c r="L22">
        <f>IF(AND($K22&gt;0,$K22&lt;&gt;""),VLOOKUP($H22,'Weather Data'!$L$2:$P$4170,'DDD Model Calculations'!$D$22,FALSE),"")</f>
        <v>42143.849997654557</v>
      </c>
      <c r="M22">
        <f t="shared" si="16"/>
        <v>175.69999599456787</v>
      </c>
      <c r="N22">
        <f t="shared" si="0"/>
        <v>1.2881355932203389</v>
      </c>
      <c r="O22">
        <f t="shared" si="1"/>
        <v>2.977966033806235</v>
      </c>
      <c r="P22">
        <f t="shared" si="17"/>
        <v>-2.022033966193765</v>
      </c>
      <c r="Q22">
        <f t="shared" si="2"/>
        <v>0</v>
      </c>
      <c r="R22">
        <f t="shared" si="3"/>
        <v>4</v>
      </c>
      <c r="S22">
        <f>IF('DDD Model Calculations'!$D$23=1,WorkingData!AF22,IF('DDD Model Calculations'!$D$23=2,WorkingData!AG22,IF('DDD Model Calculations'!$D$23=4,WorkingData!AH22,WorkingData!AI22)))</f>
        <v>0</v>
      </c>
      <c r="T22">
        <f t="shared" si="4"/>
        <v>0</v>
      </c>
      <c r="U22">
        <f t="shared" si="5"/>
        <v>0</v>
      </c>
      <c r="V22">
        <f t="shared" si="6"/>
        <v>1</v>
      </c>
      <c r="W22">
        <f t="shared" si="7"/>
        <v>1</v>
      </c>
      <c r="X22">
        <f>IF(AND($N22&gt;0,$N22&lt;&gt;"",'DDD Model Calculations'!$K$3&gt;=3),$N22-('DDD Model Calculations'!K$13+'DDD Model Calculations'!K$12*WorkingData!$P22),"")</f>
        <v>0.84705715375811941</v>
      </c>
      <c r="Y22">
        <f>IF(AND($N22&gt;0,$N22&lt;&gt;""),$N22-('DDD Model Calculations'!L$13+'DDD Model Calculations'!L$12*WorkingData!$P22),"")</f>
        <v>0.3799678911086779</v>
      </c>
      <c r="Z22">
        <f>IF(AND($N22&gt;0,$N22&lt;&gt;""),$N22-('DDD Model Calculations'!M$13+'DDD Model Calculations'!M$12*WorkingData!$P22),"")</f>
        <v>0.20259864172681485</v>
      </c>
      <c r="AA22">
        <f>IF(AND($N22&gt;0,$N22&lt;&gt;""),$N22-('DDD Model Calculations'!N$13+'DDD Model Calculations'!N$12*WorkingData!$P22),"")</f>
        <v>0.20259864172681485</v>
      </c>
      <c r="AB22">
        <f>IF(X22&lt;&gt;"",X22/'DDD Model Calculations'!K$11,"")</f>
        <v>7.6029332206471194</v>
      </c>
      <c r="AC22">
        <f>IF(Y22&lt;&gt;"",Y22/'DDD Model Calculations'!L$11,"")</f>
        <v>1.2190554597841639</v>
      </c>
      <c r="AD22">
        <f>IF(Z22&lt;&gt;"",Z22/'DDD Model Calculations'!M$11,"")</f>
        <v>0.61681634441472599</v>
      </c>
      <c r="AE22">
        <f>IF(AA22&lt;&gt;"",AA22/'DDD Model Calculations'!N$11,"")</f>
        <v>0.61681634441472599</v>
      </c>
      <c r="AF22">
        <f t="shared" si="8"/>
        <v>0</v>
      </c>
      <c r="AG22">
        <f t="shared" si="9"/>
        <v>1</v>
      </c>
      <c r="AH22">
        <f t="shared" si="10"/>
        <v>1</v>
      </c>
      <c r="AI22">
        <f t="shared" si="11"/>
        <v>1</v>
      </c>
    </row>
    <row r="23" spans="1:35" x14ac:dyDescent="0.25">
      <c r="A23" s="2">
        <v>44417</v>
      </c>
      <c r="B23" s="1">
        <v>32</v>
      </c>
      <c r="C23" s="1">
        <v>38882</v>
      </c>
      <c r="D23" t="str">
        <v>A</v>
      </c>
      <c r="E23">
        <v>52</v>
      </c>
      <c r="F23">
        <v>93</v>
      </c>
      <c r="G23" t="str">
        <f t="shared" si="12"/>
        <v/>
      </c>
      <c r="H23" s="2">
        <f t="shared" si="13"/>
        <v>44417</v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 x14ac:dyDescent="0.2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 x14ac:dyDescent="0.2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 x14ac:dyDescent="0.2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 x14ac:dyDescent="0.2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 x14ac:dyDescent="0.2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 x14ac:dyDescent="0.2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 x14ac:dyDescent="0.2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 x14ac:dyDescent="0.2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 x14ac:dyDescent="0.2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 x14ac:dyDescent="0.2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 x14ac:dyDescent="0.2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2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2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2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2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2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2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2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2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2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2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2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2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2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2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2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2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2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2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2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2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2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2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2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2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2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2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2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2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2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2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2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2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2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2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2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2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2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2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2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2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2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2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2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2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2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2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2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2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2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2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2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2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2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2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2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2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2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2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2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2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2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2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2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2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2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2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2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75" x14ac:dyDescent="0.25"/>
  <cols>
    <col min="1" max="1" width="10.875" style="20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 x14ac:dyDescent="0.25">
      <c r="A2" s="20" cm="1">
        <f t="array" ref="A2:E133">_xlfn._xlws.SORT('Consumption Data Input'!C3:G134,1,1)</f>
        <v>44385</v>
      </c>
      <c r="B2">
        <v>37</v>
      </c>
      <c r="C2">
        <v>38806</v>
      </c>
      <c r="D2" t="str">
        <v>E</v>
      </c>
      <c r="E2">
        <v>41</v>
      </c>
      <c r="F2">
        <f>E2</f>
        <v>41</v>
      </c>
    </row>
    <row r="3" spans="1:6" x14ac:dyDescent="0.25">
      <c r="A3" s="20">
        <v>44417</v>
      </c>
      <c r="B3">
        <v>32</v>
      </c>
      <c r="C3">
        <v>38882</v>
      </c>
      <c r="D3" t="str">
        <v>A</v>
      </c>
      <c r="E3">
        <v>52</v>
      </c>
      <c r="F3">
        <f>E3+F2</f>
        <v>93</v>
      </c>
    </row>
    <row r="4" spans="1:6" x14ac:dyDescent="0.25">
      <c r="A4" s="20">
        <v>44448</v>
      </c>
      <c r="B4">
        <v>31</v>
      </c>
      <c r="C4">
        <v>38917</v>
      </c>
      <c r="D4" t="str">
        <v>E</v>
      </c>
      <c r="E4">
        <v>35</v>
      </c>
      <c r="F4">
        <f t="shared" ref="F4:F67" si="0">E4+F3</f>
        <v>128</v>
      </c>
    </row>
    <row r="5" spans="1:6" x14ac:dyDescent="0.25">
      <c r="A5" s="20">
        <v>44476</v>
      </c>
      <c r="B5">
        <v>28</v>
      </c>
      <c r="C5">
        <v>38958</v>
      </c>
      <c r="D5" t="str">
        <v>A</v>
      </c>
      <c r="E5">
        <v>41</v>
      </c>
      <c r="F5">
        <f t="shared" si="0"/>
        <v>169</v>
      </c>
    </row>
    <row r="6" spans="1:6" x14ac:dyDescent="0.25">
      <c r="A6" s="20">
        <v>44508</v>
      </c>
      <c r="B6">
        <v>32</v>
      </c>
      <c r="C6">
        <v>39109</v>
      </c>
      <c r="D6" t="str">
        <v>E</v>
      </c>
      <c r="E6">
        <v>150</v>
      </c>
      <c r="F6">
        <f t="shared" si="0"/>
        <v>319</v>
      </c>
    </row>
    <row r="7" spans="1:6" x14ac:dyDescent="0.25">
      <c r="A7" s="20">
        <v>44538</v>
      </c>
      <c r="B7">
        <v>30</v>
      </c>
      <c r="C7">
        <v>39409</v>
      </c>
      <c r="D7" t="str">
        <v>A</v>
      </c>
      <c r="E7">
        <v>298</v>
      </c>
      <c r="F7">
        <f t="shared" si="0"/>
        <v>617</v>
      </c>
    </row>
    <row r="8" spans="1:6" x14ac:dyDescent="0.25">
      <c r="A8" s="20">
        <v>44571</v>
      </c>
      <c r="B8">
        <v>33</v>
      </c>
      <c r="C8">
        <v>39826</v>
      </c>
      <c r="D8" t="str">
        <v>E</v>
      </c>
      <c r="E8">
        <v>414</v>
      </c>
      <c r="F8">
        <f t="shared" si="0"/>
        <v>1031</v>
      </c>
    </row>
    <row r="9" spans="1:6" x14ac:dyDescent="0.25">
      <c r="A9" s="20">
        <v>44597</v>
      </c>
      <c r="B9">
        <v>26</v>
      </c>
      <c r="C9">
        <v>40207</v>
      </c>
      <c r="D9" t="str">
        <v>A</v>
      </c>
      <c r="E9">
        <v>378</v>
      </c>
      <c r="F9">
        <f t="shared" si="0"/>
        <v>1409</v>
      </c>
    </row>
    <row r="10" spans="1:6" x14ac:dyDescent="0.25">
      <c r="A10" s="20">
        <v>44629</v>
      </c>
      <c r="B10">
        <v>32</v>
      </c>
      <c r="C10">
        <v>40642</v>
      </c>
      <c r="D10" t="str">
        <v>E</v>
      </c>
      <c r="E10">
        <v>432</v>
      </c>
      <c r="F10">
        <f t="shared" si="0"/>
        <v>1841</v>
      </c>
    </row>
    <row r="11" spans="1:6" x14ac:dyDescent="0.25">
      <c r="A11" s="20">
        <v>44658</v>
      </c>
      <c r="B11">
        <v>29</v>
      </c>
      <c r="C11">
        <v>40910</v>
      </c>
      <c r="D11" t="str">
        <v>E</v>
      </c>
      <c r="E11">
        <v>266</v>
      </c>
      <c r="F11">
        <f t="shared" si="0"/>
        <v>2107</v>
      </c>
    </row>
    <row r="12" spans="1:6" x14ac:dyDescent="0.25">
      <c r="A12" s="20">
        <v>44690</v>
      </c>
      <c r="B12">
        <v>32</v>
      </c>
      <c r="C12">
        <v>41132</v>
      </c>
      <c r="D12" t="str">
        <v>E</v>
      </c>
      <c r="E12">
        <v>220</v>
      </c>
      <c r="F12">
        <f t="shared" si="0"/>
        <v>2327</v>
      </c>
    </row>
    <row r="13" spans="1:6" x14ac:dyDescent="0.25">
      <c r="A13" s="20">
        <v>44719</v>
      </c>
      <c r="B13">
        <v>29</v>
      </c>
      <c r="C13">
        <v>41203</v>
      </c>
      <c r="D13" t="str">
        <v>A</v>
      </c>
      <c r="E13">
        <v>70</v>
      </c>
      <c r="F13">
        <f t="shared" si="0"/>
        <v>2397</v>
      </c>
    </row>
    <row r="14" spans="1:6" x14ac:dyDescent="0.25">
      <c r="A14" s="20">
        <v>44750</v>
      </c>
      <c r="B14">
        <v>31</v>
      </c>
      <c r="C14">
        <v>41241</v>
      </c>
      <c r="D14" t="str">
        <v>E</v>
      </c>
      <c r="E14">
        <v>38</v>
      </c>
      <c r="F14">
        <f t="shared" si="0"/>
        <v>2435</v>
      </c>
    </row>
    <row r="15" spans="1:6" x14ac:dyDescent="0.25">
      <c r="A15" s="20">
        <v>44782</v>
      </c>
      <c r="B15">
        <v>32</v>
      </c>
      <c r="C15">
        <v>41293</v>
      </c>
      <c r="D15" t="str">
        <v>A</v>
      </c>
      <c r="E15">
        <v>52</v>
      </c>
      <c r="F15">
        <f t="shared" si="0"/>
        <v>2487</v>
      </c>
    </row>
    <row r="16" spans="1:6" x14ac:dyDescent="0.25">
      <c r="A16" s="20">
        <v>44813</v>
      </c>
      <c r="B16">
        <v>31</v>
      </c>
      <c r="C16">
        <v>41331</v>
      </c>
      <c r="D16" t="str">
        <v>E</v>
      </c>
      <c r="E16">
        <v>38</v>
      </c>
      <c r="F16">
        <f t="shared" si="0"/>
        <v>2525</v>
      </c>
    </row>
    <row r="17" spans="1:6" x14ac:dyDescent="0.25">
      <c r="A17" s="20">
        <v>44841</v>
      </c>
      <c r="B17">
        <v>28</v>
      </c>
      <c r="C17">
        <v>41395</v>
      </c>
      <c r="D17" t="str">
        <v>A</v>
      </c>
      <c r="E17">
        <v>64</v>
      </c>
      <c r="F17">
        <f t="shared" si="0"/>
        <v>2589</v>
      </c>
    </row>
    <row r="18" spans="1:6" x14ac:dyDescent="0.25">
      <c r="A18" s="20">
        <v>44872</v>
      </c>
      <c r="B18">
        <v>31</v>
      </c>
      <c r="C18">
        <v>41558</v>
      </c>
      <c r="D18" t="str">
        <v>E</v>
      </c>
      <c r="E18">
        <v>162</v>
      </c>
      <c r="F18">
        <f t="shared" si="0"/>
        <v>2751</v>
      </c>
    </row>
    <row r="19" spans="1:6" x14ac:dyDescent="0.25">
      <c r="A19" s="20">
        <v>44900</v>
      </c>
      <c r="B19">
        <v>28</v>
      </c>
      <c r="C19">
        <v>41835</v>
      </c>
      <c r="D19" t="str">
        <v>A</v>
      </c>
      <c r="E19">
        <v>275</v>
      </c>
      <c r="F19">
        <f t="shared" si="0"/>
        <v>3026</v>
      </c>
    </row>
    <row r="20" spans="1:6" x14ac:dyDescent="0.25">
      <c r="A20" s="20">
        <v>44936</v>
      </c>
      <c r="B20">
        <v>36</v>
      </c>
      <c r="C20">
        <v>42247</v>
      </c>
      <c r="D20" t="str">
        <v>E</v>
      </c>
      <c r="E20">
        <v>409</v>
      </c>
      <c r="F20">
        <f t="shared" si="0"/>
        <v>3435</v>
      </c>
    </row>
    <row r="21" spans="1:6" x14ac:dyDescent="0.25">
      <c r="A21" s="20">
        <v>44963</v>
      </c>
      <c r="B21">
        <v>27</v>
      </c>
      <c r="C21">
        <v>42581</v>
      </c>
      <c r="D21" t="str">
        <v>A</v>
      </c>
      <c r="E21">
        <v>331</v>
      </c>
      <c r="F21">
        <f t="shared" si="0"/>
        <v>3766</v>
      </c>
    </row>
    <row r="22" spans="1:6" x14ac:dyDescent="0.25">
      <c r="A22" s="20">
        <v>44994</v>
      </c>
      <c r="B22">
        <v>31</v>
      </c>
      <c r="C22">
        <v>42925</v>
      </c>
      <c r="D22" t="str">
        <v>E</v>
      </c>
      <c r="E22">
        <v>341</v>
      </c>
      <c r="F22">
        <f t="shared" si="0"/>
        <v>4107</v>
      </c>
    </row>
    <row r="23" spans="1:6" x14ac:dyDescent="0.25">
      <c r="A23" s="20">
        <v>45022</v>
      </c>
      <c r="B23">
        <v>28</v>
      </c>
      <c r="C23">
        <v>43190</v>
      </c>
      <c r="D23" t="str">
        <v>A</v>
      </c>
      <c r="E23">
        <v>263</v>
      </c>
      <c r="F23">
        <f t="shared" si="0"/>
        <v>4370</v>
      </c>
    </row>
    <row r="24" spans="1:6" x14ac:dyDescent="0.25">
      <c r="A24" s="20">
        <v>45055</v>
      </c>
      <c r="B24">
        <v>33</v>
      </c>
      <c r="C24">
        <v>43401</v>
      </c>
      <c r="D24" t="str">
        <v>E</v>
      </c>
      <c r="E24">
        <v>209</v>
      </c>
      <c r="F24">
        <f t="shared" si="0"/>
        <v>4579</v>
      </c>
    </row>
    <row r="25" spans="1:6" x14ac:dyDescent="0.25">
      <c r="A25" s="20">
        <v>45083</v>
      </c>
      <c r="B25">
        <v>28</v>
      </c>
      <c r="C25">
        <v>43480</v>
      </c>
      <c r="D25" t="str">
        <v>A</v>
      </c>
      <c r="E25">
        <v>78</v>
      </c>
      <c r="F25">
        <f t="shared" si="0"/>
        <v>4657</v>
      </c>
    </row>
    <row r="26" spans="1:6" x14ac:dyDescent="0.25">
      <c r="A26" s="20">
        <v>45114</v>
      </c>
      <c r="B26">
        <v>31</v>
      </c>
      <c r="C26">
        <v>43518</v>
      </c>
      <c r="D26" t="str">
        <v>E</v>
      </c>
      <c r="E26">
        <v>38</v>
      </c>
      <c r="F26">
        <f t="shared" si="0"/>
        <v>4695</v>
      </c>
    </row>
    <row r="27" spans="1:6" x14ac:dyDescent="0.25">
      <c r="A27" s="20">
        <v>45142</v>
      </c>
      <c r="B27">
        <v>28</v>
      </c>
      <c r="C27">
        <v>43558</v>
      </c>
      <c r="D27" t="str">
        <v>A</v>
      </c>
      <c r="E27">
        <v>40</v>
      </c>
      <c r="F27">
        <f t="shared" si="0"/>
        <v>4735</v>
      </c>
    </row>
    <row r="28" spans="1:6" x14ac:dyDescent="0.25">
      <c r="A28" s="20">
        <v>45177</v>
      </c>
      <c r="B28">
        <v>35</v>
      </c>
      <c r="C28">
        <v>43603</v>
      </c>
      <c r="D28" t="str">
        <v>E</v>
      </c>
      <c r="E28">
        <v>45</v>
      </c>
      <c r="F28">
        <f t="shared" si="0"/>
        <v>4780</v>
      </c>
    </row>
    <row r="29" spans="1:6" x14ac:dyDescent="0.25">
      <c r="A29" s="20">
        <v>45205</v>
      </c>
      <c r="B29">
        <v>28</v>
      </c>
      <c r="C29">
        <v>43633</v>
      </c>
      <c r="D29" t="str">
        <v>A</v>
      </c>
      <c r="E29">
        <v>30</v>
      </c>
      <c r="F29">
        <f t="shared" si="0"/>
        <v>4810</v>
      </c>
    </row>
    <row r="30" spans="1:6" x14ac:dyDescent="0.25">
      <c r="A30" s="20">
        <v>45238</v>
      </c>
      <c r="B30">
        <v>33</v>
      </c>
      <c r="C30">
        <v>43847</v>
      </c>
      <c r="D30" t="str">
        <v>E</v>
      </c>
      <c r="E30">
        <v>212</v>
      </c>
      <c r="F30">
        <f t="shared" si="0"/>
        <v>5022</v>
      </c>
    </row>
    <row r="31" spans="1:6" x14ac:dyDescent="0.25">
      <c r="A31" s="20">
        <v>45265</v>
      </c>
      <c r="B31">
        <v>27</v>
      </c>
      <c r="C31">
        <v>44041</v>
      </c>
      <c r="D31" t="str">
        <v>A</v>
      </c>
      <c r="E31">
        <v>193</v>
      </c>
      <c r="F31">
        <f t="shared" si="0"/>
        <v>5215</v>
      </c>
    </row>
    <row r="32" spans="1:6" x14ac:dyDescent="0.25">
      <c r="A32" s="20">
        <v>45300</v>
      </c>
      <c r="B32">
        <v>35</v>
      </c>
      <c r="C32">
        <v>44356</v>
      </c>
      <c r="D32" t="str">
        <v>E</v>
      </c>
      <c r="E32">
        <v>312</v>
      </c>
      <c r="F32">
        <f t="shared" si="0"/>
        <v>5527</v>
      </c>
    </row>
    <row r="33" spans="1:6" x14ac:dyDescent="0.25">
      <c r="A33" s="20">
        <v>45327</v>
      </c>
      <c r="B33">
        <v>27</v>
      </c>
      <c r="C33">
        <v>44649</v>
      </c>
      <c r="D33" t="str">
        <v>A</v>
      </c>
      <c r="E33">
        <v>291</v>
      </c>
      <c r="F33">
        <f t="shared" si="0"/>
        <v>5818</v>
      </c>
    </row>
    <row r="34" spans="1:6" x14ac:dyDescent="0.25">
      <c r="A34" s="20">
        <v>45358</v>
      </c>
      <c r="B34">
        <v>31</v>
      </c>
      <c r="C34">
        <v>44946</v>
      </c>
      <c r="D34" t="str">
        <v>E</v>
      </c>
      <c r="E34">
        <v>295</v>
      </c>
      <c r="F34">
        <f t="shared" si="0"/>
        <v>6113</v>
      </c>
    </row>
    <row r="35" spans="1:6" x14ac:dyDescent="0.25">
      <c r="A35" s="20">
        <v>45386</v>
      </c>
      <c r="B35">
        <v>28</v>
      </c>
      <c r="C35">
        <v>45183</v>
      </c>
      <c r="D35" t="str">
        <v>A</v>
      </c>
      <c r="E35">
        <v>235</v>
      </c>
      <c r="F35">
        <f t="shared" si="0"/>
        <v>6348</v>
      </c>
    </row>
    <row r="36" spans="1:6" x14ac:dyDescent="0.25">
      <c r="A36" s="20">
        <v>45420</v>
      </c>
      <c r="B36">
        <v>34</v>
      </c>
      <c r="C36">
        <v>45370</v>
      </c>
      <c r="D36" t="str">
        <v>E</v>
      </c>
      <c r="E36">
        <v>186</v>
      </c>
      <c r="F36">
        <f t="shared" si="0"/>
        <v>6534</v>
      </c>
    </row>
    <row r="37" spans="1:6" x14ac:dyDescent="0.25">
      <c r="A37" s="20">
        <v>45449</v>
      </c>
      <c r="B37">
        <v>29</v>
      </c>
      <c r="C37">
        <v>45403</v>
      </c>
      <c r="D37" t="str">
        <v>A</v>
      </c>
      <c r="E37">
        <v>33</v>
      </c>
      <c r="F37">
        <f t="shared" si="0"/>
        <v>6567</v>
      </c>
    </row>
    <row r="38" spans="1:6" x14ac:dyDescent="0.25">
      <c r="A38" s="20">
        <v>45482</v>
      </c>
      <c r="B38">
        <v>33</v>
      </c>
      <c r="C38">
        <v>45445</v>
      </c>
      <c r="D38" t="str">
        <v>E</v>
      </c>
      <c r="E38">
        <v>42</v>
      </c>
      <c r="F38">
        <f t="shared" si="0"/>
        <v>6609</v>
      </c>
    </row>
    <row r="39" spans="1:6" x14ac:dyDescent="0.25">
      <c r="A39" s="20">
        <v>45511</v>
      </c>
      <c r="B39">
        <v>29</v>
      </c>
      <c r="C39">
        <v>45491</v>
      </c>
      <c r="D39" t="str">
        <v>A</v>
      </c>
      <c r="E39">
        <v>46</v>
      </c>
      <c r="F39">
        <f t="shared" si="0"/>
        <v>6655</v>
      </c>
    </row>
    <row r="40" spans="1:6" x14ac:dyDescent="0.25">
      <c r="A40" s="20">
        <v>45542</v>
      </c>
      <c r="B40">
        <v>31</v>
      </c>
      <c r="C40">
        <v>45531</v>
      </c>
      <c r="D40" t="str">
        <v>E</v>
      </c>
      <c r="E40">
        <v>40</v>
      </c>
      <c r="F40">
        <f t="shared" si="0"/>
        <v>6695</v>
      </c>
    </row>
    <row r="41" spans="1:6" x14ac:dyDescent="0.25">
      <c r="A41" s="20">
        <v>45569</v>
      </c>
      <c r="B41">
        <v>27</v>
      </c>
      <c r="C41">
        <v>45569</v>
      </c>
      <c r="D41" t="str">
        <v>A</v>
      </c>
      <c r="E41">
        <v>38</v>
      </c>
      <c r="F41">
        <f t="shared" si="0"/>
        <v>6733</v>
      </c>
    </row>
    <row r="42" spans="1:6" x14ac:dyDescent="0.25">
      <c r="A42" s="20">
        <v>45603</v>
      </c>
      <c r="B42">
        <v>34</v>
      </c>
      <c r="C42">
        <v>45737</v>
      </c>
      <c r="D42" t="str">
        <v>E</v>
      </c>
      <c r="E42">
        <v>167</v>
      </c>
      <c r="F42">
        <f t="shared" si="0"/>
        <v>6900</v>
      </c>
    </row>
    <row r="43" spans="1:6" x14ac:dyDescent="0.25">
      <c r="A43" s="20">
        <v>45630</v>
      </c>
      <c r="B43">
        <v>27</v>
      </c>
      <c r="C43">
        <v>45909</v>
      </c>
      <c r="D43" t="str">
        <v>A</v>
      </c>
      <c r="E43">
        <v>171</v>
      </c>
      <c r="F43">
        <f t="shared" si="0"/>
        <v>7071</v>
      </c>
    </row>
    <row r="44" spans="1:6" x14ac:dyDescent="0.25">
      <c r="A44" s="20">
        <v>45665</v>
      </c>
      <c r="B44">
        <v>35</v>
      </c>
      <c r="C44">
        <v>46300</v>
      </c>
      <c r="D44" t="str">
        <v>E</v>
      </c>
      <c r="E44">
        <v>388</v>
      </c>
      <c r="F44">
        <f t="shared" si="0"/>
        <v>7459</v>
      </c>
    </row>
    <row r="45" spans="1:6" x14ac:dyDescent="0.25">
      <c r="A45" s="20">
        <v>45693</v>
      </c>
      <c r="B45">
        <v>28</v>
      </c>
      <c r="C45">
        <v>46664</v>
      </c>
      <c r="D45" t="str">
        <v>A</v>
      </c>
      <c r="E45">
        <v>361</v>
      </c>
      <c r="F45">
        <f t="shared" si="0"/>
        <v>7820</v>
      </c>
    </row>
    <row r="46" spans="1:6" x14ac:dyDescent="0.25">
      <c r="A46" s="20">
        <v>45726</v>
      </c>
      <c r="B46">
        <v>33</v>
      </c>
      <c r="C46">
        <v>47056</v>
      </c>
      <c r="D46" t="str">
        <v>E</v>
      </c>
      <c r="E46">
        <v>389</v>
      </c>
      <c r="F46">
        <f t="shared" si="0"/>
        <v>8209</v>
      </c>
    </row>
    <row r="47" spans="1:6" x14ac:dyDescent="0.25">
      <c r="A47" s="20">
        <v>45751</v>
      </c>
      <c r="B47">
        <v>25</v>
      </c>
      <c r="C47">
        <v>47255</v>
      </c>
      <c r="D47" t="str">
        <v>A</v>
      </c>
      <c r="E47">
        <v>198</v>
      </c>
      <c r="F47">
        <f t="shared" si="0"/>
        <v>8407</v>
      </c>
    </row>
    <row r="48" spans="1:6" x14ac:dyDescent="0.25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8407</v>
      </c>
    </row>
    <row r="49" spans="1:6" x14ac:dyDescent="0.25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8407</v>
      </c>
    </row>
    <row r="50" spans="1:6" x14ac:dyDescent="0.25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8407</v>
      </c>
    </row>
    <row r="51" spans="1:6" x14ac:dyDescent="0.25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8407</v>
      </c>
    </row>
    <row r="52" spans="1:6" x14ac:dyDescent="0.25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8407</v>
      </c>
    </row>
    <row r="53" spans="1:6" x14ac:dyDescent="0.25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8407</v>
      </c>
    </row>
    <row r="54" spans="1:6" x14ac:dyDescent="0.25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8407</v>
      </c>
    </row>
    <row r="55" spans="1:6" x14ac:dyDescent="0.25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8407</v>
      </c>
    </row>
    <row r="56" spans="1:6" x14ac:dyDescent="0.25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8407</v>
      </c>
    </row>
    <row r="57" spans="1:6" x14ac:dyDescent="0.25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8407</v>
      </c>
    </row>
    <row r="58" spans="1:6" x14ac:dyDescent="0.25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8407</v>
      </c>
    </row>
    <row r="59" spans="1:6" x14ac:dyDescent="0.25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8407</v>
      </c>
    </row>
    <row r="60" spans="1:6" x14ac:dyDescent="0.25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8407</v>
      </c>
    </row>
    <row r="61" spans="1:6" x14ac:dyDescent="0.25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8407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8407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8407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8407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8407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8407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8407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8407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8407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8407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8407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8407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8407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8407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8407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8407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8407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8407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8407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8407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8407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8407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8407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8407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8407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8407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8407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8407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8407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8407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8407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8407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8407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8407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8407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8407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8407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8407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8407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8407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8407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8407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8407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8407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8407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8407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8407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8407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8407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8407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8407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8407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8407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8407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8407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8407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8407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8407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8407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8407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8407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8407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8407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8407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8407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8407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8407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8407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8407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8407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8407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8407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8407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2" activePane="bottomRight" state="frozen"/>
      <selection pane="topRight" activeCell="A32" sqref="A32"/>
      <selection pane="bottomLeft" activeCell="A32" sqref="A32"/>
      <selection pane="bottomRight" activeCell="A2" sqref="A2"/>
    </sheetView>
  </sheetViews>
  <sheetFormatPr defaultColWidth="8.875" defaultRowHeight="15.75" x14ac:dyDescent="0.25"/>
  <cols>
    <col min="1" max="1" width="6.625" bestFit="1" customWidth="1"/>
    <col min="2" max="2" width="8.625" bestFit="1" customWidth="1"/>
    <col min="3" max="3" width="6.125" bestFit="1" customWidth="1"/>
    <col min="4" max="4" width="24.875" bestFit="1" customWidth="1"/>
    <col min="5" max="5" width="21.625" bestFit="1" customWidth="1"/>
    <col min="6" max="7" width="24.375" bestFit="1" customWidth="1"/>
  </cols>
  <sheetData>
    <row r="1" spans="1:16" x14ac:dyDescent="0.25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IF(D4140&lt;&gt;"",MAX('[1]DDD Model Calculations'!$D$20-'[1]Weather Data'!D4140,0),MAX('[1]DDD Model Calculations'!$D$20-AVERAGE('[1]Weather Data'!D4139,'[1]Weather Data'!D4141),0))</f>
        <v>10.199999809265137</v>
      </c>
      <c r="I4140">
        <f>IF(E4140&lt;&gt;"",MAX('[1]DDD Model Calculations'!$D$20-'[1]Weather Data'!E4140,0),MAX('[1]DDD Model Calculations'!$D$20-AVERAGE('[1]Weather Data'!E4139,'[1]Weather Data'!E4141),0))</f>
        <v>6.8999996185302734</v>
      </c>
      <c r="J4140">
        <f>IF(F4140&lt;&gt;"",MAX('[1]DDD Model Calculations'!$D$20-'[1]Weather Data'!F4140,0),MAX('[1]DDD Model Calculations'!$D$20-AVERAGE('[1]Weather Data'!F4139,'[1]Weather Data'!F4141),0))</f>
        <v>11.099999904632568</v>
      </c>
      <c r="K4140">
        <f>IF(G4140&lt;&gt;"",MAX('[1]DDD Model Calculations'!$D$20-'[1]Weather Data'!G4140,0),MAX('[1]DDD Model Calculations'!$D$20-AVERAGE('[1]Weather Data'!G4139,'[1]Weather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IF(D4141&lt;&gt;"",MAX('[1]DDD Model Calculations'!$D$20-'[1]Weather Data'!D4141,0),MAX('[1]DDD Model Calculations'!$D$20-AVERAGE('[1]Weather Data'!D4140,'[1]Weather Data'!D4142),0))</f>
        <v>4.1000003814697266</v>
      </c>
      <c r="I4141">
        <f>IF(E4141&lt;&gt;"",MAX('[1]DDD Model Calculations'!$D$20-'[1]Weather Data'!E4141,0),MAX('[1]DDD Model Calculations'!$D$20-AVERAGE('[1]Weather Data'!E4140,'[1]Weather Data'!E4142),0))</f>
        <v>4.8000001907348633</v>
      </c>
      <c r="J4141">
        <f>IF(F4141&lt;&gt;"",MAX('[1]DDD Model Calculations'!$D$20-'[1]Weather Data'!F4141,0),MAX('[1]DDD Model Calculations'!$D$20-AVERAGE('[1]Weather Data'!F4140,'[1]Weather Data'!F4142),0))</f>
        <v>3.3999996185302734</v>
      </c>
      <c r="K4141">
        <f>IF(G4141&lt;&gt;"",MAX('[1]DDD Model Calculations'!$D$20-'[1]Weather Data'!G4141,0),MAX('[1]DDD Model Calculations'!$D$20-AVERAGE('[1]Weather Data'!G4140,'[1]Weather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IF(D4142&lt;&gt;"",MAX('[1]DDD Model Calculations'!$D$20-'[1]Weather Data'!D4142,0),MAX('[1]DDD Model Calculations'!$D$20-AVERAGE('[1]Weather Data'!D4141,'[1]Weather Data'!D4143),0))</f>
        <v>9.8999996185302734</v>
      </c>
      <c r="I4142">
        <f>IF(E4142&lt;&gt;"",MAX('[1]DDD Model Calculations'!$D$20-'[1]Weather Data'!E4142,0),MAX('[1]DDD Model Calculations'!$D$20-AVERAGE('[1]Weather Data'!E4141,'[1]Weather Data'!E4143),0))</f>
        <v>9.1000003814697266</v>
      </c>
      <c r="J4142">
        <f>IF(F4142&lt;&gt;"",MAX('[1]DDD Model Calculations'!$D$20-'[1]Weather Data'!F4142,0),MAX('[1]DDD Model Calculations'!$D$20-AVERAGE('[1]Weather Data'!F4141,'[1]Weather Data'!F4143),0))</f>
        <v>7.1999998092651367</v>
      </c>
      <c r="K4142">
        <f>IF(G4142&lt;&gt;"",MAX('[1]DDD Model Calculations'!$D$20-'[1]Weather Data'!G4142,0),MAX('[1]DDD Model Calculations'!$D$20-AVERAGE('[1]Weather Data'!G4141,'[1]Weather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IF(D4143&lt;&gt;"",MAX('[1]DDD Model Calculations'!$D$20-'[1]Weather Data'!D4143,0),MAX('[1]DDD Model Calculations'!$D$20-AVERAGE('[1]Weather Data'!D4142,'[1]Weather Data'!D4144),0))</f>
        <v>8.1999998092651367</v>
      </c>
      <c r="I4143">
        <f>IF(E4143&lt;&gt;"",MAX('[1]DDD Model Calculations'!$D$20-'[1]Weather Data'!E4143,0),MAX('[1]DDD Model Calculations'!$D$20-AVERAGE('[1]Weather Data'!E4142,'[1]Weather Data'!E4144),0))</f>
        <v>8.3000001907348633</v>
      </c>
      <c r="J4143">
        <f>IF(F4143&lt;&gt;"",MAX('[1]DDD Model Calculations'!$D$20-'[1]Weather Data'!F4143,0),MAX('[1]DDD Model Calculations'!$D$20-AVERAGE('[1]Weather Data'!F4142,'[1]Weather Data'!F4144),0))</f>
        <v>5</v>
      </c>
      <c r="K4143">
        <f>IF(G4143&lt;&gt;"",MAX('[1]DDD Model Calculations'!$D$20-'[1]Weather Data'!G4143,0),MAX('[1]DDD Model Calculations'!$D$20-AVERAGE('[1]Weather Data'!G4142,'[1]Weather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IF(D4144&lt;&gt;"",MAX('[1]DDD Model Calculations'!$D$20-'[1]Weather Data'!D4144,0),MAX('[1]DDD Model Calculations'!$D$20-AVERAGE('[1]Weather Data'!D4143,'[1]Weather Data'!D4145),0))</f>
        <v>2.6999998092651367</v>
      </c>
      <c r="I4144">
        <f>IF(E4144&lt;&gt;"",MAX('[1]DDD Model Calculations'!$D$20-'[1]Weather Data'!E4144,0),MAX('[1]DDD Model Calculations'!$D$20-AVERAGE('[1]Weather Data'!E4143,'[1]Weather Data'!E4145),0))</f>
        <v>2.1999998092651367</v>
      </c>
      <c r="J4144">
        <f>IF(F4144&lt;&gt;"",MAX('[1]DDD Model Calculations'!$D$20-'[1]Weather Data'!F4144,0),MAX('[1]DDD Model Calculations'!$D$20-AVERAGE('[1]Weather Data'!F4143,'[1]Weather Data'!F4145),0))</f>
        <v>3.1000003814697266</v>
      </c>
      <c r="K4144">
        <f>IF(G4144&lt;&gt;"",MAX('[1]DDD Model Calculations'!$D$20-'[1]Weather Data'!G4144,0),MAX('[1]DDD Model Calculations'!$D$20-AVERAGE('[1]Weather Data'!G4143,'[1]Weather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IF(D4145&lt;&gt;"",MAX('[1]DDD Model Calculations'!$D$20-'[1]Weather Data'!D4145,0),MAX('[1]DDD Model Calculations'!$D$20-AVERAGE('[1]Weather Data'!D4144,'[1]Weather Data'!D4146),0))</f>
        <v>3.6999998092651367</v>
      </c>
      <c r="I4145">
        <f>IF(E4145&lt;&gt;"",MAX('[1]DDD Model Calculations'!$D$20-'[1]Weather Data'!E4145,0),MAX('[1]DDD Model Calculations'!$D$20-AVERAGE('[1]Weather Data'!E4144,'[1]Weather Data'!E4146),0))</f>
        <v>4.5</v>
      </c>
      <c r="J4145">
        <f>IF(F4145&lt;&gt;"",MAX('[1]DDD Model Calculations'!$D$20-'[1]Weather Data'!F4145,0),MAX('[1]DDD Model Calculations'!$D$20-AVERAGE('[1]Weather Data'!F4144,'[1]Weather Data'!F4146),0))</f>
        <v>0.10000038146972656</v>
      </c>
      <c r="K4145">
        <f>IF(G4145&lt;&gt;"",MAX('[1]DDD Model Calculations'!$D$20-'[1]Weather Data'!G4145,0),MAX('[1]DDD Model Calculations'!$D$20-AVERAGE('[1]Weather Data'!G4144,'[1]Weather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IF(D4146&lt;&gt;"",MAX('[1]DDD Model Calculations'!$D$20-'[1]Weather Data'!D4146,0),MAX('[1]DDD Model Calculations'!$D$20-AVERAGE('[1]Weather Data'!D4145,'[1]Weather Data'!D4147),0))</f>
        <v>2.6999998092651367</v>
      </c>
      <c r="I4146">
        <f>IF(E4146&lt;&gt;"",MAX('[1]DDD Model Calculations'!$D$20-'[1]Weather Data'!E4146,0),MAX('[1]DDD Model Calculations'!$D$20-AVERAGE('[1]Weather Data'!E4145,'[1]Weather Data'!E4147),0))</f>
        <v>5.1999998092651367</v>
      </c>
      <c r="J4146">
        <f>IF(F4146&lt;&gt;"",MAX('[1]DDD Model Calculations'!$D$20-'[1]Weather Data'!F4146,0),MAX('[1]DDD Model Calculations'!$D$20-AVERAGE('[1]Weather Data'!F4145,'[1]Weather Data'!F4147),0))</f>
        <v>4.8999996185302734</v>
      </c>
      <c r="K4146">
        <f>IF(G4146&lt;&gt;"",MAX('[1]DDD Model Calculations'!$D$20-'[1]Weather Data'!G4146,0),MAX('[1]DDD Model Calculations'!$D$20-AVERAGE('[1]Weather Data'!G4145,'[1]Weather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IF(D4147&lt;&gt;"",MAX('[1]DDD Model Calculations'!$D$20-'[1]Weather Data'!D4147,0),MAX('[1]DDD Model Calculations'!$D$20-AVERAGE('[1]Weather Data'!D4146,'[1]Weather Data'!D4148),0))</f>
        <v>8.3999996185302734</v>
      </c>
      <c r="I4147">
        <f>IF(E4147&lt;&gt;"",MAX('[1]DDD Model Calculations'!$D$20-'[1]Weather Data'!E4147,0),MAX('[1]DDD Model Calculations'!$D$20-AVERAGE('[1]Weather Data'!E4146,'[1]Weather Data'!E4148),0))</f>
        <v>9.3000001907348633</v>
      </c>
      <c r="J4147">
        <f>IF(F4147&lt;&gt;"",MAX('[1]DDD Model Calculations'!$D$20-'[1]Weather Data'!F4147,0),MAX('[1]DDD Model Calculations'!$D$20-AVERAGE('[1]Weather Data'!F4146,'[1]Weather Data'!F4148),0))</f>
        <v>9.6000003814697266</v>
      </c>
      <c r="K4147">
        <f>IF(G4147&lt;&gt;"",MAX('[1]DDD Model Calculations'!$D$20-'[1]Weather Data'!G4147,0),MAX('[1]DDD Model Calculations'!$D$20-AVERAGE('[1]Weather Data'!G4146,'[1]Weather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IF(D4148&lt;&gt;"",MAX('[1]DDD Model Calculations'!$D$20-'[1]Weather Data'!D4148,0),MAX('[1]DDD Model Calculations'!$D$20-AVERAGE('[1]Weather Data'!D4147,'[1]Weather Data'!D4149),0))</f>
        <v>7.5</v>
      </c>
      <c r="I4148">
        <f>IF(E4148&lt;&gt;"",MAX('[1]DDD Model Calculations'!$D$20-'[1]Weather Data'!E4148,0),MAX('[1]DDD Model Calculations'!$D$20-AVERAGE('[1]Weather Data'!E4147,'[1]Weather Data'!E4149),0))</f>
        <v>9.3999996185302734</v>
      </c>
      <c r="J4148">
        <f>IF(F4148&lt;&gt;"",MAX('[1]DDD Model Calculations'!$D$20-'[1]Weather Data'!F4148,0),MAX('[1]DDD Model Calculations'!$D$20-AVERAGE('[1]Weather Data'!F4147,'[1]Weather Data'!F4149),0))</f>
        <v>8.5</v>
      </c>
      <c r="K4148">
        <f>IF(G4148&lt;&gt;"",MAX('[1]DDD Model Calculations'!$D$20-'[1]Weather Data'!G4148,0),MAX('[1]DDD Model Calculations'!$D$20-AVERAGE('[1]Weather Data'!G4147,'[1]Weather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IF(D4149&lt;&gt;"",MAX('[1]DDD Model Calculations'!$D$20-'[1]Weather Data'!D4149,0),MAX('[1]DDD Model Calculations'!$D$20-AVERAGE('[1]Weather Data'!D4148,'[1]Weather Data'!D4150),0))</f>
        <v>4.3999996185302734</v>
      </c>
      <c r="I4149">
        <f>IF(E4149&lt;&gt;"",MAX('[1]DDD Model Calculations'!$D$20-'[1]Weather Data'!E4149,0),MAX('[1]DDD Model Calculations'!$D$20-AVERAGE('[1]Weather Data'!E4148,'[1]Weather Data'!E4150),0))</f>
        <v>6.3000001907348633</v>
      </c>
      <c r="J4149">
        <f>IF(F4149&lt;&gt;"",MAX('[1]DDD Model Calculations'!$D$20-'[1]Weather Data'!F4149,0),MAX('[1]DDD Model Calculations'!$D$20-AVERAGE('[1]Weather Data'!F4148,'[1]Weather Data'!F4150),0))</f>
        <v>3.8999996185302734</v>
      </c>
      <c r="K4149">
        <f>IF(G4149&lt;&gt;"",MAX('[1]DDD Model Calculations'!$D$20-'[1]Weather Data'!G4149,0),MAX('[1]DDD Model Calculations'!$D$20-AVERAGE('[1]Weather Data'!G4148,'[1]Weather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IF(D4150&lt;&gt;"",MAX('[1]DDD Model Calculations'!$D$20-'[1]Weather Data'!D4150,0),MAX('[1]DDD Model Calculations'!$D$20-AVERAGE('[1]Weather Data'!D4149,'[1]Weather Data'!D4151),0))</f>
        <v>8.3999996185302734</v>
      </c>
      <c r="I4150">
        <f>IF(E4150&lt;&gt;"",MAX('[1]DDD Model Calculations'!$D$20-'[1]Weather Data'!E4150,0),MAX('[1]DDD Model Calculations'!$D$20-AVERAGE('[1]Weather Data'!E4149,'[1]Weather Data'!E4151),0))</f>
        <v>6</v>
      </c>
      <c r="J4150">
        <f>IF(F4150&lt;&gt;"",MAX('[1]DDD Model Calculations'!$D$20-'[1]Weather Data'!F4150,0),MAX('[1]DDD Model Calculations'!$D$20-AVERAGE('[1]Weather Data'!F4149,'[1]Weather Data'!F4151),0))</f>
        <v>8.1999998092651367</v>
      </c>
      <c r="K4150">
        <f>IF(G4150&lt;&gt;"",MAX('[1]DDD Model Calculations'!$D$20-'[1]Weather Data'!G4150,0),MAX('[1]DDD Model Calculations'!$D$20-AVERAGE('[1]Weather Data'!G4149,'[1]Weather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IF(D4151&lt;&gt;"",MAX('[1]DDD Model Calculations'!$D$20-'[1]Weather Data'!D4151,0),MAX('[1]DDD Model Calculations'!$D$20-AVERAGE('[1]Weather Data'!D4150,'[1]Weather Data'!D4152),0))</f>
        <v>1.7999992370605469</v>
      </c>
      <c r="I4151">
        <f>IF(E4151&lt;&gt;"",MAX('[1]DDD Model Calculations'!$D$20-'[1]Weather Data'!E4151,0),MAX('[1]DDD Model Calculations'!$D$20-AVERAGE('[1]Weather Data'!E4150,'[1]Weather Data'!E4152),0))</f>
        <v>1.7000007629394531</v>
      </c>
      <c r="J4151">
        <f>IF(F4151&lt;&gt;"",MAX('[1]DDD Model Calculations'!$D$20-'[1]Weather Data'!F4151,0),MAX('[1]DDD Model Calculations'!$D$20-AVERAGE('[1]Weather Data'!F4150,'[1]Weather Data'!F4152),0))</f>
        <v>2.1999998092651367</v>
      </c>
      <c r="K4151">
        <f>IF(G4151&lt;&gt;"",MAX('[1]DDD Model Calculations'!$D$20-'[1]Weather Data'!G4151,0),MAX('[1]DDD Model Calculations'!$D$20-AVERAGE('[1]Weather Data'!G4150,'[1]Weather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IF(D4152&lt;&gt;"",MAX('[1]DDD Model Calculations'!$D$20-'[1]Weather Data'!D4152,0),MAX('[1]DDD Model Calculations'!$D$20-AVERAGE('[1]Weather Data'!D4151,'[1]Weather Data'!D4153),0))</f>
        <v>0</v>
      </c>
      <c r="I4152">
        <f>IF(E4152&lt;&gt;"",MAX('[1]DDD Model Calculations'!$D$20-'[1]Weather Data'!E4152,0),MAX('[1]DDD Model Calculations'!$D$20-AVERAGE('[1]Weather Data'!E4151,'[1]Weather Data'!E4153),0))</f>
        <v>0</v>
      </c>
      <c r="J4152">
        <f>IF(F4152&lt;&gt;"",MAX('[1]DDD Model Calculations'!$D$20-'[1]Weather Data'!F4152,0),MAX('[1]DDD Model Calculations'!$D$20-AVERAGE('[1]Weather Data'!F4151,'[1]Weather Data'!F4153),0))</f>
        <v>0</v>
      </c>
      <c r="K4152">
        <f>IF(G4152&lt;&gt;"",MAX('[1]DDD Model Calculations'!$D$20-'[1]Weather Data'!G4152,0),MAX('[1]DDD Model Calculations'!$D$20-AVERAGE('[1]Weather Data'!G4151,'[1]Weather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IF(D4153&lt;&gt;"",MAX('[1]DDD Model Calculations'!$D$20-'[1]Weather Data'!D4153,0),MAX('[1]DDD Model Calculations'!$D$20-AVERAGE('[1]Weather Data'!D4152,'[1]Weather Data'!D4154),0))</f>
        <v>0.5</v>
      </c>
      <c r="I4153">
        <f>IF(E4153&lt;&gt;"",MAX('[1]DDD Model Calculations'!$D$20-'[1]Weather Data'!E4153,0),MAX('[1]DDD Model Calculations'!$D$20-AVERAGE('[1]Weather Data'!E4152,'[1]Weather Data'!E4154),0))</f>
        <v>0</v>
      </c>
      <c r="J4153">
        <f>IF(F4153&lt;&gt;"",MAX('[1]DDD Model Calculations'!$D$20-'[1]Weather Data'!F4153,0),MAX('[1]DDD Model Calculations'!$D$20-AVERAGE('[1]Weather Data'!F4152,'[1]Weather Data'!F4154),0))</f>
        <v>0</v>
      </c>
      <c r="K4153">
        <f>IF(G4153&lt;&gt;"",MAX('[1]DDD Model Calculations'!$D$20-'[1]Weather Data'!G4153,0),MAX('[1]DDD Model Calculations'!$D$20-AVERAGE('[1]Weather Data'!G4152,'[1]Weather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IF(D4154&lt;&gt;"",MAX('[1]DDD Model Calculations'!$D$20-'[1]Weather Data'!D4154,0),MAX('[1]DDD Model Calculations'!$D$20-AVERAGE('[1]Weather Data'!D4153,'[1]Weather Data'!D4155),0))</f>
        <v>0</v>
      </c>
      <c r="I4154">
        <f>IF(E4154&lt;&gt;"",MAX('[1]DDD Model Calculations'!$D$20-'[1]Weather Data'!E4154,0),MAX('[1]DDD Model Calculations'!$D$20-AVERAGE('[1]Weather Data'!E4153,'[1]Weather Data'!E4155),0))</f>
        <v>0</v>
      </c>
      <c r="J4154">
        <f>IF(F4154&lt;&gt;"",MAX('[1]DDD Model Calculations'!$D$20-'[1]Weather Data'!F4154,0),MAX('[1]DDD Model Calculations'!$D$20-AVERAGE('[1]Weather Data'!F4153,'[1]Weather Data'!F4155),0))</f>
        <v>0</v>
      </c>
      <c r="K4154">
        <f>IF(G4154&lt;&gt;"",MAX('[1]DDD Model Calculations'!$D$20-'[1]Weather Data'!G4154,0),MAX('[1]DDD Model Calculations'!$D$20-AVERAGE('[1]Weather Data'!G4153,'[1]Weather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IF(D4155&lt;&gt;"",MAX('[1]DDD Model Calculations'!$D$20-'[1]Weather Data'!D4155,0),MAX('[1]DDD Model Calculations'!$D$20-AVERAGE('[1]Weather Data'!D4154,'[1]Weather Data'!D4156),0))</f>
        <v>0</v>
      </c>
      <c r="I4155">
        <f>IF(E4155&lt;&gt;"",MAX('[1]DDD Model Calculations'!$D$20-'[1]Weather Data'!E4155,0),MAX('[1]DDD Model Calculations'!$D$20-AVERAGE('[1]Weather Data'!E4154,'[1]Weather Data'!E4156),0))</f>
        <v>0</v>
      </c>
      <c r="J4155">
        <f>IF(F4155&lt;&gt;"",MAX('[1]DDD Model Calculations'!$D$20-'[1]Weather Data'!F4155,0),MAX('[1]DDD Model Calculations'!$D$20-AVERAGE('[1]Weather Data'!F4154,'[1]Weather Data'!F4156),0))</f>
        <v>0</v>
      </c>
      <c r="K4155">
        <f>IF(G4155&lt;&gt;"",MAX('[1]DDD Model Calculations'!$D$20-'[1]Weather Data'!G4155,0),MAX('[1]DDD Model Calculations'!$D$20-AVERAGE('[1]Weather Data'!G4154,'[1]Weather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IF(D4156&lt;&gt;"",MAX('[1]DDD Model Calculations'!$D$20-'[1]Weather Data'!D4156,0),MAX('[1]DDD Model Calculations'!$D$20-AVERAGE('[1]Weather Data'!D4155,'[1]Weather Data'!D4157),0))</f>
        <v>1.7000007629394531</v>
      </c>
      <c r="I4156">
        <f>IF(E4156&lt;&gt;"",MAX('[1]DDD Model Calculations'!$D$20-'[1]Weather Data'!E4156,0),MAX('[1]DDD Model Calculations'!$D$20-AVERAGE('[1]Weather Data'!E4155,'[1]Weather Data'!E4157),0))</f>
        <v>2.5</v>
      </c>
      <c r="J4156">
        <f>IF(F4156&lt;&gt;"",MAX('[1]DDD Model Calculations'!$D$20-'[1]Weather Data'!F4156,0),MAX('[1]DDD Model Calculations'!$D$20-AVERAGE('[1]Weather Data'!F4155,'[1]Weather Data'!F4157),0))</f>
        <v>1.2000007629394531</v>
      </c>
      <c r="K4156">
        <f>IF(G4156&lt;&gt;"",MAX('[1]DDD Model Calculations'!$D$20-'[1]Weather Data'!G4156,0),MAX('[1]DDD Model Calculations'!$D$20-AVERAGE('[1]Weather Data'!G4155,'[1]Weather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IF(D4157&lt;&gt;"",MAX('[1]DDD Model Calculations'!$D$20-'[1]Weather Data'!D4157,0),MAX('[1]DDD Model Calculations'!$D$20-AVERAGE('[1]Weather Data'!D4156,'[1]Weather Data'!D4158),0))</f>
        <v>4.6999998092651367</v>
      </c>
      <c r="I4157">
        <f>IF(E4157&lt;&gt;"",MAX('[1]DDD Model Calculations'!$D$20-'[1]Weather Data'!E4157,0),MAX('[1]DDD Model Calculations'!$D$20-AVERAGE('[1]Weather Data'!E4156,'[1]Weather Data'!E4158),0))</f>
        <v>8.3999996185302734</v>
      </c>
      <c r="J4157">
        <f>IF(F4157&lt;&gt;"",MAX('[1]DDD Model Calculations'!$D$20-'[1]Weather Data'!F4157,0),MAX('[1]DDD Model Calculations'!$D$20-AVERAGE('[1]Weather Data'!F4156,'[1]Weather Data'!F4158),0))</f>
        <v>7.8999996185302734</v>
      </c>
      <c r="K4157">
        <f>IF(G4157&lt;&gt;"",MAX('[1]DDD Model Calculations'!$D$20-'[1]Weather Data'!G4157,0),MAX('[1]DDD Model Calculations'!$D$20-AVERAGE('[1]Weather Data'!G4156,'[1]Weather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IF(D4158&lt;&gt;"",MAX('[1]DDD Model Calculations'!$D$20-'[1]Weather Data'!D4158,0),MAX('[1]DDD Model Calculations'!$D$20-AVERAGE('[1]Weather Data'!D4157,'[1]Weather Data'!D4159),0))</f>
        <v>8.3000001907348633</v>
      </c>
      <c r="I4158">
        <f>IF(E4158&lt;&gt;"",MAX('[1]DDD Model Calculations'!$D$20-'[1]Weather Data'!E4158,0),MAX('[1]DDD Model Calculations'!$D$20-AVERAGE('[1]Weather Data'!E4157,'[1]Weather Data'!E4159),0))</f>
        <v>9.3999996185302734</v>
      </c>
      <c r="J4158">
        <f>IF(F4158&lt;&gt;"",MAX('[1]DDD Model Calculations'!$D$20-'[1]Weather Data'!F4158,0),MAX('[1]DDD Model Calculations'!$D$20-AVERAGE('[1]Weather Data'!F4157,'[1]Weather Data'!F4159),0))</f>
        <v>9.8999996185302734</v>
      </c>
      <c r="K4158">
        <f>IF(G4158&lt;&gt;"",MAX('[1]DDD Model Calculations'!$D$20-'[1]Weather Data'!G4158,0),MAX('[1]DDD Model Calculations'!$D$20-AVERAGE('[1]Weather Data'!G4157,'[1]Weather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IF(D4159&lt;&gt;"",MAX('[1]DDD Model Calculations'!$D$20-'[1]Weather Data'!D4159,0),MAX('[1]DDD Model Calculations'!$D$20-AVERAGE('[1]Weather Data'!D4158,'[1]Weather Data'!D4160),0))</f>
        <v>9.1999998092651367</v>
      </c>
      <c r="I4159">
        <f>IF(E4159&lt;&gt;"",MAX('[1]DDD Model Calculations'!$D$20-'[1]Weather Data'!E4159,0),MAX('[1]DDD Model Calculations'!$D$20-AVERAGE('[1]Weather Data'!E4158,'[1]Weather Data'!E4160),0))</f>
        <v>8.6000003814697266</v>
      </c>
      <c r="J4159">
        <f>IF(F4159&lt;&gt;"",MAX('[1]DDD Model Calculations'!$D$20-'[1]Weather Data'!F4159,0),MAX('[1]DDD Model Calculations'!$D$20-AVERAGE('[1]Weather Data'!F4158,'[1]Weather Data'!F4160),0))</f>
        <v>10.199999809265137</v>
      </c>
      <c r="K4159">
        <f>IF(G4159&lt;&gt;"",MAX('[1]DDD Model Calculations'!$D$20-'[1]Weather Data'!G4159,0),MAX('[1]DDD Model Calculations'!$D$20-AVERAGE('[1]Weather Data'!G4158,'[1]Weather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IF(D4160&lt;&gt;"",MAX('[1]DDD Model Calculations'!$D$20-'[1]Weather Data'!D4160,0),MAX('[1]DDD Model Calculations'!$D$20-AVERAGE('[1]Weather Data'!D4159,'[1]Weather Data'!D4161),0))</f>
        <v>9</v>
      </c>
      <c r="I4160">
        <f>IF(E4160&lt;&gt;"",MAX('[1]DDD Model Calculations'!$D$20-'[1]Weather Data'!E4160,0),MAX('[1]DDD Model Calculations'!$D$20-AVERAGE('[1]Weather Data'!E4159,'[1]Weather Data'!E4161),0))</f>
        <v>9</v>
      </c>
      <c r="J4160">
        <f>IF(F4160&lt;&gt;"",MAX('[1]DDD Model Calculations'!$D$20-'[1]Weather Data'!F4160,0),MAX('[1]DDD Model Calculations'!$D$20-AVERAGE('[1]Weather Data'!F4159,'[1]Weather Data'!F4161),0))</f>
        <v>7.1000003814697266</v>
      </c>
      <c r="K4160">
        <f>IF(G4160&lt;&gt;"",MAX('[1]DDD Model Calculations'!$D$20-'[1]Weather Data'!G4160,0),MAX('[1]DDD Model Calculations'!$D$20-AVERAGE('[1]Weather Data'!G4159,'[1]Weather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IF(D4161&lt;&gt;"",MAX('[1]DDD Model Calculations'!$D$20-'[1]Weather Data'!D4161,0),MAX('[1]DDD Model Calculations'!$D$20-AVERAGE('[1]Weather Data'!D4160,'[1]Weather Data'!D4162),0))</f>
        <v>9.3000001907348633</v>
      </c>
      <c r="I4161">
        <f>IF(E4161&lt;&gt;"",MAX('[1]DDD Model Calculations'!$D$20-'[1]Weather Data'!E4161,0),MAX('[1]DDD Model Calculations'!$D$20-AVERAGE('[1]Weather Data'!E4160,'[1]Weather Data'!E4162),0))</f>
        <v>9.1000003814697266</v>
      </c>
      <c r="J4161">
        <f>IF(F4161&lt;&gt;"",MAX('[1]DDD Model Calculations'!$D$20-'[1]Weather Data'!F4161,0),MAX('[1]DDD Model Calculations'!$D$20-AVERAGE('[1]Weather Data'!F4160,'[1]Weather Data'!F4162),0))</f>
        <v>9</v>
      </c>
      <c r="K4161">
        <f>IF(G4161&lt;&gt;"",MAX('[1]DDD Model Calculations'!$D$20-'[1]Weather Data'!G4161,0),MAX('[1]DDD Model Calculations'!$D$20-AVERAGE('[1]Weather Data'!G4160,'[1]Weather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IF(D4162&lt;&gt;"",MAX('[1]DDD Model Calculations'!$D$20-'[1]Weather Data'!D4162,0),MAX('[1]DDD Model Calculations'!$D$20-AVERAGE('[1]Weather Data'!D4161,'[1]Weather Data'!D4163),0))</f>
        <v>7.5</v>
      </c>
      <c r="I4162">
        <f>IF(E4162&lt;&gt;"",MAX('[1]DDD Model Calculations'!$D$20-'[1]Weather Data'!E4162,0),MAX('[1]DDD Model Calculations'!$D$20-AVERAGE('[1]Weather Data'!E4161,'[1]Weather Data'!E4163),0))</f>
        <v>9.8999996185302734</v>
      </c>
      <c r="J4162">
        <f>IF(F4162&lt;&gt;"",MAX('[1]DDD Model Calculations'!$D$20-'[1]Weather Data'!F4162,0),MAX('[1]DDD Model Calculations'!$D$20-AVERAGE('[1]Weather Data'!F4161,'[1]Weather Data'!F4163),0))</f>
        <v>9.1999998092651367</v>
      </c>
      <c r="K4162">
        <f>IF(G4162&lt;&gt;"",MAX('[1]DDD Model Calculations'!$D$20-'[1]Weather Data'!G4162,0),MAX('[1]DDD Model Calculations'!$D$20-AVERAGE('[1]Weather Data'!G4161,'[1]Weather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IF(D4163&lt;&gt;"",MAX('[1]DDD Model Calculations'!$D$20-'[1]Weather Data'!D4163,0),MAX('[1]DDD Model Calculations'!$D$20-AVERAGE('[1]Weather Data'!D4162,'[1]Weather Data'!D4164),0))</f>
        <v>6.6000003814697266</v>
      </c>
      <c r="I4163">
        <f>IF(E4163&lt;&gt;"",MAX('[1]DDD Model Calculations'!$D$20-'[1]Weather Data'!E4163,0),MAX('[1]DDD Model Calculations'!$D$20-AVERAGE('[1]Weather Data'!E4162,'[1]Weather Data'!E4164),0))</f>
        <v>8.6000003814697266</v>
      </c>
      <c r="J4163">
        <f>IF(F4163&lt;&gt;"",MAX('[1]DDD Model Calculations'!$D$20-'[1]Weather Data'!F4163,0),MAX('[1]DDD Model Calculations'!$D$20-AVERAGE('[1]Weather Data'!F4162,'[1]Weather Data'!F4164),0))</f>
        <v>8.6999998092651367</v>
      </c>
      <c r="K4163">
        <f>IF(G4163&lt;&gt;"",MAX('[1]DDD Model Calculations'!$D$20-'[1]Weather Data'!G4163,0),MAX('[1]DDD Model Calculations'!$D$20-AVERAGE('[1]Weather Data'!G4162,'[1]Weather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IF(D4164&lt;&gt;"",MAX('[1]DDD Model Calculations'!$D$20-'[1]Weather Data'!D4164,0),MAX('[1]DDD Model Calculations'!$D$20-AVERAGE('[1]Weather Data'!D4163,'[1]Weather Data'!D4165),0))</f>
        <v>5.3999996185302734</v>
      </c>
      <c r="I4164">
        <f>IF(E4164&lt;&gt;"",MAX('[1]DDD Model Calculations'!$D$20-'[1]Weather Data'!E4164,0),MAX('[1]DDD Model Calculations'!$D$20-AVERAGE('[1]Weather Data'!E4163,'[1]Weather Data'!E4165),0))</f>
        <v>7.5</v>
      </c>
      <c r="J4164">
        <f>IF(F4164&lt;&gt;"",MAX('[1]DDD Model Calculations'!$D$20-'[1]Weather Data'!F4164,0),MAX('[1]DDD Model Calculations'!$D$20-AVERAGE('[1]Weather Data'!F4163,'[1]Weather Data'!F4165),0))</f>
        <v>4.8000001907348633</v>
      </c>
      <c r="K4164">
        <f>IF(G4164&lt;&gt;"",MAX('[1]DDD Model Calculations'!$D$20-'[1]Weather Data'!G4164,0),MAX('[1]DDD Model Calculations'!$D$20-AVERAGE('[1]Weather Data'!G4163,'[1]Weather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IF(D4165&lt;&gt;"",MAX('[1]DDD Model Calculations'!$D$20-'[1]Weather Data'!D4165,0),MAX('[1]DDD Model Calculations'!$D$20-AVERAGE('[1]Weather Data'!D4164,'[1]Weather Data'!D4166),0))</f>
        <v>3.6999998092651367</v>
      </c>
      <c r="I4165">
        <f>IF(E4165&lt;&gt;"",MAX('[1]DDD Model Calculations'!$D$20-'[1]Weather Data'!E4165,0),MAX('[1]DDD Model Calculations'!$D$20-AVERAGE('[1]Weather Data'!E4164,'[1]Weather Data'!E4166),0))</f>
        <v>4.5</v>
      </c>
      <c r="J4165">
        <f>IF(F4165&lt;&gt;"",MAX('[1]DDD Model Calculations'!$D$20-'[1]Weather Data'!F4165,0),MAX('[1]DDD Model Calculations'!$D$20-AVERAGE('[1]Weather Data'!F4164,'[1]Weather Data'!F4166),0))</f>
        <v>2.3000001907348633</v>
      </c>
      <c r="K4165">
        <f>IF(G4165&lt;&gt;"",MAX('[1]DDD Model Calculations'!$D$20-'[1]Weather Data'!G4165,0),MAX('[1]DDD Model Calculations'!$D$20-AVERAGE('[1]Weather Data'!G4164,'[1]Weather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IF(D4166&lt;&gt;"",MAX('[1]DDD Model Calculations'!$D$20-'[1]Weather Data'!D4166,0),MAX('[1]DDD Model Calculations'!$D$20-AVERAGE('[1]Weather Data'!D4165,'[1]Weather Data'!D4167),0))</f>
        <v>2.3000001907348633</v>
      </c>
      <c r="I4166">
        <f>IF(E4166&lt;&gt;"",MAX('[1]DDD Model Calculations'!$D$20-'[1]Weather Data'!E4166,0),MAX('[1]DDD Model Calculations'!$D$20-AVERAGE('[1]Weather Data'!E4165,'[1]Weather Data'!E4167),0))</f>
        <v>3.3000001907348633</v>
      </c>
      <c r="J4166">
        <f>IF(F4166&lt;&gt;"",MAX('[1]DDD Model Calculations'!$D$20-'[1]Weather Data'!F4166,0),MAX('[1]DDD Model Calculations'!$D$20-AVERAGE('[1]Weather Data'!F4165,'[1]Weather Data'!F4167),0))</f>
        <v>1.1000003814697266</v>
      </c>
      <c r="K4166">
        <f>IF(G4166&lt;&gt;"",MAX('[1]DDD Model Calculations'!$D$20-'[1]Weather Data'!G4166,0),MAX('[1]DDD Model Calculations'!$D$20-AVERAGE('[1]Weather Data'!G4165,'[1]Weather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IF(D4167&lt;&gt;"",MAX('[1]DDD Model Calculations'!$D$20-'[1]Weather Data'!D4167,0),MAX('[1]DDD Model Calculations'!$D$20-AVERAGE('[1]Weather Data'!D4166,'[1]Weather Data'!D4168),0))</f>
        <v>4.1000003814697266</v>
      </c>
      <c r="I4167">
        <f>IF(E4167&lt;&gt;"",MAX('[1]DDD Model Calculations'!$D$20-'[1]Weather Data'!E4167,0),MAX('[1]DDD Model Calculations'!$D$20-AVERAGE('[1]Weather Data'!E4166,'[1]Weather Data'!E4168),0))</f>
        <v>5.3000001907348633</v>
      </c>
      <c r="J4167">
        <f>IF(F4167&lt;&gt;"",MAX('[1]DDD Model Calculations'!$D$20-'[1]Weather Data'!F4167,0),MAX('[1]DDD Model Calculations'!$D$20-AVERAGE('[1]Weather Data'!F4166,'[1]Weather Data'!F4168),0))</f>
        <v>0.29999923706054688</v>
      </c>
      <c r="K4167">
        <f>IF(G4167&lt;&gt;"",MAX('[1]DDD Model Calculations'!$D$20-'[1]Weather Data'!G4167,0),MAX('[1]DDD Model Calculations'!$D$20-AVERAGE('[1]Weather Data'!G4166,'[1]Weather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IF(D4168&lt;&gt;"",MAX('[1]DDD Model Calculations'!$D$20-'[1]Weather Data'!D4168,0),MAX('[1]DDD Model Calculations'!$D$20-AVERAGE('[1]Weather Data'!D4167,'[1]Weather Data'!D4169),0))</f>
        <v>2.5</v>
      </c>
      <c r="I4168">
        <f>IF(E4168&lt;&gt;"",MAX('[1]DDD Model Calculations'!$D$20-'[1]Weather Data'!E4168,0),MAX('[1]DDD Model Calculations'!$D$20-AVERAGE('[1]Weather Data'!E4167,'[1]Weather Data'!E4169),0))</f>
        <v>3</v>
      </c>
      <c r="J4168">
        <f>IF(F4168&lt;&gt;"",MAX('[1]DDD Model Calculations'!$D$20-'[1]Weather Data'!F4168,0),MAX('[1]DDD Model Calculations'!$D$20-AVERAGE('[1]Weather Data'!F4167,'[1]Weather Data'!F4169),0))</f>
        <v>2.3000001907348633</v>
      </c>
      <c r="K4168">
        <f>IF(G4168&lt;&gt;"",MAX('[1]DDD Model Calculations'!$D$20-'[1]Weather Data'!G4168,0),MAX('[1]DDD Model Calculations'!$D$20-AVERAGE('[1]Weather Data'!G4167,'[1]Weather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IF(D4169&lt;&gt;"",MAX('[1]DDD Model Calculations'!$D$20-'[1]Weather Data'!D4169,0),MAX('[1]DDD Model Calculations'!$D$20-AVERAGE('[1]Weather Data'!D4168,'[1]Weather Data'!D4170),0))</f>
        <v>0</v>
      </c>
      <c r="I4169">
        <f>IF(E4169&lt;&gt;"",MAX('[1]DDD Model Calculations'!$D$20-'[1]Weather Data'!E4169,0),MAX('[1]DDD Model Calculations'!$D$20-AVERAGE('[1]Weather Data'!E4168,'[1]Weather Data'!E4170),0))</f>
        <v>1.3999996185302734</v>
      </c>
      <c r="J4169">
        <f>IF(F4169&lt;&gt;"",MAX('[1]DDD Model Calculations'!$D$20-'[1]Weather Data'!F4169,0),MAX('[1]DDD Model Calculations'!$D$20-AVERAGE('[1]Weather Data'!F4168,'[1]Weather Data'!F4170),0))</f>
        <v>0.29999923706054688</v>
      </c>
      <c r="K4169">
        <f>IF(G4169&lt;&gt;"",MAX('[1]DDD Model Calculations'!$D$20-'[1]Weather Data'!G4169,0),MAX('[1]DDD Model Calculations'!$D$20-AVERAGE('[1]Weather Data'!G4168,'[1]Weather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IF(D4170&lt;&gt;"",MAX('[1]DDD Model Calculations'!$D$20-'[1]Weather Data'!D4170,0),MAX('[1]DDD Model Calculations'!$D$20-AVERAGE('[1]Weather Data'!D4169,'[1]Weather Data'!D4171),0))</f>
        <v>7.3999996185302734</v>
      </c>
      <c r="I4170">
        <f>IF(E4170&lt;&gt;"",MAX('[1]DDD Model Calculations'!$D$20-'[1]Weather Data'!E4170,0),MAX('[1]DDD Model Calculations'!$D$20-AVERAGE('[1]Weather Data'!E4169,'[1]Weather Data'!E4171),0))</f>
        <v>8.3000001907348633</v>
      </c>
      <c r="J4170">
        <f>IF(F4170&lt;&gt;"",MAX('[1]DDD Model Calculations'!$D$20-'[1]Weather Data'!F4170,0),MAX('[1]DDD Model Calculations'!$D$20-AVERAGE('[1]Weather Data'!F4169,'[1]Weather Data'!F4171),0))</f>
        <v>6.6999998092651367</v>
      </c>
      <c r="K4170">
        <f>IF(G4170&lt;&gt;"",MAX('[1]DDD Model Calculations'!$D$20-'[1]Weather Data'!G4170,0),MAX('[1]DDD Model Calculations'!$D$20-AVERAGE('[1]Weather Data'!G4169,'[1]Weather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04OOdAhX1GQvgkfNtN5MTjuY/VOuVuwpwISbkmI7rwT2ku1jhzBgHkIjWAtyThp2LIBJ0PHgbt/MYVW8f/zoqg==" saltValue="N7g+ypQR+pJq6mV2qESzng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688AC94276D4CB4C336C27C0A968E" ma:contentTypeVersion="16" ma:contentTypeDescription="Create a new document." ma:contentTypeScope="" ma:versionID="942ca6f5ba04431f077b6c821748e027">
  <xsd:schema xmlns:xsd="http://www.w3.org/2001/XMLSchema" xmlns:xs="http://www.w3.org/2001/XMLSchema" xmlns:p="http://schemas.microsoft.com/office/2006/metadata/properties" xmlns:ns2="bc9be6ef-036f-4d38-ab45-2a4da0c93cb0" xmlns:ns3="9a8041a0-405a-47ab-8c90-9d86ad117bdf" targetNamespace="http://schemas.microsoft.com/office/2006/metadata/properties" ma:root="true" ma:fieldsID="f2341e3f8b46d14b267e4f6e70f99577" ns2:_="" ns3:_="">
    <xsd:import namespace="bc9be6ef-036f-4d38-ab45-2a4da0c93cb0"/>
    <xsd:import namespace="9a8041a0-405a-47ab-8c90-9d86ad117b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Area" minOccurs="0"/>
                <xsd:element ref="ns3:Regulatory" minOccurs="0"/>
                <xsd:element ref="ns3:Legal" minOccurs="0"/>
                <xsd:element ref="ns3:Intervenor" minOccurs="0"/>
                <xsd:element ref="ns3:Expert" minOccurs="0"/>
                <xsd:element ref="ns3:KeySupport" minOccurs="0"/>
                <xsd:element ref="ns3:Witnes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041a0-405a-47ab-8c90-9d86ad117b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rea" ma:index="15" nillable="true" ma:displayName="Area" ma:internalName="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D"/>
                        <xsd:enumeration value="Costs"/>
                        <xsd:enumeration value="Customer Care"/>
                        <xsd:enumeration value="Energy Services"/>
                        <xsd:enumeration value="Energy Transition"/>
                        <xsd:enumeration value="Engineering"/>
                        <xsd:enumeration value="IRP"/>
                        <xsd:enumeration value="Finance"/>
                        <xsd:enumeration value="Operations"/>
                        <xsd:enumeration value="Rates"/>
                        <xsd:enumeration value="Regulatory"/>
                        <xsd:enumeration value="Servic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gulatory" ma:index="16" nillable="true" ma:displayName="Regulatory" ma:format="Dropdown" ma:list="UserInfo" ma:SharePointGroup="0" ma:internalName="Regulator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gal" ma:index="17" nillable="true" ma:displayName="Legal" ma:format="Dropdown" ma:list="UserInfo" ma:SharePointGroup="0" ma:internalName="Legal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tervenor" ma:index="18" nillable="true" ma:displayName="Intervenor" ma:format="Dropdown" ma:internalName="Intervenor">
      <xsd:simpleType>
        <xsd:restriction base="dms:Choice">
          <xsd:enumeration value="A.Valastro"/>
          <xsd:enumeration value="APPro"/>
          <xsd:enumeration value="Atura"/>
          <xsd:enumeration value="BOMA"/>
          <xsd:enumeration value="CBA"/>
          <xsd:enumeration value="CCC"/>
          <xsd:enumeration value="CME"/>
          <xsd:enumeration value="ED"/>
          <xsd:enumeration value="Enercare"/>
          <xsd:enumeration value="EP"/>
          <xsd:enumeration value="HRAI"/>
          <xsd:enumeration value="F.Shah"/>
          <xsd:enumeration value="FRPO"/>
          <xsd:enumeration value="GEC"/>
          <xsd:enumeration value="GFN"/>
          <xsd:enumeration value="IESO"/>
          <xsd:enumeration value="IGUA"/>
          <xsd:enumeration value="KCES"/>
          <xsd:enumeration value="Kitchener"/>
          <xsd:enumeration value="LPMA"/>
          <xsd:enumeration value="M.Garnick"/>
          <xsd:enumeration value="OAPPA"/>
          <xsd:enumeration value="OGVG"/>
          <xsd:enumeration value="OHBA"/>
          <xsd:enumeration value="Otter Creek"/>
          <xsd:enumeration value="PP"/>
          <xsd:enumeration value="QMA"/>
          <xsd:enumeration value="R.Houldin"/>
          <xsd:enumeration value="RNG Coalition"/>
          <xsd:enumeration value="S.Riddell"/>
          <xsd:enumeration value="SEC"/>
          <xsd:enumeration value="SNNG"/>
          <xsd:enumeration value="TCPL"/>
          <xsd:enumeration value="TFG/M"/>
          <xsd:enumeration value="Unifor"/>
          <xsd:enumeration value="VECC"/>
          <xsd:enumeration value="STAFF"/>
        </xsd:restriction>
      </xsd:simpleType>
    </xsd:element>
    <xsd:element name="Expert" ma:index="19" nillable="true" ma:displayName="Expert" ma:default="0" ma:format="Dropdown" ma:internalName="Expert">
      <xsd:simpleType>
        <xsd:restriction base="dms:Boolean"/>
      </xsd:simpleType>
    </xsd:element>
    <xsd:element name="KeySupport" ma:index="20" nillable="true" ma:displayName="Key Support" ma:description="*Not Maintaind by Regulatory*" ma:format="Dropdown" ma:list="UserInfo" ma:SearchPeopleOnly="false" ma:SharePointGroup="0" ma:internalName="KeySupport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" ma:index="21" nillable="true" ma:displayName="Witness" ma:internalName="Witnes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.J. Kearney"/>
                    <xsd:enumeration value="Alicia Lenny"/>
                    <xsd:enumeration value="Adam Gellman"/>
                    <xsd:enumeration value="Adam Stiers"/>
                    <xsd:enumeration value="Ainslie Murdock"/>
                    <xsd:enumeration value="Ala Abusalhieh"/>
                    <xsd:enumeration value="Alison Moore"/>
                    <xsd:enumeration value="Alex Hews"/>
                    <xsd:enumeration value="Alexandra Burke"/>
                    <xsd:enumeration value="Amber Vanderiviere"/>
                    <xsd:enumeration value="Amir Hasan"/>
                    <xsd:enumeration value="Amy Leuschner"/>
                    <xsd:enumeration value="Amy Mikhaila"/>
                    <xsd:enumeration value="Andrea Seguin"/>
                    <xsd:enumeration value="Angela Scott"/>
                    <xsd:enumeration value="Ann-Marie Hessian"/>
                    <xsd:enumeration value="Anton Kacicnik"/>
                    <xsd:enumeration value="Aqeel Zaidi"/>
                    <xsd:enumeration value="Arnold Meurling"/>
                    <xsd:enumeration value="Asha Patel"/>
                    <xsd:enumeration value="Ben McIntyre"/>
                    <xsd:enumeration value="Bob Wellington"/>
                    <xsd:enumeration value="Bradley Clark"/>
                    <xsd:enumeration value="Brandon So"/>
                    <xsd:enumeration value="Brianna Hamilton"/>
                    <xsd:enumeration value="Brittany Zimmer"/>
                    <xsd:enumeration value="Cara-Lynne Wade"/>
                    <xsd:enumeration value="Catherine Ho"/>
                    <xsd:enumeration value="Chad Cook"/>
                    <xsd:enumeration value="Chris Ripley"/>
                    <xsd:enumeration value="Cody Wood"/>
                    <xsd:enumeration value="Colin Healey"/>
                    <xsd:enumeration value="Cora Carriveau"/>
                    <xsd:enumeration value="Craig Fernandes"/>
                    <xsd:enumeration value="Dan Pleckaitis"/>
                    <xsd:enumeration value="Danielle Dreveny"/>
                    <xsd:enumeration value="Dave Hoffman"/>
                    <xsd:enumeration value="Dave Janisse"/>
                    <xsd:enumeration value="Deborah Schmidt"/>
                    <xsd:enumeration value="Diane Simmons"/>
                    <xsd:enumeration value="Dwayne Conrod"/>
                    <xsd:enumeration value="Edward Hou"/>
                    <xsd:enumeration value="Elena Chang"/>
                    <xsd:enumeration value="Emily Nisbet"/>
                    <xsd:enumeration value="Eric Zhang"/>
                    <xsd:enumeration value="Faheem Ahmad"/>
                    <xsd:enumeration value="Gesiena Antuma"/>
                    <xsd:enumeration value="Gilmer Bashualdo-Hilario"/>
                    <xsd:enumeration value="Gord Dillon"/>
                    <xsd:enumeration value="Gord Lau"/>
                    <xsd:enumeration value="Greg Kaminski"/>
                    <xsd:enumeration value="Heidi Steinberg"/>
                    <xsd:enumeration value="Helen Huang"/>
                    <xsd:enumeration value="Hilary Thompson"/>
                    <xsd:enumeration value="Hulya Sayyan"/>
                    <xsd:enumeration value="Ian MacPherson"/>
                    <xsd:enumeration value="Ian McLeod"/>
                    <xsd:enumeration value="Jackie Collier"/>
                    <xsd:enumeration value="Jamee Lynn Laing"/>
                    <xsd:enumeration value="Jane Huang"/>
                    <xsd:enumeration value="Jane Pinsonneault"/>
                    <xsd:enumeration value="Janee O'Donohue"/>
                    <xsd:enumeration value="Jason Bond"/>
                    <xsd:enumeration value="Jason Gillett"/>
                    <xsd:enumeration value="Jason Vinagre"/>
                    <xsd:enumeration value="Jeff Cadotte"/>
                    <xsd:enumeration value="Jenn Cardoso"/>
                    <xsd:enumeration value="Jenna Vanderveen"/>
                    <xsd:enumeration value="Jennifer Burnham"/>
                    <xsd:enumeration value="Jennifer Heard"/>
                    <xsd:enumeration value="Jennifer Murphy"/>
                    <xsd:enumeration value="Jeremy Getson"/>
                    <xsd:enumeration value="Joseph Dimeo"/>
                    <xsd:enumeration value="Joel Denomy"/>
                    <xsd:enumeration value="Joey Cyples"/>
                    <xsd:enumeration value="John Gillis"/>
                    <xsd:enumeration value="Joseph Dimeo"/>
                    <xsd:enumeration value="Julie Rader"/>
                    <xsd:enumeration value="Karen Sweet"/>
                    <xsd:enumeration value="Katie Hooper"/>
                    <xsd:enumeration value="Kent Kerrigan"/>
                    <xsd:enumeration value="Kim Vitek"/>
                    <xsd:enumeration value="Kurt Holmes"/>
                    <xsd:enumeration value="Laura Sheehan"/>
                    <xsd:enumeration value="Leanne Sidorkewicz"/>
                    <xsd:enumeration value="Lee-Ann Giroux"/>
                    <xsd:enumeration value="Lewis Oatway"/>
                    <xsd:enumeration value="Lisa Marusic"/>
                    <xsd:enumeration value="Louie Jeromel"/>
                    <xsd:enumeration value="Luna Munro"/>
                    <xsd:enumeration value="Lyne McMurchie"/>
                    <xsd:enumeration value="Margarita Suarez"/>
                    <xsd:enumeration value="Matt St. Pierre"/>
                    <xsd:enumeration value="Max Hagerman"/>
                    <xsd:enumeration value="Melinda Yan"/>
                    <xsd:enumeration value="Melissa Debevc"/>
                    <xsd:enumeration value="Michael Abate"/>
                    <xsd:enumeration value="Michael McGivery"/>
                    <xsd:enumeration value="Michelle Tian"/>
                    <xsd:enumeration value="Mike Wagle"/>
                    <xsd:enumeration value="Neerajah Raviraj"/>
                    <xsd:enumeration value="Nicole Brunner"/>
                    <xsd:enumeration value="Paaras Sood"/>
                    <xsd:enumeration value="Paolo Mastronardi"/>
                    <xsd:enumeration value="Pat Squires"/>
                    <xsd:enumeration value="Paul Baxter"/>
                    <xsd:enumeration value="Peter Mussio"/>
                    <xsd:enumeration value="Pierce Jones"/>
                    <xsd:enumeration value="Priyanka Gupta"/>
                    <xsd:enumeration value="Rachel Goodreau"/>
                    <xsd:enumeration value="Rakesh Torul"/>
                    <xsd:enumeration value="Ravi Sigurdson"/>
                    <xsd:enumeration value="Richard Wathy"/>
                    <xsd:enumeration value="Rob DiMaria"/>
                    <xsd:enumeration value="Rob Ford"/>
                    <xsd:enumeration value="Rob Goodreau"/>
                    <xsd:enumeration value="Robert Rutitis"/>
                    <xsd:enumeration value="Robin Stevenson"/>
                    <xsd:enumeration value="Rowan Wedderburn-Bennett"/>
                    <xsd:enumeration value="Ruth Swan"/>
                    <xsd:enumeration value="Ryan Cheung"/>
                    <xsd:enumeration value="Ryan Organ"/>
                    <xsd:enumeration value="Ryan Small"/>
                    <xsd:enumeration value="Ryan Stelmaschuk"/>
                    <xsd:enumeration value="Sam McDermott"/>
                    <xsd:enumeration value="Sara Hale"/>
                    <xsd:enumeration value="Sarah Tope"/>
                    <xsd:enumeration value="Scott Dodd"/>
                    <xsd:enumeration value="Scott Hines"/>
                    <xsd:enumeration value="Sean Collier"/>
                    <xsd:enumeration value="Stephanie Fife"/>
                    <xsd:enumeration value="Steve Dantzer"/>
                    <xsd:enumeration value="Steve Edwardson"/>
                    <xsd:enumeration value="Steve Kay"/>
                    <xsd:enumeration value="Steve Pardy"/>
                    <xsd:enumeration value="Steven Brignall"/>
                    <xsd:enumeration value="Steven Riccio"/>
                    <xsd:enumeration value="Steven Shen"/>
                    <xsd:enumeration value="Sunny Swatch"/>
                    <xsd:enumeration value="Sutha Ariyalingam"/>
                    <xsd:enumeration value="Tanya Ferguson"/>
                    <xsd:enumeration value="Teresa Chan"/>
                    <xsd:enumeration value="Tiffany Jonkins"/>
                    <xsd:enumeration value="Tom Byng"/>
                    <xsd:enumeration value="Tracey Teed Martin"/>
                    <xsd:enumeration value="Tracy Lynch"/>
                    <xsd:enumeration value="Trinette Lindley"/>
                    <xsd:enumeration value="Tyler Brady"/>
                    <xsd:enumeration value="Vanessa Innis"/>
                    <xsd:enumeration value="Victoria Wang"/>
                    <xsd:enumeration value="Warren Fisher"/>
                    <xsd:enumeration value="Warren Reinisch"/>
                    <xsd:enumeration value="Wayne Passmore"/>
                    <xsd:enumeration value="Yousuf Zaki"/>
                    <xsd:enumeration value="Malini Giridhar"/>
                    <xsd:enumeration value="Mark Kitchen"/>
                    <xsd:enumeration value="Lesley Austin"/>
                    <xsd:enumeration value="Rob Sterling"/>
                    <xsd:enumeration value="Lauren Whitwham"/>
                    <xsd:enumeration value="Evan Tomek"/>
                  </xsd:restriction>
                </xsd:simpleType>
              </xsd:element>
            </xsd:sequence>
          </xsd:extension>
        </xsd:complexContent>
      </xsd:complex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5E62889D-267E-4B99-A62E-C3DC74B68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be6ef-036f-4d38-ab45-2a4da0c93cb0"/>
    <ds:schemaRef ds:uri="9a8041a0-405a-47ab-8c90-9d86ad117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6D56D0-025A-482E-B173-69B393B996B7}"/>
</file>

<file path=customXml/itemProps3.xml><?xml version="1.0" encoding="utf-8"?>
<ds:datastoreItem xmlns:ds="http://schemas.openxmlformats.org/officeDocument/2006/customXml" ds:itemID="{4546D837-11A7-4262-9865-90E32A2C8C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9A21476-183D-41A6-B1C6-ACCA6EB1F3B6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9a8041a0-405a-47ab-8c90-9d86ad117bdf"/>
    <ds:schemaRef ds:uri="bc9be6ef-036f-4d38-ab45-2a4da0c93cb0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Mia Manyu Liang</cp:lastModifiedBy>
  <cp:revision/>
  <dcterms:created xsi:type="dcterms:W3CDTF">2025-04-16T14:14:55Z</dcterms:created>
  <dcterms:modified xsi:type="dcterms:W3CDTF">2025-07-04T15:10:51Z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_dlc_DocIdItemGuid">
    <vt:lpwstr>e150b545-050d-4bca-a3fe-a439dc476f90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2025-06-20T15:23:02Z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c254173b-882a-4054-96b3-bfe21ba5cc02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